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Niyamtek\Final_scripts\"/>
    </mc:Choice>
  </mc:AlternateContent>
  <xr:revisionPtr revIDLastSave="0" documentId="13_ncr:1_{90146E03-24E7-4B6F-88AB-A3A0001C56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09" i="1" l="1"/>
  <c r="H7409" i="1"/>
  <c r="I7408" i="1"/>
  <c r="H7408" i="1"/>
  <c r="I7407" i="1"/>
  <c r="H7407" i="1"/>
  <c r="I7406" i="1"/>
  <c r="H7406" i="1"/>
  <c r="I7405" i="1"/>
  <c r="H7405" i="1"/>
  <c r="I7404" i="1"/>
  <c r="H7404" i="1"/>
  <c r="I7403" i="1"/>
  <c r="H7403" i="1"/>
  <c r="I7402" i="1"/>
  <c r="H7402" i="1"/>
  <c r="I7401" i="1"/>
  <c r="H7401" i="1"/>
  <c r="I7400" i="1"/>
  <c r="H7400" i="1"/>
  <c r="I7399" i="1"/>
  <c r="H7399" i="1"/>
  <c r="I7398" i="1"/>
  <c r="H7398" i="1"/>
  <c r="I7397" i="1"/>
  <c r="H7397" i="1"/>
  <c r="I7396" i="1"/>
  <c r="H7396" i="1"/>
  <c r="I7395" i="1"/>
  <c r="H7395" i="1"/>
  <c r="I7394" i="1"/>
  <c r="H7394" i="1"/>
  <c r="I7393" i="1"/>
  <c r="H7393" i="1"/>
  <c r="I7392" i="1"/>
  <c r="H7392" i="1"/>
  <c r="I7391" i="1"/>
  <c r="H7391" i="1"/>
  <c r="I7390" i="1"/>
  <c r="H7390" i="1"/>
  <c r="I7389" i="1"/>
  <c r="H7389" i="1"/>
  <c r="I7388" i="1"/>
  <c r="H7388" i="1"/>
  <c r="I7387" i="1"/>
  <c r="H7387" i="1"/>
  <c r="I7386" i="1"/>
  <c r="H7386" i="1"/>
  <c r="I7385" i="1"/>
  <c r="H7385" i="1"/>
  <c r="I7384" i="1"/>
  <c r="H7384" i="1"/>
  <c r="I7383" i="1"/>
  <c r="H7383" i="1"/>
  <c r="I7382" i="1"/>
  <c r="H7382" i="1"/>
  <c r="I7381" i="1"/>
  <c r="H7381" i="1"/>
  <c r="I7380" i="1"/>
  <c r="H7380" i="1"/>
  <c r="I7379" i="1"/>
  <c r="H7379" i="1"/>
  <c r="I7378" i="1"/>
  <c r="H7378" i="1"/>
  <c r="I7377" i="1"/>
  <c r="H7377" i="1"/>
  <c r="I7376" i="1"/>
  <c r="H7376" i="1"/>
  <c r="I7375" i="1"/>
  <c r="H7375" i="1"/>
  <c r="I7374" i="1"/>
  <c r="H7374" i="1"/>
  <c r="I7373" i="1"/>
  <c r="H7373" i="1"/>
  <c r="I7372" i="1"/>
  <c r="H7372" i="1"/>
  <c r="I7371" i="1"/>
  <c r="H7371" i="1"/>
  <c r="I7370" i="1"/>
  <c r="H7370" i="1"/>
  <c r="I7369" i="1"/>
  <c r="H7369" i="1"/>
  <c r="I7368" i="1"/>
  <c r="H7368" i="1"/>
  <c r="I7367" i="1"/>
  <c r="H7367" i="1"/>
  <c r="I7366" i="1"/>
  <c r="H7366" i="1"/>
  <c r="I7365" i="1"/>
  <c r="H7365" i="1"/>
  <c r="I7364" i="1"/>
  <c r="H7364" i="1"/>
  <c r="I7363" i="1"/>
  <c r="H7363" i="1"/>
  <c r="I7362" i="1"/>
  <c r="H7362" i="1"/>
  <c r="I7361" i="1"/>
  <c r="H7361" i="1"/>
  <c r="I7360" i="1"/>
  <c r="H7360" i="1"/>
  <c r="I7359" i="1"/>
  <c r="H7359" i="1"/>
  <c r="I7358" i="1"/>
  <c r="H7358" i="1"/>
  <c r="I7357" i="1"/>
  <c r="H7357" i="1"/>
  <c r="I7356" i="1"/>
  <c r="H7356" i="1"/>
  <c r="I7355" i="1"/>
  <c r="H7355" i="1"/>
  <c r="I7354" i="1"/>
  <c r="H7354" i="1"/>
  <c r="I7353" i="1"/>
  <c r="H7353" i="1"/>
  <c r="I7352" i="1"/>
  <c r="H7352" i="1"/>
  <c r="I7351" i="1"/>
  <c r="H7351" i="1"/>
  <c r="I7350" i="1"/>
  <c r="H7350" i="1"/>
  <c r="I7349" i="1"/>
  <c r="H7349" i="1"/>
  <c r="I7348" i="1"/>
  <c r="H7348" i="1"/>
  <c r="I7347" i="1"/>
  <c r="H7347" i="1"/>
  <c r="I7346" i="1"/>
  <c r="H7346" i="1"/>
  <c r="I7345" i="1"/>
  <c r="H7345" i="1"/>
  <c r="I7344" i="1"/>
  <c r="H7344" i="1"/>
  <c r="I7343" i="1"/>
  <c r="H7343" i="1"/>
  <c r="I7342" i="1"/>
  <c r="H7342" i="1"/>
  <c r="I7341" i="1"/>
  <c r="H7341" i="1"/>
  <c r="I7340" i="1"/>
  <c r="H7340" i="1"/>
  <c r="I7339" i="1"/>
  <c r="H7339" i="1"/>
  <c r="I7338" i="1"/>
  <c r="H7338" i="1"/>
  <c r="I7337" i="1"/>
  <c r="H7337" i="1"/>
  <c r="I7336" i="1"/>
  <c r="H7336" i="1"/>
  <c r="I7335" i="1"/>
  <c r="H7335" i="1"/>
  <c r="I7334" i="1"/>
  <c r="H7334" i="1"/>
  <c r="I7333" i="1"/>
  <c r="H7333" i="1"/>
  <c r="I7332" i="1"/>
  <c r="H7332" i="1"/>
  <c r="I7331" i="1"/>
  <c r="H7331" i="1"/>
  <c r="I7330" i="1"/>
  <c r="H7330" i="1"/>
  <c r="I7329" i="1"/>
  <c r="H7329" i="1"/>
  <c r="I7328" i="1"/>
  <c r="H7328" i="1"/>
  <c r="I7327" i="1"/>
  <c r="H7327" i="1"/>
  <c r="I7326" i="1"/>
  <c r="H7326" i="1"/>
  <c r="I7325" i="1"/>
  <c r="H7325" i="1"/>
  <c r="I7324" i="1"/>
  <c r="H7324" i="1"/>
  <c r="I7323" i="1"/>
  <c r="H7323" i="1"/>
  <c r="I7322" i="1"/>
  <c r="H7322" i="1"/>
  <c r="I7321" i="1"/>
  <c r="H7321" i="1"/>
  <c r="I7320" i="1"/>
  <c r="H7320" i="1"/>
  <c r="I7319" i="1"/>
  <c r="H7319" i="1"/>
  <c r="I7318" i="1"/>
  <c r="H7318" i="1"/>
  <c r="I7317" i="1"/>
  <c r="H7317" i="1"/>
  <c r="I7316" i="1"/>
  <c r="H7316" i="1"/>
  <c r="I7315" i="1"/>
  <c r="H7315" i="1"/>
  <c r="I7314" i="1"/>
  <c r="H7314" i="1"/>
  <c r="I7313" i="1"/>
  <c r="H7313" i="1"/>
  <c r="I7312" i="1"/>
  <c r="H7312" i="1"/>
  <c r="I7311" i="1"/>
  <c r="H7311" i="1"/>
  <c r="I7310" i="1"/>
  <c r="H7310" i="1"/>
  <c r="I7309" i="1"/>
  <c r="H7309" i="1"/>
  <c r="I7308" i="1"/>
  <c r="H7308" i="1"/>
  <c r="I7307" i="1"/>
  <c r="H7307" i="1"/>
  <c r="I7306" i="1"/>
  <c r="H7306" i="1"/>
  <c r="I7305" i="1"/>
  <c r="H7305" i="1"/>
  <c r="I7304" i="1"/>
  <c r="H7304" i="1"/>
  <c r="I7303" i="1"/>
  <c r="H7303" i="1"/>
  <c r="I7302" i="1"/>
  <c r="H7302" i="1"/>
  <c r="I7301" i="1"/>
  <c r="H7301" i="1"/>
  <c r="I7300" i="1"/>
  <c r="H7300" i="1"/>
  <c r="I7299" i="1"/>
  <c r="H7299" i="1"/>
  <c r="I7298" i="1"/>
  <c r="H7298" i="1"/>
  <c r="I7297" i="1"/>
  <c r="H7297" i="1"/>
  <c r="I7296" i="1"/>
  <c r="H7296" i="1"/>
  <c r="I7295" i="1"/>
  <c r="H7295" i="1"/>
  <c r="I7294" i="1"/>
  <c r="H7294" i="1"/>
  <c r="I7293" i="1"/>
  <c r="H7293" i="1"/>
  <c r="I7292" i="1"/>
  <c r="H7292" i="1"/>
  <c r="I7291" i="1"/>
  <c r="H7291" i="1"/>
  <c r="I7290" i="1"/>
  <c r="H7290" i="1"/>
  <c r="I7289" i="1"/>
  <c r="H7289" i="1"/>
  <c r="I7288" i="1"/>
  <c r="H7288" i="1"/>
  <c r="I7287" i="1"/>
  <c r="H7287" i="1"/>
  <c r="I7286" i="1"/>
  <c r="H7286" i="1"/>
  <c r="I7285" i="1"/>
  <c r="H7285" i="1"/>
  <c r="I7284" i="1"/>
  <c r="H7284" i="1"/>
  <c r="I7283" i="1"/>
  <c r="H7283" i="1"/>
  <c r="I7282" i="1"/>
  <c r="H7282" i="1"/>
  <c r="I7281" i="1"/>
  <c r="H7281" i="1"/>
  <c r="I7280" i="1"/>
  <c r="H7280" i="1"/>
  <c r="I7279" i="1"/>
  <c r="H7279" i="1"/>
  <c r="I7278" i="1"/>
  <c r="H7278" i="1"/>
  <c r="I7277" i="1"/>
  <c r="H7277" i="1"/>
  <c r="I7276" i="1"/>
  <c r="H7276" i="1"/>
  <c r="I7275" i="1"/>
  <c r="H7275" i="1"/>
  <c r="I7274" i="1"/>
  <c r="H7274" i="1"/>
  <c r="I7273" i="1"/>
  <c r="H7273" i="1"/>
  <c r="I7272" i="1"/>
  <c r="H7272" i="1"/>
  <c r="I7271" i="1"/>
  <c r="H7271" i="1"/>
  <c r="I7270" i="1"/>
  <c r="H7270" i="1"/>
  <c r="I7269" i="1"/>
  <c r="H7269" i="1"/>
  <c r="I7268" i="1"/>
  <c r="H7268" i="1"/>
  <c r="I7267" i="1"/>
  <c r="H7267" i="1"/>
  <c r="I7266" i="1"/>
  <c r="H7266" i="1"/>
  <c r="I7265" i="1"/>
  <c r="H7265" i="1"/>
  <c r="I7264" i="1"/>
  <c r="H7264" i="1"/>
  <c r="I7263" i="1"/>
  <c r="H7263" i="1"/>
  <c r="I7262" i="1"/>
  <c r="H7262" i="1"/>
  <c r="I7261" i="1"/>
  <c r="H7261" i="1"/>
  <c r="I7260" i="1"/>
  <c r="H7260" i="1"/>
  <c r="I7259" i="1"/>
  <c r="H7259" i="1"/>
  <c r="I7258" i="1"/>
  <c r="H7258" i="1"/>
  <c r="I7257" i="1"/>
  <c r="H7257" i="1"/>
  <c r="I7256" i="1"/>
  <c r="H7256" i="1"/>
  <c r="I7255" i="1"/>
  <c r="H7255" i="1"/>
  <c r="I7254" i="1"/>
  <c r="H7254" i="1"/>
  <c r="I7253" i="1"/>
  <c r="H7253" i="1"/>
  <c r="I7252" i="1"/>
  <c r="H7252" i="1"/>
  <c r="I7251" i="1"/>
  <c r="H7251" i="1"/>
  <c r="I7250" i="1"/>
  <c r="H7250" i="1"/>
  <c r="I7249" i="1"/>
  <c r="H7249" i="1"/>
  <c r="I7248" i="1"/>
  <c r="H7248" i="1"/>
  <c r="I7247" i="1"/>
  <c r="H7247" i="1"/>
  <c r="I7246" i="1"/>
  <c r="H7246" i="1"/>
  <c r="I7245" i="1"/>
  <c r="H7245" i="1"/>
  <c r="I7244" i="1"/>
  <c r="H7244" i="1"/>
  <c r="I7243" i="1"/>
  <c r="H7243" i="1"/>
  <c r="I7242" i="1"/>
  <c r="H7242" i="1"/>
  <c r="I7241" i="1"/>
  <c r="H7241" i="1"/>
  <c r="I7240" i="1"/>
  <c r="H7240" i="1"/>
  <c r="I7239" i="1"/>
  <c r="H7239" i="1"/>
  <c r="I7238" i="1"/>
  <c r="H7238" i="1"/>
  <c r="I7237" i="1"/>
  <c r="H7237" i="1"/>
  <c r="I7236" i="1"/>
  <c r="H7236" i="1"/>
  <c r="I7235" i="1"/>
  <c r="H7235" i="1"/>
  <c r="I7234" i="1"/>
  <c r="H7234" i="1"/>
  <c r="I7233" i="1"/>
  <c r="H7233" i="1"/>
  <c r="I7232" i="1"/>
  <c r="H7232" i="1"/>
  <c r="I7231" i="1"/>
  <c r="H7231" i="1"/>
  <c r="I7230" i="1"/>
  <c r="H7230" i="1"/>
  <c r="I7229" i="1"/>
  <c r="H7229" i="1"/>
  <c r="I7228" i="1"/>
  <c r="H7228" i="1"/>
  <c r="I7227" i="1"/>
  <c r="H7227" i="1"/>
  <c r="I7226" i="1"/>
  <c r="H7226" i="1"/>
  <c r="I7225" i="1"/>
  <c r="H7225" i="1"/>
  <c r="I7224" i="1"/>
  <c r="H7224" i="1"/>
  <c r="I7223" i="1"/>
  <c r="H7223" i="1"/>
  <c r="I7222" i="1"/>
  <c r="H7222" i="1"/>
  <c r="I7221" i="1"/>
  <c r="H7221" i="1"/>
  <c r="I7220" i="1"/>
  <c r="H7220" i="1"/>
  <c r="I7219" i="1"/>
  <c r="H7219" i="1"/>
  <c r="I7218" i="1"/>
  <c r="H7218" i="1"/>
  <c r="I7217" i="1"/>
  <c r="H7217" i="1"/>
  <c r="I7216" i="1"/>
  <c r="H7216" i="1"/>
  <c r="I7215" i="1"/>
  <c r="H7215" i="1"/>
  <c r="I7214" i="1"/>
  <c r="H7214" i="1"/>
  <c r="I7213" i="1"/>
  <c r="H7213" i="1"/>
  <c r="I7212" i="1"/>
  <c r="H7212" i="1"/>
  <c r="I7211" i="1"/>
  <c r="H7211" i="1"/>
  <c r="I7210" i="1"/>
  <c r="H7210" i="1"/>
  <c r="I7209" i="1"/>
  <c r="H7209" i="1"/>
  <c r="I7208" i="1"/>
  <c r="H7208" i="1"/>
  <c r="I7207" i="1"/>
  <c r="H7207" i="1"/>
  <c r="I7206" i="1"/>
  <c r="H7206" i="1"/>
  <c r="I7205" i="1"/>
  <c r="H7205" i="1"/>
  <c r="I7204" i="1"/>
  <c r="H7204" i="1"/>
  <c r="I7203" i="1"/>
  <c r="H7203" i="1"/>
  <c r="I7202" i="1"/>
  <c r="H7202" i="1"/>
  <c r="I7201" i="1"/>
  <c r="H7201" i="1"/>
  <c r="I7200" i="1"/>
  <c r="H7200" i="1"/>
  <c r="I7199" i="1"/>
  <c r="H7199" i="1"/>
  <c r="I7198" i="1"/>
  <c r="H7198" i="1"/>
  <c r="I7197" i="1"/>
  <c r="H7197" i="1"/>
  <c r="I7196" i="1"/>
  <c r="H7196" i="1"/>
  <c r="I7195" i="1"/>
  <c r="H7195" i="1"/>
  <c r="I7194" i="1"/>
  <c r="H7194" i="1"/>
  <c r="I7193" i="1"/>
  <c r="H7193" i="1"/>
  <c r="I7192" i="1"/>
  <c r="H7192" i="1"/>
  <c r="I7191" i="1"/>
  <c r="H7191" i="1"/>
  <c r="I7190" i="1"/>
  <c r="H7190" i="1"/>
  <c r="I7189" i="1"/>
  <c r="H7189" i="1"/>
  <c r="I7188" i="1"/>
  <c r="H7188" i="1"/>
  <c r="I7187" i="1"/>
  <c r="H7187" i="1"/>
  <c r="I7186" i="1"/>
  <c r="H7186" i="1"/>
  <c r="I7185" i="1"/>
  <c r="H7185" i="1"/>
  <c r="I7184" i="1"/>
  <c r="H7184" i="1"/>
  <c r="I7183" i="1"/>
  <c r="H7183" i="1"/>
  <c r="I7182" i="1"/>
  <c r="H7182" i="1"/>
  <c r="I7181" i="1"/>
  <c r="H7181" i="1"/>
  <c r="I7180" i="1"/>
  <c r="H7180" i="1"/>
  <c r="I7179" i="1"/>
  <c r="H7179" i="1"/>
  <c r="I7178" i="1"/>
  <c r="H7178" i="1"/>
  <c r="I7177" i="1"/>
  <c r="H7177" i="1"/>
  <c r="I7176" i="1"/>
  <c r="H7176" i="1"/>
  <c r="I7175" i="1"/>
  <c r="H7175" i="1"/>
  <c r="I7174" i="1"/>
  <c r="H7174" i="1"/>
  <c r="I7173" i="1"/>
  <c r="H7173" i="1"/>
  <c r="I7172" i="1"/>
  <c r="H7172" i="1"/>
  <c r="I7171" i="1"/>
  <c r="H7171" i="1"/>
  <c r="I7170" i="1"/>
  <c r="H7170" i="1"/>
  <c r="I7169" i="1"/>
  <c r="H7169" i="1"/>
  <c r="I7168" i="1"/>
  <c r="H7168" i="1"/>
  <c r="I7167" i="1"/>
  <c r="H7167" i="1"/>
  <c r="I7166" i="1"/>
  <c r="H7166" i="1"/>
  <c r="I7165" i="1"/>
  <c r="H7165" i="1"/>
  <c r="I7164" i="1"/>
  <c r="H7164" i="1"/>
  <c r="I7163" i="1"/>
  <c r="H7163" i="1"/>
  <c r="I7162" i="1"/>
  <c r="H7162" i="1"/>
  <c r="I7161" i="1"/>
  <c r="H7161" i="1"/>
  <c r="I7160" i="1"/>
  <c r="H7160" i="1"/>
  <c r="I7159" i="1"/>
  <c r="H7159" i="1"/>
  <c r="I7158" i="1"/>
  <c r="H7158" i="1"/>
  <c r="I7157" i="1"/>
  <c r="H7157" i="1"/>
  <c r="I7156" i="1"/>
  <c r="H7156" i="1"/>
  <c r="I7155" i="1"/>
  <c r="H7155" i="1"/>
  <c r="I7154" i="1"/>
  <c r="H7154" i="1"/>
  <c r="I7153" i="1"/>
  <c r="H7153" i="1"/>
  <c r="I7152" i="1"/>
  <c r="H7152" i="1"/>
  <c r="I7151" i="1"/>
  <c r="H7151" i="1"/>
  <c r="I7150" i="1"/>
  <c r="H7150" i="1"/>
  <c r="I7149" i="1"/>
  <c r="H7149" i="1"/>
  <c r="I7148" i="1"/>
  <c r="H7148" i="1"/>
  <c r="I7147" i="1"/>
  <c r="H7147" i="1"/>
  <c r="I7146" i="1"/>
  <c r="H7146" i="1"/>
  <c r="I7145" i="1"/>
  <c r="H7145" i="1"/>
  <c r="I7144" i="1"/>
  <c r="H7144" i="1"/>
  <c r="I7143" i="1"/>
  <c r="H7143" i="1"/>
  <c r="I7142" i="1"/>
  <c r="H7142" i="1"/>
  <c r="I7141" i="1"/>
  <c r="H7141" i="1"/>
  <c r="I7140" i="1"/>
  <c r="H7140" i="1"/>
  <c r="I7139" i="1"/>
  <c r="H7139" i="1"/>
  <c r="I7138" i="1"/>
  <c r="H7138" i="1"/>
  <c r="I7137" i="1"/>
  <c r="H7137" i="1"/>
  <c r="I7136" i="1"/>
  <c r="H7136" i="1"/>
  <c r="I7135" i="1"/>
  <c r="H7135" i="1"/>
  <c r="I7134" i="1"/>
  <c r="H7134" i="1"/>
  <c r="I7133" i="1"/>
  <c r="H7133" i="1"/>
  <c r="I7132" i="1"/>
  <c r="H7132" i="1"/>
  <c r="I7131" i="1"/>
  <c r="H7131" i="1"/>
  <c r="I7130" i="1"/>
  <c r="H7130" i="1"/>
  <c r="I7129" i="1"/>
  <c r="H7129" i="1"/>
  <c r="I7128" i="1"/>
  <c r="H7128" i="1"/>
  <c r="I7127" i="1"/>
  <c r="H7127" i="1"/>
  <c r="I7126" i="1"/>
  <c r="H7126" i="1"/>
  <c r="I7125" i="1"/>
  <c r="H7125" i="1"/>
  <c r="I7124" i="1"/>
  <c r="H7124" i="1"/>
  <c r="I7123" i="1"/>
  <c r="H7123" i="1"/>
  <c r="I7122" i="1"/>
  <c r="H7122" i="1"/>
  <c r="I7121" i="1"/>
  <c r="H7121" i="1"/>
  <c r="I7120" i="1"/>
  <c r="H7120" i="1"/>
  <c r="I7119" i="1"/>
  <c r="H7119" i="1"/>
  <c r="I7118" i="1"/>
  <c r="H7118" i="1"/>
  <c r="I7117" i="1"/>
  <c r="H7117" i="1"/>
  <c r="I7116" i="1"/>
  <c r="H7116" i="1"/>
  <c r="I7115" i="1"/>
  <c r="H7115" i="1"/>
  <c r="I7114" i="1"/>
  <c r="H7114" i="1"/>
  <c r="I7113" i="1"/>
  <c r="H7113" i="1"/>
  <c r="I7112" i="1"/>
  <c r="H7112" i="1"/>
  <c r="I7111" i="1"/>
  <c r="H7111" i="1"/>
  <c r="I7110" i="1"/>
  <c r="H7110" i="1"/>
  <c r="I7109" i="1"/>
  <c r="H7109" i="1"/>
  <c r="I7108" i="1"/>
  <c r="H7108" i="1"/>
  <c r="I7107" i="1"/>
  <c r="H7107" i="1"/>
  <c r="I7106" i="1"/>
  <c r="H7106" i="1"/>
  <c r="I7105" i="1"/>
  <c r="H7105" i="1"/>
  <c r="I7104" i="1"/>
  <c r="H7104" i="1"/>
  <c r="I7103" i="1"/>
  <c r="H7103" i="1"/>
  <c r="I7102" i="1"/>
  <c r="H7102" i="1"/>
  <c r="I7101" i="1"/>
  <c r="H7101" i="1"/>
  <c r="I7100" i="1"/>
  <c r="H7100" i="1"/>
  <c r="I7099" i="1"/>
  <c r="H7099" i="1"/>
  <c r="I7098" i="1"/>
  <c r="H7098" i="1"/>
  <c r="I7097" i="1"/>
  <c r="H7097" i="1"/>
  <c r="I7096" i="1"/>
  <c r="H7096" i="1"/>
  <c r="I7095" i="1"/>
  <c r="H7095" i="1"/>
  <c r="I7094" i="1"/>
  <c r="H7094" i="1"/>
  <c r="I7093" i="1"/>
  <c r="H7093" i="1"/>
  <c r="I7092" i="1"/>
  <c r="H7092" i="1"/>
  <c r="I7091" i="1"/>
  <c r="H7091" i="1"/>
  <c r="I7090" i="1"/>
  <c r="H7090" i="1"/>
  <c r="I7089" i="1"/>
  <c r="H7089" i="1"/>
  <c r="I7088" i="1"/>
  <c r="H7088" i="1"/>
  <c r="I7087" i="1"/>
  <c r="H7087" i="1"/>
  <c r="I7086" i="1"/>
  <c r="H7086" i="1"/>
  <c r="I7085" i="1"/>
  <c r="H7085" i="1"/>
  <c r="I7084" i="1"/>
  <c r="H7084" i="1"/>
  <c r="I7083" i="1"/>
  <c r="H7083" i="1"/>
  <c r="I7082" i="1"/>
  <c r="H7082" i="1"/>
  <c r="I7081" i="1"/>
  <c r="H7081" i="1"/>
  <c r="I7080" i="1"/>
  <c r="H7080" i="1"/>
  <c r="I7079" i="1"/>
  <c r="H7079" i="1"/>
  <c r="I7078" i="1"/>
  <c r="H7078" i="1"/>
  <c r="I7077" i="1"/>
  <c r="H7077" i="1"/>
  <c r="I7076" i="1"/>
  <c r="H7076" i="1"/>
  <c r="I7075" i="1"/>
  <c r="H7075" i="1"/>
  <c r="I7074" i="1"/>
  <c r="H7074" i="1"/>
  <c r="I7073" i="1"/>
  <c r="H7073" i="1"/>
  <c r="I7072" i="1"/>
  <c r="H7072" i="1"/>
  <c r="I7071" i="1"/>
  <c r="H7071" i="1"/>
  <c r="I7070" i="1"/>
  <c r="H7070" i="1"/>
  <c r="I7069" i="1"/>
  <c r="H7069" i="1"/>
  <c r="I7068" i="1"/>
  <c r="H7068" i="1"/>
  <c r="I7067" i="1"/>
  <c r="H7067" i="1"/>
  <c r="I7066" i="1"/>
  <c r="H7066" i="1"/>
  <c r="I7065" i="1"/>
  <c r="H7065" i="1"/>
  <c r="I7064" i="1"/>
  <c r="H7064" i="1"/>
  <c r="I7063" i="1"/>
  <c r="H7063" i="1"/>
  <c r="I7062" i="1"/>
  <c r="H7062" i="1"/>
  <c r="I7061" i="1"/>
  <c r="H7061" i="1"/>
  <c r="I7060" i="1"/>
  <c r="H7060" i="1"/>
  <c r="I7059" i="1"/>
  <c r="H7059" i="1"/>
  <c r="I7058" i="1"/>
  <c r="H7058" i="1"/>
  <c r="I7057" i="1"/>
  <c r="H7057" i="1"/>
  <c r="I7056" i="1"/>
  <c r="H7056" i="1"/>
  <c r="I7055" i="1"/>
  <c r="H7055" i="1"/>
  <c r="I7054" i="1"/>
  <c r="H7054" i="1"/>
  <c r="I7053" i="1"/>
  <c r="H7053" i="1"/>
  <c r="I7052" i="1"/>
  <c r="H7052" i="1"/>
  <c r="I7051" i="1"/>
  <c r="H7051" i="1"/>
  <c r="I7050" i="1"/>
  <c r="H7050" i="1"/>
  <c r="I7049" i="1"/>
  <c r="H7049" i="1"/>
  <c r="I7048" i="1"/>
  <c r="H7048" i="1"/>
  <c r="I7047" i="1"/>
  <c r="H7047" i="1"/>
  <c r="I7046" i="1"/>
  <c r="H7046" i="1"/>
  <c r="I7045" i="1"/>
  <c r="H7045" i="1"/>
  <c r="I7044" i="1"/>
  <c r="H7044" i="1"/>
  <c r="I7043" i="1"/>
  <c r="H7043" i="1"/>
  <c r="I7042" i="1"/>
  <c r="H7042" i="1"/>
  <c r="I7041" i="1"/>
  <c r="H7041" i="1"/>
  <c r="I7040" i="1"/>
  <c r="H7040" i="1"/>
  <c r="I7039" i="1"/>
  <c r="H7039" i="1"/>
  <c r="I7038" i="1"/>
  <c r="H7038" i="1"/>
  <c r="I7037" i="1"/>
  <c r="H7037" i="1"/>
  <c r="I7036" i="1"/>
  <c r="H7036" i="1"/>
  <c r="I7035" i="1"/>
  <c r="H7035" i="1"/>
  <c r="I7034" i="1"/>
  <c r="H7034" i="1"/>
  <c r="I7033" i="1"/>
  <c r="H7033" i="1"/>
  <c r="I7032" i="1"/>
  <c r="H7032" i="1"/>
  <c r="I7031" i="1"/>
  <c r="H7031" i="1"/>
  <c r="I7030" i="1"/>
  <c r="H7030" i="1"/>
  <c r="I7029" i="1"/>
  <c r="H7029" i="1"/>
  <c r="I7028" i="1"/>
  <c r="H7028" i="1"/>
  <c r="I7027" i="1"/>
  <c r="H7027" i="1"/>
  <c r="I7026" i="1"/>
  <c r="H7026" i="1"/>
  <c r="I7025" i="1"/>
  <c r="H7025" i="1"/>
  <c r="I7024" i="1"/>
  <c r="H7024" i="1"/>
  <c r="I7023" i="1"/>
  <c r="H7023" i="1"/>
  <c r="I7022" i="1"/>
  <c r="H7022" i="1"/>
  <c r="I7021" i="1"/>
  <c r="H7021" i="1"/>
  <c r="I7020" i="1"/>
  <c r="H7020" i="1"/>
  <c r="I7019" i="1"/>
  <c r="H7019" i="1"/>
  <c r="I7018" i="1"/>
  <c r="H7018" i="1"/>
  <c r="I7017" i="1"/>
  <c r="H7017" i="1"/>
  <c r="I7016" i="1"/>
  <c r="H7016" i="1"/>
  <c r="I7015" i="1"/>
  <c r="H7015" i="1"/>
  <c r="I7014" i="1"/>
  <c r="H7014" i="1"/>
  <c r="I7013" i="1"/>
  <c r="H7013" i="1"/>
  <c r="I7012" i="1"/>
  <c r="H7012" i="1"/>
  <c r="I7011" i="1"/>
  <c r="H7011" i="1"/>
  <c r="I7010" i="1"/>
  <c r="H7010" i="1"/>
  <c r="I7009" i="1"/>
  <c r="H7009" i="1"/>
  <c r="I7008" i="1"/>
  <c r="H7008" i="1"/>
  <c r="I7007" i="1"/>
  <c r="H7007" i="1"/>
  <c r="I7006" i="1"/>
  <c r="H7006" i="1"/>
  <c r="I7005" i="1"/>
  <c r="H7005" i="1"/>
  <c r="I7004" i="1"/>
  <c r="H7004" i="1"/>
  <c r="I7003" i="1"/>
  <c r="H7003" i="1"/>
  <c r="I7002" i="1"/>
  <c r="H7002" i="1"/>
  <c r="I7001" i="1"/>
  <c r="H7001" i="1"/>
  <c r="I7000" i="1"/>
  <c r="H7000" i="1"/>
  <c r="I6999" i="1"/>
  <c r="H6999" i="1"/>
  <c r="I6998" i="1"/>
  <c r="H6998" i="1"/>
  <c r="I6997" i="1"/>
  <c r="H6997" i="1"/>
  <c r="I6996" i="1"/>
  <c r="H6996" i="1"/>
  <c r="I6995" i="1"/>
  <c r="H6995" i="1"/>
  <c r="I6994" i="1"/>
  <c r="H6994" i="1"/>
  <c r="I6993" i="1"/>
  <c r="H6993" i="1"/>
  <c r="I6992" i="1"/>
  <c r="H6992" i="1"/>
  <c r="I6991" i="1"/>
  <c r="H6991" i="1"/>
  <c r="I6990" i="1"/>
  <c r="H6990" i="1"/>
  <c r="I6989" i="1"/>
  <c r="H6989" i="1"/>
  <c r="I6988" i="1"/>
  <c r="H6988" i="1"/>
  <c r="I6987" i="1"/>
  <c r="H6987" i="1"/>
  <c r="I6986" i="1"/>
  <c r="H6986" i="1"/>
  <c r="I6985" i="1"/>
  <c r="H6985" i="1"/>
  <c r="I6984" i="1"/>
  <c r="H6984" i="1"/>
  <c r="I6983" i="1"/>
  <c r="H6983" i="1"/>
  <c r="I6982" i="1"/>
  <c r="H6982" i="1"/>
  <c r="I6981" i="1"/>
  <c r="H6981" i="1"/>
  <c r="I6980" i="1"/>
  <c r="H6980" i="1"/>
  <c r="I6979" i="1"/>
  <c r="H6979" i="1"/>
  <c r="I6978" i="1"/>
  <c r="H6978" i="1"/>
  <c r="I6977" i="1"/>
  <c r="H6977" i="1"/>
  <c r="I6976" i="1"/>
  <c r="H6976" i="1"/>
  <c r="I6975" i="1"/>
  <c r="H6975" i="1"/>
  <c r="I6974" i="1"/>
  <c r="H6974" i="1"/>
  <c r="I6973" i="1"/>
  <c r="H6973" i="1"/>
  <c r="I6972" i="1"/>
  <c r="H6972" i="1"/>
  <c r="I6971" i="1"/>
  <c r="H6971" i="1"/>
  <c r="I6970" i="1"/>
  <c r="H6970" i="1"/>
  <c r="I6969" i="1"/>
  <c r="H6969" i="1"/>
  <c r="I6968" i="1"/>
  <c r="H6968" i="1"/>
  <c r="I6967" i="1"/>
  <c r="H6967" i="1"/>
  <c r="I6966" i="1"/>
  <c r="H6966" i="1"/>
  <c r="I6965" i="1"/>
  <c r="H6965" i="1"/>
  <c r="I6964" i="1"/>
  <c r="H6964" i="1"/>
  <c r="I6963" i="1"/>
  <c r="H6963" i="1"/>
  <c r="I6962" i="1"/>
  <c r="H6962" i="1"/>
  <c r="I6961" i="1"/>
  <c r="H6961" i="1"/>
  <c r="I6960" i="1"/>
  <c r="H6960" i="1"/>
  <c r="I6959" i="1"/>
  <c r="H6959" i="1"/>
  <c r="I6958" i="1"/>
  <c r="H6958" i="1"/>
  <c r="I6957" i="1"/>
  <c r="H6957" i="1"/>
  <c r="I6956" i="1"/>
  <c r="H6956" i="1"/>
  <c r="I6955" i="1"/>
  <c r="H6955" i="1"/>
  <c r="I6954" i="1"/>
  <c r="H6954" i="1"/>
  <c r="I6953" i="1"/>
  <c r="H6953" i="1"/>
  <c r="I6952" i="1"/>
  <c r="H6952" i="1"/>
  <c r="I6951" i="1"/>
  <c r="H6951" i="1"/>
  <c r="I6950" i="1"/>
  <c r="H6950" i="1"/>
  <c r="I6949" i="1"/>
  <c r="H6949" i="1"/>
  <c r="I6948" i="1"/>
  <c r="H6948" i="1"/>
  <c r="I6947" i="1"/>
  <c r="H6947" i="1"/>
  <c r="I6946" i="1"/>
  <c r="H6946" i="1"/>
  <c r="I6945" i="1"/>
  <c r="H6945" i="1"/>
  <c r="I6944" i="1"/>
  <c r="H6944" i="1"/>
  <c r="I6943" i="1"/>
  <c r="H6943" i="1"/>
  <c r="I6942" i="1"/>
  <c r="H6942" i="1"/>
  <c r="I6941" i="1"/>
  <c r="H6941" i="1"/>
  <c r="I6940" i="1"/>
  <c r="H6940" i="1"/>
  <c r="I6939" i="1"/>
  <c r="H6939" i="1"/>
  <c r="I6938" i="1"/>
  <c r="H6938" i="1"/>
  <c r="I6937" i="1"/>
  <c r="H6937" i="1"/>
  <c r="I6936" i="1"/>
  <c r="H6936" i="1"/>
  <c r="I6935" i="1"/>
  <c r="H6935" i="1"/>
  <c r="I6934" i="1"/>
  <c r="H6934" i="1"/>
  <c r="I6933" i="1"/>
  <c r="H6933" i="1"/>
  <c r="I6932" i="1"/>
  <c r="H6932" i="1"/>
  <c r="I6931" i="1"/>
  <c r="H6931" i="1"/>
  <c r="I6930" i="1"/>
  <c r="H6930" i="1"/>
  <c r="I6929" i="1"/>
  <c r="H6929" i="1"/>
  <c r="I6928" i="1"/>
  <c r="H6928" i="1"/>
  <c r="I6927" i="1"/>
  <c r="H6927" i="1"/>
  <c r="I6926" i="1"/>
  <c r="H6926" i="1"/>
  <c r="I6925" i="1"/>
  <c r="H6925" i="1"/>
  <c r="I6924" i="1"/>
  <c r="H6924" i="1"/>
  <c r="I6923" i="1"/>
  <c r="H6923" i="1"/>
  <c r="I6922" i="1"/>
  <c r="H6922" i="1"/>
  <c r="I6921" i="1"/>
  <c r="H6921" i="1"/>
  <c r="I6920" i="1"/>
  <c r="H6920" i="1"/>
  <c r="I6919" i="1"/>
  <c r="H6919" i="1"/>
  <c r="I6918" i="1"/>
  <c r="H6918" i="1"/>
  <c r="I6917" i="1"/>
  <c r="H6917" i="1"/>
  <c r="I6916" i="1"/>
  <c r="H6916" i="1"/>
  <c r="I6915" i="1"/>
  <c r="H6915" i="1"/>
  <c r="I6914" i="1"/>
  <c r="H6914" i="1"/>
  <c r="I6913" i="1"/>
  <c r="H6913" i="1"/>
  <c r="I6912" i="1"/>
  <c r="H6912" i="1"/>
  <c r="I6911" i="1"/>
  <c r="H6911" i="1"/>
  <c r="I6910" i="1"/>
  <c r="H6910" i="1"/>
  <c r="I6909" i="1"/>
  <c r="H6909" i="1"/>
  <c r="I6908" i="1"/>
  <c r="H6908" i="1"/>
  <c r="I6907" i="1"/>
  <c r="H6907" i="1"/>
  <c r="I6906" i="1"/>
  <c r="H6906" i="1"/>
  <c r="I6905" i="1"/>
  <c r="H6905" i="1"/>
  <c r="I6904" i="1"/>
  <c r="H6904" i="1"/>
  <c r="I6903" i="1"/>
  <c r="H6903" i="1"/>
  <c r="I6902" i="1"/>
  <c r="H6902" i="1"/>
  <c r="I6901" i="1"/>
  <c r="H6901" i="1"/>
  <c r="I6900" i="1"/>
  <c r="H6900" i="1"/>
  <c r="I6899" i="1"/>
  <c r="H6899" i="1"/>
  <c r="I6898" i="1"/>
  <c r="H6898" i="1"/>
  <c r="I6897" i="1"/>
  <c r="H6897" i="1"/>
  <c r="I6896" i="1"/>
  <c r="H6896" i="1"/>
  <c r="I6895" i="1"/>
  <c r="H6895" i="1"/>
  <c r="I6894" i="1"/>
  <c r="H6894" i="1"/>
  <c r="I6893" i="1"/>
  <c r="H6893" i="1"/>
  <c r="I6892" i="1"/>
  <c r="H6892" i="1"/>
  <c r="I6891" i="1"/>
  <c r="H6891" i="1"/>
  <c r="I6890" i="1"/>
  <c r="H6890" i="1"/>
  <c r="I6889" i="1"/>
  <c r="H6889" i="1"/>
  <c r="I6888" i="1"/>
  <c r="H6888" i="1"/>
  <c r="I6887" i="1"/>
  <c r="H6887" i="1"/>
  <c r="I6886" i="1"/>
  <c r="H6886" i="1"/>
  <c r="I6885" i="1"/>
  <c r="H6885" i="1"/>
  <c r="I6884" i="1"/>
  <c r="H6884" i="1"/>
  <c r="I6883" i="1"/>
  <c r="H6883" i="1"/>
  <c r="I6882" i="1"/>
  <c r="H6882" i="1"/>
  <c r="I6881" i="1"/>
  <c r="H6881" i="1"/>
  <c r="I6880" i="1"/>
  <c r="H6880" i="1"/>
  <c r="I6879" i="1"/>
  <c r="H6879" i="1"/>
  <c r="I6878" i="1"/>
  <c r="H6878" i="1"/>
  <c r="I6877" i="1"/>
  <c r="H6877" i="1"/>
  <c r="I6876" i="1"/>
  <c r="H6876" i="1"/>
  <c r="I6875" i="1"/>
  <c r="H6875" i="1"/>
  <c r="I6874" i="1"/>
  <c r="H6874" i="1"/>
  <c r="I6873" i="1"/>
  <c r="H6873" i="1"/>
  <c r="I6872" i="1"/>
  <c r="H6872" i="1"/>
  <c r="I6871" i="1"/>
  <c r="H6871" i="1"/>
  <c r="I6870" i="1"/>
  <c r="H6870" i="1"/>
  <c r="I6869" i="1"/>
  <c r="H6869" i="1"/>
  <c r="I6868" i="1"/>
  <c r="H6868" i="1"/>
  <c r="I6867" i="1"/>
  <c r="H6867" i="1"/>
  <c r="I6866" i="1"/>
  <c r="H6866" i="1"/>
  <c r="I6865" i="1"/>
  <c r="H6865" i="1"/>
  <c r="I6864" i="1"/>
  <c r="H6864" i="1"/>
  <c r="I6863" i="1"/>
  <c r="H6863" i="1"/>
  <c r="I6862" i="1"/>
  <c r="H6862" i="1"/>
  <c r="I6861" i="1"/>
  <c r="H6861" i="1"/>
  <c r="I6860" i="1"/>
  <c r="H6860" i="1"/>
  <c r="I6859" i="1"/>
  <c r="H6859" i="1"/>
  <c r="I6858" i="1"/>
  <c r="H6858" i="1"/>
  <c r="I6857" i="1"/>
  <c r="H6857" i="1"/>
  <c r="I6856" i="1"/>
  <c r="H6856" i="1"/>
  <c r="I6855" i="1"/>
  <c r="H6855" i="1"/>
  <c r="I6854" i="1"/>
  <c r="H6854" i="1"/>
  <c r="I6853" i="1"/>
  <c r="H6853" i="1"/>
  <c r="I6852" i="1"/>
  <c r="H6852" i="1"/>
  <c r="I6851" i="1"/>
  <c r="H6851" i="1"/>
  <c r="I6850" i="1"/>
  <c r="H6850" i="1"/>
  <c r="I6849" i="1"/>
  <c r="H6849" i="1"/>
  <c r="I6848" i="1"/>
  <c r="H6848" i="1"/>
  <c r="I6847" i="1"/>
  <c r="H6847" i="1"/>
  <c r="I6846" i="1"/>
  <c r="H6846" i="1"/>
  <c r="I6845" i="1"/>
  <c r="H6845" i="1"/>
  <c r="I6844" i="1"/>
  <c r="H6844" i="1"/>
  <c r="I6843" i="1"/>
  <c r="H6843" i="1"/>
  <c r="I6842" i="1"/>
  <c r="H6842" i="1"/>
  <c r="I6841" i="1"/>
  <c r="H6841" i="1"/>
  <c r="I6840" i="1"/>
  <c r="H6840" i="1"/>
  <c r="I6839" i="1"/>
  <c r="H6839" i="1"/>
  <c r="I6838" i="1"/>
  <c r="H6838" i="1"/>
  <c r="I6837" i="1"/>
  <c r="H6837" i="1"/>
  <c r="I6836" i="1"/>
  <c r="H6836" i="1"/>
  <c r="I6835" i="1"/>
  <c r="H6835" i="1"/>
  <c r="I6834" i="1"/>
  <c r="H6834" i="1"/>
  <c r="I6833" i="1"/>
  <c r="H6833" i="1"/>
  <c r="I6832" i="1"/>
  <c r="H6832" i="1"/>
  <c r="I6831" i="1"/>
  <c r="H6831" i="1"/>
  <c r="I6830" i="1"/>
  <c r="H6830" i="1"/>
  <c r="I6829" i="1"/>
  <c r="H6829" i="1"/>
  <c r="I6828" i="1"/>
  <c r="H6828" i="1"/>
  <c r="I6827" i="1"/>
  <c r="H6827" i="1"/>
  <c r="I6826" i="1"/>
  <c r="H6826" i="1"/>
  <c r="I6825" i="1"/>
  <c r="H6825" i="1"/>
  <c r="I6824" i="1"/>
  <c r="H6824" i="1"/>
  <c r="I6823" i="1"/>
  <c r="H6823" i="1"/>
  <c r="I6822" i="1"/>
  <c r="H6822" i="1"/>
  <c r="I6821" i="1"/>
  <c r="H6821" i="1"/>
  <c r="I6820" i="1"/>
  <c r="H6820" i="1"/>
  <c r="I6819" i="1"/>
  <c r="H6819" i="1"/>
  <c r="I6818" i="1"/>
  <c r="H6818" i="1"/>
  <c r="I6817" i="1"/>
  <c r="H6817" i="1"/>
  <c r="I6816" i="1"/>
  <c r="H6816" i="1"/>
  <c r="I6815" i="1"/>
  <c r="H6815" i="1"/>
  <c r="I6814" i="1"/>
  <c r="H6814" i="1"/>
  <c r="I6813" i="1"/>
  <c r="H6813" i="1"/>
  <c r="I6812" i="1"/>
  <c r="H6812" i="1"/>
  <c r="I6811" i="1"/>
  <c r="H6811" i="1"/>
  <c r="I6810" i="1"/>
  <c r="H6810" i="1"/>
  <c r="I6809" i="1"/>
  <c r="H6809" i="1"/>
  <c r="I6808" i="1"/>
  <c r="H6808" i="1"/>
  <c r="I6807" i="1"/>
  <c r="H6807" i="1"/>
  <c r="I6806" i="1"/>
  <c r="H6806" i="1"/>
  <c r="I6805" i="1"/>
  <c r="H6805" i="1"/>
  <c r="I6804" i="1"/>
  <c r="H6804" i="1"/>
  <c r="I6803" i="1"/>
  <c r="H6803" i="1"/>
  <c r="I6802" i="1"/>
  <c r="H6802" i="1"/>
  <c r="I6801" i="1"/>
  <c r="H6801" i="1"/>
  <c r="I6800" i="1"/>
  <c r="H6800" i="1"/>
  <c r="I6799" i="1"/>
  <c r="H6799" i="1"/>
  <c r="I6798" i="1"/>
  <c r="H6798" i="1"/>
  <c r="I6797" i="1"/>
  <c r="H6797" i="1"/>
  <c r="I6796" i="1"/>
  <c r="H6796" i="1"/>
  <c r="I6795" i="1"/>
  <c r="H6795" i="1"/>
  <c r="I6794" i="1"/>
  <c r="H6794" i="1"/>
  <c r="I6793" i="1"/>
  <c r="H6793" i="1"/>
  <c r="I6792" i="1"/>
  <c r="H6792" i="1"/>
  <c r="I6791" i="1"/>
  <c r="H6791" i="1"/>
  <c r="I6790" i="1"/>
  <c r="H6790" i="1"/>
  <c r="I6789" i="1"/>
  <c r="H6789" i="1"/>
  <c r="I6788" i="1"/>
  <c r="H6788" i="1"/>
  <c r="I6787" i="1"/>
  <c r="H6787" i="1"/>
  <c r="I6786" i="1"/>
  <c r="H6786" i="1"/>
  <c r="I6785" i="1"/>
  <c r="H6785" i="1"/>
  <c r="I6784" i="1"/>
  <c r="H6784" i="1"/>
  <c r="I6783" i="1"/>
  <c r="H6783" i="1"/>
  <c r="I6782" i="1"/>
  <c r="H6782" i="1"/>
  <c r="I6781" i="1"/>
  <c r="H6781" i="1"/>
  <c r="I6780" i="1"/>
  <c r="H6780" i="1"/>
  <c r="I6779" i="1"/>
  <c r="H6779" i="1"/>
  <c r="I6778" i="1"/>
  <c r="H6778" i="1"/>
  <c r="I6777" i="1"/>
  <c r="H6777" i="1"/>
  <c r="I6776" i="1"/>
  <c r="H6776" i="1"/>
  <c r="I6775" i="1"/>
  <c r="H6775" i="1"/>
  <c r="I6774" i="1"/>
  <c r="H6774" i="1"/>
  <c r="I6773" i="1"/>
  <c r="H6773" i="1"/>
  <c r="I6772" i="1"/>
  <c r="H6772" i="1"/>
  <c r="I6771" i="1"/>
  <c r="H6771" i="1"/>
  <c r="I6770" i="1"/>
  <c r="H6770" i="1"/>
  <c r="I6769" i="1"/>
  <c r="H6769" i="1"/>
  <c r="I6768" i="1"/>
  <c r="H6768" i="1"/>
  <c r="I6767" i="1"/>
  <c r="H6767" i="1"/>
  <c r="I6766" i="1"/>
  <c r="H6766" i="1"/>
  <c r="I6765" i="1"/>
  <c r="H6765" i="1"/>
  <c r="I6764" i="1"/>
  <c r="H6764" i="1"/>
  <c r="I6763" i="1"/>
  <c r="H6763" i="1"/>
  <c r="I6762" i="1"/>
  <c r="H6762" i="1"/>
  <c r="I6761" i="1"/>
  <c r="H6761" i="1"/>
  <c r="I6760" i="1"/>
  <c r="H6760" i="1"/>
  <c r="I6759" i="1"/>
  <c r="H6759" i="1"/>
  <c r="I6758" i="1"/>
  <c r="H6758" i="1"/>
  <c r="I6757" i="1"/>
  <c r="H6757" i="1"/>
  <c r="I6756" i="1"/>
  <c r="H6756" i="1"/>
  <c r="I6755" i="1"/>
  <c r="H6755" i="1"/>
  <c r="I6754" i="1"/>
  <c r="H6754" i="1"/>
  <c r="I6753" i="1"/>
  <c r="H6753" i="1"/>
  <c r="I6752" i="1"/>
  <c r="H6752" i="1"/>
  <c r="I6751" i="1"/>
  <c r="H6751" i="1"/>
  <c r="I6750" i="1"/>
  <c r="H6750" i="1"/>
  <c r="I6749" i="1"/>
  <c r="H6749" i="1"/>
  <c r="I6748" i="1"/>
  <c r="H6748" i="1"/>
  <c r="I6747" i="1"/>
  <c r="H6747" i="1"/>
  <c r="I6746" i="1"/>
  <c r="H6746" i="1"/>
  <c r="I6745" i="1"/>
  <c r="H6745" i="1"/>
  <c r="I6744" i="1"/>
  <c r="H6744" i="1"/>
  <c r="I6743" i="1"/>
  <c r="H6743" i="1"/>
  <c r="I6742" i="1"/>
  <c r="H6742" i="1"/>
  <c r="I6741" i="1"/>
  <c r="H6741" i="1"/>
  <c r="I6740" i="1"/>
  <c r="H6740" i="1"/>
  <c r="I6739" i="1"/>
  <c r="H6739" i="1"/>
  <c r="I6738" i="1"/>
  <c r="H6738" i="1"/>
  <c r="I6737" i="1"/>
  <c r="H6737" i="1"/>
  <c r="I6736" i="1"/>
  <c r="H6736" i="1"/>
  <c r="I6735" i="1"/>
  <c r="H6735" i="1"/>
  <c r="I6734" i="1"/>
  <c r="H6734" i="1"/>
  <c r="I6733" i="1"/>
  <c r="H6733" i="1"/>
  <c r="I6732" i="1"/>
  <c r="H6732" i="1"/>
  <c r="I6731" i="1"/>
  <c r="H6731" i="1"/>
  <c r="I6730" i="1"/>
  <c r="H6730" i="1"/>
  <c r="I6729" i="1"/>
  <c r="H6729" i="1"/>
  <c r="I6728" i="1"/>
  <c r="H6728" i="1"/>
  <c r="I6727" i="1"/>
  <c r="H6727" i="1"/>
  <c r="I6726" i="1"/>
  <c r="H6726" i="1"/>
  <c r="I6725" i="1"/>
  <c r="H6725" i="1"/>
  <c r="I6724" i="1"/>
  <c r="H6724" i="1"/>
  <c r="I6723" i="1"/>
  <c r="H6723" i="1"/>
  <c r="I6722" i="1"/>
  <c r="H6722" i="1"/>
  <c r="I6721" i="1"/>
  <c r="H6721" i="1"/>
  <c r="I6720" i="1"/>
  <c r="H6720" i="1"/>
  <c r="I6719" i="1"/>
  <c r="H6719" i="1"/>
  <c r="I6718" i="1"/>
  <c r="H6718" i="1"/>
  <c r="I6717" i="1"/>
  <c r="H6717" i="1"/>
  <c r="I6716" i="1"/>
  <c r="H6716" i="1"/>
  <c r="I6715" i="1"/>
  <c r="H6715" i="1"/>
  <c r="I6714" i="1"/>
  <c r="H6714" i="1"/>
  <c r="I6713" i="1"/>
  <c r="H6713" i="1"/>
  <c r="I6712" i="1"/>
  <c r="H6712" i="1"/>
  <c r="I6711" i="1"/>
  <c r="H6711" i="1"/>
  <c r="I6710" i="1"/>
  <c r="H6710" i="1"/>
  <c r="I6709" i="1"/>
  <c r="H6709" i="1"/>
  <c r="I6708" i="1"/>
  <c r="H6708" i="1"/>
  <c r="I6707" i="1"/>
  <c r="H6707" i="1"/>
  <c r="I6706" i="1"/>
  <c r="H6706" i="1"/>
  <c r="I6705" i="1"/>
  <c r="H6705" i="1"/>
  <c r="I6704" i="1"/>
  <c r="H6704" i="1"/>
  <c r="I6703" i="1"/>
  <c r="H6703" i="1"/>
  <c r="I6702" i="1"/>
  <c r="H6702" i="1"/>
  <c r="I6701" i="1"/>
  <c r="H6701" i="1"/>
  <c r="I6700" i="1"/>
  <c r="H6700" i="1"/>
  <c r="I6699" i="1"/>
  <c r="H6699" i="1"/>
  <c r="I6698" i="1"/>
  <c r="H6698" i="1"/>
  <c r="I6697" i="1"/>
  <c r="H6697" i="1"/>
  <c r="I6696" i="1"/>
  <c r="H6696" i="1"/>
  <c r="I6695" i="1"/>
  <c r="H6695" i="1"/>
  <c r="I6694" i="1"/>
  <c r="H6694" i="1"/>
  <c r="I6693" i="1"/>
  <c r="H6693" i="1"/>
  <c r="I6692" i="1"/>
  <c r="H6692" i="1"/>
  <c r="I6691" i="1"/>
  <c r="H6691" i="1"/>
  <c r="I6690" i="1"/>
  <c r="H6690" i="1"/>
  <c r="I6689" i="1"/>
  <c r="H6689" i="1"/>
  <c r="I6688" i="1"/>
  <c r="H6688" i="1"/>
  <c r="I6687" i="1"/>
  <c r="H6687" i="1"/>
  <c r="I6686" i="1"/>
  <c r="H6686" i="1"/>
  <c r="I6685" i="1"/>
  <c r="H6685" i="1"/>
  <c r="I6684" i="1"/>
  <c r="H6684" i="1"/>
  <c r="I6683" i="1"/>
  <c r="H6683" i="1"/>
  <c r="I6682" i="1"/>
  <c r="H6682" i="1"/>
  <c r="I6681" i="1"/>
  <c r="H6681" i="1"/>
  <c r="I6680" i="1"/>
  <c r="H6680" i="1"/>
  <c r="I6679" i="1"/>
  <c r="H6679" i="1"/>
  <c r="I6678" i="1"/>
  <c r="H6678" i="1"/>
  <c r="I6677" i="1"/>
  <c r="H6677" i="1"/>
  <c r="I6676" i="1"/>
  <c r="H6676" i="1"/>
  <c r="I6675" i="1"/>
  <c r="H6675" i="1"/>
  <c r="I6674" i="1"/>
  <c r="H6674" i="1"/>
  <c r="I6673" i="1"/>
  <c r="H6673" i="1"/>
  <c r="I6672" i="1"/>
  <c r="H6672" i="1"/>
  <c r="I6671" i="1"/>
  <c r="H6671" i="1"/>
  <c r="I6670" i="1"/>
  <c r="H6670" i="1"/>
  <c r="I6669" i="1"/>
  <c r="H6669" i="1"/>
  <c r="I6668" i="1"/>
  <c r="H6668" i="1"/>
  <c r="I6667" i="1"/>
  <c r="H6667" i="1"/>
  <c r="I6666" i="1"/>
  <c r="H6666" i="1"/>
  <c r="I6665" i="1"/>
  <c r="H6665" i="1"/>
  <c r="I6664" i="1"/>
  <c r="H6664" i="1"/>
  <c r="I6663" i="1"/>
  <c r="H6663" i="1"/>
  <c r="I6662" i="1"/>
  <c r="H6662" i="1"/>
  <c r="I6661" i="1"/>
  <c r="H6661" i="1"/>
  <c r="I6660" i="1"/>
  <c r="H6660" i="1"/>
  <c r="I6659" i="1"/>
  <c r="H6659" i="1"/>
  <c r="I6658" i="1"/>
  <c r="H6658" i="1"/>
  <c r="I6657" i="1"/>
  <c r="H6657" i="1"/>
  <c r="I6656" i="1"/>
  <c r="H6656" i="1"/>
  <c r="I6655" i="1"/>
  <c r="H6655" i="1"/>
  <c r="I6654" i="1"/>
  <c r="H6654" i="1"/>
  <c r="I6653" i="1"/>
  <c r="H6653" i="1"/>
  <c r="I6652" i="1"/>
  <c r="H6652" i="1"/>
  <c r="I6651" i="1"/>
  <c r="H6651" i="1"/>
  <c r="I6650" i="1"/>
  <c r="H6650" i="1"/>
  <c r="I6649" i="1"/>
  <c r="H6649" i="1"/>
  <c r="I6648" i="1"/>
  <c r="H6648" i="1"/>
  <c r="I6647" i="1"/>
  <c r="H6647" i="1"/>
  <c r="I6646" i="1"/>
  <c r="H6646" i="1"/>
  <c r="I6645" i="1"/>
  <c r="H6645" i="1"/>
  <c r="I6644" i="1"/>
  <c r="H6644" i="1"/>
  <c r="I6643" i="1"/>
  <c r="H6643" i="1"/>
  <c r="I6642" i="1"/>
  <c r="H6642" i="1"/>
  <c r="I6641" i="1"/>
  <c r="H6641" i="1"/>
  <c r="I6640" i="1"/>
  <c r="H6640" i="1"/>
  <c r="I6639" i="1"/>
  <c r="H6639" i="1"/>
  <c r="I6638" i="1"/>
  <c r="H6638" i="1"/>
  <c r="I6637" i="1"/>
  <c r="H6637" i="1"/>
  <c r="I6636" i="1"/>
  <c r="H6636" i="1"/>
  <c r="I6635" i="1"/>
  <c r="H6635" i="1"/>
  <c r="I6634" i="1"/>
  <c r="H6634" i="1"/>
  <c r="I6633" i="1"/>
  <c r="H6633" i="1"/>
  <c r="I6632" i="1"/>
  <c r="H6632" i="1"/>
  <c r="I6631" i="1"/>
  <c r="H6631" i="1"/>
  <c r="I6630" i="1"/>
  <c r="H6630" i="1"/>
  <c r="I6629" i="1"/>
  <c r="H6629" i="1"/>
  <c r="I6628" i="1"/>
  <c r="H6628" i="1"/>
  <c r="I6627" i="1"/>
  <c r="H6627" i="1"/>
  <c r="I6626" i="1"/>
  <c r="H6626" i="1"/>
  <c r="I6625" i="1"/>
  <c r="H6625" i="1"/>
  <c r="I6624" i="1"/>
  <c r="H6624" i="1"/>
  <c r="I6623" i="1"/>
  <c r="H6623" i="1"/>
  <c r="I6622" i="1"/>
  <c r="H6622" i="1"/>
  <c r="I6621" i="1"/>
  <c r="H6621" i="1"/>
  <c r="I6620" i="1"/>
  <c r="H6620" i="1"/>
  <c r="I6619" i="1"/>
  <c r="H6619" i="1"/>
  <c r="I6618" i="1"/>
  <c r="H6618" i="1"/>
  <c r="I6617" i="1"/>
  <c r="H6617" i="1"/>
  <c r="I6616" i="1"/>
  <c r="H6616" i="1"/>
  <c r="I6615" i="1"/>
  <c r="H6615" i="1"/>
  <c r="I6614" i="1"/>
  <c r="H6614" i="1"/>
  <c r="I6613" i="1"/>
  <c r="H6613" i="1"/>
  <c r="I6612" i="1"/>
  <c r="H6612" i="1"/>
  <c r="I6611" i="1"/>
  <c r="H6611" i="1"/>
  <c r="I6610" i="1"/>
  <c r="H6610" i="1"/>
  <c r="I6609" i="1"/>
  <c r="H6609" i="1"/>
  <c r="I6608" i="1"/>
  <c r="H6608" i="1"/>
  <c r="I6607" i="1"/>
  <c r="H6607" i="1"/>
  <c r="I6606" i="1"/>
  <c r="H6606" i="1"/>
  <c r="I6605" i="1"/>
  <c r="H6605" i="1"/>
  <c r="I6604" i="1"/>
  <c r="H6604" i="1"/>
  <c r="I6603" i="1"/>
  <c r="H6603" i="1"/>
  <c r="I6602" i="1"/>
  <c r="H6602" i="1"/>
  <c r="I6601" i="1"/>
  <c r="H6601" i="1"/>
  <c r="I6600" i="1"/>
  <c r="H6600" i="1"/>
  <c r="I6599" i="1"/>
  <c r="H6599" i="1"/>
  <c r="I6598" i="1"/>
  <c r="H6598" i="1"/>
  <c r="I6597" i="1"/>
  <c r="H6597" i="1"/>
  <c r="I6596" i="1"/>
  <c r="H6596" i="1"/>
  <c r="I6595" i="1"/>
  <c r="H6595" i="1"/>
  <c r="I6594" i="1"/>
  <c r="H6594" i="1"/>
  <c r="I6593" i="1"/>
  <c r="H6593" i="1"/>
  <c r="I6592" i="1"/>
  <c r="H6592" i="1"/>
  <c r="I6591" i="1"/>
  <c r="H6591" i="1"/>
  <c r="I6590" i="1"/>
  <c r="H6590" i="1"/>
  <c r="I6589" i="1"/>
  <c r="H6589" i="1"/>
  <c r="I6588" i="1"/>
  <c r="H6588" i="1"/>
  <c r="I6587" i="1"/>
  <c r="H6587" i="1"/>
  <c r="I6586" i="1"/>
  <c r="H6586" i="1"/>
  <c r="I6585" i="1"/>
  <c r="H6585" i="1"/>
  <c r="I6584" i="1"/>
  <c r="H6584" i="1"/>
  <c r="I6583" i="1"/>
  <c r="H6583" i="1"/>
  <c r="I6582" i="1"/>
  <c r="H6582" i="1"/>
  <c r="I6581" i="1"/>
  <c r="H6581" i="1"/>
  <c r="I6580" i="1"/>
  <c r="H6580" i="1"/>
  <c r="I6579" i="1"/>
  <c r="H6579" i="1"/>
  <c r="I6578" i="1"/>
  <c r="H6578" i="1"/>
  <c r="I6577" i="1"/>
  <c r="H6577" i="1"/>
  <c r="I6576" i="1"/>
  <c r="H6576" i="1"/>
  <c r="I6575" i="1"/>
  <c r="H6575" i="1"/>
  <c r="I6574" i="1"/>
  <c r="H6574" i="1"/>
  <c r="I6573" i="1"/>
  <c r="H6573" i="1"/>
  <c r="I6572" i="1"/>
  <c r="H6572" i="1"/>
  <c r="I6571" i="1"/>
  <c r="H6571" i="1"/>
  <c r="I6570" i="1"/>
  <c r="H6570" i="1"/>
  <c r="I6569" i="1"/>
  <c r="H6569" i="1"/>
  <c r="I6568" i="1"/>
  <c r="H6568" i="1"/>
  <c r="I6567" i="1"/>
  <c r="H6567" i="1"/>
  <c r="I6566" i="1"/>
  <c r="H6566" i="1"/>
  <c r="I6565" i="1"/>
  <c r="H6565" i="1"/>
  <c r="I6564" i="1"/>
  <c r="H6564" i="1"/>
  <c r="I6563" i="1"/>
  <c r="H6563" i="1"/>
  <c r="I6562" i="1"/>
  <c r="H6562" i="1"/>
  <c r="I6561" i="1"/>
  <c r="H6561" i="1"/>
  <c r="I6560" i="1"/>
  <c r="H6560" i="1"/>
  <c r="I6559" i="1"/>
  <c r="H6559" i="1"/>
  <c r="I6558" i="1"/>
  <c r="H6558" i="1"/>
  <c r="I6557" i="1"/>
  <c r="H6557" i="1"/>
  <c r="I6556" i="1"/>
  <c r="H6556" i="1"/>
  <c r="I6555" i="1"/>
  <c r="H6555" i="1"/>
  <c r="I6554" i="1"/>
  <c r="H6554" i="1"/>
  <c r="I6553" i="1"/>
  <c r="H6553" i="1"/>
  <c r="I6552" i="1"/>
  <c r="H6552" i="1"/>
  <c r="I6551" i="1"/>
  <c r="H6551" i="1"/>
  <c r="I6550" i="1"/>
  <c r="H6550" i="1"/>
  <c r="I6549" i="1"/>
  <c r="H6549" i="1"/>
  <c r="I6548" i="1"/>
  <c r="H6548" i="1"/>
  <c r="I6547" i="1"/>
  <c r="H6547" i="1"/>
  <c r="I6546" i="1"/>
  <c r="H6546" i="1"/>
  <c r="I6545" i="1"/>
  <c r="H6545" i="1"/>
  <c r="I6544" i="1"/>
  <c r="H6544" i="1"/>
  <c r="I6543" i="1"/>
  <c r="H6543" i="1"/>
  <c r="I6542" i="1"/>
  <c r="H6542" i="1"/>
  <c r="I6541" i="1"/>
  <c r="H6541" i="1"/>
  <c r="I6540" i="1"/>
  <c r="H6540" i="1"/>
  <c r="I6539" i="1"/>
  <c r="H6539" i="1"/>
  <c r="I6538" i="1"/>
  <c r="H6538" i="1"/>
  <c r="I6537" i="1"/>
  <c r="H6537" i="1"/>
  <c r="I6536" i="1"/>
  <c r="H6536" i="1"/>
  <c r="I6535" i="1"/>
  <c r="H6535" i="1"/>
  <c r="I6534" i="1"/>
  <c r="H6534" i="1"/>
  <c r="I6533" i="1"/>
  <c r="H6533" i="1"/>
  <c r="I6532" i="1"/>
  <c r="H6532" i="1"/>
  <c r="I6531" i="1"/>
  <c r="H6531" i="1"/>
  <c r="I6530" i="1"/>
  <c r="H6530" i="1"/>
  <c r="I6529" i="1"/>
  <c r="H6529" i="1"/>
  <c r="I6528" i="1"/>
  <c r="H6528" i="1"/>
  <c r="I6527" i="1"/>
  <c r="H6527" i="1"/>
  <c r="I6526" i="1"/>
  <c r="H6526" i="1"/>
  <c r="I6525" i="1"/>
  <c r="H6525" i="1"/>
  <c r="I6524" i="1"/>
  <c r="H6524" i="1"/>
  <c r="I6523" i="1"/>
  <c r="H6523" i="1"/>
  <c r="I6522" i="1"/>
  <c r="H6522" i="1"/>
  <c r="I6521" i="1"/>
  <c r="H6521" i="1"/>
  <c r="I6520" i="1"/>
  <c r="H6520" i="1"/>
  <c r="I6519" i="1"/>
  <c r="H6519" i="1"/>
  <c r="I6518" i="1"/>
  <c r="H6518" i="1"/>
  <c r="I6517" i="1"/>
  <c r="H6517" i="1"/>
  <c r="I6516" i="1"/>
  <c r="H6516" i="1"/>
  <c r="I6515" i="1"/>
  <c r="H6515" i="1"/>
  <c r="I6514" i="1"/>
  <c r="H6514" i="1"/>
  <c r="I6513" i="1"/>
  <c r="H6513" i="1"/>
  <c r="I6512" i="1"/>
  <c r="H6512" i="1"/>
  <c r="I6511" i="1"/>
  <c r="H6511" i="1"/>
  <c r="I6510" i="1"/>
  <c r="H6510" i="1"/>
  <c r="I6509" i="1"/>
  <c r="H6509" i="1"/>
  <c r="I6508" i="1"/>
  <c r="H6508" i="1"/>
  <c r="I6507" i="1"/>
  <c r="H6507" i="1"/>
  <c r="I6506" i="1"/>
  <c r="H6506" i="1"/>
  <c r="I6505" i="1"/>
  <c r="H6505" i="1"/>
  <c r="I6504" i="1"/>
  <c r="H6504" i="1"/>
  <c r="I6503" i="1"/>
  <c r="H6503" i="1"/>
  <c r="I6502" i="1"/>
  <c r="H6502" i="1"/>
  <c r="I6501" i="1"/>
  <c r="H6501" i="1"/>
  <c r="I6500" i="1"/>
  <c r="H6500" i="1"/>
  <c r="I6499" i="1"/>
  <c r="H6499" i="1"/>
  <c r="I6498" i="1"/>
  <c r="H6498" i="1"/>
  <c r="I6497" i="1"/>
  <c r="H6497" i="1"/>
  <c r="I6496" i="1"/>
  <c r="H6496" i="1"/>
  <c r="I6495" i="1"/>
  <c r="H6495" i="1"/>
  <c r="I6494" i="1"/>
  <c r="H6494" i="1"/>
  <c r="I6493" i="1"/>
  <c r="H6493" i="1"/>
  <c r="I6492" i="1"/>
  <c r="H6492" i="1"/>
  <c r="I6491" i="1"/>
  <c r="H6491" i="1"/>
  <c r="I6490" i="1"/>
  <c r="H6490" i="1"/>
  <c r="I6489" i="1"/>
  <c r="H6489" i="1"/>
  <c r="I6488" i="1"/>
  <c r="H6488" i="1"/>
  <c r="I6487" i="1"/>
  <c r="H6487" i="1"/>
  <c r="I6486" i="1"/>
  <c r="H6486" i="1"/>
  <c r="I6485" i="1"/>
  <c r="H6485" i="1"/>
  <c r="I6484" i="1"/>
  <c r="H6484" i="1"/>
  <c r="I6483" i="1"/>
  <c r="H6483" i="1"/>
  <c r="I6482" i="1"/>
  <c r="H6482" i="1"/>
  <c r="I6481" i="1"/>
  <c r="H6481" i="1"/>
  <c r="I6480" i="1"/>
  <c r="H6480" i="1"/>
  <c r="I6479" i="1"/>
  <c r="H6479" i="1"/>
  <c r="I6478" i="1"/>
  <c r="H6478" i="1"/>
  <c r="I6477" i="1"/>
  <c r="H6477" i="1"/>
  <c r="I6476" i="1"/>
  <c r="H6476" i="1"/>
  <c r="I6475" i="1"/>
  <c r="H6475" i="1"/>
  <c r="I6474" i="1"/>
  <c r="H6474" i="1"/>
  <c r="I6473" i="1"/>
  <c r="H6473" i="1"/>
  <c r="I6472" i="1"/>
  <c r="H6472" i="1"/>
  <c r="I6471" i="1"/>
  <c r="H6471" i="1"/>
  <c r="I6470" i="1"/>
  <c r="H6470" i="1"/>
  <c r="I6469" i="1"/>
  <c r="H6469" i="1"/>
  <c r="I6468" i="1"/>
  <c r="H6468" i="1"/>
  <c r="I6467" i="1"/>
  <c r="H6467" i="1"/>
  <c r="I6466" i="1"/>
  <c r="H6466" i="1"/>
  <c r="I6465" i="1"/>
  <c r="H6465" i="1"/>
  <c r="I6464" i="1"/>
  <c r="H6464" i="1"/>
  <c r="I6463" i="1"/>
  <c r="H6463" i="1"/>
  <c r="I6462" i="1"/>
  <c r="H6462" i="1"/>
  <c r="I6461" i="1"/>
  <c r="H6461" i="1"/>
  <c r="I6460" i="1"/>
  <c r="H6460" i="1"/>
  <c r="I6459" i="1"/>
  <c r="H6459" i="1"/>
  <c r="I6458" i="1"/>
  <c r="H6458" i="1"/>
  <c r="I6457" i="1"/>
  <c r="H6457" i="1"/>
  <c r="I6456" i="1"/>
  <c r="H6456" i="1"/>
  <c r="I6455" i="1"/>
  <c r="H6455" i="1"/>
  <c r="I6454" i="1"/>
  <c r="H6454" i="1"/>
  <c r="I6453" i="1"/>
  <c r="H6453" i="1"/>
  <c r="I6452" i="1"/>
  <c r="H6452" i="1"/>
  <c r="I6451" i="1"/>
  <c r="H6451" i="1"/>
  <c r="I6450" i="1"/>
  <c r="H6450" i="1"/>
  <c r="I6449" i="1"/>
  <c r="H6449" i="1"/>
  <c r="I6448" i="1"/>
  <c r="H6448" i="1"/>
  <c r="I6447" i="1"/>
  <c r="H6447" i="1"/>
  <c r="I6446" i="1"/>
  <c r="H6446" i="1"/>
  <c r="I6445" i="1"/>
  <c r="H6445" i="1"/>
  <c r="I6444" i="1"/>
  <c r="H6444" i="1"/>
  <c r="I6443" i="1"/>
  <c r="H6443" i="1"/>
  <c r="I6442" i="1"/>
  <c r="H6442" i="1"/>
  <c r="I6441" i="1"/>
  <c r="H6441" i="1"/>
  <c r="I6440" i="1"/>
  <c r="H6440" i="1"/>
  <c r="I6439" i="1"/>
  <c r="H6439" i="1"/>
  <c r="I6438" i="1"/>
  <c r="H6438" i="1"/>
  <c r="I6437" i="1"/>
  <c r="H6437" i="1"/>
  <c r="I6436" i="1"/>
  <c r="H6436" i="1"/>
  <c r="I6435" i="1"/>
  <c r="H6435" i="1"/>
  <c r="I6434" i="1"/>
  <c r="H6434" i="1"/>
  <c r="I6433" i="1"/>
  <c r="H6433" i="1"/>
  <c r="I6432" i="1"/>
  <c r="H6432" i="1"/>
  <c r="I6431" i="1"/>
  <c r="H6431" i="1"/>
  <c r="I6430" i="1"/>
  <c r="H6430" i="1"/>
  <c r="I6429" i="1"/>
  <c r="H6429" i="1"/>
  <c r="I6428" i="1"/>
  <c r="H6428" i="1"/>
  <c r="I6427" i="1"/>
  <c r="H6427" i="1"/>
  <c r="I6426" i="1"/>
  <c r="H6426" i="1"/>
  <c r="I6425" i="1"/>
  <c r="H6425" i="1"/>
  <c r="I6424" i="1"/>
  <c r="H6424" i="1"/>
  <c r="I6423" i="1"/>
  <c r="H6423" i="1"/>
  <c r="I6422" i="1"/>
  <c r="H6422" i="1"/>
  <c r="I6421" i="1"/>
  <c r="H6421" i="1"/>
  <c r="I6420" i="1"/>
  <c r="H6420" i="1"/>
  <c r="I6419" i="1"/>
  <c r="H6419" i="1"/>
  <c r="I6418" i="1"/>
  <c r="H6418" i="1"/>
  <c r="I6417" i="1"/>
  <c r="H6417" i="1"/>
  <c r="I6416" i="1"/>
  <c r="H6416" i="1"/>
  <c r="I6415" i="1"/>
  <c r="H6415" i="1"/>
  <c r="I6414" i="1"/>
  <c r="H6414" i="1"/>
  <c r="I6413" i="1"/>
  <c r="H6413" i="1"/>
  <c r="I6412" i="1"/>
  <c r="H6412" i="1"/>
  <c r="I6411" i="1"/>
  <c r="H6411" i="1"/>
  <c r="I6410" i="1"/>
  <c r="H6410" i="1"/>
  <c r="I6409" i="1"/>
  <c r="H6409" i="1"/>
  <c r="I6408" i="1"/>
  <c r="H6408" i="1"/>
  <c r="I6407" i="1"/>
  <c r="H6407" i="1"/>
  <c r="I6406" i="1"/>
  <c r="H6406" i="1"/>
  <c r="I6405" i="1"/>
  <c r="H6405" i="1"/>
  <c r="I6404" i="1"/>
  <c r="H6404" i="1"/>
  <c r="I6403" i="1"/>
  <c r="H6403" i="1"/>
  <c r="I6402" i="1"/>
  <c r="H6402" i="1"/>
  <c r="I6401" i="1"/>
  <c r="H6401" i="1"/>
  <c r="I6400" i="1"/>
  <c r="H6400" i="1"/>
  <c r="I6399" i="1"/>
  <c r="H6399" i="1"/>
  <c r="I6398" i="1"/>
  <c r="H6398" i="1"/>
  <c r="I6397" i="1"/>
  <c r="H6397" i="1"/>
  <c r="I6396" i="1"/>
  <c r="H6396" i="1"/>
  <c r="I6395" i="1"/>
  <c r="H6395" i="1"/>
  <c r="I6394" i="1"/>
  <c r="H6394" i="1"/>
  <c r="I6393" i="1"/>
  <c r="H6393" i="1"/>
  <c r="I6392" i="1"/>
  <c r="H6392" i="1"/>
  <c r="I6391" i="1"/>
  <c r="H6391" i="1"/>
  <c r="I6390" i="1"/>
  <c r="H6390" i="1"/>
  <c r="I6389" i="1"/>
  <c r="H6389" i="1"/>
  <c r="I6388" i="1"/>
  <c r="H6388" i="1"/>
  <c r="I6387" i="1"/>
  <c r="H6387" i="1"/>
  <c r="I6386" i="1"/>
  <c r="H6386" i="1"/>
  <c r="I6385" i="1"/>
  <c r="H6385" i="1"/>
  <c r="I6384" i="1"/>
  <c r="H6384" i="1"/>
  <c r="I6383" i="1"/>
  <c r="H6383" i="1"/>
  <c r="I6382" i="1"/>
  <c r="H6382" i="1"/>
  <c r="I6381" i="1"/>
  <c r="H6381" i="1"/>
  <c r="I6380" i="1"/>
  <c r="H6380" i="1"/>
  <c r="I6379" i="1"/>
  <c r="H6379" i="1"/>
  <c r="I6378" i="1"/>
  <c r="H6378" i="1"/>
  <c r="I6377" i="1"/>
  <c r="H6377" i="1"/>
  <c r="I6376" i="1"/>
  <c r="H6376" i="1"/>
  <c r="I6375" i="1"/>
  <c r="H6375" i="1"/>
  <c r="I6374" i="1"/>
  <c r="H6374" i="1"/>
  <c r="I6373" i="1"/>
  <c r="H6373" i="1"/>
  <c r="I6372" i="1"/>
  <c r="H6372" i="1"/>
  <c r="I6371" i="1"/>
  <c r="H6371" i="1"/>
  <c r="I6370" i="1"/>
  <c r="H6370" i="1"/>
  <c r="I6369" i="1"/>
  <c r="H6369" i="1"/>
  <c r="I6368" i="1"/>
  <c r="H6368" i="1"/>
  <c r="I6367" i="1"/>
  <c r="H6367" i="1"/>
  <c r="I6366" i="1"/>
  <c r="H6366" i="1"/>
  <c r="I6365" i="1"/>
  <c r="H6365" i="1"/>
  <c r="I6364" i="1"/>
  <c r="H6364" i="1"/>
  <c r="I6363" i="1"/>
  <c r="H6363" i="1"/>
  <c r="I6362" i="1"/>
  <c r="H6362" i="1"/>
  <c r="I6361" i="1"/>
  <c r="H6361" i="1"/>
  <c r="I6360" i="1"/>
  <c r="H6360" i="1"/>
  <c r="I6359" i="1"/>
  <c r="H6359" i="1"/>
  <c r="I6358" i="1"/>
  <c r="H6358" i="1"/>
  <c r="I6357" i="1"/>
  <c r="H6357" i="1"/>
  <c r="I6356" i="1"/>
  <c r="H6356" i="1"/>
  <c r="I6355" i="1"/>
  <c r="H6355" i="1"/>
  <c r="I6354" i="1"/>
  <c r="H6354" i="1"/>
  <c r="I6353" i="1"/>
  <c r="H6353" i="1"/>
  <c r="I6352" i="1"/>
  <c r="H6352" i="1"/>
  <c r="I6351" i="1"/>
  <c r="H6351" i="1"/>
  <c r="I6350" i="1"/>
  <c r="H6350" i="1"/>
  <c r="I6349" i="1"/>
  <c r="H6349" i="1"/>
  <c r="I6348" i="1"/>
  <c r="H6348" i="1"/>
  <c r="I6347" i="1"/>
  <c r="H6347" i="1"/>
  <c r="I6346" i="1"/>
  <c r="H6346" i="1"/>
  <c r="I6345" i="1"/>
  <c r="H6345" i="1"/>
  <c r="I6344" i="1"/>
  <c r="H6344" i="1"/>
  <c r="I6343" i="1"/>
  <c r="H6343" i="1"/>
  <c r="I6342" i="1"/>
  <c r="H6342" i="1"/>
  <c r="I6341" i="1"/>
  <c r="H6341" i="1"/>
  <c r="I6340" i="1"/>
  <c r="H6340" i="1"/>
  <c r="I6339" i="1"/>
  <c r="H6339" i="1"/>
  <c r="I6338" i="1"/>
  <c r="H6338" i="1"/>
  <c r="I6337" i="1"/>
  <c r="H6337" i="1"/>
  <c r="I6336" i="1"/>
  <c r="H6336" i="1"/>
  <c r="I6335" i="1"/>
  <c r="H6335" i="1"/>
  <c r="I6334" i="1"/>
  <c r="H6334" i="1"/>
  <c r="I6333" i="1"/>
  <c r="H6333" i="1"/>
  <c r="I6332" i="1"/>
  <c r="H6332" i="1"/>
  <c r="I6331" i="1"/>
  <c r="H6331" i="1"/>
  <c r="I6330" i="1"/>
  <c r="H6330" i="1"/>
  <c r="I6329" i="1"/>
  <c r="H6329" i="1"/>
  <c r="I6328" i="1"/>
  <c r="H6328" i="1"/>
  <c r="I6327" i="1"/>
  <c r="H6327" i="1"/>
  <c r="I6326" i="1"/>
  <c r="H6326" i="1"/>
  <c r="I6325" i="1"/>
  <c r="H6325" i="1"/>
  <c r="I6324" i="1"/>
  <c r="H6324" i="1"/>
  <c r="I6323" i="1"/>
  <c r="H6323" i="1"/>
  <c r="I6322" i="1"/>
  <c r="H6322" i="1"/>
  <c r="I6321" i="1"/>
  <c r="H6321" i="1"/>
  <c r="I6320" i="1"/>
  <c r="H6320" i="1"/>
  <c r="I6319" i="1"/>
  <c r="H6319" i="1"/>
  <c r="I6318" i="1"/>
  <c r="H6318" i="1"/>
  <c r="I6317" i="1"/>
  <c r="H6317" i="1"/>
  <c r="I6316" i="1"/>
  <c r="H6316" i="1"/>
  <c r="I6315" i="1"/>
  <c r="H6315" i="1"/>
  <c r="I6314" i="1"/>
  <c r="H6314" i="1"/>
  <c r="I6313" i="1"/>
  <c r="H6313" i="1"/>
  <c r="I6312" i="1"/>
  <c r="H6312" i="1"/>
  <c r="I6311" i="1"/>
  <c r="H6311" i="1"/>
  <c r="I6310" i="1"/>
  <c r="H6310" i="1"/>
  <c r="I6309" i="1"/>
  <c r="H6309" i="1"/>
  <c r="I6308" i="1"/>
  <c r="H6308" i="1"/>
  <c r="I6307" i="1"/>
  <c r="H6307" i="1"/>
  <c r="I6306" i="1"/>
  <c r="H6306" i="1"/>
  <c r="I6305" i="1"/>
  <c r="H6305" i="1"/>
  <c r="I6304" i="1"/>
  <c r="H6304" i="1"/>
  <c r="I6303" i="1"/>
  <c r="H6303" i="1"/>
  <c r="I6302" i="1"/>
  <c r="H6302" i="1"/>
  <c r="I6301" i="1"/>
  <c r="H6301" i="1"/>
  <c r="I6300" i="1"/>
  <c r="H6300" i="1"/>
  <c r="I6299" i="1"/>
  <c r="H6299" i="1"/>
  <c r="I6298" i="1"/>
  <c r="H6298" i="1"/>
  <c r="I6297" i="1"/>
  <c r="H6297" i="1"/>
  <c r="I6296" i="1"/>
  <c r="H6296" i="1"/>
  <c r="I6295" i="1"/>
  <c r="H6295" i="1"/>
  <c r="I6294" i="1"/>
  <c r="H6294" i="1"/>
  <c r="I6293" i="1"/>
  <c r="H6293" i="1"/>
  <c r="I6292" i="1"/>
  <c r="H6292" i="1"/>
  <c r="I6291" i="1"/>
  <c r="H6291" i="1"/>
  <c r="I6290" i="1"/>
  <c r="H6290" i="1"/>
  <c r="I6289" i="1"/>
  <c r="H6289" i="1"/>
  <c r="I6288" i="1"/>
  <c r="H6288" i="1"/>
  <c r="I6287" i="1"/>
  <c r="H6287" i="1"/>
  <c r="I6286" i="1"/>
  <c r="H6286" i="1"/>
  <c r="I6285" i="1"/>
  <c r="H6285" i="1"/>
  <c r="I6284" i="1"/>
  <c r="H6284" i="1"/>
  <c r="I6283" i="1"/>
  <c r="H6283" i="1"/>
  <c r="I6282" i="1"/>
  <c r="H6282" i="1"/>
  <c r="I6281" i="1"/>
  <c r="H6281" i="1"/>
  <c r="I6280" i="1"/>
  <c r="H6280" i="1"/>
  <c r="I6279" i="1"/>
  <c r="H6279" i="1"/>
  <c r="I6278" i="1"/>
  <c r="H6278" i="1"/>
  <c r="I6277" i="1"/>
  <c r="H6277" i="1"/>
  <c r="I6276" i="1"/>
  <c r="H6276" i="1"/>
  <c r="I6275" i="1"/>
  <c r="H6275" i="1"/>
  <c r="I6274" i="1"/>
  <c r="H6274" i="1"/>
  <c r="I6273" i="1"/>
  <c r="H6273" i="1"/>
  <c r="I6272" i="1"/>
  <c r="H6272" i="1"/>
  <c r="I6271" i="1"/>
  <c r="H6271" i="1"/>
  <c r="I6270" i="1"/>
  <c r="H6270" i="1"/>
  <c r="I6269" i="1"/>
  <c r="H6269" i="1"/>
  <c r="I6268" i="1"/>
  <c r="H6268" i="1"/>
  <c r="I6267" i="1"/>
  <c r="H6267" i="1"/>
  <c r="I6266" i="1"/>
  <c r="H6266" i="1"/>
  <c r="I6265" i="1"/>
  <c r="H6265" i="1"/>
  <c r="I6264" i="1"/>
  <c r="H6264" i="1"/>
  <c r="I6263" i="1"/>
  <c r="H6263" i="1"/>
  <c r="I6262" i="1"/>
  <c r="H6262" i="1"/>
  <c r="I6261" i="1"/>
  <c r="H6261" i="1"/>
  <c r="I6260" i="1"/>
  <c r="H6260" i="1"/>
  <c r="I6259" i="1"/>
  <c r="H6259" i="1"/>
  <c r="I6258" i="1"/>
  <c r="H6258" i="1"/>
  <c r="I6257" i="1"/>
  <c r="H6257" i="1"/>
  <c r="I6256" i="1"/>
  <c r="H6256" i="1"/>
  <c r="I6255" i="1"/>
  <c r="H6255" i="1"/>
  <c r="I6254" i="1"/>
  <c r="H6254" i="1"/>
  <c r="I6253" i="1"/>
  <c r="H6253" i="1"/>
  <c r="I6252" i="1"/>
  <c r="H6252" i="1"/>
  <c r="I6251" i="1"/>
  <c r="H6251" i="1"/>
  <c r="I6250" i="1"/>
  <c r="H6250" i="1"/>
  <c r="I6249" i="1"/>
  <c r="H6249" i="1"/>
  <c r="I6248" i="1"/>
  <c r="H6248" i="1"/>
  <c r="I6247" i="1"/>
  <c r="H6247" i="1"/>
  <c r="I6246" i="1"/>
  <c r="H6246" i="1"/>
  <c r="I6245" i="1"/>
  <c r="H6245" i="1"/>
  <c r="I6244" i="1"/>
  <c r="H6244" i="1"/>
  <c r="I6243" i="1"/>
  <c r="H6243" i="1"/>
  <c r="I6242" i="1"/>
  <c r="H6242" i="1"/>
  <c r="I6241" i="1"/>
  <c r="H6241" i="1"/>
  <c r="I6240" i="1"/>
  <c r="H6240" i="1"/>
  <c r="I6239" i="1"/>
  <c r="H6239" i="1"/>
  <c r="I6238" i="1"/>
  <c r="H6238" i="1"/>
  <c r="I6237" i="1"/>
  <c r="H6237" i="1"/>
  <c r="I6236" i="1"/>
  <c r="H6236" i="1"/>
  <c r="I6235" i="1"/>
  <c r="H6235" i="1"/>
  <c r="I6234" i="1"/>
  <c r="H6234" i="1"/>
  <c r="I6233" i="1"/>
  <c r="H6233" i="1"/>
  <c r="I6232" i="1"/>
  <c r="H6232" i="1"/>
  <c r="I6231" i="1"/>
  <c r="H6231" i="1"/>
  <c r="I6230" i="1"/>
  <c r="H6230" i="1"/>
  <c r="I6229" i="1"/>
  <c r="H6229" i="1"/>
  <c r="I6228" i="1"/>
  <c r="H6228" i="1"/>
  <c r="I6227" i="1"/>
  <c r="H6227" i="1"/>
  <c r="I6226" i="1"/>
  <c r="H6226" i="1"/>
  <c r="I6225" i="1"/>
  <c r="H6225" i="1"/>
  <c r="I6224" i="1"/>
  <c r="H6224" i="1"/>
  <c r="I6223" i="1"/>
  <c r="H6223" i="1"/>
  <c r="I6222" i="1"/>
  <c r="H6222" i="1"/>
  <c r="I6221" i="1"/>
  <c r="H6221" i="1"/>
  <c r="I6220" i="1"/>
  <c r="H6220" i="1"/>
  <c r="I6219" i="1"/>
  <c r="H6219" i="1"/>
  <c r="I6218" i="1"/>
  <c r="H6218" i="1"/>
  <c r="I6217" i="1"/>
  <c r="H6217" i="1"/>
  <c r="I6216" i="1"/>
  <c r="H6216" i="1"/>
  <c r="I6215" i="1"/>
  <c r="H6215" i="1"/>
  <c r="I6214" i="1"/>
  <c r="H6214" i="1"/>
  <c r="I6213" i="1"/>
  <c r="H6213" i="1"/>
  <c r="I6212" i="1"/>
  <c r="H6212" i="1"/>
  <c r="I6211" i="1"/>
  <c r="H6211" i="1"/>
  <c r="I6210" i="1"/>
  <c r="H6210" i="1"/>
  <c r="I6209" i="1"/>
  <c r="H6209" i="1"/>
  <c r="I6208" i="1"/>
  <c r="H6208" i="1"/>
  <c r="I6207" i="1"/>
  <c r="H6207" i="1"/>
  <c r="I6206" i="1"/>
  <c r="H6206" i="1"/>
  <c r="I6205" i="1"/>
  <c r="H6205" i="1"/>
  <c r="I6204" i="1"/>
  <c r="H6204" i="1"/>
  <c r="I6203" i="1"/>
  <c r="H6203" i="1"/>
  <c r="I6202" i="1"/>
  <c r="H6202" i="1"/>
  <c r="I6201" i="1"/>
  <c r="H6201" i="1"/>
  <c r="I6200" i="1"/>
  <c r="H6200" i="1"/>
  <c r="I6199" i="1"/>
  <c r="H6199" i="1"/>
  <c r="I6198" i="1"/>
  <c r="H6198" i="1"/>
  <c r="I6197" i="1"/>
  <c r="H6197" i="1"/>
  <c r="I6196" i="1"/>
  <c r="H6196" i="1"/>
  <c r="I6195" i="1"/>
  <c r="H6195" i="1"/>
  <c r="I6194" i="1"/>
  <c r="H6194" i="1"/>
  <c r="I6193" i="1"/>
  <c r="H6193" i="1"/>
  <c r="I6192" i="1"/>
  <c r="H6192" i="1"/>
  <c r="I6191" i="1"/>
  <c r="H6191" i="1"/>
  <c r="I6190" i="1"/>
  <c r="H6190" i="1"/>
  <c r="I6189" i="1"/>
  <c r="H6189" i="1"/>
  <c r="I6188" i="1"/>
  <c r="H6188" i="1"/>
  <c r="I6187" i="1"/>
  <c r="H6187" i="1"/>
  <c r="I6186" i="1"/>
  <c r="H6186" i="1"/>
  <c r="I6185" i="1"/>
  <c r="H6185" i="1"/>
  <c r="I6184" i="1"/>
  <c r="H6184" i="1"/>
  <c r="I6183" i="1"/>
  <c r="H6183" i="1"/>
  <c r="I6182" i="1"/>
  <c r="H6182" i="1"/>
  <c r="I6181" i="1"/>
  <c r="H6181" i="1"/>
  <c r="I6180" i="1"/>
  <c r="H6180" i="1"/>
  <c r="I6179" i="1"/>
  <c r="H6179" i="1"/>
  <c r="I6178" i="1"/>
  <c r="H6178" i="1"/>
  <c r="I6177" i="1"/>
  <c r="H6177" i="1"/>
  <c r="I6176" i="1"/>
  <c r="H6176" i="1"/>
  <c r="I6175" i="1"/>
  <c r="H6175" i="1"/>
  <c r="I6174" i="1"/>
  <c r="H6174" i="1"/>
  <c r="I6173" i="1"/>
  <c r="H6173" i="1"/>
  <c r="I6172" i="1"/>
  <c r="H6172" i="1"/>
  <c r="I6171" i="1"/>
  <c r="H6171" i="1"/>
  <c r="I6170" i="1"/>
  <c r="H6170" i="1"/>
  <c r="I6169" i="1"/>
  <c r="H6169" i="1"/>
  <c r="I6168" i="1"/>
  <c r="H6168" i="1"/>
  <c r="I6167" i="1"/>
  <c r="H6167" i="1"/>
  <c r="I6166" i="1"/>
  <c r="H6166" i="1"/>
  <c r="I6165" i="1"/>
  <c r="H6165" i="1"/>
  <c r="I6164" i="1"/>
  <c r="H6164" i="1"/>
  <c r="I6163" i="1"/>
  <c r="H6163" i="1"/>
  <c r="I6162" i="1"/>
  <c r="H6162" i="1"/>
  <c r="I6161" i="1"/>
  <c r="H6161" i="1"/>
  <c r="I6160" i="1"/>
  <c r="H6160" i="1"/>
  <c r="I6159" i="1"/>
  <c r="H6159" i="1"/>
  <c r="I6158" i="1"/>
  <c r="H6158" i="1"/>
  <c r="I6157" i="1"/>
  <c r="H6157" i="1"/>
  <c r="I6156" i="1"/>
  <c r="H6156" i="1"/>
  <c r="I6155" i="1"/>
  <c r="H6155" i="1"/>
  <c r="I6154" i="1"/>
  <c r="H6154" i="1"/>
  <c r="I6153" i="1"/>
  <c r="H6153" i="1"/>
  <c r="I6152" i="1"/>
  <c r="H6152" i="1"/>
  <c r="I6151" i="1"/>
  <c r="H6151" i="1"/>
  <c r="I6150" i="1"/>
  <c r="H6150" i="1"/>
  <c r="I6149" i="1"/>
  <c r="H6149" i="1"/>
  <c r="I6148" i="1"/>
  <c r="H6148" i="1"/>
  <c r="I6147" i="1"/>
  <c r="H6147" i="1"/>
  <c r="I6146" i="1"/>
  <c r="H6146" i="1"/>
  <c r="I6145" i="1"/>
  <c r="H6145" i="1"/>
  <c r="I6144" i="1"/>
  <c r="H6144" i="1"/>
  <c r="I6143" i="1"/>
  <c r="H6143" i="1"/>
  <c r="I6142" i="1"/>
  <c r="H6142" i="1"/>
  <c r="I6141" i="1"/>
  <c r="H6141" i="1"/>
  <c r="I6140" i="1"/>
  <c r="H6140" i="1"/>
  <c r="I6139" i="1"/>
  <c r="H6139" i="1"/>
  <c r="I6138" i="1"/>
  <c r="H6138" i="1"/>
  <c r="I6137" i="1"/>
  <c r="H6137" i="1"/>
  <c r="I6136" i="1"/>
  <c r="H6136" i="1"/>
  <c r="I6135" i="1"/>
  <c r="H6135" i="1"/>
  <c r="I6134" i="1"/>
  <c r="H6134" i="1"/>
  <c r="I6133" i="1"/>
  <c r="H6133" i="1"/>
  <c r="I6132" i="1"/>
  <c r="H6132" i="1"/>
  <c r="I6131" i="1"/>
  <c r="H6131" i="1"/>
  <c r="I6130" i="1"/>
  <c r="H6130" i="1"/>
  <c r="I6129" i="1"/>
  <c r="H6129" i="1"/>
  <c r="I6128" i="1"/>
  <c r="H6128" i="1"/>
  <c r="I6127" i="1"/>
  <c r="H6127" i="1"/>
  <c r="I6126" i="1"/>
  <c r="H6126" i="1"/>
  <c r="I6125" i="1"/>
  <c r="H6125" i="1"/>
  <c r="I6124" i="1"/>
  <c r="H6124" i="1"/>
  <c r="I6123" i="1"/>
  <c r="H6123" i="1"/>
  <c r="I6122" i="1"/>
  <c r="H6122" i="1"/>
  <c r="I6121" i="1"/>
  <c r="H6121" i="1"/>
  <c r="I6120" i="1"/>
  <c r="H6120" i="1"/>
  <c r="I6119" i="1"/>
  <c r="H6119" i="1"/>
  <c r="I6118" i="1"/>
  <c r="H6118" i="1"/>
  <c r="I6117" i="1"/>
  <c r="H6117" i="1"/>
  <c r="I6116" i="1"/>
  <c r="H6116" i="1"/>
  <c r="I6115" i="1"/>
  <c r="H6115" i="1"/>
  <c r="I6114" i="1"/>
  <c r="H6114" i="1"/>
  <c r="I6113" i="1"/>
  <c r="H6113" i="1"/>
  <c r="I6112" i="1"/>
  <c r="H6112" i="1"/>
  <c r="I6111" i="1"/>
  <c r="H6111" i="1"/>
  <c r="I6110" i="1"/>
  <c r="H6110" i="1"/>
  <c r="I6109" i="1"/>
  <c r="H6109" i="1"/>
  <c r="I6108" i="1"/>
  <c r="H6108" i="1"/>
  <c r="I6107" i="1"/>
  <c r="H6107" i="1"/>
  <c r="I6106" i="1"/>
  <c r="H6106" i="1"/>
  <c r="I6105" i="1"/>
  <c r="H6105" i="1"/>
  <c r="I6104" i="1"/>
  <c r="H6104" i="1"/>
  <c r="I6103" i="1"/>
  <c r="H6103" i="1"/>
  <c r="I6102" i="1"/>
  <c r="H6102" i="1"/>
  <c r="I6101" i="1"/>
  <c r="H6101" i="1"/>
  <c r="I6100" i="1"/>
  <c r="H6100" i="1"/>
  <c r="I6099" i="1"/>
  <c r="H6099" i="1"/>
  <c r="I6098" i="1"/>
  <c r="H6098" i="1"/>
  <c r="I6097" i="1"/>
  <c r="H6097" i="1"/>
  <c r="I6096" i="1"/>
  <c r="H6096" i="1"/>
  <c r="I6095" i="1"/>
  <c r="H6095" i="1"/>
  <c r="I6094" i="1"/>
  <c r="H6094" i="1"/>
  <c r="I6093" i="1"/>
  <c r="H6093" i="1"/>
  <c r="I6092" i="1"/>
  <c r="H6092" i="1"/>
  <c r="I6091" i="1"/>
  <c r="H6091" i="1"/>
  <c r="I6090" i="1"/>
  <c r="H6090" i="1"/>
  <c r="I6089" i="1"/>
  <c r="H6089" i="1"/>
  <c r="I6088" i="1"/>
  <c r="H6088" i="1"/>
  <c r="I6087" i="1"/>
  <c r="H6087" i="1"/>
  <c r="I6086" i="1"/>
  <c r="H6086" i="1"/>
  <c r="I6085" i="1"/>
  <c r="H6085" i="1"/>
  <c r="I6084" i="1"/>
  <c r="H6084" i="1"/>
  <c r="I6083" i="1"/>
  <c r="H6083" i="1"/>
  <c r="I6082" i="1"/>
  <c r="H6082" i="1"/>
  <c r="I6081" i="1"/>
  <c r="H6081" i="1"/>
  <c r="I6080" i="1"/>
  <c r="H6080" i="1"/>
  <c r="I6079" i="1"/>
  <c r="H6079" i="1"/>
  <c r="I6078" i="1"/>
  <c r="H6078" i="1"/>
  <c r="I6077" i="1"/>
  <c r="H6077" i="1"/>
  <c r="I6076" i="1"/>
  <c r="H6076" i="1"/>
  <c r="I6075" i="1"/>
  <c r="H6075" i="1"/>
  <c r="I6074" i="1"/>
  <c r="H6074" i="1"/>
  <c r="I6073" i="1"/>
  <c r="H6073" i="1"/>
  <c r="I6072" i="1"/>
  <c r="H6072" i="1"/>
  <c r="I6071" i="1"/>
  <c r="H6071" i="1"/>
  <c r="I6070" i="1"/>
  <c r="H6070" i="1"/>
  <c r="I6069" i="1"/>
  <c r="H6069" i="1"/>
  <c r="I6068" i="1"/>
  <c r="H6068" i="1"/>
  <c r="I6067" i="1"/>
  <c r="H6067" i="1"/>
  <c r="I6066" i="1"/>
  <c r="H6066" i="1"/>
  <c r="I6065" i="1"/>
  <c r="H6065" i="1"/>
  <c r="I6064" i="1"/>
  <c r="H6064" i="1"/>
  <c r="I6063" i="1"/>
  <c r="H6063" i="1"/>
  <c r="I6062" i="1"/>
  <c r="H6062" i="1"/>
  <c r="I6061" i="1"/>
  <c r="H6061" i="1"/>
  <c r="I6060" i="1"/>
  <c r="H6060" i="1"/>
  <c r="I6059" i="1"/>
  <c r="H6059" i="1"/>
  <c r="I6058" i="1"/>
  <c r="H6058" i="1"/>
  <c r="I6057" i="1"/>
  <c r="H6057" i="1"/>
  <c r="I6056" i="1"/>
  <c r="H6056" i="1"/>
  <c r="I6055" i="1"/>
  <c r="H6055" i="1"/>
  <c r="I6054" i="1"/>
  <c r="H6054" i="1"/>
  <c r="I6053" i="1"/>
  <c r="H6053" i="1"/>
  <c r="I6052" i="1"/>
  <c r="H6052" i="1"/>
  <c r="I6051" i="1"/>
  <c r="H6051" i="1"/>
  <c r="I6050" i="1"/>
  <c r="H6050" i="1"/>
  <c r="I6049" i="1"/>
  <c r="H6049" i="1"/>
  <c r="I6048" i="1"/>
  <c r="H6048" i="1"/>
  <c r="I6047" i="1"/>
  <c r="H6047" i="1"/>
  <c r="I6046" i="1"/>
  <c r="H6046" i="1"/>
  <c r="I6045" i="1"/>
  <c r="H6045" i="1"/>
  <c r="I6044" i="1"/>
  <c r="H6044" i="1"/>
  <c r="I6043" i="1"/>
  <c r="H6043" i="1"/>
  <c r="I6042" i="1"/>
  <c r="H6042" i="1"/>
  <c r="I6041" i="1"/>
  <c r="H6041" i="1"/>
  <c r="I6040" i="1"/>
  <c r="H6040" i="1"/>
  <c r="I6039" i="1"/>
  <c r="H6039" i="1"/>
  <c r="I6038" i="1"/>
  <c r="H6038" i="1"/>
  <c r="I6037" i="1"/>
  <c r="H6037" i="1"/>
  <c r="I6036" i="1"/>
  <c r="H6036" i="1"/>
  <c r="I6035" i="1"/>
  <c r="H6035" i="1"/>
  <c r="I6034" i="1"/>
  <c r="H6034" i="1"/>
  <c r="I6033" i="1"/>
  <c r="H6033" i="1"/>
  <c r="I6032" i="1"/>
  <c r="H6032" i="1"/>
  <c r="I6031" i="1"/>
  <c r="H6031" i="1"/>
  <c r="I6030" i="1"/>
  <c r="H6030" i="1"/>
  <c r="I6029" i="1"/>
  <c r="H6029" i="1"/>
  <c r="I6028" i="1"/>
  <c r="H6028" i="1"/>
  <c r="I6027" i="1"/>
  <c r="H6027" i="1"/>
  <c r="I6026" i="1"/>
  <c r="H6026" i="1"/>
  <c r="I6025" i="1"/>
  <c r="H6025" i="1"/>
  <c r="I6024" i="1"/>
  <c r="H6024" i="1"/>
  <c r="I6023" i="1"/>
  <c r="H6023" i="1"/>
  <c r="I6022" i="1"/>
  <c r="H6022" i="1"/>
  <c r="I6021" i="1"/>
  <c r="H6021" i="1"/>
  <c r="I6020" i="1"/>
  <c r="H6020" i="1"/>
  <c r="I6019" i="1"/>
  <c r="H6019" i="1"/>
  <c r="I6018" i="1"/>
  <c r="H6018" i="1"/>
  <c r="I6017" i="1"/>
  <c r="H6017" i="1"/>
  <c r="I6016" i="1"/>
  <c r="H6016" i="1"/>
  <c r="I6015" i="1"/>
  <c r="H6015" i="1"/>
  <c r="I6014" i="1"/>
  <c r="H6014" i="1"/>
  <c r="I6013" i="1"/>
  <c r="H6013" i="1"/>
  <c r="I6012" i="1"/>
  <c r="H6012" i="1"/>
  <c r="I6011" i="1"/>
  <c r="H6011" i="1"/>
  <c r="I6010" i="1"/>
  <c r="H6010" i="1"/>
  <c r="I6009" i="1"/>
  <c r="H6009" i="1"/>
  <c r="I6008" i="1"/>
  <c r="H6008" i="1"/>
  <c r="I6007" i="1"/>
  <c r="H6007" i="1"/>
  <c r="I6006" i="1"/>
  <c r="H6006" i="1"/>
  <c r="I6005" i="1"/>
  <c r="H6005" i="1"/>
  <c r="I6004" i="1"/>
  <c r="H6004" i="1"/>
  <c r="I6003" i="1"/>
  <c r="H6003" i="1"/>
  <c r="I6002" i="1"/>
  <c r="H6002" i="1"/>
  <c r="I6001" i="1"/>
  <c r="H6001" i="1"/>
  <c r="I6000" i="1"/>
  <c r="H6000" i="1"/>
  <c r="I5999" i="1"/>
  <c r="H5999" i="1"/>
  <c r="I5998" i="1"/>
  <c r="H5998" i="1"/>
  <c r="I5997" i="1"/>
  <c r="H5997" i="1"/>
  <c r="I5996" i="1"/>
  <c r="H5996" i="1"/>
  <c r="I5995" i="1"/>
  <c r="H5995" i="1"/>
  <c r="I5994" i="1"/>
  <c r="H5994" i="1"/>
  <c r="I5993" i="1"/>
  <c r="H5993" i="1"/>
  <c r="I5992" i="1"/>
  <c r="H5992" i="1"/>
  <c r="I5991" i="1"/>
  <c r="H5991" i="1"/>
  <c r="I5990" i="1"/>
  <c r="H5990" i="1"/>
  <c r="I5989" i="1"/>
  <c r="H5989" i="1"/>
  <c r="I5988" i="1"/>
  <c r="H5988" i="1"/>
  <c r="I5987" i="1"/>
  <c r="H5987" i="1"/>
  <c r="I5986" i="1"/>
  <c r="H5986" i="1"/>
  <c r="I5985" i="1"/>
  <c r="H5985" i="1"/>
  <c r="I5984" i="1"/>
  <c r="H5984" i="1"/>
  <c r="I5983" i="1"/>
  <c r="H5983" i="1"/>
  <c r="I5982" i="1"/>
  <c r="H5982" i="1"/>
  <c r="I5981" i="1"/>
  <c r="H5981" i="1"/>
  <c r="I5980" i="1"/>
  <c r="H5980" i="1"/>
  <c r="I5979" i="1"/>
  <c r="H5979" i="1"/>
  <c r="I5978" i="1"/>
  <c r="H5978" i="1"/>
  <c r="I5977" i="1"/>
  <c r="H5977" i="1"/>
  <c r="I5976" i="1"/>
  <c r="H5976" i="1"/>
  <c r="I5975" i="1"/>
  <c r="H5975" i="1"/>
  <c r="I5974" i="1"/>
  <c r="H5974" i="1"/>
  <c r="I5973" i="1"/>
  <c r="H5973" i="1"/>
  <c r="I5972" i="1"/>
  <c r="H5972" i="1"/>
  <c r="I5971" i="1"/>
  <c r="H5971" i="1"/>
  <c r="I5970" i="1"/>
  <c r="H5970" i="1"/>
  <c r="I5969" i="1"/>
  <c r="H5969" i="1"/>
  <c r="I5968" i="1"/>
  <c r="H5968" i="1"/>
  <c r="I5967" i="1"/>
  <c r="H5967" i="1"/>
  <c r="I5966" i="1"/>
  <c r="H5966" i="1"/>
  <c r="I5965" i="1"/>
  <c r="H5965" i="1"/>
  <c r="I5964" i="1"/>
  <c r="H5964" i="1"/>
  <c r="I5963" i="1"/>
  <c r="H5963" i="1"/>
  <c r="I5962" i="1"/>
  <c r="H5962" i="1"/>
  <c r="I5961" i="1"/>
  <c r="H5961" i="1"/>
  <c r="I5960" i="1"/>
  <c r="H5960" i="1"/>
  <c r="I5959" i="1"/>
  <c r="H5959" i="1"/>
  <c r="I5958" i="1"/>
  <c r="H5958" i="1"/>
  <c r="I5957" i="1"/>
  <c r="H5957" i="1"/>
  <c r="I5956" i="1"/>
  <c r="H5956" i="1"/>
  <c r="I5955" i="1"/>
  <c r="H5955" i="1"/>
  <c r="I5954" i="1"/>
  <c r="H5954" i="1"/>
  <c r="I5953" i="1"/>
  <c r="H5953" i="1"/>
  <c r="I5952" i="1"/>
  <c r="H5952" i="1"/>
  <c r="I5951" i="1"/>
  <c r="H5951" i="1"/>
  <c r="I5950" i="1"/>
  <c r="H5950" i="1"/>
  <c r="I5949" i="1"/>
  <c r="H5949" i="1"/>
  <c r="I5948" i="1"/>
  <c r="H5948" i="1"/>
  <c r="I5947" i="1"/>
  <c r="H5947" i="1"/>
  <c r="I5946" i="1"/>
  <c r="H5946" i="1"/>
  <c r="I5945" i="1"/>
  <c r="H5945" i="1"/>
  <c r="I5944" i="1"/>
  <c r="H5944" i="1"/>
  <c r="I5943" i="1"/>
  <c r="H5943" i="1"/>
  <c r="I5942" i="1"/>
  <c r="H5942" i="1"/>
  <c r="I5941" i="1"/>
  <c r="H5941" i="1"/>
  <c r="I5940" i="1"/>
  <c r="H5940" i="1"/>
  <c r="I5939" i="1"/>
  <c r="H5939" i="1"/>
  <c r="I5938" i="1"/>
  <c r="H5938" i="1"/>
  <c r="I5937" i="1"/>
  <c r="H5937" i="1"/>
  <c r="I5936" i="1"/>
  <c r="H5936" i="1"/>
  <c r="I5935" i="1"/>
  <c r="H5935" i="1"/>
  <c r="I5934" i="1"/>
  <c r="H5934" i="1"/>
  <c r="I5933" i="1"/>
  <c r="H5933" i="1"/>
  <c r="I5932" i="1"/>
  <c r="H5932" i="1"/>
  <c r="I5931" i="1"/>
  <c r="H5931" i="1"/>
  <c r="I5930" i="1"/>
  <c r="H5930" i="1"/>
  <c r="I5929" i="1"/>
  <c r="H5929" i="1"/>
  <c r="I5928" i="1"/>
  <c r="H5928" i="1"/>
  <c r="I5927" i="1"/>
  <c r="H5927" i="1"/>
  <c r="I5926" i="1"/>
  <c r="H5926" i="1"/>
  <c r="I5925" i="1"/>
  <c r="H5925" i="1"/>
  <c r="I5924" i="1"/>
  <c r="H5924" i="1"/>
  <c r="I5923" i="1"/>
  <c r="H5923" i="1"/>
  <c r="I5922" i="1"/>
  <c r="H5922" i="1"/>
  <c r="I5921" i="1"/>
  <c r="H5921" i="1"/>
  <c r="I5920" i="1"/>
  <c r="H5920" i="1"/>
  <c r="I5919" i="1"/>
  <c r="H5919" i="1"/>
  <c r="I5918" i="1"/>
  <c r="H5918" i="1"/>
  <c r="I5917" i="1"/>
  <c r="H5917" i="1"/>
  <c r="I5916" i="1"/>
  <c r="H5916" i="1"/>
  <c r="I5915" i="1"/>
  <c r="H5915" i="1"/>
  <c r="I5914" i="1"/>
  <c r="H5914" i="1"/>
  <c r="I5913" i="1"/>
  <c r="H5913" i="1"/>
  <c r="I5912" i="1"/>
  <c r="H5912" i="1"/>
  <c r="I5911" i="1"/>
  <c r="H5911" i="1"/>
  <c r="I5910" i="1"/>
  <c r="H5910" i="1"/>
  <c r="I5909" i="1"/>
  <c r="H5909" i="1"/>
  <c r="I5908" i="1"/>
  <c r="H5908" i="1"/>
  <c r="I5907" i="1"/>
  <c r="H5907" i="1"/>
  <c r="I5906" i="1"/>
  <c r="H5906" i="1"/>
  <c r="I5905" i="1"/>
  <c r="H5905" i="1"/>
  <c r="I5904" i="1"/>
  <c r="H5904" i="1"/>
  <c r="I5903" i="1"/>
  <c r="H5903" i="1"/>
  <c r="I5902" i="1"/>
  <c r="H5902" i="1"/>
  <c r="I5901" i="1"/>
  <c r="H5901" i="1"/>
  <c r="I5900" i="1"/>
  <c r="H5900" i="1"/>
  <c r="I5899" i="1"/>
  <c r="H5899" i="1"/>
  <c r="I5898" i="1"/>
  <c r="H5898" i="1"/>
  <c r="I5897" i="1"/>
  <c r="H5897" i="1"/>
  <c r="I5896" i="1"/>
  <c r="H5896" i="1"/>
  <c r="I5895" i="1"/>
  <c r="H5895" i="1"/>
  <c r="I5894" i="1"/>
  <c r="H5894" i="1"/>
  <c r="I5893" i="1"/>
  <c r="H5893" i="1"/>
  <c r="I5892" i="1"/>
  <c r="H5892" i="1"/>
  <c r="I5891" i="1"/>
  <c r="H5891" i="1"/>
  <c r="I5890" i="1"/>
  <c r="H5890" i="1"/>
  <c r="I5889" i="1"/>
  <c r="H5889" i="1"/>
  <c r="I5888" i="1"/>
  <c r="H5888" i="1"/>
  <c r="I5887" i="1"/>
  <c r="H5887" i="1"/>
  <c r="I5886" i="1"/>
  <c r="H5886" i="1"/>
  <c r="I5885" i="1"/>
  <c r="H5885" i="1"/>
  <c r="I5884" i="1"/>
  <c r="H5884" i="1"/>
  <c r="I5883" i="1"/>
  <c r="H5883" i="1"/>
  <c r="I5882" i="1"/>
  <c r="H5882" i="1"/>
  <c r="I5881" i="1"/>
  <c r="H5881" i="1"/>
  <c r="I5880" i="1"/>
  <c r="H5880" i="1"/>
  <c r="I5879" i="1"/>
  <c r="H5879" i="1"/>
  <c r="I5878" i="1"/>
  <c r="H5878" i="1"/>
  <c r="I5877" i="1"/>
  <c r="H5877" i="1"/>
  <c r="I5876" i="1"/>
  <c r="H5876" i="1"/>
  <c r="I5875" i="1"/>
  <c r="H5875" i="1"/>
  <c r="I5874" i="1"/>
  <c r="H5874" i="1"/>
  <c r="I5873" i="1"/>
  <c r="H5873" i="1"/>
  <c r="I5872" i="1"/>
  <c r="H5872" i="1"/>
  <c r="I5871" i="1"/>
  <c r="H5871" i="1"/>
  <c r="I5870" i="1"/>
  <c r="H5870" i="1"/>
  <c r="I5869" i="1"/>
  <c r="H5869" i="1"/>
  <c r="I5868" i="1"/>
  <c r="H5868" i="1"/>
  <c r="I5867" i="1"/>
  <c r="H5867" i="1"/>
  <c r="I5866" i="1"/>
  <c r="H5866" i="1"/>
  <c r="I5865" i="1"/>
  <c r="H5865" i="1"/>
  <c r="I5864" i="1"/>
  <c r="H5864" i="1"/>
  <c r="I5863" i="1"/>
  <c r="H5863" i="1"/>
  <c r="I5862" i="1"/>
  <c r="H5862" i="1"/>
  <c r="I5861" i="1"/>
  <c r="H5861" i="1"/>
  <c r="I5860" i="1"/>
  <c r="H5860" i="1"/>
  <c r="I5859" i="1"/>
  <c r="H5859" i="1"/>
  <c r="I5858" i="1"/>
  <c r="H5858" i="1"/>
  <c r="I5857" i="1"/>
  <c r="H5857" i="1"/>
  <c r="I5856" i="1"/>
  <c r="H5856" i="1"/>
  <c r="I5855" i="1"/>
  <c r="H5855" i="1"/>
  <c r="I5854" i="1"/>
  <c r="H5854" i="1"/>
  <c r="I5853" i="1"/>
  <c r="H5853" i="1"/>
  <c r="I5852" i="1"/>
  <c r="H5852" i="1"/>
  <c r="I5851" i="1"/>
  <c r="H5851" i="1"/>
  <c r="I5850" i="1"/>
  <c r="H5850" i="1"/>
  <c r="I5849" i="1"/>
  <c r="H5849" i="1"/>
  <c r="I5848" i="1"/>
  <c r="H5848" i="1"/>
  <c r="I5847" i="1"/>
  <c r="H5847" i="1"/>
  <c r="I5846" i="1"/>
  <c r="H5846" i="1"/>
  <c r="I5845" i="1"/>
  <c r="H5845" i="1"/>
  <c r="I5844" i="1"/>
  <c r="H5844" i="1"/>
  <c r="I5843" i="1"/>
  <c r="H5843" i="1"/>
  <c r="I5842" i="1"/>
  <c r="H5842" i="1"/>
  <c r="I5841" i="1"/>
  <c r="H5841" i="1"/>
  <c r="I5840" i="1"/>
  <c r="H5840" i="1"/>
  <c r="I5839" i="1"/>
  <c r="H5839" i="1"/>
  <c r="I5838" i="1"/>
  <c r="H5838" i="1"/>
  <c r="I5837" i="1"/>
  <c r="H5837" i="1"/>
  <c r="I5836" i="1"/>
  <c r="H5836" i="1"/>
  <c r="I5835" i="1"/>
  <c r="H5835" i="1"/>
  <c r="I5834" i="1"/>
  <c r="H5834" i="1"/>
  <c r="I5833" i="1"/>
  <c r="H5833" i="1"/>
  <c r="I5832" i="1"/>
  <c r="H5832" i="1"/>
  <c r="I5831" i="1"/>
  <c r="H5831" i="1"/>
  <c r="I5830" i="1"/>
  <c r="H5830" i="1"/>
  <c r="I5829" i="1"/>
  <c r="H5829" i="1"/>
  <c r="I5828" i="1"/>
  <c r="H5828" i="1"/>
  <c r="I5827" i="1"/>
  <c r="H5827" i="1"/>
  <c r="I5826" i="1"/>
  <c r="H5826" i="1"/>
  <c r="I5825" i="1"/>
  <c r="H5825" i="1"/>
  <c r="I5824" i="1"/>
  <c r="H5824" i="1"/>
  <c r="I5823" i="1"/>
  <c r="H5823" i="1"/>
  <c r="I5822" i="1"/>
  <c r="H5822" i="1"/>
  <c r="I5821" i="1"/>
  <c r="H5821" i="1"/>
  <c r="I5820" i="1"/>
  <c r="H5820" i="1"/>
  <c r="I5819" i="1"/>
  <c r="H5819" i="1"/>
  <c r="I5818" i="1"/>
  <c r="H5818" i="1"/>
  <c r="I5817" i="1"/>
  <c r="H5817" i="1"/>
  <c r="I5816" i="1"/>
  <c r="H5816" i="1"/>
  <c r="I5815" i="1"/>
  <c r="H5815" i="1"/>
  <c r="I5814" i="1"/>
  <c r="H5814" i="1"/>
  <c r="I5813" i="1"/>
  <c r="H5813" i="1"/>
  <c r="I5812" i="1"/>
  <c r="H5812" i="1"/>
  <c r="I5811" i="1"/>
  <c r="H5811" i="1"/>
  <c r="I5810" i="1"/>
  <c r="H5810" i="1"/>
  <c r="I5809" i="1"/>
  <c r="H5809" i="1"/>
  <c r="I5808" i="1"/>
  <c r="H5808" i="1"/>
  <c r="I5807" i="1"/>
  <c r="H5807" i="1"/>
  <c r="I5806" i="1"/>
  <c r="H5806" i="1"/>
  <c r="I5805" i="1"/>
  <c r="H5805" i="1"/>
  <c r="I5804" i="1"/>
  <c r="H5804" i="1"/>
  <c r="I5803" i="1"/>
  <c r="H5803" i="1"/>
  <c r="I5802" i="1"/>
  <c r="H5802" i="1"/>
  <c r="I5801" i="1"/>
  <c r="H5801" i="1"/>
  <c r="I5800" i="1"/>
  <c r="H5800" i="1"/>
  <c r="I5799" i="1"/>
  <c r="H5799" i="1"/>
  <c r="I5798" i="1"/>
  <c r="H5798" i="1"/>
  <c r="I5797" i="1"/>
  <c r="H5797" i="1"/>
  <c r="I5796" i="1"/>
  <c r="H5796" i="1"/>
  <c r="I5795" i="1"/>
  <c r="H5795" i="1"/>
  <c r="I5794" i="1"/>
  <c r="H5794" i="1"/>
  <c r="I5793" i="1"/>
  <c r="H5793" i="1"/>
  <c r="I5792" i="1"/>
  <c r="H5792" i="1"/>
  <c r="I5791" i="1"/>
  <c r="H5791" i="1"/>
  <c r="I5790" i="1"/>
  <c r="H5790" i="1"/>
  <c r="I5789" i="1"/>
  <c r="H5789" i="1"/>
  <c r="I5788" i="1"/>
  <c r="H5788" i="1"/>
  <c r="I5787" i="1"/>
  <c r="H5787" i="1"/>
  <c r="I5786" i="1"/>
  <c r="H5786" i="1"/>
  <c r="I5785" i="1"/>
  <c r="H5785" i="1"/>
  <c r="I5784" i="1"/>
  <c r="H5784" i="1"/>
  <c r="I5783" i="1"/>
  <c r="H5783" i="1"/>
  <c r="I5782" i="1"/>
  <c r="H5782" i="1"/>
  <c r="I5781" i="1"/>
  <c r="H5781" i="1"/>
  <c r="I5780" i="1"/>
  <c r="H5780" i="1"/>
  <c r="I5779" i="1"/>
  <c r="H5779" i="1"/>
  <c r="I5778" i="1"/>
  <c r="H5778" i="1"/>
  <c r="I5777" i="1"/>
  <c r="H5777" i="1"/>
  <c r="I5776" i="1"/>
  <c r="H5776" i="1"/>
  <c r="I5775" i="1"/>
  <c r="H5775" i="1"/>
  <c r="I5774" i="1"/>
  <c r="H5774" i="1"/>
  <c r="I5773" i="1"/>
  <c r="H5773" i="1"/>
  <c r="I5772" i="1"/>
  <c r="H5772" i="1"/>
  <c r="I5771" i="1"/>
  <c r="H5771" i="1"/>
  <c r="I5770" i="1"/>
  <c r="H5770" i="1"/>
  <c r="I5769" i="1"/>
  <c r="H5769" i="1"/>
  <c r="I5768" i="1"/>
  <c r="H5768" i="1"/>
  <c r="I5767" i="1"/>
  <c r="H5767" i="1"/>
  <c r="I5766" i="1"/>
  <c r="H5766" i="1"/>
  <c r="I5765" i="1"/>
  <c r="H5765" i="1"/>
  <c r="I5764" i="1"/>
  <c r="H5764" i="1"/>
  <c r="I5763" i="1"/>
  <c r="H5763" i="1"/>
  <c r="I5762" i="1"/>
  <c r="H5762" i="1"/>
  <c r="I5761" i="1"/>
  <c r="H5761" i="1"/>
  <c r="I5760" i="1"/>
  <c r="H5760" i="1"/>
  <c r="I5759" i="1"/>
  <c r="H5759" i="1"/>
  <c r="I5758" i="1"/>
  <c r="H5758" i="1"/>
  <c r="I5757" i="1"/>
  <c r="H5757" i="1"/>
  <c r="I5756" i="1"/>
  <c r="H5756" i="1"/>
  <c r="I5755" i="1"/>
  <c r="H5755" i="1"/>
  <c r="I5754" i="1"/>
  <c r="H5754" i="1"/>
  <c r="I5753" i="1"/>
  <c r="H5753" i="1"/>
  <c r="I5752" i="1"/>
  <c r="H5752" i="1"/>
  <c r="I5751" i="1"/>
  <c r="H5751" i="1"/>
  <c r="I5750" i="1"/>
  <c r="H5750" i="1"/>
  <c r="I5749" i="1"/>
  <c r="H5749" i="1"/>
  <c r="I5748" i="1"/>
  <c r="H5748" i="1"/>
  <c r="I5747" i="1"/>
  <c r="H5747" i="1"/>
  <c r="I5746" i="1"/>
  <c r="H5746" i="1"/>
  <c r="I5745" i="1"/>
  <c r="H5745" i="1"/>
  <c r="I5744" i="1"/>
  <c r="H5744" i="1"/>
  <c r="I5743" i="1"/>
  <c r="H5743" i="1"/>
  <c r="I5742" i="1"/>
  <c r="H5742" i="1"/>
  <c r="I5741" i="1"/>
  <c r="H5741" i="1"/>
  <c r="I5740" i="1"/>
  <c r="H5740" i="1"/>
  <c r="I5739" i="1"/>
  <c r="H5739" i="1"/>
  <c r="I5738" i="1"/>
  <c r="H5738" i="1"/>
  <c r="I5737" i="1"/>
  <c r="H5737" i="1"/>
  <c r="I5736" i="1"/>
  <c r="H5736" i="1"/>
  <c r="I5735" i="1"/>
  <c r="H5735" i="1"/>
  <c r="I5734" i="1"/>
  <c r="H5734" i="1"/>
  <c r="I5733" i="1"/>
  <c r="H5733" i="1"/>
  <c r="I5732" i="1"/>
  <c r="H5732" i="1"/>
  <c r="I5731" i="1"/>
  <c r="H5731" i="1"/>
  <c r="I5730" i="1"/>
  <c r="H5730" i="1"/>
  <c r="I5729" i="1"/>
  <c r="H5729" i="1"/>
  <c r="I5728" i="1"/>
  <c r="H5728" i="1"/>
  <c r="I5727" i="1"/>
  <c r="H5727" i="1"/>
  <c r="I5726" i="1"/>
  <c r="H5726" i="1"/>
  <c r="I5725" i="1"/>
  <c r="H5725" i="1"/>
  <c r="I5724" i="1"/>
  <c r="H5724" i="1"/>
  <c r="I5723" i="1"/>
  <c r="H5723" i="1"/>
  <c r="I5722" i="1"/>
  <c r="H5722" i="1"/>
  <c r="I5721" i="1"/>
  <c r="H5721" i="1"/>
  <c r="I5720" i="1"/>
  <c r="H5720" i="1"/>
  <c r="I5719" i="1"/>
  <c r="H5719" i="1"/>
  <c r="I5718" i="1"/>
  <c r="H5718" i="1"/>
  <c r="I5717" i="1"/>
  <c r="H5717" i="1"/>
  <c r="I5716" i="1"/>
  <c r="H5716" i="1"/>
  <c r="I5715" i="1"/>
  <c r="H5715" i="1"/>
  <c r="I5714" i="1"/>
  <c r="H5714" i="1"/>
  <c r="I5713" i="1"/>
  <c r="H5713" i="1"/>
  <c r="I5712" i="1"/>
  <c r="H5712" i="1"/>
  <c r="I5711" i="1"/>
  <c r="H5711" i="1"/>
  <c r="I5710" i="1"/>
  <c r="H5710" i="1"/>
  <c r="I5709" i="1"/>
  <c r="H5709" i="1"/>
  <c r="I5708" i="1"/>
  <c r="H5708" i="1"/>
  <c r="I5707" i="1"/>
  <c r="H5707" i="1"/>
  <c r="I5706" i="1"/>
  <c r="H5706" i="1"/>
  <c r="I5705" i="1"/>
  <c r="H5705" i="1"/>
  <c r="I5704" i="1"/>
  <c r="H5704" i="1"/>
  <c r="I5703" i="1"/>
  <c r="H5703" i="1"/>
  <c r="I5702" i="1"/>
  <c r="H5702" i="1"/>
  <c r="I5701" i="1"/>
  <c r="H5701" i="1"/>
  <c r="I5700" i="1"/>
  <c r="H5700" i="1"/>
  <c r="I5699" i="1"/>
  <c r="H5699" i="1"/>
  <c r="I5698" i="1"/>
  <c r="H5698" i="1"/>
  <c r="I5697" i="1"/>
  <c r="H5697" i="1"/>
  <c r="I5696" i="1"/>
  <c r="H5696" i="1"/>
  <c r="I5695" i="1"/>
  <c r="H5695" i="1"/>
  <c r="I5694" i="1"/>
  <c r="H5694" i="1"/>
  <c r="I5693" i="1"/>
  <c r="H5693" i="1"/>
  <c r="I5692" i="1"/>
  <c r="H5692" i="1"/>
  <c r="I5691" i="1"/>
  <c r="H5691" i="1"/>
  <c r="I5690" i="1"/>
  <c r="H5690" i="1"/>
  <c r="I5689" i="1"/>
  <c r="H5689" i="1"/>
  <c r="I5688" i="1"/>
  <c r="H5688" i="1"/>
  <c r="I5687" i="1"/>
  <c r="H5687" i="1"/>
  <c r="I5686" i="1"/>
  <c r="H5686" i="1"/>
  <c r="I5685" i="1"/>
  <c r="H5685" i="1"/>
  <c r="I5684" i="1"/>
  <c r="H5684" i="1"/>
  <c r="I5683" i="1"/>
  <c r="H5683" i="1"/>
  <c r="I5682" i="1"/>
  <c r="H5682" i="1"/>
  <c r="I5681" i="1"/>
  <c r="H5681" i="1"/>
  <c r="I5680" i="1"/>
  <c r="H5680" i="1"/>
  <c r="I5679" i="1"/>
  <c r="H5679" i="1"/>
  <c r="I5678" i="1"/>
  <c r="H5678" i="1"/>
  <c r="I5677" i="1"/>
  <c r="H5677" i="1"/>
  <c r="I5676" i="1"/>
  <c r="H5676" i="1"/>
  <c r="I5675" i="1"/>
  <c r="H5675" i="1"/>
  <c r="I5674" i="1"/>
  <c r="H5674" i="1"/>
  <c r="I5673" i="1"/>
  <c r="H5673" i="1"/>
  <c r="I5672" i="1"/>
  <c r="H5672" i="1"/>
  <c r="I5671" i="1"/>
  <c r="H5671" i="1"/>
  <c r="I5670" i="1"/>
  <c r="H5670" i="1"/>
  <c r="I5669" i="1"/>
  <c r="H5669" i="1"/>
  <c r="I5668" i="1"/>
  <c r="H5668" i="1"/>
  <c r="I5667" i="1"/>
  <c r="H5667" i="1"/>
  <c r="I5666" i="1"/>
  <c r="H5666" i="1"/>
  <c r="I5665" i="1"/>
  <c r="H5665" i="1"/>
  <c r="I5664" i="1"/>
  <c r="H5664" i="1"/>
  <c r="I5663" i="1"/>
  <c r="H5663" i="1"/>
  <c r="I5662" i="1"/>
  <c r="H5662" i="1"/>
  <c r="I5661" i="1"/>
  <c r="H5661" i="1"/>
  <c r="I5660" i="1"/>
  <c r="H5660" i="1"/>
  <c r="I5659" i="1"/>
  <c r="H5659" i="1"/>
  <c r="I5658" i="1"/>
  <c r="H5658" i="1"/>
  <c r="I5657" i="1"/>
  <c r="H5657" i="1"/>
  <c r="I5656" i="1"/>
  <c r="H5656" i="1"/>
  <c r="I5655" i="1"/>
  <c r="H5655" i="1"/>
  <c r="I5654" i="1"/>
  <c r="H5654" i="1"/>
  <c r="I5653" i="1"/>
  <c r="H5653" i="1"/>
  <c r="I5652" i="1"/>
  <c r="H5652" i="1"/>
  <c r="I5651" i="1"/>
  <c r="H5651" i="1"/>
  <c r="I5650" i="1"/>
  <c r="H5650" i="1"/>
  <c r="I5649" i="1"/>
  <c r="H5649" i="1"/>
  <c r="I5648" i="1"/>
  <c r="H5648" i="1"/>
  <c r="I5647" i="1"/>
  <c r="H5647" i="1"/>
  <c r="I5646" i="1"/>
  <c r="H5646" i="1"/>
  <c r="I5645" i="1"/>
  <c r="H5645" i="1"/>
  <c r="I5644" i="1"/>
  <c r="H5644" i="1"/>
  <c r="I5643" i="1"/>
  <c r="H5643" i="1"/>
  <c r="I5642" i="1"/>
  <c r="H5642" i="1"/>
  <c r="I5641" i="1"/>
  <c r="H5641" i="1"/>
  <c r="I5640" i="1"/>
  <c r="H5640" i="1"/>
  <c r="I5639" i="1"/>
  <c r="H5639" i="1"/>
  <c r="I5638" i="1"/>
  <c r="H5638" i="1"/>
  <c r="I5637" i="1"/>
  <c r="H5637" i="1"/>
  <c r="I5636" i="1"/>
  <c r="H5636" i="1"/>
  <c r="I5635" i="1"/>
  <c r="H5635" i="1"/>
  <c r="I5634" i="1"/>
  <c r="H5634" i="1"/>
  <c r="I5633" i="1"/>
  <c r="H5633" i="1"/>
  <c r="I5632" i="1"/>
  <c r="H5632" i="1"/>
  <c r="I5631" i="1"/>
  <c r="H5631" i="1"/>
  <c r="I5630" i="1"/>
  <c r="H5630" i="1"/>
  <c r="I5629" i="1"/>
  <c r="H5629" i="1"/>
  <c r="I5628" i="1"/>
  <c r="H5628" i="1"/>
  <c r="I5627" i="1"/>
  <c r="H5627" i="1"/>
  <c r="I5626" i="1"/>
  <c r="H5626" i="1"/>
  <c r="I5625" i="1"/>
  <c r="H5625" i="1"/>
  <c r="I5624" i="1"/>
  <c r="H5624" i="1"/>
  <c r="I5623" i="1"/>
  <c r="H5623" i="1"/>
  <c r="I5622" i="1"/>
  <c r="H5622" i="1"/>
  <c r="I5621" i="1"/>
  <c r="H5621" i="1"/>
  <c r="I5620" i="1"/>
  <c r="H5620" i="1"/>
  <c r="I5619" i="1"/>
  <c r="H5619" i="1"/>
  <c r="I5618" i="1"/>
  <c r="H5618" i="1"/>
  <c r="I5617" i="1"/>
  <c r="H5617" i="1"/>
  <c r="I5616" i="1"/>
  <c r="H5616" i="1"/>
  <c r="I5615" i="1"/>
  <c r="H5615" i="1"/>
  <c r="I5614" i="1"/>
  <c r="H5614" i="1"/>
  <c r="I5613" i="1"/>
  <c r="H5613" i="1"/>
  <c r="I5612" i="1"/>
  <c r="H5612" i="1"/>
  <c r="I5611" i="1"/>
  <c r="H5611" i="1"/>
  <c r="I5610" i="1"/>
  <c r="H5610" i="1"/>
  <c r="I5609" i="1"/>
  <c r="H5609" i="1"/>
  <c r="I5608" i="1"/>
  <c r="H5608" i="1"/>
  <c r="I5607" i="1"/>
  <c r="H5607" i="1"/>
  <c r="I5606" i="1"/>
  <c r="H5606" i="1"/>
  <c r="I5605" i="1"/>
  <c r="H5605" i="1"/>
  <c r="I5604" i="1"/>
  <c r="H5604" i="1"/>
  <c r="I5603" i="1"/>
  <c r="H5603" i="1"/>
  <c r="I5602" i="1"/>
  <c r="H5602" i="1"/>
  <c r="I5601" i="1"/>
  <c r="H5601" i="1"/>
  <c r="I5600" i="1"/>
  <c r="H5600" i="1"/>
  <c r="I5599" i="1"/>
  <c r="H5599" i="1"/>
  <c r="I5598" i="1"/>
  <c r="H5598" i="1"/>
  <c r="I5597" i="1"/>
  <c r="H5597" i="1"/>
  <c r="I5596" i="1"/>
  <c r="H5596" i="1"/>
  <c r="I5595" i="1"/>
  <c r="H5595" i="1"/>
  <c r="I5594" i="1"/>
  <c r="H5594" i="1"/>
  <c r="I5593" i="1"/>
  <c r="H5593" i="1"/>
  <c r="I5592" i="1"/>
  <c r="H5592" i="1"/>
  <c r="I5591" i="1"/>
  <c r="H5591" i="1"/>
  <c r="I5590" i="1"/>
  <c r="H5590" i="1"/>
  <c r="I5589" i="1"/>
  <c r="H5589" i="1"/>
  <c r="I5588" i="1"/>
  <c r="H5588" i="1"/>
  <c r="I5587" i="1"/>
  <c r="H5587" i="1"/>
  <c r="I5586" i="1"/>
  <c r="H5586" i="1"/>
  <c r="I5585" i="1"/>
  <c r="H5585" i="1"/>
  <c r="I5584" i="1"/>
  <c r="H5584" i="1"/>
  <c r="I5583" i="1"/>
  <c r="H5583" i="1"/>
  <c r="I5582" i="1"/>
  <c r="H5582" i="1"/>
  <c r="I5581" i="1"/>
  <c r="H5581" i="1"/>
  <c r="I5580" i="1"/>
  <c r="H5580" i="1"/>
  <c r="I5579" i="1"/>
  <c r="H5579" i="1"/>
  <c r="I5578" i="1"/>
  <c r="H5578" i="1"/>
  <c r="I5577" i="1"/>
  <c r="H5577" i="1"/>
  <c r="I5576" i="1"/>
  <c r="H5576" i="1"/>
  <c r="I5575" i="1"/>
  <c r="H5575" i="1"/>
  <c r="I5574" i="1"/>
  <c r="H5574" i="1"/>
  <c r="I5573" i="1"/>
  <c r="H5573" i="1"/>
  <c r="I5572" i="1"/>
  <c r="H5572" i="1"/>
  <c r="I5571" i="1"/>
  <c r="H5571" i="1"/>
  <c r="I5570" i="1"/>
  <c r="H5570" i="1"/>
  <c r="I5569" i="1"/>
  <c r="H5569" i="1"/>
  <c r="I5568" i="1"/>
  <c r="H5568" i="1"/>
  <c r="I5567" i="1"/>
  <c r="H5567" i="1"/>
  <c r="I5566" i="1"/>
  <c r="H5566" i="1"/>
  <c r="I5565" i="1"/>
  <c r="H5565" i="1"/>
  <c r="I5564" i="1"/>
  <c r="H5564" i="1"/>
  <c r="I5563" i="1"/>
  <c r="H5563" i="1"/>
  <c r="I5562" i="1"/>
  <c r="H5562" i="1"/>
  <c r="I5561" i="1"/>
  <c r="H5561" i="1"/>
  <c r="I5560" i="1"/>
  <c r="H5560" i="1"/>
  <c r="I5559" i="1"/>
  <c r="H5559" i="1"/>
  <c r="I5558" i="1"/>
  <c r="H5558" i="1"/>
  <c r="I5557" i="1"/>
  <c r="H5557" i="1"/>
  <c r="I5556" i="1"/>
  <c r="H5556" i="1"/>
  <c r="I5555" i="1"/>
  <c r="H5555" i="1"/>
  <c r="I5554" i="1"/>
  <c r="H5554" i="1"/>
  <c r="I5553" i="1"/>
  <c r="H5553" i="1"/>
  <c r="I5552" i="1"/>
  <c r="H5552" i="1"/>
  <c r="I5551" i="1"/>
  <c r="H5551" i="1"/>
  <c r="I5550" i="1"/>
  <c r="H5550" i="1"/>
  <c r="I5549" i="1"/>
  <c r="H5549" i="1"/>
  <c r="I5548" i="1"/>
  <c r="H5548" i="1"/>
  <c r="I5547" i="1"/>
  <c r="H5547" i="1"/>
  <c r="I5546" i="1"/>
  <c r="H5546" i="1"/>
  <c r="I5545" i="1"/>
  <c r="H5545" i="1"/>
  <c r="I5544" i="1"/>
  <c r="H5544" i="1"/>
  <c r="I5543" i="1"/>
  <c r="H5543" i="1"/>
  <c r="I5542" i="1"/>
  <c r="H5542" i="1"/>
  <c r="I5541" i="1"/>
  <c r="H5541" i="1"/>
  <c r="I5540" i="1"/>
  <c r="H5540" i="1"/>
  <c r="I5539" i="1"/>
  <c r="H5539" i="1"/>
  <c r="I5538" i="1"/>
  <c r="H5538" i="1"/>
  <c r="I5537" i="1"/>
  <c r="H5537" i="1"/>
  <c r="I5536" i="1"/>
  <c r="H5536" i="1"/>
  <c r="I5535" i="1"/>
  <c r="H5535" i="1"/>
  <c r="I5534" i="1"/>
  <c r="H5534" i="1"/>
  <c r="I5533" i="1"/>
  <c r="H5533" i="1"/>
  <c r="I5532" i="1"/>
  <c r="H5532" i="1"/>
  <c r="I5531" i="1"/>
  <c r="H5531" i="1"/>
  <c r="I5530" i="1"/>
  <c r="H5530" i="1"/>
  <c r="I5529" i="1"/>
  <c r="H5529" i="1"/>
  <c r="I5528" i="1"/>
  <c r="H5528" i="1"/>
  <c r="I5527" i="1"/>
  <c r="H5527" i="1"/>
  <c r="I5526" i="1"/>
  <c r="H5526" i="1"/>
  <c r="I5525" i="1"/>
  <c r="H5525" i="1"/>
  <c r="I5524" i="1"/>
  <c r="H5524" i="1"/>
  <c r="I5523" i="1"/>
  <c r="H5523" i="1"/>
  <c r="I5522" i="1"/>
  <c r="H5522" i="1"/>
  <c r="I5521" i="1"/>
  <c r="H5521" i="1"/>
  <c r="I5520" i="1"/>
  <c r="H5520" i="1"/>
  <c r="I5519" i="1"/>
  <c r="H5519" i="1"/>
  <c r="I5518" i="1"/>
  <c r="H5518" i="1"/>
  <c r="I5517" i="1"/>
  <c r="H5517" i="1"/>
  <c r="I5516" i="1"/>
  <c r="H5516" i="1"/>
  <c r="I5515" i="1"/>
  <c r="H5515" i="1"/>
  <c r="I5514" i="1"/>
  <c r="H5514" i="1"/>
  <c r="I5513" i="1"/>
  <c r="H5513" i="1"/>
  <c r="I5512" i="1"/>
  <c r="H5512" i="1"/>
  <c r="I5511" i="1"/>
  <c r="H5511" i="1"/>
  <c r="I5510" i="1"/>
  <c r="H5510" i="1"/>
  <c r="I5509" i="1"/>
  <c r="H5509" i="1"/>
  <c r="I5508" i="1"/>
  <c r="H5508" i="1"/>
  <c r="I5507" i="1"/>
  <c r="H5507" i="1"/>
  <c r="I5506" i="1"/>
  <c r="H5506" i="1"/>
  <c r="I5505" i="1"/>
  <c r="H5505" i="1"/>
  <c r="I5504" i="1"/>
  <c r="H5504" i="1"/>
  <c r="I5503" i="1"/>
  <c r="H5503" i="1"/>
  <c r="I5502" i="1"/>
  <c r="H5502" i="1"/>
  <c r="I5501" i="1"/>
  <c r="H5501" i="1"/>
  <c r="I5500" i="1"/>
  <c r="H5500" i="1"/>
  <c r="I5499" i="1"/>
  <c r="H5499" i="1"/>
  <c r="I5498" i="1"/>
  <c r="H5498" i="1"/>
  <c r="I5497" i="1"/>
  <c r="H5497" i="1"/>
  <c r="I5496" i="1"/>
  <c r="H5496" i="1"/>
  <c r="I5495" i="1"/>
  <c r="H5495" i="1"/>
  <c r="I5494" i="1"/>
  <c r="H5494" i="1"/>
  <c r="I5493" i="1"/>
  <c r="H5493" i="1"/>
  <c r="I5492" i="1"/>
  <c r="H5492" i="1"/>
  <c r="I5491" i="1"/>
  <c r="H5491" i="1"/>
  <c r="I5490" i="1"/>
  <c r="H5490" i="1"/>
  <c r="I5489" i="1"/>
  <c r="H5489" i="1"/>
  <c r="I5488" i="1"/>
  <c r="H5488" i="1"/>
  <c r="I5487" i="1"/>
  <c r="H5487" i="1"/>
  <c r="I5486" i="1"/>
  <c r="H5486" i="1"/>
  <c r="I5485" i="1"/>
  <c r="H5485" i="1"/>
  <c r="I5484" i="1"/>
  <c r="H5484" i="1"/>
  <c r="I5483" i="1"/>
  <c r="H5483" i="1"/>
  <c r="I5482" i="1"/>
  <c r="H5482" i="1"/>
  <c r="I5481" i="1"/>
  <c r="H5481" i="1"/>
  <c r="I5480" i="1"/>
  <c r="H5480" i="1"/>
  <c r="I5479" i="1"/>
  <c r="H5479" i="1"/>
  <c r="I5478" i="1"/>
  <c r="H5478" i="1"/>
  <c r="I5477" i="1"/>
  <c r="H5477" i="1"/>
  <c r="I5476" i="1"/>
  <c r="H5476" i="1"/>
  <c r="I5475" i="1"/>
  <c r="H5475" i="1"/>
  <c r="I5474" i="1"/>
  <c r="H5474" i="1"/>
  <c r="I5473" i="1"/>
  <c r="H5473" i="1"/>
  <c r="I5472" i="1"/>
  <c r="H5472" i="1"/>
  <c r="I5471" i="1"/>
  <c r="H5471" i="1"/>
  <c r="I5470" i="1"/>
  <c r="H5470" i="1"/>
  <c r="I5469" i="1"/>
  <c r="H5469" i="1"/>
  <c r="I5468" i="1"/>
  <c r="H5468" i="1"/>
  <c r="I5467" i="1"/>
  <c r="H5467" i="1"/>
  <c r="I5466" i="1"/>
  <c r="H5466" i="1"/>
  <c r="I5465" i="1"/>
  <c r="H5465" i="1"/>
  <c r="I5464" i="1"/>
  <c r="H5464" i="1"/>
  <c r="I5463" i="1"/>
  <c r="H5463" i="1"/>
  <c r="I5462" i="1"/>
  <c r="H5462" i="1"/>
  <c r="I5461" i="1"/>
  <c r="H5461" i="1"/>
  <c r="I5460" i="1"/>
  <c r="H5460" i="1"/>
  <c r="I5459" i="1"/>
  <c r="H5459" i="1"/>
  <c r="I5458" i="1"/>
  <c r="H5458" i="1"/>
  <c r="I5457" i="1"/>
  <c r="H5457" i="1"/>
  <c r="I5456" i="1"/>
  <c r="H5456" i="1"/>
  <c r="I5455" i="1"/>
  <c r="H5455" i="1"/>
  <c r="I5454" i="1"/>
  <c r="H5454" i="1"/>
  <c r="I5453" i="1"/>
  <c r="H5453" i="1"/>
  <c r="I5452" i="1"/>
  <c r="H5452" i="1"/>
  <c r="I5451" i="1"/>
  <c r="H5451" i="1"/>
  <c r="I5450" i="1"/>
  <c r="H5450" i="1"/>
  <c r="I5449" i="1"/>
  <c r="H5449" i="1"/>
  <c r="I5448" i="1"/>
  <c r="H5448" i="1"/>
  <c r="I5447" i="1"/>
  <c r="H5447" i="1"/>
  <c r="I5446" i="1"/>
  <c r="H5446" i="1"/>
  <c r="I5445" i="1"/>
  <c r="H5445" i="1"/>
  <c r="I5444" i="1"/>
  <c r="H5444" i="1"/>
  <c r="I5443" i="1"/>
  <c r="H5443" i="1"/>
  <c r="I5442" i="1"/>
  <c r="H5442" i="1"/>
  <c r="I5441" i="1"/>
  <c r="H5441" i="1"/>
  <c r="I5440" i="1"/>
  <c r="H5440" i="1"/>
  <c r="I5439" i="1"/>
  <c r="H5439" i="1"/>
  <c r="I5438" i="1"/>
  <c r="H5438" i="1"/>
  <c r="I5437" i="1"/>
  <c r="H5437" i="1"/>
  <c r="I5436" i="1"/>
  <c r="H5436" i="1"/>
  <c r="I5435" i="1"/>
  <c r="H5435" i="1"/>
  <c r="I5434" i="1"/>
  <c r="H5434" i="1"/>
  <c r="I5433" i="1"/>
  <c r="H5433" i="1"/>
  <c r="I5432" i="1"/>
  <c r="H5432" i="1"/>
  <c r="I5431" i="1"/>
  <c r="H5431" i="1"/>
  <c r="I5430" i="1"/>
  <c r="H5430" i="1"/>
  <c r="I5429" i="1"/>
  <c r="H5429" i="1"/>
  <c r="I5428" i="1"/>
  <c r="H5428" i="1"/>
  <c r="I5427" i="1"/>
  <c r="H5427" i="1"/>
  <c r="I5426" i="1"/>
  <c r="H5426" i="1"/>
  <c r="I5425" i="1"/>
  <c r="H5425" i="1"/>
  <c r="I5424" i="1"/>
  <c r="H5424" i="1"/>
  <c r="I5423" i="1"/>
  <c r="H5423" i="1"/>
  <c r="I5422" i="1"/>
  <c r="H5422" i="1"/>
  <c r="I5421" i="1"/>
  <c r="H5421" i="1"/>
  <c r="I5420" i="1"/>
  <c r="H5420" i="1"/>
  <c r="I5419" i="1"/>
  <c r="H5419" i="1"/>
  <c r="I5418" i="1"/>
  <c r="H5418" i="1"/>
  <c r="I5417" i="1"/>
  <c r="H5417" i="1"/>
  <c r="I5416" i="1"/>
  <c r="H5416" i="1"/>
  <c r="I5415" i="1"/>
  <c r="H5415" i="1"/>
  <c r="I5414" i="1"/>
  <c r="H5414" i="1"/>
  <c r="I5413" i="1"/>
  <c r="H5413" i="1"/>
  <c r="I5412" i="1"/>
  <c r="H5412" i="1"/>
  <c r="I5411" i="1"/>
  <c r="H5411" i="1"/>
  <c r="I5410" i="1"/>
  <c r="H5410" i="1"/>
  <c r="I5409" i="1"/>
  <c r="H5409" i="1"/>
  <c r="I5408" i="1"/>
  <c r="H5408" i="1"/>
  <c r="I5407" i="1"/>
  <c r="H5407" i="1"/>
  <c r="I5406" i="1"/>
  <c r="H5406" i="1"/>
  <c r="I5405" i="1"/>
  <c r="H5405" i="1"/>
  <c r="I5404" i="1"/>
  <c r="H5404" i="1"/>
  <c r="I5403" i="1"/>
  <c r="H5403" i="1"/>
  <c r="I5402" i="1"/>
  <c r="H5402" i="1"/>
  <c r="I5401" i="1"/>
  <c r="H5401" i="1"/>
  <c r="I5400" i="1"/>
  <c r="H5400" i="1"/>
  <c r="I5399" i="1"/>
  <c r="H5399" i="1"/>
  <c r="I5398" i="1"/>
  <c r="H5398" i="1"/>
  <c r="I5397" i="1"/>
  <c r="H5397" i="1"/>
  <c r="I5396" i="1"/>
  <c r="H5396" i="1"/>
  <c r="I5395" i="1"/>
  <c r="H5395" i="1"/>
  <c r="I5394" i="1"/>
  <c r="H5394" i="1"/>
  <c r="I5393" i="1"/>
  <c r="H5393" i="1"/>
  <c r="I5392" i="1"/>
  <c r="H5392" i="1"/>
  <c r="I5391" i="1"/>
  <c r="H5391" i="1"/>
  <c r="I5390" i="1"/>
  <c r="H5390" i="1"/>
  <c r="I5389" i="1"/>
  <c r="H5389" i="1"/>
  <c r="I5388" i="1"/>
  <c r="H5388" i="1"/>
  <c r="I5387" i="1"/>
  <c r="H5387" i="1"/>
  <c r="I5386" i="1"/>
  <c r="H5386" i="1"/>
  <c r="I5385" i="1"/>
  <c r="H5385" i="1"/>
  <c r="I5384" i="1"/>
  <c r="H5384" i="1"/>
  <c r="I5383" i="1"/>
  <c r="H5383" i="1"/>
  <c r="I5382" i="1"/>
  <c r="H5382" i="1"/>
  <c r="I5381" i="1"/>
  <c r="H5381" i="1"/>
  <c r="I5380" i="1"/>
  <c r="H5380" i="1"/>
  <c r="I5379" i="1"/>
  <c r="H5379" i="1"/>
  <c r="I5378" i="1"/>
  <c r="H5378" i="1"/>
  <c r="I5377" i="1"/>
  <c r="H5377" i="1"/>
  <c r="I5376" i="1"/>
  <c r="H5376" i="1"/>
  <c r="I5375" i="1"/>
  <c r="H5375" i="1"/>
  <c r="I5374" i="1"/>
  <c r="H5374" i="1"/>
  <c r="I5373" i="1"/>
  <c r="H5373" i="1"/>
  <c r="I5372" i="1"/>
  <c r="H5372" i="1"/>
  <c r="I5371" i="1"/>
  <c r="H5371" i="1"/>
  <c r="I5370" i="1"/>
  <c r="H5370" i="1"/>
  <c r="I5369" i="1"/>
  <c r="H5369" i="1"/>
  <c r="I5368" i="1"/>
  <c r="H5368" i="1"/>
  <c r="I5367" i="1"/>
  <c r="H5367" i="1"/>
  <c r="I5366" i="1"/>
  <c r="H5366" i="1"/>
  <c r="I5365" i="1"/>
  <c r="H5365" i="1"/>
  <c r="I5364" i="1"/>
  <c r="H5364" i="1"/>
  <c r="I5363" i="1"/>
  <c r="H5363" i="1"/>
  <c r="I5362" i="1"/>
  <c r="H5362" i="1"/>
  <c r="I5361" i="1"/>
  <c r="H5361" i="1"/>
  <c r="I5360" i="1"/>
  <c r="H5360" i="1"/>
  <c r="I5359" i="1"/>
  <c r="H5359" i="1"/>
  <c r="I5358" i="1"/>
  <c r="H5358" i="1"/>
  <c r="I5357" i="1"/>
  <c r="H5357" i="1"/>
  <c r="I5356" i="1"/>
  <c r="H5356" i="1"/>
  <c r="I5355" i="1"/>
  <c r="H5355" i="1"/>
  <c r="I5354" i="1"/>
  <c r="H5354" i="1"/>
  <c r="I5353" i="1"/>
  <c r="H5353" i="1"/>
  <c r="I5352" i="1"/>
  <c r="H5352" i="1"/>
  <c r="I5351" i="1"/>
  <c r="H5351" i="1"/>
  <c r="I5350" i="1"/>
  <c r="H5350" i="1"/>
  <c r="I5349" i="1"/>
  <c r="H5349" i="1"/>
  <c r="I5348" i="1"/>
  <c r="H5348" i="1"/>
  <c r="I5347" i="1"/>
  <c r="H5347" i="1"/>
  <c r="I5346" i="1"/>
  <c r="H5346" i="1"/>
  <c r="I5345" i="1"/>
  <c r="H5345" i="1"/>
  <c r="I5344" i="1"/>
  <c r="H5344" i="1"/>
  <c r="I5343" i="1"/>
  <c r="H5343" i="1"/>
  <c r="I5342" i="1"/>
  <c r="H5342" i="1"/>
  <c r="I5341" i="1"/>
  <c r="H5341" i="1"/>
  <c r="I5340" i="1"/>
  <c r="H5340" i="1"/>
  <c r="I5339" i="1"/>
  <c r="H5339" i="1"/>
  <c r="I5338" i="1"/>
  <c r="H5338" i="1"/>
  <c r="I5337" i="1"/>
  <c r="H5337" i="1"/>
  <c r="I5336" i="1"/>
  <c r="H5336" i="1"/>
  <c r="I5335" i="1"/>
  <c r="H5335" i="1"/>
  <c r="I5334" i="1"/>
  <c r="H5334" i="1"/>
  <c r="I5333" i="1"/>
  <c r="H5333" i="1"/>
  <c r="I5332" i="1"/>
  <c r="H5332" i="1"/>
  <c r="I5331" i="1"/>
  <c r="H5331" i="1"/>
  <c r="I5330" i="1"/>
  <c r="H5330" i="1"/>
  <c r="I5329" i="1"/>
  <c r="H5329" i="1"/>
  <c r="I5328" i="1"/>
  <c r="H5328" i="1"/>
  <c r="I5327" i="1"/>
  <c r="H5327" i="1"/>
  <c r="I5326" i="1"/>
  <c r="H5326" i="1"/>
  <c r="I5325" i="1"/>
  <c r="H5325" i="1"/>
  <c r="I5324" i="1"/>
  <c r="H5324" i="1"/>
  <c r="I5323" i="1"/>
  <c r="H5323" i="1"/>
  <c r="I5322" i="1"/>
  <c r="H5322" i="1"/>
  <c r="I5321" i="1"/>
  <c r="H5321" i="1"/>
  <c r="I5320" i="1"/>
  <c r="H5320" i="1"/>
  <c r="I5319" i="1"/>
  <c r="H5319" i="1"/>
  <c r="I5318" i="1"/>
  <c r="H5318" i="1"/>
  <c r="I5317" i="1"/>
  <c r="H5317" i="1"/>
  <c r="I5316" i="1"/>
  <c r="H5316" i="1"/>
  <c r="I5315" i="1"/>
  <c r="H5315" i="1"/>
  <c r="I5314" i="1"/>
  <c r="H5314" i="1"/>
  <c r="I5313" i="1"/>
  <c r="H5313" i="1"/>
  <c r="I5312" i="1"/>
  <c r="H5312" i="1"/>
  <c r="I5311" i="1"/>
  <c r="H5311" i="1"/>
  <c r="I5310" i="1"/>
  <c r="H5310" i="1"/>
  <c r="I5309" i="1"/>
  <c r="H5309" i="1"/>
  <c r="I5308" i="1"/>
  <c r="H5308" i="1"/>
  <c r="I5307" i="1"/>
  <c r="H5307" i="1"/>
  <c r="I5306" i="1"/>
  <c r="H5306" i="1"/>
  <c r="I5305" i="1"/>
  <c r="H5305" i="1"/>
  <c r="I5304" i="1"/>
  <c r="H5304" i="1"/>
  <c r="I5303" i="1"/>
  <c r="H5303" i="1"/>
  <c r="I5302" i="1"/>
  <c r="H5302" i="1"/>
  <c r="I5301" i="1"/>
  <c r="H5301" i="1"/>
  <c r="I5300" i="1"/>
  <c r="H5300" i="1"/>
  <c r="I5299" i="1"/>
  <c r="H5299" i="1"/>
  <c r="I5298" i="1"/>
  <c r="H5298" i="1"/>
  <c r="I5297" i="1"/>
  <c r="H5297" i="1"/>
  <c r="I5296" i="1"/>
  <c r="H5296" i="1"/>
  <c r="I5295" i="1"/>
  <c r="H5295" i="1"/>
  <c r="I5294" i="1"/>
  <c r="H5294" i="1"/>
  <c r="I5293" i="1"/>
  <c r="H5293" i="1"/>
  <c r="I5292" i="1"/>
  <c r="H5292" i="1"/>
  <c r="I5291" i="1"/>
  <c r="H5291" i="1"/>
  <c r="I5290" i="1"/>
  <c r="H5290" i="1"/>
  <c r="I5289" i="1"/>
  <c r="H5289" i="1"/>
  <c r="I5288" i="1"/>
  <c r="H5288" i="1"/>
  <c r="I5287" i="1"/>
  <c r="H5287" i="1"/>
  <c r="I5286" i="1"/>
  <c r="H5286" i="1"/>
  <c r="I5285" i="1"/>
  <c r="H5285" i="1"/>
  <c r="I5284" i="1"/>
  <c r="H5284" i="1"/>
  <c r="I5283" i="1"/>
  <c r="H5283" i="1"/>
  <c r="I5282" i="1"/>
  <c r="H5282" i="1"/>
  <c r="I5281" i="1"/>
  <c r="H5281" i="1"/>
  <c r="I5280" i="1"/>
  <c r="H5280" i="1"/>
  <c r="I5279" i="1"/>
  <c r="H5279" i="1"/>
  <c r="I5278" i="1"/>
  <c r="H5278" i="1"/>
  <c r="I5277" i="1"/>
  <c r="H5277" i="1"/>
  <c r="I5276" i="1"/>
  <c r="H5276" i="1"/>
  <c r="I5275" i="1"/>
  <c r="H5275" i="1"/>
  <c r="I5274" i="1"/>
  <c r="H5274" i="1"/>
  <c r="I5273" i="1"/>
  <c r="H5273" i="1"/>
  <c r="I5272" i="1"/>
  <c r="H5272" i="1"/>
  <c r="I5271" i="1"/>
  <c r="H5271" i="1"/>
  <c r="I5270" i="1"/>
  <c r="H5270" i="1"/>
  <c r="I5269" i="1"/>
  <c r="H5269" i="1"/>
  <c r="I5268" i="1"/>
  <c r="H5268" i="1"/>
  <c r="I5267" i="1"/>
  <c r="H5267" i="1"/>
  <c r="I5266" i="1"/>
  <c r="H5266" i="1"/>
  <c r="I5265" i="1"/>
  <c r="H5265" i="1"/>
  <c r="I5264" i="1"/>
  <c r="H5264" i="1"/>
  <c r="I5263" i="1"/>
  <c r="H5263" i="1"/>
  <c r="I5262" i="1"/>
  <c r="H5262" i="1"/>
  <c r="I5261" i="1"/>
  <c r="H5261" i="1"/>
  <c r="I5260" i="1"/>
  <c r="H5260" i="1"/>
  <c r="I5259" i="1"/>
  <c r="H5259" i="1"/>
  <c r="I5258" i="1"/>
  <c r="H5258" i="1"/>
  <c r="I5257" i="1"/>
  <c r="H5257" i="1"/>
  <c r="I5256" i="1"/>
  <c r="H5256" i="1"/>
  <c r="I5255" i="1"/>
  <c r="H5255" i="1"/>
  <c r="I5254" i="1"/>
  <c r="H5254" i="1"/>
  <c r="I5253" i="1"/>
  <c r="H5253" i="1"/>
  <c r="I5252" i="1"/>
  <c r="H5252" i="1"/>
  <c r="I5251" i="1"/>
  <c r="H5251" i="1"/>
  <c r="I5250" i="1"/>
  <c r="H5250" i="1"/>
  <c r="I5249" i="1"/>
  <c r="H5249" i="1"/>
  <c r="I5248" i="1"/>
  <c r="H5248" i="1"/>
  <c r="I5247" i="1"/>
  <c r="H5247" i="1"/>
  <c r="I5246" i="1"/>
  <c r="H5246" i="1"/>
  <c r="I5245" i="1"/>
  <c r="H5245" i="1"/>
  <c r="I5244" i="1"/>
  <c r="H5244" i="1"/>
  <c r="I5243" i="1"/>
  <c r="H5243" i="1"/>
  <c r="I5242" i="1"/>
  <c r="H5242" i="1"/>
  <c r="I5241" i="1"/>
  <c r="H5241" i="1"/>
  <c r="I5240" i="1"/>
  <c r="H5240" i="1"/>
  <c r="I5239" i="1"/>
  <c r="H5239" i="1"/>
  <c r="I5238" i="1"/>
  <c r="H5238" i="1"/>
  <c r="I5237" i="1"/>
  <c r="H5237" i="1"/>
  <c r="I5236" i="1"/>
  <c r="H5236" i="1"/>
  <c r="I5235" i="1"/>
  <c r="H5235" i="1"/>
  <c r="I5234" i="1"/>
  <c r="H5234" i="1"/>
  <c r="I5233" i="1"/>
  <c r="H5233" i="1"/>
  <c r="I5232" i="1"/>
  <c r="H5232" i="1"/>
  <c r="I5231" i="1"/>
  <c r="H5231" i="1"/>
  <c r="I5230" i="1"/>
  <c r="H5230" i="1"/>
  <c r="I5229" i="1"/>
  <c r="H5229" i="1"/>
  <c r="I5228" i="1"/>
  <c r="H5228" i="1"/>
  <c r="I5227" i="1"/>
  <c r="H5227" i="1"/>
  <c r="I5226" i="1"/>
  <c r="H5226" i="1"/>
  <c r="I5225" i="1"/>
  <c r="H5225" i="1"/>
  <c r="I5224" i="1"/>
  <c r="H5224" i="1"/>
  <c r="I5223" i="1"/>
  <c r="H5223" i="1"/>
  <c r="I5222" i="1"/>
  <c r="H5222" i="1"/>
  <c r="I5221" i="1"/>
  <c r="H5221" i="1"/>
  <c r="I5220" i="1"/>
  <c r="H5220" i="1"/>
  <c r="I5219" i="1"/>
  <c r="H5219" i="1"/>
  <c r="I5218" i="1"/>
  <c r="H5218" i="1"/>
  <c r="I5217" i="1"/>
  <c r="H5217" i="1"/>
  <c r="I5216" i="1"/>
  <c r="H5216" i="1"/>
  <c r="I5215" i="1"/>
  <c r="H5215" i="1"/>
  <c r="I5214" i="1"/>
  <c r="H5214" i="1"/>
  <c r="I5213" i="1"/>
  <c r="H5213" i="1"/>
  <c r="I5212" i="1"/>
  <c r="H5212" i="1"/>
  <c r="I5211" i="1"/>
  <c r="H5211" i="1"/>
  <c r="I5210" i="1"/>
  <c r="H5210" i="1"/>
  <c r="I5209" i="1"/>
  <c r="H5209" i="1"/>
  <c r="I5208" i="1"/>
  <c r="H5208" i="1"/>
  <c r="I5207" i="1"/>
  <c r="H5207" i="1"/>
  <c r="I5206" i="1"/>
  <c r="H5206" i="1"/>
  <c r="I5205" i="1"/>
  <c r="H5205" i="1"/>
  <c r="I5204" i="1"/>
  <c r="H5204" i="1"/>
  <c r="I5203" i="1"/>
  <c r="H5203" i="1"/>
  <c r="I5202" i="1"/>
  <c r="H5202" i="1"/>
  <c r="I5201" i="1"/>
  <c r="H5201" i="1"/>
  <c r="I5200" i="1"/>
  <c r="H5200" i="1"/>
  <c r="I5199" i="1"/>
  <c r="H5199" i="1"/>
  <c r="I5198" i="1"/>
  <c r="H5198" i="1"/>
  <c r="I5197" i="1"/>
  <c r="H5197" i="1"/>
  <c r="I5196" i="1"/>
  <c r="H5196" i="1"/>
  <c r="I5195" i="1"/>
  <c r="H5195" i="1"/>
  <c r="I5194" i="1"/>
  <c r="H5194" i="1"/>
  <c r="I5193" i="1"/>
  <c r="H5193" i="1"/>
  <c r="I5192" i="1"/>
  <c r="H5192" i="1"/>
  <c r="I5191" i="1"/>
  <c r="H5191" i="1"/>
  <c r="I5190" i="1"/>
  <c r="H5190" i="1"/>
  <c r="I5189" i="1"/>
  <c r="H5189" i="1"/>
  <c r="I5188" i="1"/>
  <c r="H5188" i="1"/>
  <c r="I5187" i="1"/>
  <c r="H5187" i="1"/>
  <c r="I5186" i="1"/>
  <c r="H5186" i="1"/>
  <c r="I5185" i="1"/>
  <c r="H5185" i="1"/>
  <c r="I5184" i="1"/>
  <c r="H5184" i="1"/>
  <c r="I5183" i="1"/>
  <c r="H5183" i="1"/>
  <c r="I5182" i="1"/>
  <c r="H5182" i="1"/>
  <c r="I5181" i="1"/>
  <c r="H5181" i="1"/>
  <c r="I5180" i="1"/>
  <c r="H5180" i="1"/>
  <c r="I5179" i="1"/>
  <c r="H5179" i="1"/>
  <c r="I5178" i="1"/>
  <c r="H5178" i="1"/>
  <c r="I5177" i="1"/>
  <c r="H5177" i="1"/>
  <c r="I5176" i="1"/>
  <c r="H5176" i="1"/>
  <c r="I5175" i="1"/>
  <c r="H5175" i="1"/>
  <c r="I5174" i="1"/>
  <c r="H5174" i="1"/>
  <c r="I5173" i="1"/>
  <c r="H5173" i="1"/>
  <c r="I5172" i="1"/>
  <c r="H5172" i="1"/>
  <c r="I5171" i="1"/>
  <c r="H5171" i="1"/>
  <c r="I5170" i="1"/>
  <c r="H5170" i="1"/>
  <c r="I5169" i="1"/>
  <c r="H5169" i="1"/>
  <c r="I5168" i="1"/>
  <c r="H5168" i="1"/>
  <c r="I5167" i="1"/>
  <c r="H5167" i="1"/>
  <c r="I5166" i="1"/>
  <c r="H5166" i="1"/>
  <c r="I5165" i="1"/>
  <c r="H5165" i="1"/>
  <c r="I5164" i="1"/>
  <c r="H5164" i="1"/>
  <c r="I5163" i="1"/>
  <c r="H5163" i="1"/>
  <c r="I5162" i="1"/>
  <c r="H5162" i="1"/>
  <c r="I5161" i="1"/>
  <c r="H5161" i="1"/>
  <c r="I5160" i="1"/>
  <c r="H5160" i="1"/>
  <c r="I5159" i="1"/>
  <c r="H5159" i="1"/>
  <c r="I5158" i="1"/>
  <c r="H5158" i="1"/>
  <c r="I5157" i="1"/>
  <c r="H5157" i="1"/>
  <c r="I5156" i="1"/>
  <c r="H5156" i="1"/>
  <c r="I5155" i="1"/>
  <c r="H5155" i="1"/>
  <c r="I5154" i="1"/>
  <c r="H5154" i="1"/>
  <c r="I5153" i="1"/>
  <c r="H5153" i="1"/>
  <c r="I5152" i="1"/>
  <c r="H5152" i="1"/>
  <c r="I5151" i="1"/>
  <c r="H5151" i="1"/>
  <c r="I5150" i="1"/>
  <c r="H5150" i="1"/>
  <c r="I5149" i="1"/>
  <c r="H5149" i="1"/>
  <c r="I5148" i="1"/>
  <c r="H5148" i="1"/>
  <c r="I5147" i="1"/>
  <c r="H5147" i="1"/>
  <c r="I5146" i="1"/>
  <c r="H5146" i="1"/>
  <c r="I5145" i="1"/>
  <c r="H5145" i="1"/>
  <c r="I5144" i="1"/>
  <c r="H5144" i="1"/>
  <c r="I5143" i="1"/>
  <c r="H5143" i="1"/>
  <c r="I5142" i="1"/>
  <c r="H5142" i="1"/>
  <c r="I5141" i="1"/>
  <c r="H5141" i="1"/>
  <c r="I5140" i="1"/>
  <c r="H5140" i="1"/>
  <c r="I5139" i="1"/>
  <c r="H5139" i="1"/>
  <c r="I5138" i="1"/>
  <c r="H5138" i="1"/>
  <c r="I5137" i="1"/>
  <c r="H5137" i="1"/>
  <c r="I5136" i="1"/>
  <c r="H5136" i="1"/>
  <c r="I5135" i="1"/>
  <c r="H5135" i="1"/>
  <c r="I5134" i="1"/>
  <c r="H5134" i="1"/>
  <c r="I5133" i="1"/>
  <c r="H5133" i="1"/>
  <c r="I5132" i="1"/>
  <c r="H5132" i="1"/>
  <c r="I5131" i="1"/>
  <c r="H5131" i="1"/>
  <c r="I5130" i="1"/>
  <c r="H5130" i="1"/>
  <c r="I5129" i="1"/>
  <c r="H5129" i="1"/>
  <c r="I5128" i="1"/>
  <c r="H5128" i="1"/>
  <c r="I5127" i="1"/>
  <c r="H5127" i="1"/>
  <c r="I5126" i="1"/>
  <c r="H5126" i="1"/>
  <c r="I5125" i="1"/>
  <c r="H5125" i="1"/>
  <c r="I5124" i="1"/>
  <c r="H5124" i="1"/>
  <c r="I5123" i="1"/>
  <c r="H5123" i="1"/>
  <c r="I5122" i="1"/>
  <c r="H5122" i="1"/>
  <c r="I5121" i="1"/>
  <c r="H5121" i="1"/>
  <c r="I5120" i="1"/>
  <c r="H5120" i="1"/>
  <c r="I5119" i="1"/>
  <c r="H5119" i="1"/>
  <c r="I5118" i="1"/>
  <c r="H5118" i="1"/>
  <c r="I5117" i="1"/>
  <c r="H5117" i="1"/>
  <c r="I5116" i="1"/>
  <c r="H5116" i="1"/>
  <c r="I5115" i="1"/>
  <c r="H5115" i="1"/>
  <c r="I5114" i="1"/>
  <c r="H5114" i="1"/>
  <c r="I5113" i="1"/>
  <c r="H5113" i="1"/>
  <c r="I5112" i="1"/>
  <c r="H5112" i="1"/>
  <c r="I5111" i="1"/>
  <c r="H5111" i="1"/>
  <c r="I5110" i="1"/>
  <c r="H5110" i="1"/>
  <c r="I5109" i="1"/>
  <c r="H5109" i="1"/>
  <c r="I5108" i="1"/>
  <c r="H5108" i="1"/>
  <c r="I5107" i="1"/>
  <c r="H5107" i="1"/>
  <c r="I5106" i="1"/>
  <c r="H5106" i="1"/>
  <c r="I5105" i="1"/>
  <c r="H5105" i="1"/>
  <c r="I5104" i="1"/>
  <c r="H5104" i="1"/>
  <c r="I5103" i="1"/>
  <c r="H5103" i="1"/>
  <c r="I5102" i="1"/>
  <c r="H5102" i="1"/>
  <c r="I5101" i="1"/>
  <c r="H5101" i="1"/>
  <c r="I5100" i="1"/>
  <c r="H5100" i="1"/>
  <c r="I5099" i="1"/>
  <c r="H5099" i="1"/>
  <c r="I5098" i="1"/>
  <c r="H5098" i="1"/>
  <c r="I5097" i="1"/>
  <c r="H5097" i="1"/>
  <c r="I5096" i="1"/>
  <c r="H5096" i="1"/>
  <c r="I5095" i="1"/>
  <c r="H5095" i="1"/>
  <c r="I5094" i="1"/>
  <c r="H5094" i="1"/>
  <c r="I5093" i="1"/>
  <c r="H5093" i="1"/>
  <c r="I5092" i="1"/>
  <c r="H5092" i="1"/>
  <c r="I5091" i="1"/>
  <c r="H5091" i="1"/>
  <c r="I5090" i="1"/>
  <c r="H5090" i="1"/>
  <c r="I5089" i="1"/>
  <c r="H5089" i="1"/>
  <c r="I5088" i="1"/>
  <c r="H5088" i="1"/>
  <c r="I5087" i="1"/>
  <c r="H5087" i="1"/>
  <c r="I5086" i="1"/>
  <c r="H5086" i="1"/>
  <c r="I5085" i="1"/>
  <c r="H5085" i="1"/>
  <c r="I5084" i="1"/>
  <c r="H5084" i="1"/>
  <c r="I5083" i="1"/>
  <c r="H5083" i="1"/>
  <c r="I5082" i="1"/>
  <c r="H5082" i="1"/>
  <c r="I5081" i="1"/>
  <c r="H5081" i="1"/>
  <c r="I5080" i="1"/>
  <c r="H5080" i="1"/>
  <c r="I5079" i="1"/>
  <c r="H5079" i="1"/>
  <c r="I5078" i="1"/>
  <c r="H5078" i="1"/>
  <c r="I5077" i="1"/>
  <c r="H5077" i="1"/>
  <c r="I5076" i="1"/>
  <c r="H5076" i="1"/>
  <c r="I5075" i="1"/>
  <c r="H5075" i="1"/>
  <c r="I5074" i="1"/>
  <c r="H5074" i="1"/>
  <c r="I5073" i="1"/>
  <c r="H5073" i="1"/>
  <c r="I5072" i="1"/>
  <c r="H5072" i="1"/>
  <c r="I5071" i="1"/>
  <c r="H5071" i="1"/>
  <c r="I5070" i="1"/>
  <c r="H5070" i="1"/>
  <c r="I5069" i="1"/>
  <c r="H5069" i="1"/>
  <c r="I5068" i="1"/>
  <c r="H5068" i="1"/>
  <c r="I5067" i="1"/>
  <c r="H5067" i="1"/>
  <c r="I5066" i="1"/>
  <c r="H5066" i="1"/>
  <c r="I5065" i="1"/>
  <c r="H5065" i="1"/>
  <c r="I5064" i="1"/>
  <c r="H5064" i="1"/>
  <c r="I5063" i="1"/>
  <c r="H5063" i="1"/>
  <c r="I5062" i="1"/>
  <c r="H5062" i="1"/>
  <c r="I5061" i="1"/>
  <c r="H5061" i="1"/>
  <c r="I5060" i="1"/>
  <c r="H5060" i="1"/>
  <c r="I5059" i="1"/>
  <c r="H5059" i="1"/>
  <c r="I5058" i="1"/>
  <c r="H5058" i="1"/>
  <c r="I5057" i="1"/>
  <c r="H5057" i="1"/>
  <c r="I5056" i="1"/>
  <c r="H5056" i="1"/>
  <c r="I5055" i="1"/>
  <c r="H5055" i="1"/>
  <c r="I5054" i="1"/>
  <c r="H5054" i="1"/>
  <c r="I5053" i="1"/>
  <c r="H5053" i="1"/>
  <c r="I5052" i="1"/>
  <c r="H5052" i="1"/>
  <c r="I5051" i="1"/>
  <c r="H5051" i="1"/>
  <c r="I5050" i="1"/>
  <c r="H5050" i="1"/>
  <c r="I5049" i="1"/>
  <c r="H5049" i="1"/>
  <c r="I5048" i="1"/>
  <c r="H5048" i="1"/>
  <c r="I5047" i="1"/>
  <c r="H5047" i="1"/>
  <c r="I5046" i="1"/>
  <c r="H5046" i="1"/>
  <c r="I5045" i="1"/>
  <c r="H5045" i="1"/>
  <c r="I5044" i="1"/>
  <c r="H5044" i="1"/>
  <c r="I5043" i="1"/>
  <c r="H5043" i="1"/>
  <c r="I5042" i="1"/>
  <c r="H5042" i="1"/>
  <c r="I5041" i="1"/>
  <c r="H5041" i="1"/>
  <c r="I5040" i="1"/>
  <c r="H5040" i="1"/>
  <c r="I5039" i="1"/>
  <c r="H5039" i="1"/>
  <c r="I5038" i="1"/>
  <c r="H5038" i="1"/>
  <c r="I5037" i="1"/>
  <c r="H5037" i="1"/>
  <c r="I5036" i="1"/>
  <c r="H5036" i="1"/>
  <c r="I5035" i="1"/>
  <c r="H5035" i="1"/>
  <c r="I5034" i="1"/>
  <c r="H5034" i="1"/>
  <c r="I5033" i="1"/>
  <c r="H5033" i="1"/>
  <c r="I5032" i="1"/>
  <c r="H5032" i="1"/>
  <c r="I5031" i="1"/>
  <c r="H5031" i="1"/>
  <c r="I5030" i="1"/>
  <c r="H5030" i="1"/>
  <c r="I5029" i="1"/>
  <c r="H5029" i="1"/>
  <c r="I5028" i="1"/>
  <c r="H5028" i="1"/>
  <c r="I5027" i="1"/>
  <c r="H5027" i="1"/>
  <c r="I5026" i="1"/>
  <c r="H5026" i="1"/>
  <c r="I5025" i="1"/>
  <c r="H5025" i="1"/>
  <c r="I5024" i="1"/>
  <c r="H5024" i="1"/>
  <c r="I5023" i="1"/>
  <c r="H5023" i="1"/>
  <c r="I5022" i="1"/>
  <c r="H5022" i="1"/>
  <c r="I5021" i="1"/>
  <c r="H5021" i="1"/>
  <c r="I5020" i="1"/>
  <c r="H5020" i="1"/>
  <c r="I5019" i="1"/>
  <c r="H5019" i="1"/>
  <c r="I5018" i="1"/>
  <c r="H5018" i="1"/>
  <c r="I5017" i="1"/>
  <c r="H5017" i="1"/>
  <c r="I5016" i="1"/>
  <c r="H5016" i="1"/>
  <c r="I5015" i="1"/>
  <c r="H5015" i="1"/>
  <c r="I5014" i="1"/>
  <c r="H5014" i="1"/>
  <c r="I5013" i="1"/>
  <c r="H5013" i="1"/>
  <c r="I5012" i="1"/>
  <c r="H5012" i="1"/>
  <c r="I5011" i="1"/>
  <c r="H5011" i="1"/>
  <c r="I5010" i="1"/>
  <c r="H5010" i="1"/>
  <c r="I5009" i="1"/>
  <c r="H5009" i="1"/>
  <c r="I5008" i="1"/>
  <c r="H5008" i="1"/>
  <c r="I5007" i="1"/>
  <c r="H5007" i="1"/>
  <c r="I5006" i="1"/>
  <c r="H5006" i="1"/>
  <c r="I5005" i="1"/>
  <c r="H5005" i="1"/>
  <c r="I5004" i="1"/>
  <c r="H5004" i="1"/>
  <c r="I5003" i="1"/>
  <c r="H5003" i="1"/>
  <c r="I5002" i="1"/>
  <c r="H5002" i="1"/>
  <c r="I5001" i="1"/>
  <c r="H5001" i="1"/>
  <c r="I5000" i="1"/>
  <c r="H5000" i="1"/>
  <c r="I4999" i="1"/>
  <c r="H4999" i="1"/>
  <c r="I4998" i="1"/>
  <c r="H4998" i="1"/>
  <c r="I4997" i="1"/>
  <c r="H4997" i="1"/>
  <c r="I4996" i="1"/>
  <c r="H4996" i="1"/>
  <c r="I4995" i="1"/>
  <c r="H4995" i="1"/>
  <c r="I4994" i="1"/>
  <c r="H4994" i="1"/>
  <c r="I4993" i="1"/>
  <c r="H4993" i="1"/>
  <c r="I4992" i="1"/>
  <c r="H4992" i="1"/>
  <c r="I4991" i="1"/>
  <c r="H4991" i="1"/>
  <c r="I4990" i="1"/>
  <c r="H4990" i="1"/>
  <c r="I4989" i="1"/>
  <c r="H4989" i="1"/>
  <c r="I4988" i="1"/>
  <c r="H4988" i="1"/>
  <c r="I4987" i="1"/>
  <c r="H4987" i="1"/>
  <c r="I4986" i="1"/>
  <c r="H4986" i="1"/>
  <c r="I4985" i="1"/>
  <c r="H4985" i="1"/>
  <c r="I4984" i="1"/>
  <c r="H4984" i="1"/>
  <c r="I4983" i="1"/>
  <c r="H4983" i="1"/>
  <c r="I4982" i="1"/>
  <c r="H4982" i="1"/>
  <c r="I4981" i="1"/>
  <c r="H4981" i="1"/>
  <c r="I4980" i="1"/>
  <c r="H4980" i="1"/>
  <c r="I4979" i="1"/>
  <c r="H4979" i="1"/>
  <c r="I4978" i="1"/>
  <c r="H4978" i="1"/>
  <c r="I4977" i="1"/>
  <c r="H4977" i="1"/>
  <c r="I4976" i="1"/>
  <c r="H4976" i="1"/>
  <c r="I4975" i="1"/>
  <c r="H4975" i="1"/>
  <c r="I4974" i="1"/>
  <c r="H4974" i="1"/>
  <c r="I4973" i="1"/>
  <c r="H4973" i="1"/>
  <c r="I4972" i="1"/>
  <c r="H4972" i="1"/>
  <c r="I4971" i="1"/>
  <c r="H4971" i="1"/>
  <c r="I4970" i="1"/>
  <c r="H4970" i="1"/>
  <c r="I4969" i="1"/>
  <c r="H4969" i="1"/>
  <c r="I4968" i="1"/>
  <c r="H4968" i="1"/>
  <c r="I4967" i="1"/>
  <c r="H4967" i="1"/>
  <c r="I4966" i="1"/>
  <c r="H4966" i="1"/>
  <c r="I4965" i="1"/>
  <c r="H4965" i="1"/>
  <c r="I4964" i="1"/>
  <c r="H4964" i="1"/>
  <c r="I4963" i="1"/>
  <c r="H4963" i="1"/>
  <c r="I4962" i="1"/>
  <c r="H4962" i="1"/>
  <c r="I4961" i="1"/>
  <c r="H4961" i="1"/>
  <c r="I4960" i="1"/>
  <c r="H4960" i="1"/>
  <c r="I4959" i="1"/>
  <c r="H4959" i="1"/>
  <c r="I4958" i="1"/>
  <c r="H4958" i="1"/>
  <c r="I4957" i="1"/>
  <c r="H4957" i="1"/>
  <c r="I4956" i="1"/>
  <c r="H4956" i="1"/>
  <c r="I4955" i="1"/>
  <c r="H4955" i="1"/>
  <c r="I4954" i="1"/>
  <c r="H4954" i="1"/>
  <c r="I4953" i="1"/>
  <c r="H4953" i="1"/>
  <c r="I4952" i="1"/>
  <c r="H4952" i="1"/>
  <c r="I4951" i="1"/>
  <c r="H4951" i="1"/>
  <c r="I4950" i="1"/>
  <c r="H4950" i="1"/>
  <c r="I4949" i="1"/>
  <c r="H4949" i="1"/>
  <c r="I4948" i="1"/>
  <c r="H4948" i="1"/>
  <c r="I4947" i="1"/>
  <c r="H4947" i="1"/>
  <c r="I4946" i="1"/>
  <c r="H4946" i="1"/>
  <c r="I4945" i="1"/>
  <c r="H4945" i="1"/>
  <c r="I4944" i="1"/>
  <c r="H4944" i="1"/>
  <c r="I4943" i="1"/>
  <c r="H4943" i="1"/>
  <c r="I4942" i="1"/>
  <c r="H4942" i="1"/>
  <c r="I4941" i="1"/>
  <c r="H4941" i="1"/>
  <c r="I4940" i="1"/>
  <c r="H4940" i="1"/>
  <c r="I4939" i="1"/>
  <c r="H4939" i="1"/>
  <c r="I4938" i="1"/>
  <c r="H4938" i="1"/>
  <c r="I4937" i="1"/>
  <c r="H4937" i="1"/>
  <c r="I4936" i="1"/>
  <c r="H4936" i="1"/>
  <c r="I4935" i="1"/>
  <c r="H4935" i="1"/>
  <c r="I4934" i="1"/>
  <c r="H4934" i="1"/>
  <c r="I4933" i="1"/>
  <c r="H4933" i="1"/>
  <c r="I4932" i="1"/>
  <c r="H4932" i="1"/>
  <c r="I4931" i="1"/>
  <c r="H4931" i="1"/>
  <c r="I4930" i="1"/>
  <c r="H4930" i="1"/>
  <c r="I4929" i="1"/>
  <c r="H4929" i="1"/>
  <c r="I4928" i="1"/>
  <c r="H4928" i="1"/>
  <c r="I4927" i="1"/>
  <c r="H4927" i="1"/>
  <c r="I4926" i="1"/>
  <c r="H4926" i="1"/>
  <c r="I4925" i="1"/>
  <c r="H4925" i="1"/>
  <c r="I4924" i="1"/>
  <c r="H4924" i="1"/>
  <c r="I4923" i="1"/>
  <c r="H4923" i="1"/>
  <c r="I4922" i="1"/>
  <c r="H4922" i="1"/>
  <c r="I4921" i="1"/>
  <c r="H4921" i="1"/>
  <c r="I4920" i="1"/>
  <c r="H4920" i="1"/>
  <c r="I4919" i="1"/>
  <c r="H4919" i="1"/>
  <c r="I4918" i="1"/>
  <c r="H4918" i="1"/>
  <c r="I4917" i="1"/>
  <c r="H4917" i="1"/>
  <c r="I4916" i="1"/>
  <c r="H4916" i="1"/>
  <c r="I4915" i="1"/>
  <c r="H4915" i="1"/>
  <c r="I4914" i="1"/>
  <c r="H4914" i="1"/>
  <c r="I4913" i="1"/>
  <c r="H4913" i="1"/>
  <c r="I4912" i="1"/>
  <c r="H4912" i="1"/>
  <c r="I4911" i="1"/>
  <c r="H4911" i="1"/>
  <c r="I4910" i="1"/>
  <c r="H4910" i="1"/>
  <c r="I4909" i="1"/>
  <c r="H4909" i="1"/>
  <c r="I4908" i="1"/>
  <c r="H4908" i="1"/>
  <c r="I4907" i="1"/>
  <c r="H4907" i="1"/>
  <c r="I4906" i="1"/>
  <c r="H4906" i="1"/>
  <c r="I4905" i="1"/>
  <c r="H4905" i="1"/>
  <c r="I4904" i="1"/>
  <c r="H4904" i="1"/>
  <c r="I4903" i="1"/>
  <c r="H4903" i="1"/>
  <c r="I4902" i="1"/>
  <c r="H4902" i="1"/>
  <c r="I4901" i="1"/>
  <c r="H4901" i="1"/>
  <c r="I4900" i="1"/>
  <c r="H4900" i="1"/>
  <c r="I4899" i="1"/>
  <c r="H4899" i="1"/>
  <c r="I4898" i="1"/>
  <c r="H4898" i="1"/>
  <c r="I4897" i="1"/>
  <c r="H4897" i="1"/>
  <c r="I4896" i="1"/>
  <c r="H4896" i="1"/>
  <c r="I4895" i="1"/>
  <c r="H4895" i="1"/>
  <c r="I4894" i="1"/>
  <c r="H4894" i="1"/>
  <c r="I4893" i="1"/>
  <c r="H4893" i="1"/>
  <c r="I4892" i="1"/>
  <c r="H4892" i="1"/>
  <c r="I4891" i="1"/>
  <c r="H4891" i="1"/>
  <c r="I4890" i="1"/>
  <c r="H4890" i="1"/>
  <c r="I4889" i="1"/>
  <c r="H4889" i="1"/>
  <c r="I4888" i="1"/>
  <c r="H4888" i="1"/>
  <c r="I4887" i="1"/>
  <c r="H4887" i="1"/>
  <c r="I4886" i="1"/>
  <c r="H4886" i="1"/>
  <c r="I4885" i="1"/>
  <c r="H4885" i="1"/>
  <c r="I4884" i="1"/>
  <c r="H4884" i="1"/>
  <c r="I4883" i="1"/>
  <c r="H4883" i="1"/>
  <c r="I4882" i="1"/>
  <c r="H4882" i="1"/>
  <c r="I4881" i="1"/>
  <c r="H4881" i="1"/>
  <c r="I4880" i="1"/>
  <c r="H4880" i="1"/>
  <c r="I4879" i="1"/>
  <c r="H4879" i="1"/>
  <c r="I4878" i="1"/>
  <c r="H4878" i="1"/>
  <c r="I4877" i="1"/>
  <c r="H4877" i="1"/>
  <c r="I4876" i="1"/>
  <c r="H4876" i="1"/>
  <c r="I4875" i="1"/>
  <c r="H4875" i="1"/>
  <c r="I4874" i="1"/>
  <c r="H4874" i="1"/>
  <c r="I4873" i="1"/>
  <c r="H4873" i="1"/>
  <c r="I4872" i="1"/>
  <c r="H4872" i="1"/>
  <c r="I4871" i="1"/>
  <c r="H4871" i="1"/>
  <c r="I4870" i="1"/>
  <c r="H4870" i="1"/>
  <c r="I4869" i="1"/>
  <c r="H4869" i="1"/>
  <c r="I4868" i="1"/>
  <c r="H4868" i="1"/>
  <c r="I4867" i="1"/>
  <c r="H4867" i="1"/>
  <c r="I4866" i="1"/>
  <c r="H4866" i="1"/>
  <c r="I4865" i="1"/>
  <c r="H4865" i="1"/>
  <c r="I4864" i="1"/>
  <c r="H4864" i="1"/>
  <c r="I4863" i="1"/>
  <c r="H4863" i="1"/>
  <c r="I4862" i="1"/>
  <c r="H4862" i="1"/>
  <c r="I4861" i="1"/>
  <c r="H4861" i="1"/>
  <c r="I4860" i="1"/>
  <c r="H4860" i="1"/>
  <c r="I4859" i="1"/>
  <c r="H4859" i="1"/>
  <c r="I4858" i="1"/>
  <c r="H4858" i="1"/>
  <c r="I4857" i="1"/>
  <c r="H4857" i="1"/>
  <c r="I4856" i="1"/>
  <c r="H4856" i="1"/>
  <c r="I4855" i="1"/>
  <c r="H4855" i="1"/>
  <c r="I4854" i="1"/>
  <c r="H4854" i="1"/>
  <c r="I4853" i="1"/>
  <c r="H4853" i="1"/>
  <c r="I4852" i="1"/>
  <c r="H4852" i="1"/>
  <c r="I4851" i="1"/>
  <c r="H4851" i="1"/>
  <c r="I4850" i="1"/>
  <c r="H4850" i="1"/>
  <c r="I4849" i="1"/>
  <c r="H4849" i="1"/>
  <c r="I4848" i="1"/>
  <c r="H4848" i="1"/>
  <c r="I4847" i="1"/>
  <c r="H4847" i="1"/>
  <c r="I4846" i="1"/>
  <c r="H4846" i="1"/>
  <c r="I4845" i="1"/>
  <c r="H4845" i="1"/>
  <c r="I4844" i="1"/>
  <c r="H4844" i="1"/>
  <c r="I4843" i="1"/>
  <c r="H4843" i="1"/>
  <c r="I4842" i="1"/>
  <c r="H4842" i="1"/>
  <c r="I4841" i="1"/>
  <c r="H4841" i="1"/>
  <c r="I4840" i="1"/>
  <c r="H4840" i="1"/>
  <c r="I4839" i="1"/>
  <c r="H4839" i="1"/>
  <c r="I4838" i="1"/>
  <c r="H4838" i="1"/>
  <c r="I4837" i="1"/>
  <c r="H4837" i="1"/>
  <c r="I4836" i="1"/>
  <c r="H4836" i="1"/>
  <c r="I4835" i="1"/>
  <c r="H4835" i="1"/>
  <c r="I4834" i="1"/>
  <c r="H4834" i="1"/>
  <c r="I4833" i="1"/>
  <c r="H4833" i="1"/>
  <c r="I4832" i="1"/>
  <c r="H4832" i="1"/>
  <c r="I4831" i="1"/>
  <c r="H4831" i="1"/>
  <c r="I4830" i="1"/>
  <c r="H4830" i="1"/>
  <c r="I4829" i="1"/>
  <c r="H4829" i="1"/>
  <c r="I4828" i="1"/>
  <c r="H4828" i="1"/>
  <c r="I4827" i="1"/>
  <c r="H4827" i="1"/>
  <c r="I4826" i="1"/>
  <c r="H4826" i="1"/>
  <c r="I4825" i="1"/>
  <c r="H4825" i="1"/>
  <c r="I4824" i="1"/>
  <c r="H4824" i="1"/>
  <c r="I4823" i="1"/>
  <c r="H4823" i="1"/>
  <c r="I4822" i="1"/>
  <c r="H4822" i="1"/>
  <c r="I4821" i="1"/>
  <c r="H4821" i="1"/>
  <c r="I4820" i="1"/>
  <c r="H4820" i="1"/>
  <c r="I4819" i="1"/>
  <c r="H4819" i="1"/>
  <c r="I4818" i="1"/>
  <c r="H4818" i="1"/>
  <c r="I4817" i="1"/>
  <c r="H4817" i="1"/>
  <c r="I4816" i="1"/>
  <c r="H4816" i="1"/>
  <c r="I4815" i="1"/>
  <c r="H4815" i="1"/>
  <c r="I4814" i="1"/>
  <c r="H4814" i="1"/>
  <c r="I4813" i="1"/>
  <c r="H4813" i="1"/>
  <c r="I4812" i="1"/>
  <c r="H4812" i="1"/>
  <c r="I4811" i="1"/>
  <c r="H4811" i="1"/>
  <c r="I4810" i="1"/>
  <c r="H4810" i="1"/>
  <c r="I4809" i="1"/>
  <c r="H4809" i="1"/>
  <c r="I4808" i="1"/>
  <c r="H4808" i="1"/>
  <c r="I4807" i="1"/>
  <c r="H4807" i="1"/>
  <c r="I4806" i="1"/>
  <c r="H4806" i="1"/>
  <c r="I4805" i="1"/>
  <c r="H4805" i="1"/>
  <c r="I4804" i="1"/>
  <c r="H4804" i="1"/>
  <c r="I4803" i="1"/>
  <c r="H4803" i="1"/>
  <c r="I4802" i="1"/>
  <c r="H4802" i="1"/>
  <c r="I4801" i="1"/>
  <c r="H4801" i="1"/>
  <c r="I4800" i="1"/>
  <c r="H4800" i="1"/>
  <c r="I4799" i="1"/>
  <c r="H4799" i="1"/>
  <c r="I4798" i="1"/>
  <c r="H4798" i="1"/>
  <c r="I4797" i="1"/>
  <c r="H4797" i="1"/>
  <c r="I4796" i="1"/>
  <c r="H4796" i="1"/>
  <c r="I4795" i="1"/>
  <c r="H4795" i="1"/>
  <c r="I4794" i="1"/>
  <c r="H4794" i="1"/>
  <c r="I4793" i="1"/>
  <c r="H4793" i="1"/>
  <c r="I4792" i="1"/>
  <c r="H4792" i="1"/>
  <c r="I4791" i="1"/>
  <c r="H4791" i="1"/>
  <c r="I4790" i="1"/>
  <c r="H4790" i="1"/>
  <c r="I4789" i="1"/>
  <c r="H4789" i="1"/>
  <c r="I4788" i="1"/>
  <c r="H4788" i="1"/>
  <c r="I4787" i="1"/>
  <c r="H4787" i="1"/>
  <c r="I4786" i="1"/>
  <c r="H4786" i="1"/>
  <c r="I4785" i="1"/>
  <c r="H4785" i="1"/>
  <c r="I4784" i="1"/>
  <c r="H4784" i="1"/>
  <c r="I4783" i="1"/>
  <c r="H4783" i="1"/>
  <c r="I4782" i="1"/>
  <c r="H4782" i="1"/>
  <c r="I4781" i="1"/>
  <c r="H4781" i="1"/>
  <c r="I4780" i="1"/>
  <c r="H4780" i="1"/>
  <c r="I4779" i="1"/>
  <c r="H4779" i="1"/>
  <c r="I4778" i="1"/>
  <c r="H4778" i="1"/>
  <c r="I4777" i="1"/>
  <c r="H4777" i="1"/>
  <c r="I4776" i="1"/>
  <c r="H4776" i="1"/>
  <c r="I4775" i="1"/>
  <c r="H4775" i="1"/>
  <c r="I4774" i="1"/>
  <c r="H4774" i="1"/>
  <c r="I4773" i="1"/>
  <c r="H4773" i="1"/>
  <c r="I4772" i="1"/>
  <c r="H4772" i="1"/>
  <c r="I4771" i="1"/>
  <c r="H4771" i="1"/>
  <c r="I4770" i="1"/>
  <c r="H4770" i="1"/>
  <c r="I4769" i="1"/>
  <c r="H4769" i="1"/>
  <c r="I4768" i="1"/>
  <c r="H4768" i="1"/>
  <c r="I4767" i="1"/>
  <c r="H4767" i="1"/>
  <c r="I4766" i="1"/>
  <c r="H4766" i="1"/>
  <c r="I4765" i="1"/>
  <c r="H4765" i="1"/>
  <c r="I4764" i="1"/>
  <c r="H4764" i="1"/>
  <c r="I4763" i="1"/>
  <c r="H4763" i="1"/>
  <c r="I4762" i="1"/>
  <c r="H4762" i="1"/>
  <c r="I4761" i="1"/>
  <c r="H4761" i="1"/>
  <c r="I4760" i="1"/>
  <c r="H4760" i="1"/>
  <c r="I4759" i="1"/>
  <c r="H4759" i="1"/>
  <c r="I4758" i="1"/>
  <c r="H4758" i="1"/>
  <c r="I4757" i="1"/>
  <c r="H4757" i="1"/>
  <c r="I4756" i="1"/>
  <c r="H4756" i="1"/>
  <c r="I4755" i="1"/>
  <c r="H4755" i="1"/>
  <c r="I4754" i="1"/>
  <c r="H4754" i="1"/>
  <c r="I4753" i="1"/>
  <c r="H4753" i="1"/>
  <c r="I4752" i="1"/>
  <c r="H4752" i="1"/>
  <c r="I4751" i="1"/>
  <c r="H4751" i="1"/>
  <c r="I4750" i="1"/>
  <c r="H4750" i="1"/>
  <c r="I4749" i="1"/>
  <c r="H4749" i="1"/>
  <c r="I4748" i="1"/>
  <c r="H4748" i="1"/>
  <c r="I4747" i="1"/>
  <c r="H4747" i="1"/>
  <c r="I4746" i="1"/>
  <c r="H4746" i="1"/>
  <c r="I4745" i="1"/>
  <c r="H4745" i="1"/>
  <c r="I4744" i="1"/>
  <c r="H4744" i="1"/>
  <c r="I4743" i="1"/>
  <c r="H4743" i="1"/>
  <c r="I4742" i="1"/>
  <c r="H4742" i="1"/>
  <c r="I4741" i="1"/>
  <c r="H4741" i="1"/>
  <c r="I4740" i="1"/>
  <c r="H4740" i="1"/>
  <c r="I4739" i="1"/>
  <c r="H4739" i="1"/>
  <c r="I4738" i="1"/>
  <c r="H4738" i="1"/>
  <c r="I4737" i="1"/>
  <c r="H4737" i="1"/>
  <c r="I4736" i="1"/>
  <c r="H4736" i="1"/>
  <c r="I4735" i="1"/>
  <c r="H4735" i="1"/>
  <c r="I4734" i="1"/>
  <c r="H4734" i="1"/>
  <c r="I4733" i="1"/>
  <c r="H4733" i="1"/>
  <c r="I4732" i="1"/>
  <c r="H4732" i="1"/>
  <c r="I4731" i="1"/>
  <c r="H4731" i="1"/>
  <c r="I4730" i="1"/>
  <c r="H4730" i="1"/>
  <c r="I4729" i="1"/>
  <c r="H4729" i="1"/>
  <c r="I4728" i="1"/>
  <c r="H4728" i="1"/>
  <c r="I4727" i="1"/>
  <c r="H4727" i="1"/>
  <c r="I4726" i="1"/>
  <c r="H4726" i="1"/>
  <c r="I4725" i="1"/>
  <c r="H4725" i="1"/>
  <c r="I4724" i="1"/>
  <c r="H4724" i="1"/>
  <c r="I4723" i="1"/>
  <c r="H4723" i="1"/>
  <c r="I4722" i="1"/>
  <c r="H4722" i="1"/>
  <c r="I4721" i="1"/>
  <c r="H4721" i="1"/>
  <c r="I4720" i="1"/>
  <c r="H4720" i="1"/>
  <c r="I4719" i="1"/>
  <c r="H4719" i="1"/>
  <c r="I4718" i="1"/>
  <c r="H4718" i="1"/>
  <c r="I4717" i="1"/>
  <c r="H4717" i="1"/>
  <c r="I4716" i="1"/>
  <c r="H4716" i="1"/>
  <c r="I4715" i="1"/>
  <c r="H4715" i="1"/>
  <c r="I4714" i="1"/>
  <c r="H4714" i="1"/>
  <c r="I4713" i="1"/>
  <c r="H4713" i="1"/>
  <c r="I4712" i="1"/>
  <c r="H4712" i="1"/>
  <c r="I4711" i="1"/>
  <c r="H4711" i="1"/>
  <c r="I4710" i="1"/>
  <c r="H4710" i="1"/>
  <c r="I4709" i="1"/>
  <c r="H4709" i="1"/>
  <c r="I4708" i="1"/>
  <c r="H4708" i="1"/>
  <c r="I4707" i="1"/>
  <c r="H4707" i="1"/>
  <c r="I4706" i="1"/>
  <c r="H4706" i="1"/>
  <c r="I4705" i="1"/>
  <c r="H4705" i="1"/>
  <c r="I4704" i="1"/>
  <c r="H4704" i="1"/>
  <c r="I4703" i="1"/>
  <c r="H4703" i="1"/>
  <c r="I4702" i="1"/>
  <c r="H4702" i="1"/>
  <c r="I4701" i="1"/>
  <c r="H4701" i="1"/>
  <c r="I4700" i="1"/>
  <c r="H4700" i="1"/>
  <c r="I4699" i="1"/>
  <c r="H4699" i="1"/>
  <c r="I4698" i="1"/>
  <c r="H4698" i="1"/>
  <c r="I4697" i="1"/>
  <c r="H4697" i="1"/>
  <c r="I4696" i="1"/>
  <c r="H4696" i="1"/>
  <c r="I4695" i="1"/>
  <c r="H4695" i="1"/>
  <c r="I4694" i="1"/>
  <c r="H4694" i="1"/>
  <c r="I4693" i="1"/>
  <c r="H4693" i="1"/>
  <c r="I4692" i="1"/>
  <c r="H4692" i="1"/>
  <c r="I4691" i="1"/>
  <c r="H4691" i="1"/>
  <c r="I4690" i="1"/>
  <c r="H4690" i="1"/>
  <c r="I4689" i="1"/>
  <c r="H4689" i="1"/>
  <c r="I4688" i="1"/>
  <c r="H4688" i="1"/>
  <c r="I4687" i="1"/>
  <c r="H4687" i="1"/>
  <c r="I4686" i="1"/>
  <c r="H4686" i="1"/>
  <c r="I4685" i="1"/>
  <c r="H4685" i="1"/>
  <c r="I4684" i="1"/>
  <c r="H4684" i="1"/>
  <c r="I4683" i="1"/>
  <c r="H4683" i="1"/>
  <c r="I4682" i="1"/>
  <c r="H4682" i="1"/>
  <c r="I4681" i="1"/>
  <c r="H4681" i="1"/>
  <c r="I4680" i="1"/>
  <c r="H4680" i="1"/>
  <c r="I4679" i="1"/>
  <c r="H4679" i="1"/>
  <c r="I4678" i="1"/>
  <c r="H4678" i="1"/>
  <c r="I4677" i="1"/>
  <c r="H4677" i="1"/>
  <c r="I4676" i="1"/>
  <c r="H4676" i="1"/>
  <c r="I4675" i="1"/>
  <c r="H4675" i="1"/>
  <c r="I4674" i="1"/>
  <c r="H4674" i="1"/>
  <c r="I4673" i="1"/>
  <c r="H4673" i="1"/>
  <c r="I4672" i="1"/>
  <c r="H4672" i="1"/>
  <c r="I4671" i="1"/>
  <c r="H4671" i="1"/>
  <c r="I4670" i="1"/>
  <c r="H4670" i="1"/>
  <c r="I4669" i="1"/>
  <c r="H4669" i="1"/>
  <c r="I4668" i="1"/>
  <c r="H4668" i="1"/>
  <c r="I4667" i="1"/>
  <c r="H4667" i="1"/>
  <c r="I4666" i="1"/>
  <c r="H4666" i="1"/>
  <c r="I4665" i="1"/>
  <c r="H4665" i="1"/>
  <c r="I4664" i="1"/>
  <c r="H4664" i="1"/>
  <c r="I4663" i="1"/>
  <c r="H4663" i="1"/>
  <c r="I4662" i="1"/>
  <c r="H4662" i="1"/>
  <c r="I4661" i="1"/>
  <c r="H4661" i="1"/>
  <c r="I4660" i="1"/>
  <c r="H4660" i="1"/>
  <c r="I4659" i="1"/>
  <c r="H4659" i="1"/>
  <c r="I4658" i="1"/>
  <c r="H4658" i="1"/>
  <c r="I4657" i="1"/>
  <c r="H4657" i="1"/>
  <c r="I4656" i="1"/>
  <c r="H4656" i="1"/>
  <c r="I4655" i="1"/>
  <c r="H4655" i="1"/>
  <c r="I4654" i="1"/>
  <c r="H4654" i="1"/>
  <c r="I4653" i="1"/>
  <c r="H4653" i="1"/>
  <c r="I4652" i="1"/>
  <c r="H4652" i="1"/>
  <c r="I4651" i="1"/>
  <c r="H4651" i="1"/>
  <c r="I4650" i="1"/>
  <c r="H4650" i="1"/>
  <c r="I4649" i="1"/>
  <c r="H4649" i="1"/>
  <c r="I4648" i="1"/>
  <c r="H4648" i="1"/>
  <c r="I4647" i="1"/>
  <c r="H4647" i="1"/>
  <c r="I4646" i="1"/>
  <c r="H4646" i="1"/>
  <c r="I4645" i="1"/>
  <c r="H4645" i="1"/>
  <c r="I4644" i="1"/>
  <c r="H4644" i="1"/>
  <c r="I4643" i="1"/>
  <c r="H4643" i="1"/>
  <c r="I4642" i="1"/>
  <c r="H4642" i="1"/>
  <c r="I4641" i="1"/>
  <c r="H4641" i="1"/>
  <c r="I4640" i="1"/>
  <c r="H4640" i="1"/>
  <c r="I4639" i="1"/>
  <c r="H4639" i="1"/>
  <c r="I4638" i="1"/>
  <c r="H4638" i="1"/>
  <c r="I4637" i="1"/>
  <c r="H4637" i="1"/>
  <c r="I4636" i="1"/>
  <c r="H4636" i="1"/>
  <c r="I4635" i="1"/>
  <c r="H4635" i="1"/>
  <c r="I4634" i="1"/>
  <c r="H4634" i="1"/>
  <c r="I4633" i="1"/>
  <c r="H4633" i="1"/>
  <c r="I4632" i="1"/>
  <c r="H4632" i="1"/>
  <c r="I4631" i="1"/>
  <c r="H4631" i="1"/>
  <c r="I4630" i="1"/>
  <c r="H4630" i="1"/>
  <c r="I4629" i="1"/>
  <c r="H4629" i="1"/>
  <c r="I4628" i="1"/>
  <c r="H4628" i="1"/>
  <c r="I4627" i="1"/>
  <c r="H4627" i="1"/>
  <c r="I4626" i="1"/>
  <c r="H4626" i="1"/>
  <c r="I4625" i="1"/>
  <c r="H4625" i="1"/>
  <c r="I4624" i="1"/>
  <c r="H4624" i="1"/>
  <c r="I4623" i="1"/>
  <c r="H4623" i="1"/>
  <c r="I4622" i="1"/>
  <c r="H4622" i="1"/>
  <c r="I4621" i="1"/>
  <c r="H4621" i="1"/>
  <c r="I4620" i="1"/>
  <c r="H4620" i="1"/>
  <c r="I4619" i="1"/>
  <c r="H4619" i="1"/>
  <c r="I4618" i="1"/>
  <c r="H4618" i="1"/>
  <c r="I4617" i="1"/>
  <c r="H4617" i="1"/>
  <c r="I4616" i="1"/>
  <c r="H4616" i="1"/>
  <c r="I4615" i="1"/>
  <c r="H4615" i="1"/>
  <c r="I4614" i="1"/>
  <c r="H4614" i="1"/>
  <c r="I4613" i="1"/>
  <c r="H4613" i="1"/>
  <c r="I4612" i="1"/>
  <c r="H4612" i="1"/>
  <c r="I4611" i="1"/>
  <c r="H4611" i="1"/>
  <c r="I4610" i="1"/>
  <c r="H4610" i="1"/>
  <c r="I4609" i="1"/>
  <c r="H4609" i="1"/>
  <c r="I4608" i="1"/>
  <c r="H4608" i="1"/>
  <c r="I4607" i="1"/>
  <c r="H4607" i="1"/>
  <c r="I4606" i="1"/>
  <c r="H4606" i="1"/>
  <c r="I4605" i="1"/>
  <c r="H4605" i="1"/>
  <c r="I4604" i="1"/>
  <c r="H4604" i="1"/>
  <c r="I4603" i="1"/>
  <c r="H4603" i="1"/>
  <c r="I4602" i="1"/>
  <c r="H4602" i="1"/>
  <c r="I4601" i="1"/>
  <c r="H4601" i="1"/>
  <c r="I4600" i="1"/>
  <c r="H4600" i="1"/>
  <c r="I4599" i="1"/>
  <c r="H4599" i="1"/>
  <c r="I4598" i="1"/>
  <c r="H4598" i="1"/>
  <c r="I4597" i="1"/>
  <c r="H4597" i="1"/>
  <c r="I4596" i="1"/>
  <c r="H4596" i="1"/>
  <c r="I4595" i="1"/>
  <c r="H4595" i="1"/>
  <c r="I4594" i="1"/>
  <c r="H4594" i="1"/>
  <c r="I4593" i="1"/>
  <c r="H4593" i="1"/>
  <c r="I4592" i="1"/>
  <c r="H4592" i="1"/>
  <c r="I4591" i="1"/>
  <c r="H4591" i="1"/>
  <c r="I4590" i="1"/>
  <c r="H4590" i="1"/>
  <c r="I4589" i="1"/>
  <c r="H4589" i="1"/>
  <c r="I4588" i="1"/>
  <c r="H4588" i="1"/>
  <c r="I4587" i="1"/>
  <c r="H4587" i="1"/>
  <c r="I4586" i="1"/>
  <c r="H4586" i="1"/>
  <c r="I4585" i="1"/>
  <c r="H4585" i="1"/>
  <c r="I4584" i="1"/>
  <c r="H4584" i="1"/>
  <c r="I4583" i="1"/>
  <c r="H4583" i="1"/>
  <c r="I4582" i="1"/>
  <c r="H4582" i="1"/>
  <c r="I4581" i="1"/>
  <c r="H4581" i="1"/>
  <c r="I4580" i="1"/>
  <c r="H4580" i="1"/>
  <c r="I4579" i="1"/>
  <c r="H4579" i="1"/>
  <c r="I4578" i="1"/>
  <c r="H4578" i="1"/>
  <c r="I4577" i="1"/>
  <c r="H4577" i="1"/>
  <c r="I4576" i="1"/>
  <c r="H4576" i="1"/>
  <c r="I4575" i="1"/>
  <c r="H4575" i="1"/>
  <c r="I4574" i="1"/>
  <c r="H4574" i="1"/>
  <c r="I4573" i="1"/>
  <c r="H4573" i="1"/>
  <c r="I4572" i="1"/>
  <c r="H4572" i="1"/>
  <c r="I4571" i="1"/>
  <c r="H4571" i="1"/>
  <c r="I4570" i="1"/>
  <c r="H4570" i="1"/>
  <c r="I4569" i="1"/>
  <c r="H4569" i="1"/>
  <c r="I4568" i="1"/>
  <c r="H4568" i="1"/>
  <c r="I4567" i="1"/>
  <c r="H4567" i="1"/>
  <c r="I4566" i="1"/>
  <c r="H4566" i="1"/>
  <c r="I4565" i="1"/>
  <c r="H4565" i="1"/>
  <c r="I4564" i="1"/>
  <c r="H4564" i="1"/>
  <c r="I4563" i="1"/>
  <c r="H4563" i="1"/>
  <c r="I4562" i="1"/>
  <c r="H4562" i="1"/>
  <c r="I4561" i="1"/>
  <c r="H4561" i="1"/>
  <c r="I4560" i="1"/>
  <c r="H4560" i="1"/>
  <c r="I4559" i="1"/>
  <c r="H4559" i="1"/>
  <c r="I4558" i="1"/>
  <c r="H4558" i="1"/>
  <c r="I4557" i="1"/>
  <c r="H4557" i="1"/>
  <c r="I4556" i="1"/>
  <c r="H4556" i="1"/>
  <c r="I4555" i="1"/>
  <c r="H4555" i="1"/>
  <c r="I4554" i="1"/>
  <c r="H4554" i="1"/>
  <c r="I4553" i="1"/>
  <c r="H4553" i="1"/>
  <c r="I4552" i="1"/>
  <c r="H4552" i="1"/>
  <c r="I4551" i="1"/>
  <c r="H4551" i="1"/>
  <c r="I4550" i="1"/>
  <c r="H4550" i="1"/>
  <c r="I4549" i="1"/>
  <c r="H4549" i="1"/>
  <c r="I4548" i="1"/>
  <c r="H4548" i="1"/>
  <c r="I4547" i="1"/>
  <c r="H4547" i="1"/>
  <c r="I4546" i="1"/>
  <c r="H4546" i="1"/>
  <c r="I4545" i="1"/>
  <c r="H4545" i="1"/>
  <c r="I4544" i="1"/>
  <c r="H4544" i="1"/>
  <c r="I4543" i="1"/>
  <c r="H4543" i="1"/>
  <c r="I4542" i="1"/>
  <c r="H4542" i="1"/>
  <c r="I4541" i="1"/>
  <c r="H4541" i="1"/>
  <c r="I4540" i="1"/>
  <c r="H4540" i="1"/>
  <c r="I4539" i="1"/>
  <c r="H4539" i="1"/>
  <c r="I4538" i="1"/>
  <c r="H4538" i="1"/>
  <c r="I4537" i="1"/>
  <c r="H4537" i="1"/>
  <c r="I4536" i="1"/>
  <c r="H4536" i="1"/>
  <c r="I4535" i="1"/>
  <c r="H4535" i="1"/>
  <c r="I4534" i="1"/>
  <c r="H4534" i="1"/>
  <c r="I4533" i="1"/>
  <c r="H4533" i="1"/>
  <c r="I4532" i="1"/>
  <c r="H4532" i="1"/>
  <c r="I4531" i="1"/>
  <c r="H4531" i="1"/>
  <c r="I4530" i="1"/>
  <c r="H4530" i="1"/>
  <c r="I4529" i="1"/>
  <c r="H4529" i="1"/>
  <c r="I4528" i="1"/>
  <c r="H4528" i="1"/>
  <c r="I4527" i="1"/>
  <c r="H4527" i="1"/>
  <c r="I4526" i="1"/>
  <c r="H4526" i="1"/>
  <c r="I4525" i="1"/>
  <c r="H4525" i="1"/>
  <c r="I4524" i="1"/>
  <c r="H4524" i="1"/>
  <c r="I4523" i="1"/>
  <c r="H4523" i="1"/>
  <c r="I4522" i="1"/>
  <c r="H4522" i="1"/>
  <c r="I4521" i="1"/>
  <c r="H4521" i="1"/>
  <c r="I4520" i="1"/>
  <c r="H4520" i="1"/>
  <c r="I4519" i="1"/>
  <c r="H4519" i="1"/>
  <c r="I4518" i="1"/>
  <c r="H4518" i="1"/>
  <c r="I4517" i="1"/>
  <c r="H4517" i="1"/>
  <c r="I4516" i="1"/>
  <c r="H4516" i="1"/>
  <c r="I4515" i="1"/>
  <c r="H4515" i="1"/>
  <c r="I4514" i="1"/>
  <c r="H4514" i="1"/>
  <c r="I4513" i="1"/>
  <c r="H4513" i="1"/>
  <c r="I4512" i="1"/>
  <c r="H4512" i="1"/>
  <c r="I4511" i="1"/>
  <c r="H4511" i="1"/>
  <c r="I4510" i="1"/>
  <c r="H4510" i="1"/>
  <c r="I4509" i="1"/>
  <c r="H4509" i="1"/>
  <c r="I4508" i="1"/>
  <c r="H4508" i="1"/>
  <c r="I4507" i="1"/>
  <c r="H4507" i="1"/>
  <c r="I4506" i="1"/>
  <c r="H4506" i="1"/>
  <c r="I4505" i="1"/>
  <c r="H4505" i="1"/>
  <c r="I4504" i="1"/>
  <c r="H4504" i="1"/>
  <c r="I4503" i="1"/>
  <c r="H4503" i="1"/>
  <c r="I4502" i="1"/>
  <c r="H4502" i="1"/>
  <c r="I4501" i="1"/>
  <c r="H4501" i="1"/>
  <c r="I4500" i="1"/>
  <c r="H4500" i="1"/>
  <c r="I4499" i="1"/>
  <c r="H4499" i="1"/>
  <c r="I4498" i="1"/>
  <c r="H4498" i="1"/>
  <c r="I4497" i="1"/>
  <c r="H4497" i="1"/>
  <c r="I4496" i="1"/>
  <c r="H4496" i="1"/>
  <c r="I4495" i="1"/>
  <c r="H4495" i="1"/>
  <c r="I4494" i="1"/>
  <c r="H4494" i="1"/>
  <c r="I4493" i="1"/>
  <c r="H4493" i="1"/>
  <c r="I4492" i="1"/>
  <c r="H4492" i="1"/>
  <c r="I4491" i="1"/>
  <c r="H4491" i="1"/>
  <c r="I4490" i="1"/>
  <c r="H4490" i="1"/>
  <c r="I4489" i="1"/>
  <c r="H4489" i="1"/>
  <c r="I4488" i="1"/>
  <c r="H4488" i="1"/>
  <c r="I4487" i="1"/>
  <c r="H4487" i="1"/>
  <c r="I4486" i="1"/>
  <c r="H4486" i="1"/>
  <c r="I4485" i="1"/>
  <c r="H4485" i="1"/>
  <c r="I4484" i="1"/>
  <c r="H4484" i="1"/>
  <c r="I4483" i="1"/>
  <c r="H4483" i="1"/>
  <c r="I4482" i="1"/>
  <c r="H4482" i="1"/>
  <c r="I4481" i="1"/>
  <c r="H4481" i="1"/>
  <c r="I4480" i="1"/>
  <c r="H4480" i="1"/>
  <c r="I4479" i="1"/>
  <c r="H4479" i="1"/>
  <c r="I4478" i="1"/>
  <c r="H4478" i="1"/>
  <c r="I4477" i="1"/>
  <c r="H4477" i="1"/>
  <c r="I4476" i="1"/>
  <c r="H4476" i="1"/>
  <c r="I4475" i="1"/>
  <c r="H4475" i="1"/>
  <c r="I4474" i="1"/>
  <c r="H4474" i="1"/>
  <c r="I4473" i="1"/>
  <c r="H4473" i="1"/>
  <c r="I4472" i="1"/>
  <c r="H4472" i="1"/>
  <c r="I4471" i="1"/>
  <c r="H4471" i="1"/>
  <c r="I4470" i="1"/>
  <c r="H4470" i="1"/>
  <c r="I4469" i="1"/>
  <c r="H4469" i="1"/>
  <c r="I4468" i="1"/>
  <c r="H4468" i="1"/>
  <c r="I4467" i="1"/>
  <c r="H4467" i="1"/>
  <c r="I4466" i="1"/>
  <c r="H4466" i="1"/>
  <c r="I4465" i="1"/>
  <c r="H4465" i="1"/>
  <c r="I4464" i="1"/>
  <c r="H4464" i="1"/>
  <c r="I4463" i="1"/>
  <c r="H4463" i="1"/>
  <c r="I4462" i="1"/>
  <c r="H4462" i="1"/>
  <c r="I4461" i="1"/>
  <c r="H4461" i="1"/>
  <c r="I4460" i="1"/>
  <c r="H4460" i="1"/>
  <c r="I4459" i="1"/>
  <c r="H4459" i="1"/>
  <c r="I4458" i="1"/>
  <c r="H4458" i="1"/>
  <c r="I4457" i="1"/>
  <c r="H4457" i="1"/>
  <c r="I4456" i="1"/>
  <c r="H4456" i="1"/>
  <c r="I4455" i="1"/>
  <c r="H4455" i="1"/>
  <c r="I4454" i="1"/>
  <c r="H4454" i="1"/>
  <c r="I4453" i="1"/>
  <c r="H4453" i="1"/>
  <c r="I4452" i="1"/>
  <c r="H4452" i="1"/>
  <c r="I4451" i="1"/>
  <c r="H4451" i="1"/>
  <c r="I4450" i="1"/>
  <c r="H4450" i="1"/>
  <c r="I4449" i="1"/>
  <c r="H4449" i="1"/>
  <c r="I4448" i="1"/>
  <c r="H4448" i="1"/>
  <c r="I4447" i="1"/>
  <c r="H4447" i="1"/>
  <c r="I4446" i="1"/>
  <c r="H4446" i="1"/>
  <c r="I4445" i="1"/>
  <c r="H4445" i="1"/>
  <c r="I4444" i="1"/>
  <c r="H4444" i="1"/>
  <c r="I4443" i="1"/>
  <c r="H4443" i="1"/>
  <c r="I4442" i="1"/>
  <c r="H4442" i="1"/>
  <c r="I4441" i="1"/>
  <c r="H4441" i="1"/>
  <c r="I4440" i="1"/>
  <c r="H4440" i="1"/>
  <c r="I4439" i="1"/>
  <c r="H4439" i="1"/>
  <c r="I4438" i="1"/>
  <c r="H4438" i="1"/>
  <c r="I4437" i="1"/>
  <c r="H4437" i="1"/>
  <c r="I4436" i="1"/>
  <c r="H4436" i="1"/>
  <c r="I4435" i="1"/>
  <c r="H4435" i="1"/>
  <c r="I4434" i="1"/>
  <c r="H4434" i="1"/>
  <c r="I4433" i="1"/>
  <c r="H4433" i="1"/>
  <c r="I4432" i="1"/>
  <c r="H4432" i="1"/>
  <c r="I4431" i="1"/>
  <c r="H4431" i="1"/>
  <c r="I4430" i="1"/>
  <c r="H4430" i="1"/>
  <c r="I4429" i="1"/>
  <c r="H4429" i="1"/>
  <c r="I4428" i="1"/>
  <c r="H4428" i="1"/>
  <c r="I4427" i="1"/>
  <c r="H4427" i="1"/>
  <c r="I4426" i="1"/>
  <c r="H4426" i="1"/>
  <c r="I4425" i="1"/>
  <c r="H4425" i="1"/>
  <c r="I4424" i="1"/>
  <c r="H4424" i="1"/>
  <c r="I4423" i="1"/>
  <c r="H4423" i="1"/>
  <c r="I4422" i="1"/>
  <c r="H4422" i="1"/>
  <c r="I4421" i="1"/>
  <c r="H4421" i="1"/>
  <c r="I4420" i="1"/>
  <c r="H4420" i="1"/>
  <c r="I4419" i="1"/>
  <c r="H4419" i="1"/>
  <c r="I4418" i="1"/>
  <c r="H4418" i="1"/>
  <c r="I4417" i="1"/>
  <c r="H4417" i="1"/>
  <c r="I4416" i="1"/>
  <c r="H4416" i="1"/>
  <c r="I4415" i="1"/>
  <c r="H4415" i="1"/>
  <c r="I4414" i="1"/>
  <c r="H4414" i="1"/>
  <c r="I4413" i="1"/>
  <c r="H4413" i="1"/>
  <c r="I4412" i="1"/>
  <c r="H4412" i="1"/>
  <c r="I4411" i="1"/>
  <c r="H4411" i="1"/>
  <c r="I4410" i="1"/>
  <c r="H4410" i="1"/>
  <c r="I4409" i="1"/>
  <c r="H4409" i="1"/>
  <c r="I4408" i="1"/>
  <c r="H4408" i="1"/>
  <c r="I4407" i="1"/>
  <c r="H4407" i="1"/>
  <c r="I4406" i="1"/>
  <c r="H4406" i="1"/>
  <c r="I4405" i="1"/>
  <c r="H4405" i="1"/>
  <c r="I4404" i="1"/>
  <c r="H4404" i="1"/>
  <c r="I4403" i="1"/>
  <c r="H4403" i="1"/>
  <c r="I4402" i="1"/>
  <c r="H4402" i="1"/>
  <c r="I4401" i="1"/>
  <c r="H4401" i="1"/>
  <c r="I4400" i="1"/>
  <c r="H4400" i="1"/>
  <c r="I4399" i="1"/>
  <c r="H4399" i="1"/>
  <c r="I4398" i="1"/>
  <c r="H4398" i="1"/>
  <c r="I4397" i="1"/>
  <c r="H4397" i="1"/>
  <c r="I4396" i="1"/>
  <c r="H4396" i="1"/>
  <c r="I4395" i="1"/>
  <c r="H4395" i="1"/>
  <c r="I4394" i="1"/>
  <c r="H4394" i="1"/>
  <c r="I4393" i="1"/>
  <c r="H4393" i="1"/>
  <c r="I4392" i="1"/>
  <c r="H4392" i="1"/>
  <c r="I4391" i="1"/>
  <c r="H4391" i="1"/>
  <c r="I4390" i="1"/>
  <c r="H4390" i="1"/>
  <c r="I4389" i="1"/>
  <c r="H4389" i="1"/>
  <c r="I4388" i="1"/>
  <c r="H4388" i="1"/>
  <c r="I4387" i="1"/>
  <c r="H4387" i="1"/>
  <c r="I4386" i="1"/>
  <c r="H4386" i="1"/>
  <c r="I4385" i="1"/>
  <c r="H4385" i="1"/>
  <c r="I4384" i="1"/>
  <c r="H4384" i="1"/>
  <c r="I4383" i="1"/>
  <c r="H4383" i="1"/>
  <c r="I4382" i="1"/>
  <c r="H4382" i="1"/>
  <c r="I4381" i="1"/>
  <c r="H4381" i="1"/>
  <c r="I4380" i="1"/>
  <c r="H4380" i="1"/>
  <c r="I4379" i="1"/>
  <c r="H4379" i="1"/>
  <c r="I4378" i="1"/>
  <c r="H4378" i="1"/>
  <c r="I4377" i="1"/>
  <c r="H4377" i="1"/>
  <c r="I4376" i="1"/>
  <c r="H4376" i="1"/>
  <c r="I4375" i="1"/>
  <c r="H4375" i="1"/>
  <c r="I4374" i="1"/>
  <c r="H4374" i="1"/>
  <c r="I4373" i="1"/>
  <c r="H4373" i="1"/>
  <c r="I4372" i="1"/>
  <c r="H4372" i="1"/>
  <c r="I4371" i="1"/>
  <c r="H4371" i="1"/>
  <c r="I4370" i="1"/>
  <c r="H4370" i="1"/>
  <c r="I4369" i="1"/>
  <c r="H4369" i="1"/>
  <c r="I4368" i="1"/>
  <c r="H4368" i="1"/>
  <c r="I4367" i="1"/>
  <c r="H4367" i="1"/>
  <c r="I4366" i="1"/>
  <c r="H4366" i="1"/>
  <c r="I4365" i="1"/>
  <c r="H4365" i="1"/>
  <c r="I4364" i="1"/>
  <c r="H4364" i="1"/>
  <c r="I4363" i="1"/>
  <c r="H4363" i="1"/>
  <c r="I4362" i="1"/>
  <c r="H4362" i="1"/>
  <c r="I4361" i="1"/>
  <c r="H4361" i="1"/>
  <c r="I4360" i="1"/>
  <c r="H4360" i="1"/>
  <c r="I4359" i="1"/>
  <c r="H4359" i="1"/>
  <c r="I4358" i="1"/>
  <c r="H4358" i="1"/>
  <c r="I4357" i="1"/>
  <c r="H4357" i="1"/>
  <c r="I4356" i="1"/>
  <c r="H4356" i="1"/>
  <c r="I4355" i="1"/>
  <c r="H4355" i="1"/>
  <c r="I4354" i="1"/>
  <c r="H4354" i="1"/>
  <c r="I4353" i="1"/>
  <c r="H4353" i="1"/>
  <c r="I4352" i="1"/>
  <c r="H4352" i="1"/>
  <c r="I4351" i="1"/>
  <c r="H4351" i="1"/>
  <c r="I4350" i="1"/>
  <c r="H4350" i="1"/>
  <c r="I4349" i="1"/>
  <c r="H4349" i="1"/>
  <c r="I4348" i="1"/>
  <c r="H4348" i="1"/>
  <c r="I4347" i="1"/>
  <c r="H4347" i="1"/>
  <c r="I4346" i="1"/>
  <c r="H4346" i="1"/>
  <c r="I4345" i="1"/>
  <c r="H4345" i="1"/>
  <c r="I4344" i="1"/>
  <c r="H4344" i="1"/>
  <c r="I4343" i="1"/>
  <c r="H4343" i="1"/>
  <c r="I4342" i="1"/>
  <c r="H4342" i="1"/>
  <c r="I4341" i="1"/>
  <c r="H4341" i="1"/>
  <c r="I4340" i="1"/>
  <c r="H4340" i="1"/>
  <c r="I4339" i="1"/>
  <c r="H4339" i="1"/>
  <c r="I4338" i="1"/>
  <c r="H4338" i="1"/>
  <c r="I4337" i="1"/>
  <c r="H4337" i="1"/>
  <c r="I4336" i="1"/>
  <c r="H4336" i="1"/>
  <c r="I4335" i="1"/>
  <c r="H4335" i="1"/>
  <c r="I4334" i="1"/>
  <c r="H4334" i="1"/>
  <c r="I4333" i="1"/>
  <c r="H4333" i="1"/>
  <c r="I4332" i="1"/>
  <c r="H4332" i="1"/>
  <c r="I4331" i="1"/>
  <c r="H4331" i="1"/>
  <c r="I4330" i="1"/>
  <c r="H4330" i="1"/>
  <c r="I4329" i="1"/>
  <c r="H4329" i="1"/>
  <c r="I4328" i="1"/>
  <c r="H4328" i="1"/>
  <c r="I4327" i="1"/>
  <c r="H4327" i="1"/>
  <c r="I4326" i="1"/>
  <c r="H4326" i="1"/>
  <c r="I4325" i="1"/>
  <c r="H4325" i="1"/>
  <c r="I4324" i="1"/>
  <c r="H4324" i="1"/>
  <c r="I4323" i="1"/>
  <c r="H4323" i="1"/>
  <c r="I4322" i="1"/>
  <c r="H4322" i="1"/>
  <c r="I4321" i="1"/>
  <c r="H4321" i="1"/>
  <c r="I4320" i="1"/>
  <c r="H4320" i="1"/>
  <c r="I4319" i="1"/>
  <c r="H4319" i="1"/>
  <c r="I4318" i="1"/>
  <c r="H4318" i="1"/>
  <c r="I4317" i="1"/>
  <c r="H4317" i="1"/>
  <c r="I4316" i="1"/>
  <c r="H4316" i="1"/>
  <c r="I4315" i="1"/>
  <c r="H4315" i="1"/>
  <c r="I4314" i="1"/>
  <c r="H4314" i="1"/>
  <c r="I4313" i="1"/>
  <c r="H4313" i="1"/>
  <c r="I4312" i="1"/>
  <c r="H4312" i="1"/>
  <c r="I4311" i="1"/>
  <c r="H4311" i="1"/>
  <c r="I4310" i="1"/>
  <c r="H4310" i="1"/>
  <c r="I4309" i="1"/>
  <c r="H4309" i="1"/>
  <c r="I4308" i="1"/>
  <c r="H4308" i="1"/>
  <c r="I4307" i="1"/>
  <c r="H4307" i="1"/>
  <c r="I4306" i="1"/>
  <c r="H4306" i="1"/>
  <c r="I4305" i="1"/>
  <c r="H4305" i="1"/>
  <c r="I4304" i="1"/>
  <c r="H4304" i="1"/>
  <c r="I4303" i="1"/>
  <c r="H4303" i="1"/>
  <c r="I4302" i="1"/>
  <c r="H4302" i="1"/>
  <c r="I4301" i="1"/>
  <c r="H4301" i="1"/>
  <c r="I4300" i="1"/>
  <c r="H4300" i="1"/>
  <c r="I4299" i="1"/>
  <c r="H4299" i="1"/>
  <c r="I4298" i="1"/>
  <c r="H4298" i="1"/>
  <c r="I4297" i="1"/>
  <c r="H4297" i="1"/>
  <c r="I4296" i="1"/>
  <c r="H4296" i="1"/>
  <c r="I4295" i="1"/>
  <c r="H4295" i="1"/>
  <c r="I4294" i="1"/>
  <c r="H4294" i="1"/>
  <c r="I4293" i="1"/>
  <c r="H4293" i="1"/>
  <c r="I4292" i="1"/>
  <c r="H4292" i="1"/>
  <c r="I4291" i="1"/>
  <c r="H4291" i="1"/>
  <c r="I4290" i="1"/>
  <c r="H4290" i="1"/>
  <c r="I4289" i="1"/>
  <c r="H4289" i="1"/>
  <c r="I4288" i="1"/>
  <c r="H4288" i="1"/>
  <c r="I4287" i="1"/>
  <c r="H4287" i="1"/>
  <c r="I4286" i="1"/>
  <c r="H4286" i="1"/>
  <c r="I4285" i="1"/>
  <c r="H4285" i="1"/>
  <c r="I4284" i="1"/>
  <c r="H4284" i="1"/>
  <c r="I4283" i="1"/>
  <c r="H4283" i="1"/>
  <c r="I4282" i="1"/>
  <c r="H4282" i="1"/>
  <c r="I4281" i="1"/>
  <c r="H4281" i="1"/>
  <c r="I4280" i="1"/>
  <c r="H4280" i="1"/>
  <c r="I4279" i="1"/>
  <c r="H4279" i="1"/>
  <c r="I4278" i="1"/>
  <c r="H4278" i="1"/>
  <c r="I4277" i="1"/>
  <c r="H4277" i="1"/>
  <c r="I4276" i="1"/>
  <c r="H4276" i="1"/>
  <c r="I4275" i="1"/>
  <c r="H4275" i="1"/>
  <c r="I4274" i="1"/>
  <c r="H4274" i="1"/>
  <c r="I4273" i="1"/>
  <c r="H4273" i="1"/>
  <c r="I4272" i="1"/>
  <c r="H4272" i="1"/>
  <c r="I4271" i="1"/>
  <c r="H4271" i="1"/>
  <c r="I4270" i="1"/>
  <c r="H4270" i="1"/>
  <c r="I4269" i="1"/>
  <c r="H4269" i="1"/>
  <c r="I4268" i="1"/>
  <c r="H4268" i="1"/>
  <c r="I4267" i="1"/>
  <c r="H4267" i="1"/>
  <c r="I4266" i="1"/>
  <c r="H4266" i="1"/>
  <c r="I4265" i="1"/>
  <c r="H4265" i="1"/>
  <c r="I4264" i="1"/>
  <c r="H4264" i="1"/>
  <c r="I4263" i="1"/>
  <c r="H4263" i="1"/>
  <c r="I4262" i="1"/>
  <c r="H4262" i="1"/>
  <c r="I4261" i="1"/>
  <c r="H4261" i="1"/>
  <c r="I4260" i="1"/>
  <c r="H4260" i="1"/>
  <c r="I4259" i="1"/>
  <c r="H4259" i="1"/>
  <c r="I4258" i="1"/>
  <c r="H4258" i="1"/>
  <c r="I4257" i="1"/>
  <c r="H4257" i="1"/>
  <c r="I4256" i="1"/>
  <c r="H4256" i="1"/>
  <c r="I4255" i="1"/>
  <c r="H4255" i="1"/>
  <c r="I4254" i="1"/>
  <c r="H4254" i="1"/>
  <c r="I4253" i="1"/>
  <c r="H4253" i="1"/>
  <c r="I4252" i="1"/>
  <c r="H4252" i="1"/>
  <c r="I4251" i="1"/>
  <c r="H4251" i="1"/>
  <c r="I4250" i="1"/>
  <c r="H4250" i="1"/>
  <c r="I4249" i="1"/>
  <c r="H4249" i="1"/>
  <c r="I4248" i="1"/>
  <c r="H4248" i="1"/>
  <c r="I4247" i="1"/>
  <c r="H4247" i="1"/>
  <c r="I4246" i="1"/>
  <c r="H4246" i="1"/>
  <c r="I4245" i="1"/>
  <c r="H4245" i="1"/>
  <c r="I4244" i="1"/>
  <c r="H4244" i="1"/>
  <c r="I4243" i="1"/>
  <c r="H4243" i="1"/>
  <c r="I4242" i="1"/>
  <c r="H4242" i="1"/>
  <c r="I4241" i="1"/>
  <c r="H4241" i="1"/>
  <c r="I4240" i="1"/>
  <c r="H4240" i="1"/>
  <c r="I4239" i="1"/>
  <c r="H4239" i="1"/>
  <c r="I4238" i="1"/>
  <c r="H4238" i="1"/>
  <c r="I4237" i="1"/>
  <c r="H4237" i="1"/>
  <c r="I4236" i="1"/>
  <c r="H4236" i="1"/>
  <c r="I4235" i="1"/>
  <c r="H4235" i="1"/>
  <c r="I4234" i="1"/>
  <c r="H4234" i="1"/>
  <c r="I4233" i="1"/>
  <c r="H4233" i="1"/>
  <c r="I4232" i="1"/>
  <c r="H4232" i="1"/>
  <c r="I4231" i="1"/>
  <c r="H4231" i="1"/>
  <c r="I4230" i="1"/>
  <c r="H4230" i="1"/>
  <c r="I4229" i="1"/>
  <c r="H4229" i="1"/>
  <c r="I4228" i="1"/>
  <c r="H4228" i="1"/>
  <c r="I4227" i="1"/>
  <c r="H4227" i="1"/>
  <c r="I4226" i="1"/>
  <c r="H4226" i="1"/>
  <c r="I4225" i="1"/>
  <c r="H4225" i="1"/>
  <c r="I4224" i="1"/>
  <c r="H4224" i="1"/>
  <c r="I4223" i="1"/>
  <c r="H4223" i="1"/>
  <c r="I4222" i="1"/>
  <c r="H4222" i="1"/>
  <c r="I4221" i="1"/>
  <c r="H4221" i="1"/>
  <c r="I4220" i="1"/>
  <c r="H4220" i="1"/>
  <c r="I4219" i="1"/>
  <c r="H4219" i="1"/>
  <c r="I4218" i="1"/>
  <c r="H4218" i="1"/>
  <c r="I4217" i="1"/>
  <c r="H4217" i="1"/>
  <c r="I4216" i="1"/>
  <c r="H4216" i="1"/>
  <c r="I4215" i="1"/>
  <c r="H4215" i="1"/>
  <c r="I4214" i="1"/>
  <c r="H4214" i="1"/>
  <c r="I4213" i="1"/>
  <c r="H4213" i="1"/>
  <c r="I4212" i="1"/>
  <c r="H4212" i="1"/>
  <c r="I4211" i="1"/>
  <c r="H4211" i="1"/>
  <c r="I4210" i="1"/>
  <c r="H4210" i="1"/>
  <c r="I4209" i="1"/>
  <c r="H4209" i="1"/>
  <c r="I4208" i="1"/>
  <c r="H4208" i="1"/>
  <c r="I4207" i="1"/>
  <c r="H4207" i="1"/>
  <c r="I4206" i="1"/>
  <c r="H4206" i="1"/>
  <c r="I4205" i="1"/>
  <c r="H4205" i="1"/>
  <c r="I4204" i="1"/>
  <c r="H4204" i="1"/>
  <c r="I4203" i="1"/>
  <c r="H4203" i="1"/>
  <c r="I4202" i="1"/>
  <c r="H4202" i="1"/>
  <c r="I4201" i="1"/>
  <c r="H4201" i="1"/>
  <c r="I4200" i="1"/>
  <c r="H4200" i="1"/>
  <c r="I4199" i="1"/>
  <c r="H4199" i="1"/>
  <c r="I4198" i="1"/>
  <c r="H4198" i="1"/>
  <c r="I4197" i="1"/>
  <c r="H4197" i="1"/>
  <c r="I4196" i="1"/>
  <c r="H4196" i="1"/>
  <c r="I4195" i="1"/>
  <c r="H4195" i="1"/>
  <c r="I4194" i="1"/>
  <c r="H4194" i="1"/>
  <c r="I4193" i="1"/>
  <c r="H4193" i="1"/>
  <c r="I4192" i="1"/>
  <c r="H4192" i="1"/>
  <c r="I4191" i="1"/>
  <c r="H4191" i="1"/>
  <c r="I4190" i="1"/>
  <c r="H4190" i="1"/>
  <c r="I4189" i="1"/>
  <c r="H4189" i="1"/>
  <c r="I4188" i="1"/>
  <c r="H4188" i="1"/>
  <c r="I4187" i="1"/>
  <c r="H4187" i="1"/>
  <c r="I4186" i="1"/>
  <c r="H4186" i="1"/>
  <c r="I4185" i="1"/>
  <c r="H4185" i="1"/>
  <c r="I4184" i="1"/>
  <c r="H4184" i="1"/>
  <c r="I4183" i="1"/>
  <c r="H4183" i="1"/>
  <c r="I4182" i="1"/>
  <c r="H4182" i="1"/>
  <c r="I4181" i="1"/>
  <c r="H4181" i="1"/>
  <c r="I4180" i="1"/>
  <c r="H4180" i="1"/>
  <c r="I4179" i="1"/>
  <c r="H4179" i="1"/>
  <c r="I4178" i="1"/>
  <c r="H4178" i="1"/>
  <c r="I4177" i="1"/>
  <c r="H4177" i="1"/>
  <c r="I4176" i="1"/>
  <c r="H4176" i="1"/>
  <c r="I4175" i="1"/>
  <c r="H4175" i="1"/>
  <c r="I4174" i="1"/>
  <c r="H4174" i="1"/>
  <c r="I4173" i="1"/>
  <c r="H4173" i="1"/>
  <c r="I4172" i="1"/>
  <c r="H4172" i="1"/>
  <c r="I4171" i="1"/>
  <c r="H4171" i="1"/>
  <c r="I4170" i="1"/>
  <c r="H4170" i="1"/>
  <c r="I4169" i="1"/>
  <c r="H4169" i="1"/>
  <c r="I4168" i="1"/>
  <c r="H4168" i="1"/>
  <c r="I4167" i="1"/>
  <c r="H4167" i="1"/>
  <c r="I4166" i="1"/>
  <c r="H4166" i="1"/>
  <c r="I4165" i="1"/>
  <c r="H4165" i="1"/>
  <c r="I4164" i="1"/>
  <c r="H4164" i="1"/>
  <c r="I4163" i="1"/>
  <c r="H4163" i="1"/>
  <c r="I4162" i="1"/>
  <c r="H4162" i="1"/>
  <c r="I4161" i="1"/>
  <c r="H4161" i="1"/>
  <c r="I4160" i="1"/>
  <c r="H4160" i="1"/>
  <c r="I4159" i="1"/>
  <c r="H4159" i="1"/>
  <c r="I4158" i="1"/>
  <c r="H4158" i="1"/>
  <c r="I4157" i="1"/>
  <c r="H4157" i="1"/>
  <c r="I4156" i="1"/>
  <c r="H4156" i="1"/>
  <c r="I4155" i="1"/>
  <c r="H4155" i="1"/>
  <c r="I4154" i="1"/>
  <c r="H4154" i="1"/>
  <c r="I4153" i="1"/>
  <c r="H4153" i="1"/>
  <c r="I4152" i="1"/>
  <c r="H4152" i="1"/>
  <c r="I4151" i="1"/>
  <c r="H4151" i="1"/>
  <c r="I4150" i="1"/>
  <c r="H4150" i="1"/>
  <c r="I4149" i="1"/>
  <c r="H4149" i="1"/>
  <c r="I4148" i="1"/>
  <c r="H4148" i="1"/>
  <c r="I4147" i="1"/>
  <c r="H4147" i="1"/>
  <c r="I4146" i="1"/>
  <c r="H4146" i="1"/>
  <c r="I4145" i="1"/>
  <c r="H4145" i="1"/>
  <c r="I4144" i="1"/>
  <c r="H4144" i="1"/>
  <c r="I4143" i="1"/>
  <c r="H4143" i="1"/>
  <c r="I4142" i="1"/>
  <c r="H4142" i="1"/>
  <c r="I4141" i="1"/>
  <c r="H4141" i="1"/>
  <c r="I4140" i="1"/>
  <c r="H4140" i="1"/>
  <c r="I4139" i="1"/>
  <c r="H4139" i="1"/>
  <c r="I4138" i="1"/>
  <c r="H4138" i="1"/>
  <c r="I4137" i="1"/>
  <c r="H4137" i="1"/>
  <c r="I4136" i="1"/>
  <c r="H4136" i="1"/>
  <c r="I4135" i="1"/>
  <c r="H4135" i="1"/>
  <c r="I4134" i="1"/>
  <c r="H4134" i="1"/>
  <c r="I4133" i="1"/>
  <c r="H4133" i="1"/>
  <c r="I4132" i="1"/>
  <c r="H4132" i="1"/>
  <c r="I4131" i="1"/>
  <c r="H4131" i="1"/>
  <c r="I4130" i="1"/>
  <c r="H4130" i="1"/>
  <c r="I4129" i="1"/>
  <c r="H4129" i="1"/>
  <c r="I4128" i="1"/>
  <c r="H4128" i="1"/>
  <c r="I4127" i="1"/>
  <c r="H4127" i="1"/>
  <c r="I4126" i="1"/>
  <c r="H4126" i="1"/>
  <c r="I4125" i="1"/>
  <c r="H4125" i="1"/>
  <c r="I4124" i="1"/>
  <c r="H4124" i="1"/>
  <c r="I4123" i="1"/>
  <c r="H4123" i="1"/>
  <c r="I4122" i="1"/>
  <c r="H4122" i="1"/>
  <c r="I4121" i="1"/>
  <c r="H4121" i="1"/>
  <c r="I4120" i="1"/>
  <c r="H4120" i="1"/>
  <c r="I4119" i="1"/>
  <c r="H4119" i="1"/>
  <c r="I4118" i="1"/>
  <c r="H4118" i="1"/>
  <c r="I4117" i="1"/>
  <c r="H4117" i="1"/>
  <c r="I4116" i="1"/>
  <c r="H4116" i="1"/>
  <c r="I4115" i="1"/>
  <c r="H4115" i="1"/>
  <c r="I4114" i="1"/>
  <c r="H4114" i="1"/>
  <c r="I4113" i="1"/>
  <c r="H4113" i="1"/>
  <c r="I4112" i="1"/>
  <c r="H4112" i="1"/>
  <c r="I4111" i="1"/>
  <c r="H4111" i="1"/>
  <c r="I4110" i="1"/>
  <c r="H4110" i="1"/>
  <c r="I4109" i="1"/>
  <c r="H4109" i="1"/>
  <c r="I4108" i="1"/>
  <c r="H4108" i="1"/>
  <c r="I4107" i="1"/>
  <c r="H4107" i="1"/>
  <c r="I4106" i="1"/>
  <c r="H4106" i="1"/>
  <c r="I4105" i="1"/>
  <c r="H4105" i="1"/>
  <c r="I4104" i="1"/>
  <c r="H4104" i="1"/>
  <c r="I4103" i="1"/>
  <c r="H4103" i="1"/>
  <c r="I4102" i="1"/>
  <c r="H4102" i="1"/>
  <c r="I4101" i="1"/>
  <c r="H4101" i="1"/>
  <c r="I4100" i="1"/>
  <c r="H4100" i="1"/>
  <c r="I4099" i="1"/>
  <c r="H4099" i="1"/>
  <c r="I4098" i="1"/>
  <c r="H4098" i="1"/>
  <c r="I4097" i="1"/>
  <c r="H4097" i="1"/>
  <c r="I4096" i="1"/>
  <c r="H4096" i="1"/>
  <c r="I4095" i="1"/>
  <c r="H4095" i="1"/>
  <c r="I4094" i="1"/>
  <c r="H4094" i="1"/>
  <c r="I4093" i="1"/>
  <c r="H4093" i="1"/>
  <c r="I4092" i="1"/>
  <c r="H4092" i="1"/>
  <c r="I4091" i="1"/>
  <c r="H4091" i="1"/>
  <c r="I4090" i="1"/>
  <c r="H4090" i="1"/>
  <c r="I4089" i="1"/>
  <c r="H4089" i="1"/>
  <c r="I4088" i="1"/>
  <c r="H4088" i="1"/>
  <c r="I4087" i="1"/>
  <c r="H4087" i="1"/>
  <c r="I4086" i="1"/>
  <c r="H4086" i="1"/>
  <c r="I4085" i="1"/>
  <c r="H4085" i="1"/>
  <c r="I4084" i="1"/>
  <c r="H4084" i="1"/>
  <c r="I4083" i="1"/>
  <c r="H4083" i="1"/>
  <c r="I4082" i="1"/>
  <c r="H4082" i="1"/>
  <c r="I4081" i="1"/>
  <c r="H4081" i="1"/>
  <c r="I4080" i="1"/>
  <c r="H4080" i="1"/>
  <c r="I4079" i="1"/>
  <c r="H4079" i="1"/>
  <c r="I4078" i="1"/>
  <c r="H4078" i="1"/>
  <c r="I4077" i="1"/>
  <c r="H4077" i="1"/>
  <c r="I4076" i="1"/>
  <c r="H4076" i="1"/>
  <c r="I4075" i="1"/>
  <c r="H4075" i="1"/>
  <c r="I4074" i="1"/>
  <c r="H4074" i="1"/>
  <c r="I4073" i="1"/>
  <c r="H4073" i="1"/>
  <c r="I4072" i="1"/>
  <c r="H4072" i="1"/>
  <c r="I4071" i="1"/>
  <c r="H4071" i="1"/>
  <c r="I4070" i="1"/>
  <c r="H4070" i="1"/>
  <c r="I4069" i="1"/>
  <c r="H4069" i="1"/>
  <c r="I4068" i="1"/>
  <c r="H4068" i="1"/>
  <c r="I4067" i="1"/>
  <c r="H4067" i="1"/>
  <c r="I4066" i="1"/>
  <c r="H4066" i="1"/>
  <c r="I4065" i="1"/>
  <c r="H4065" i="1"/>
  <c r="I4064" i="1"/>
  <c r="H4064" i="1"/>
  <c r="I4063" i="1"/>
  <c r="H4063" i="1"/>
  <c r="I4062" i="1"/>
  <c r="H4062" i="1"/>
  <c r="I4061" i="1"/>
  <c r="H4061" i="1"/>
  <c r="I4060" i="1"/>
  <c r="H4060" i="1"/>
  <c r="I4059" i="1"/>
  <c r="H4059" i="1"/>
  <c r="I4058" i="1"/>
  <c r="H4058" i="1"/>
  <c r="I4057" i="1"/>
  <c r="H4057" i="1"/>
  <c r="I4056" i="1"/>
  <c r="H4056" i="1"/>
  <c r="I4055" i="1"/>
  <c r="H4055" i="1"/>
  <c r="I4054" i="1"/>
  <c r="H4054" i="1"/>
  <c r="I4053" i="1"/>
  <c r="H4053" i="1"/>
  <c r="I4052" i="1"/>
  <c r="H4052" i="1"/>
  <c r="I4051" i="1"/>
  <c r="H4051" i="1"/>
  <c r="I4050" i="1"/>
  <c r="H4050" i="1"/>
  <c r="I4049" i="1"/>
  <c r="H4049" i="1"/>
  <c r="I4048" i="1"/>
  <c r="H4048" i="1"/>
  <c r="I4047" i="1"/>
  <c r="H4047" i="1"/>
  <c r="I4046" i="1"/>
  <c r="H4046" i="1"/>
  <c r="I4045" i="1"/>
  <c r="H4045" i="1"/>
  <c r="I4044" i="1"/>
  <c r="H4044" i="1"/>
  <c r="I4043" i="1"/>
  <c r="H4043" i="1"/>
  <c r="I4042" i="1"/>
  <c r="H4042" i="1"/>
  <c r="I4041" i="1"/>
  <c r="H4041" i="1"/>
  <c r="I4040" i="1"/>
  <c r="H4040" i="1"/>
  <c r="I4039" i="1"/>
  <c r="H4039" i="1"/>
  <c r="I4038" i="1"/>
  <c r="H4038" i="1"/>
  <c r="I4037" i="1"/>
  <c r="H4037" i="1"/>
  <c r="I4036" i="1"/>
  <c r="H4036" i="1"/>
  <c r="I4035" i="1"/>
  <c r="H4035" i="1"/>
  <c r="I4034" i="1"/>
  <c r="H4034" i="1"/>
  <c r="I4033" i="1"/>
  <c r="H4033" i="1"/>
  <c r="I4032" i="1"/>
  <c r="H4032" i="1"/>
  <c r="I4031" i="1"/>
  <c r="H4031" i="1"/>
  <c r="I4030" i="1"/>
  <c r="H4030" i="1"/>
  <c r="I4029" i="1"/>
  <c r="H4029" i="1"/>
  <c r="I4028" i="1"/>
  <c r="H4028" i="1"/>
  <c r="I4027" i="1"/>
  <c r="H4027" i="1"/>
  <c r="I4026" i="1"/>
  <c r="H4026" i="1"/>
  <c r="I4025" i="1"/>
  <c r="H4025" i="1"/>
  <c r="I4024" i="1"/>
  <c r="H4024" i="1"/>
  <c r="I4023" i="1"/>
  <c r="H4023" i="1"/>
  <c r="I4022" i="1"/>
  <c r="H4022" i="1"/>
  <c r="I4021" i="1"/>
  <c r="H4021" i="1"/>
  <c r="I4020" i="1"/>
  <c r="H4020" i="1"/>
  <c r="I4019" i="1"/>
  <c r="H4019" i="1"/>
  <c r="I4018" i="1"/>
  <c r="H4018" i="1"/>
  <c r="I4017" i="1"/>
  <c r="H4017" i="1"/>
  <c r="I4016" i="1"/>
  <c r="H4016" i="1"/>
  <c r="I4015" i="1"/>
  <c r="H4015" i="1"/>
  <c r="I4014" i="1"/>
  <c r="H4014" i="1"/>
  <c r="I4013" i="1"/>
  <c r="H4013" i="1"/>
  <c r="I4012" i="1"/>
  <c r="H4012" i="1"/>
  <c r="I4011" i="1"/>
  <c r="H4011" i="1"/>
  <c r="I4010" i="1"/>
  <c r="H4010" i="1"/>
  <c r="I4009" i="1"/>
  <c r="H4009" i="1"/>
  <c r="I4008" i="1"/>
  <c r="H4008" i="1"/>
  <c r="I4007" i="1"/>
  <c r="H4007" i="1"/>
  <c r="I4006" i="1"/>
  <c r="H4006" i="1"/>
  <c r="I4005" i="1"/>
  <c r="H4005" i="1"/>
  <c r="I4004" i="1"/>
  <c r="H4004" i="1"/>
  <c r="I4003" i="1"/>
  <c r="H4003" i="1"/>
  <c r="I4002" i="1"/>
  <c r="H4002" i="1"/>
  <c r="I4001" i="1"/>
  <c r="H4001" i="1"/>
  <c r="I4000" i="1"/>
  <c r="H4000" i="1"/>
  <c r="I3999" i="1"/>
  <c r="H3999" i="1"/>
  <c r="I3998" i="1"/>
  <c r="H3998" i="1"/>
  <c r="I3997" i="1"/>
  <c r="H3997" i="1"/>
  <c r="I3996" i="1"/>
  <c r="H3996" i="1"/>
  <c r="I3995" i="1"/>
  <c r="H3995" i="1"/>
  <c r="I3994" i="1"/>
  <c r="H3994" i="1"/>
  <c r="I3993" i="1"/>
  <c r="H3993" i="1"/>
  <c r="I3992" i="1"/>
  <c r="H3992" i="1"/>
  <c r="I3991" i="1"/>
  <c r="H3991" i="1"/>
  <c r="I3990" i="1"/>
  <c r="H3990" i="1"/>
  <c r="I3989" i="1"/>
  <c r="H3989" i="1"/>
  <c r="I3988" i="1"/>
  <c r="H3988" i="1"/>
  <c r="I3987" i="1"/>
  <c r="H3987" i="1"/>
  <c r="I3986" i="1"/>
  <c r="H3986" i="1"/>
  <c r="I3985" i="1"/>
  <c r="H3985" i="1"/>
  <c r="I3984" i="1"/>
  <c r="H3984" i="1"/>
  <c r="I3983" i="1"/>
  <c r="H3983" i="1"/>
  <c r="I3982" i="1"/>
  <c r="H3982" i="1"/>
  <c r="I3981" i="1"/>
  <c r="H3981" i="1"/>
  <c r="I3980" i="1"/>
  <c r="H3980" i="1"/>
  <c r="I3979" i="1"/>
  <c r="H3979" i="1"/>
  <c r="I3978" i="1"/>
  <c r="H3978" i="1"/>
  <c r="I3977" i="1"/>
  <c r="H3977" i="1"/>
  <c r="I3976" i="1"/>
  <c r="H3976" i="1"/>
  <c r="I3975" i="1"/>
  <c r="H3975" i="1"/>
  <c r="I3974" i="1"/>
  <c r="H3974" i="1"/>
  <c r="I3973" i="1"/>
  <c r="H3973" i="1"/>
  <c r="I3972" i="1"/>
  <c r="H3972" i="1"/>
  <c r="I3971" i="1"/>
  <c r="H3971" i="1"/>
  <c r="I3970" i="1"/>
  <c r="H3970" i="1"/>
  <c r="I3969" i="1"/>
  <c r="H3969" i="1"/>
  <c r="I3968" i="1"/>
  <c r="H3968" i="1"/>
  <c r="I3967" i="1"/>
  <c r="H3967" i="1"/>
  <c r="I3966" i="1"/>
  <c r="H3966" i="1"/>
  <c r="I3965" i="1"/>
  <c r="H3965" i="1"/>
  <c r="I3964" i="1"/>
  <c r="H3964" i="1"/>
  <c r="I3963" i="1"/>
  <c r="H3963" i="1"/>
  <c r="I3962" i="1"/>
  <c r="H3962" i="1"/>
  <c r="I3961" i="1"/>
  <c r="H3961" i="1"/>
  <c r="I3960" i="1"/>
  <c r="H3960" i="1"/>
  <c r="I3959" i="1"/>
  <c r="H3959" i="1"/>
  <c r="I3958" i="1"/>
  <c r="H3958" i="1"/>
  <c r="I3957" i="1"/>
  <c r="H3957" i="1"/>
  <c r="I3956" i="1"/>
  <c r="H3956" i="1"/>
  <c r="I3955" i="1"/>
  <c r="H3955" i="1"/>
  <c r="I3954" i="1"/>
  <c r="H3954" i="1"/>
  <c r="I3953" i="1"/>
  <c r="H3953" i="1"/>
  <c r="I3952" i="1"/>
  <c r="H3952" i="1"/>
  <c r="I3951" i="1"/>
  <c r="H3951" i="1"/>
  <c r="I3950" i="1"/>
  <c r="H3950" i="1"/>
  <c r="I3949" i="1"/>
  <c r="H3949" i="1"/>
  <c r="I3948" i="1"/>
  <c r="H3948" i="1"/>
  <c r="I3947" i="1"/>
  <c r="H3947" i="1"/>
  <c r="I3946" i="1"/>
  <c r="H3946" i="1"/>
  <c r="I3945" i="1"/>
  <c r="H3945" i="1"/>
  <c r="I3944" i="1"/>
  <c r="H3944" i="1"/>
  <c r="I3943" i="1"/>
  <c r="H3943" i="1"/>
  <c r="I3942" i="1"/>
  <c r="H3942" i="1"/>
  <c r="I3941" i="1"/>
  <c r="H3941" i="1"/>
  <c r="I3940" i="1"/>
  <c r="H3940" i="1"/>
  <c r="I3939" i="1"/>
  <c r="H3939" i="1"/>
  <c r="I3938" i="1"/>
  <c r="H3938" i="1"/>
  <c r="I3937" i="1"/>
  <c r="H3937" i="1"/>
  <c r="I3936" i="1"/>
  <c r="H3936" i="1"/>
  <c r="I3935" i="1"/>
  <c r="H3935" i="1"/>
  <c r="I3934" i="1"/>
  <c r="H3934" i="1"/>
  <c r="I3933" i="1"/>
  <c r="H3933" i="1"/>
  <c r="I3932" i="1"/>
  <c r="H3932" i="1"/>
  <c r="I3931" i="1"/>
  <c r="H3931" i="1"/>
  <c r="I3930" i="1"/>
  <c r="H3930" i="1"/>
  <c r="I3929" i="1"/>
  <c r="H3929" i="1"/>
  <c r="I3928" i="1"/>
  <c r="H3928" i="1"/>
  <c r="I3927" i="1"/>
  <c r="H3927" i="1"/>
  <c r="I3926" i="1"/>
  <c r="H3926" i="1"/>
  <c r="I3925" i="1"/>
  <c r="H3925" i="1"/>
  <c r="I3924" i="1"/>
  <c r="H3924" i="1"/>
  <c r="I3923" i="1"/>
  <c r="H3923" i="1"/>
  <c r="I3922" i="1"/>
  <c r="H3922" i="1"/>
  <c r="I3921" i="1"/>
  <c r="H3921" i="1"/>
  <c r="I3920" i="1"/>
  <c r="H3920" i="1"/>
  <c r="I3919" i="1"/>
  <c r="H3919" i="1"/>
  <c r="I3918" i="1"/>
  <c r="H3918" i="1"/>
  <c r="I3917" i="1"/>
  <c r="H3917" i="1"/>
  <c r="I3916" i="1"/>
  <c r="H3916" i="1"/>
  <c r="I3915" i="1"/>
  <c r="H3915" i="1"/>
  <c r="I3914" i="1"/>
  <c r="H3914" i="1"/>
  <c r="I3913" i="1"/>
  <c r="H3913" i="1"/>
  <c r="I3912" i="1"/>
  <c r="H3912" i="1"/>
  <c r="I3911" i="1"/>
  <c r="H3911" i="1"/>
  <c r="I3910" i="1"/>
  <c r="H3910" i="1"/>
  <c r="I3909" i="1"/>
  <c r="H3909" i="1"/>
  <c r="I3908" i="1"/>
  <c r="H3908" i="1"/>
  <c r="I3907" i="1"/>
  <c r="H3907" i="1"/>
  <c r="I3906" i="1"/>
  <c r="H3906" i="1"/>
  <c r="I3905" i="1"/>
  <c r="H3905" i="1"/>
  <c r="I3904" i="1"/>
  <c r="H3904" i="1"/>
  <c r="I3903" i="1"/>
  <c r="H3903" i="1"/>
  <c r="I3902" i="1"/>
  <c r="H3902" i="1"/>
  <c r="I3901" i="1"/>
  <c r="H3901" i="1"/>
  <c r="I3900" i="1"/>
  <c r="H3900" i="1"/>
  <c r="I3899" i="1"/>
  <c r="H3899" i="1"/>
  <c r="I3898" i="1"/>
  <c r="H3898" i="1"/>
  <c r="I3897" i="1"/>
  <c r="H3897" i="1"/>
  <c r="I3896" i="1"/>
  <c r="H3896" i="1"/>
  <c r="I3895" i="1"/>
  <c r="H3895" i="1"/>
  <c r="I3894" i="1"/>
  <c r="H3894" i="1"/>
  <c r="I3893" i="1"/>
  <c r="H3893" i="1"/>
  <c r="I3892" i="1"/>
  <c r="H3892" i="1"/>
  <c r="I3891" i="1"/>
  <c r="H3891" i="1"/>
  <c r="I3890" i="1"/>
  <c r="H3890" i="1"/>
  <c r="I3889" i="1"/>
  <c r="H3889" i="1"/>
  <c r="I3888" i="1"/>
  <c r="H3888" i="1"/>
  <c r="I3887" i="1"/>
  <c r="H3887" i="1"/>
  <c r="I3886" i="1"/>
  <c r="H3886" i="1"/>
  <c r="I3885" i="1"/>
  <c r="H3885" i="1"/>
  <c r="I3884" i="1"/>
  <c r="H3884" i="1"/>
  <c r="I3883" i="1"/>
  <c r="H3883" i="1"/>
  <c r="I3882" i="1"/>
  <c r="H3882" i="1"/>
  <c r="I3881" i="1"/>
  <c r="H3881" i="1"/>
  <c r="I3880" i="1"/>
  <c r="H3880" i="1"/>
  <c r="I3879" i="1"/>
  <c r="H3879" i="1"/>
  <c r="I3878" i="1"/>
  <c r="H3878" i="1"/>
  <c r="I3877" i="1"/>
  <c r="H3877" i="1"/>
  <c r="I3876" i="1"/>
  <c r="H3876" i="1"/>
  <c r="I3875" i="1"/>
  <c r="H3875" i="1"/>
  <c r="I3874" i="1"/>
  <c r="H3874" i="1"/>
  <c r="I3873" i="1"/>
  <c r="H3873" i="1"/>
  <c r="I3872" i="1"/>
  <c r="H3872" i="1"/>
  <c r="I3871" i="1"/>
  <c r="H3871" i="1"/>
  <c r="I3870" i="1"/>
  <c r="H3870" i="1"/>
  <c r="I3869" i="1"/>
  <c r="H3869" i="1"/>
  <c r="I3868" i="1"/>
  <c r="H3868" i="1"/>
  <c r="I3867" i="1"/>
  <c r="H3867" i="1"/>
  <c r="I3866" i="1"/>
  <c r="H3866" i="1"/>
  <c r="I3865" i="1"/>
  <c r="H3865" i="1"/>
  <c r="I3864" i="1"/>
  <c r="H3864" i="1"/>
  <c r="I3863" i="1"/>
  <c r="H3863" i="1"/>
  <c r="I3862" i="1"/>
  <c r="H3862" i="1"/>
  <c r="I3861" i="1"/>
  <c r="H3861" i="1"/>
  <c r="I3860" i="1"/>
  <c r="H3860" i="1"/>
  <c r="I3859" i="1"/>
  <c r="H3859" i="1"/>
  <c r="I3858" i="1"/>
  <c r="H3858" i="1"/>
  <c r="I3857" i="1"/>
  <c r="H3857" i="1"/>
  <c r="I3856" i="1"/>
  <c r="H3856" i="1"/>
  <c r="I3855" i="1"/>
  <c r="H3855" i="1"/>
  <c r="I3854" i="1"/>
  <c r="H3854" i="1"/>
  <c r="I3853" i="1"/>
  <c r="H3853" i="1"/>
  <c r="I3852" i="1"/>
  <c r="H3852" i="1"/>
  <c r="I3851" i="1"/>
  <c r="H3851" i="1"/>
  <c r="I3850" i="1"/>
  <c r="H3850" i="1"/>
  <c r="I3849" i="1"/>
  <c r="H3849" i="1"/>
  <c r="I3848" i="1"/>
  <c r="H3848" i="1"/>
  <c r="I3847" i="1"/>
  <c r="H3847" i="1"/>
  <c r="I3846" i="1"/>
  <c r="H3846" i="1"/>
  <c r="I3845" i="1"/>
  <c r="H3845" i="1"/>
  <c r="I3844" i="1"/>
  <c r="H3844" i="1"/>
  <c r="I3843" i="1"/>
  <c r="H3843" i="1"/>
  <c r="I3842" i="1"/>
  <c r="H3842" i="1"/>
  <c r="I3841" i="1"/>
  <c r="H3841" i="1"/>
  <c r="I3840" i="1"/>
  <c r="H3840" i="1"/>
  <c r="I3839" i="1"/>
  <c r="H3839" i="1"/>
  <c r="I3838" i="1"/>
  <c r="H3838" i="1"/>
  <c r="I3837" i="1"/>
  <c r="H3837" i="1"/>
  <c r="I3836" i="1"/>
  <c r="H3836" i="1"/>
  <c r="I3835" i="1"/>
  <c r="H3835" i="1"/>
  <c r="I3834" i="1"/>
  <c r="H3834" i="1"/>
  <c r="I3833" i="1"/>
  <c r="H3833" i="1"/>
  <c r="I3832" i="1"/>
  <c r="H3832" i="1"/>
  <c r="I3831" i="1"/>
  <c r="H3831" i="1"/>
  <c r="I3830" i="1"/>
  <c r="H3830" i="1"/>
  <c r="I3829" i="1"/>
  <c r="H3829" i="1"/>
  <c r="I3828" i="1"/>
  <c r="H3828" i="1"/>
  <c r="I3827" i="1"/>
  <c r="H3827" i="1"/>
  <c r="I3826" i="1"/>
  <c r="H3826" i="1"/>
  <c r="I3825" i="1"/>
  <c r="H3825" i="1"/>
  <c r="I3824" i="1"/>
  <c r="H3824" i="1"/>
  <c r="I3823" i="1"/>
  <c r="H3823" i="1"/>
  <c r="I3822" i="1"/>
  <c r="H3822" i="1"/>
  <c r="I3821" i="1"/>
  <c r="H3821" i="1"/>
  <c r="I3820" i="1"/>
  <c r="H3820" i="1"/>
  <c r="I3819" i="1"/>
  <c r="H3819" i="1"/>
  <c r="I3818" i="1"/>
  <c r="H3818" i="1"/>
  <c r="I3817" i="1"/>
  <c r="H3817" i="1"/>
  <c r="I3816" i="1"/>
  <c r="H3816" i="1"/>
  <c r="I3815" i="1"/>
  <c r="H3815" i="1"/>
  <c r="I3814" i="1"/>
  <c r="H3814" i="1"/>
  <c r="I3813" i="1"/>
  <c r="H3813" i="1"/>
  <c r="I3812" i="1"/>
  <c r="H3812" i="1"/>
  <c r="I3811" i="1"/>
  <c r="H3811" i="1"/>
  <c r="I3810" i="1"/>
  <c r="H3810" i="1"/>
  <c r="I3809" i="1"/>
  <c r="H3809" i="1"/>
  <c r="I3808" i="1"/>
  <c r="H3808" i="1"/>
  <c r="I3807" i="1"/>
  <c r="H3807" i="1"/>
  <c r="I3806" i="1"/>
  <c r="H3806" i="1"/>
  <c r="I3805" i="1"/>
  <c r="H3805" i="1"/>
  <c r="I3804" i="1"/>
  <c r="H3804" i="1"/>
  <c r="I3803" i="1"/>
  <c r="H3803" i="1"/>
  <c r="I3802" i="1"/>
  <c r="H3802" i="1"/>
  <c r="I3801" i="1"/>
  <c r="H3801" i="1"/>
  <c r="I3800" i="1"/>
  <c r="H3800" i="1"/>
  <c r="I3799" i="1"/>
  <c r="H3799" i="1"/>
  <c r="I3798" i="1"/>
  <c r="H3798" i="1"/>
  <c r="I3797" i="1"/>
  <c r="H3797" i="1"/>
  <c r="I3796" i="1"/>
  <c r="H3796" i="1"/>
  <c r="I3795" i="1"/>
  <c r="H3795" i="1"/>
  <c r="I3794" i="1"/>
  <c r="H3794" i="1"/>
  <c r="I3793" i="1"/>
  <c r="H3793" i="1"/>
  <c r="I3792" i="1"/>
  <c r="H3792" i="1"/>
  <c r="I3791" i="1"/>
  <c r="H3791" i="1"/>
  <c r="I3790" i="1"/>
  <c r="H3790" i="1"/>
  <c r="I3789" i="1"/>
  <c r="H3789" i="1"/>
  <c r="I3788" i="1"/>
  <c r="H3788" i="1"/>
  <c r="I3787" i="1"/>
  <c r="H3787" i="1"/>
  <c r="I3786" i="1"/>
  <c r="H3786" i="1"/>
  <c r="I3785" i="1"/>
  <c r="H3785" i="1"/>
  <c r="I3784" i="1"/>
  <c r="H3784" i="1"/>
  <c r="I3783" i="1"/>
  <c r="H3783" i="1"/>
  <c r="I3782" i="1"/>
  <c r="H3782" i="1"/>
  <c r="I3781" i="1"/>
  <c r="H3781" i="1"/>
  <c r="I3780" i="1"/>
  <c r="H3780" i="1"/>
  <c r="I3779" i="1"/>
  <c r="H3779" i="1"/>
  <c r="I3778" i="1"/>
  <c r="H3778" i="1"/>
  <c r="I3777" i="1"/>
  <c r="H3777" i="1"/>
  <c r="I3776" i="1"/>
  <c r="H3776" i="1"/>
  <c r="I3775" i="1"/>
  <c r="H3775" i="1"/>
  <c r="I3774" i="1"/>
  <c r="H3774" i="1"/>
  <c r="I3773" i="1"/>
  <c r="H3773" i="1"/>
  <c r="I3772" i="1"/>
  <c r="H3772" i="1"/>
  <c r="I3771" i="1"/>
  <c r="H3771" i="1"/>
  <c r="I3770" i="1"/>
  <c r="H3770" i="1"/>
  <c r="I3769" i="1"/>
  <c r="H3769" i="1"/>
  <c r="I3768" i="1"/>
  <c r="H3768" i="1"/>
  <c r="I3767" i="1"/>
  <c r="H3767" i="1"/>
  <c r="I3766" i="1"/>
  <c r="H3766" i="1"/>
  <c r="I3765" i="1"/>
  <c r="H3765" i="1"/>
  <c r="I3764" i="1"/>
  <c r="H3764" i="1"/>
  <c r="I3763" i="1"/>
  <c r="H3763" i="1"/>
  <c r="I3762" i="1"/>
  <c r="H3762" i="1"/>
  <c r="I3761" i="1"/>
  <c r="H3761" i="1"/>
  <c r="I3760" i="1"/>
  <c r="H3760" i="1"/>
  <c r="I3759" i="1"/>
  <c r="H3759" i="1"/>
  <c r="I3758" i="1"/>
  <c r="H3758" i="1"/>
  <c r="I3757" i="1"/>
  <c r="H3757" i="1"/>
  <c r="I3756" i="1"/>
  <c r="H3756" i="1"/>
  <c r="I3755" i="1"/>
  <c r="H3755" i="1"/>
  <c r="I3754" i="1"/>
  <c r="H3754" i="1"/>
  <c r="I3753" i="1"/>
  <c r="H3753" i="1"/>
  <c r="I3752" i="1"/>
  <c r="H3752" i="1"/>
  <c r="I3751" i="1"/>
  <c r="H3751" i="1"/>
  <c r="I3750" i="1"/>
  <c r="H3750" i="1"/>
  <c r="I3749" i="1"/>
  <c r="H3749" i="1"/>
  <c r="I3748" i="1"/>
  <c r="H3748" i="1"/>
  <c r="I3747" i="1"/>
  <c r="H3747" i="1"/>
  <c r="I3746" i="1"/>
  <c r="H3746" i="1"/>
  <c r="I3745" i="1"/>
  <c r="H3745" i="1"/>
  <c r="I3744" i="1"/>
  <c r="H3744" i="1"/>
  <c r="I3743" i="1"/>
  <c r="H3743" i="1"/>
  <c r="I3742" i="1"/>
  <c r="H3742" i="1"/>
  <c r="I3741" i="1"/>
  <c r="H3741" i="1"/>
  <c r="I3740" i="1"/>
  <c r="H3740" i="1"/>
  <c r="I3739" i="1"/>
  <c r="H3739" i="1"/>
  <c r="I3738" i="1"/>
  <c r="H3738" i="1"/>
  <c r="I3737" i="1"/>
  <c r="H3737" i="1"/>
  <c r="I3736" i="1"/>
  <c r="H3736" i="1"/>
  <c r="I3735" i="1"/>
  <c r="H3735" i="1"/>
  <c r="I3734" i="1"/>
  <c r="H3734" i="1"/>
  <c r="I3733" i="1"/>
  <c r="H3733" i="1"/>
  <c r="I3732" i="1"/>
  <c r="H3732" i="1"/>
  <c r="I3731" i="1"/>
  <c r="H3731" i="1"/>
  <c r="I3730" i="1"/>
  <c r="H3730" i="1"/>
  <c r="I3729" i="1"/>
  <c r="H3729" i="1"/>
  <c r="I3728" i="1"/>
  <c r="H3728" i="1"/>
  <c r="I3727" i="1"/>
  <c r="H3727" i="1"/>
  <c r="I3726" i="1"/>
  <c r="H3726" i="1"/>
  <c r="I3725" i="1"/>
  <c r="H3725" i="1"/>
  <c r="I3724" i="1"/>
  <c r="H3724" i="1"/>
  <c r="I3723" i="1"/>
  <c r="H3723" i="1"/>
  <c r="I3722" i="1"/>
  <c r="H3722" i="1"/>
  <c r="I3721" i="1"/>
  <c r="H3721" i="1"/>
  <c r="I3720" i="1"/>
  <c r="H3720" i="1"/>
  <c r="I3719" i="1"/>
  <c r="H3719" i="1"/>
  <c r="I3718" i="1"/>
  <c r="H3718" i="1"/>
  <c r="I3717" i="1"/>
  <c r="H3717" i="1"/>
  <c r="I3716" i="1"/>
  <c r="H3716" i="1"/>
  <c r="I3715" i="1"/>
  <c r="H3715" i="1"/>
  <c r="I3714" i="1"/>
  <c r="H3714" i="1"/>
  <c r="I3713" i="1"/>
  <c r="H3713" i="1"/>
  <c r="I3712" i="1"/>
  <c r="H3712" i="1"/>
  <c r="I3711" i="1"/>
  <c r="H3711" i="1"/>
  <c r="I3710" i="1"/>
  <c r="H3710" i="1"/>
  <c r="I3709" i="1"/>
  <c r="H3709" i="1"/>
  <c r="I3708" i="1"/>
  <c r="H3708" i="1"/>
  <c r="I3707" i="1"/>
  <c r="H3707" i="1"/>
  <c r="I3706" i="1"/>
  <c r="H3706" i="1"/>
  <c r="I3705" i="1"/>
  <c r="H3705" i="1"/>
  <c r="I3704" i="1"/>
  <c r="H3704" i="1"/>
  <c r="I3703" i="1"/>
  <c r="H3703" i="1"/>
  <c r="I3702" i="1"/>
  <c r="H3702" i="1"/>
  <c r="I3701" i="1"/>
  <c r="H3701" i="1"/>
  <c r="I3700" i="1"/>
  <c r="H3700" i="1"/>
  <c r="I3699" i="1"/>
  <c r="H3699" i="1"/>
  <c r="I3698" i="1"/>
  <c r="H3698" i="1"/>
  <c r="I3697" i="1"/>
  <c r="H3697" i="1"/>
  <c r="I3696" i="1"/>
  <c r="H3696" i="1"/>
  <c r="I3695" i="1"/>
  <c r="H3695" i="1"/>
  <c r="I3694" i="1"/>
  <c r="H3694" i="1"/>
  <c r="I3693" i="1"/>
  <c r="H3693" i="1"/>
  <c r="I3692" i="1"/>
  <c r="H3692" i="1"/>
  <c r="I3691" i="1"/>
  <c r="H3691" i="1"/>
  <c r="I3690" i="1"/>
  <c r="H3690" i="1"/>
  <c r="I3689" i="1"/>
  <c r="H3689" i="1"/>
  <c r="I3688" i="1"/>
  <c r="H3688" i="1"/>
  <c r="I3687" i="1"/>
  <c r="H3687" i="1"/>
  <c r="I3686" i="1"/>
  <c r="H3686" i="1"/>
  <c r="I3685" i="1"/>
  <c r="H3685" i="1"/>
  <c r="I3684" i="1"/>
  <c r="H3684" i="1"/>
  <c r="I3683" i="1"/>
  <c r="H3683" i="1"/>
  <c r="I3682" i="1"/>
  <c r="H3682" i="1"/>
  <c r="I3681" i="1"/>
  <c r="H3681" i="1"/>
  <c r="I3680" i="1"/>
  <c r="H3680" i="1"/>
  <c r="I3679" i="1"/>
  <c r="H3679" i="1"/>
  <c r="I3678" i="1"/>
  <c r="H3678" i="1"/>
  <c r="I3677" i="1"/>
  <c r="H3677" i="1"/>
  <c r="I3676" i="1"/>
  <c r="H3676" i="1"/>
  <c r="I3675" i="1"/>
  <c r="H3675" i="1"/>
  <c r="I3674" i="1"/>
  <c r="H3674" i="1"/>
  <c r="I3673" i="1"/>
  <c r="H3673" i="1"/>
  <c r="I3672" i="1"/>
  <c r="H3672" i="1"/>
  <c r="I3671" i="1"/>
  <c r="H3671" i="1"/>
  <c r="I3670" i="1"/>
  <c r="H3670" i="1"/>
  <c r="I3669" i="1"/>
  <c r="H3669" i="1"/>
  <c r="I3668" i="1"/>
  <c r="H3668" i="1"/>
  <c r="I3667" i="1"/>
  <c r="H3667" i="1"/>
  <c r="I3666" i="1"/>
  <c r="H3666" i="1"/>
  <c r="I3665" i="1"/>
  <c r="H3665" i="1"/>
  <c r="I3664" i="1"/>
  <c r="H3664" i="1"/>
  <c r="I3663" i="1"/>
  <c r="H3663" i="1"/>
  <c r="I3662" i="1"/>
  <c r="H3662" i="1"/>
  <c r="I3661" i="1"/>
  <c r="H3661" i="1"/>
  <c r="I3660" i="1"/>
  <c r="H3660" i="1"/>
  <c r="I3659" i="1"/>
  <c r="H3659" i="1"/>
  <c r="I3658" i="1"/>
  <c r="H3658" i="1"/>
  <c r="I3657" i="1"/>
  <c r="H3657" i="1"/>
  <c r="I3656" i="1"/>
  <c r="H3656" i="1"/>
  <c r="I3655" i="1"/>
  <c r="H3655" i="1"/>
  <c r="I3654" i="1"/>
  <c r="H3654" i="1"/>
  <c r="I3653" i="1"/>
  <c r="H3653" i="1"/>
  <c r="I3652" i="1"/>
  <c r="H3652" i="1"/>
  <c r="I3651" i="1"/>
  <c r="H3651" i="1"/>
  <c r="I3650" i="1"/>
  <c r="H3650" i="1"/>
  <c r="I3649" i="1"/>
  <c r="H3649" i="1"/>
  <c r="I3648" i="1"/>
  <c r="H3648" i="1"/>
  <c r="I3647" i="1"/>
  <c r="H3647" i="1"/>
  <c r="I3646" i="1"/>
  <c r="H3646" i="1"/>
  <c r="I3645" i="1"/>
  <c r="H3645" i="1"/>
  <c r="I3644" i="1"/>
  <c r="H3644" i="1"/>
  <c r="I3643" i="1"/>
  <c r="H3643" i="1"/>
  <c r="I3642" i="1"/>
  <c r="H3642" i="1"/>
  <c r="I3641" i="1"/>
  <c r="H3641" i="1"/>
  <c r="I3640" i="1"/>
  <c r="H3640" i="1"/>
  <c r="I3639" i="1"/>
  <c r="H3639" i="1"/>
  <c r="I3638" i="1"/>
  <c r="H3638" i="1"/>
  <c r="I3637" i="1"/>
  <c r="H3637" i="1"/>
  <c r="I3636" i="1"/>
  <c r="H3636" i="1"/>
  <c r="I3635" i="1"/>
  <c r="H3635" i="1"/>
  <c r="I3634" i="1"/>
  <c r="H3634" i="1"/>
  <c r="I3633" i="1"/>
  <c r="H3633" i="1"/>
  <c r="I3632" i="1"/>
  <c r="H3632" i="1"/>
  <c r="I3631" i="1"/>
  <c r="H3631" i="1"/>
  <c r="I3630" i="1"/>
  <c r="H3630" i="1"/>
  <c r="I3629" i="1"/>
  <c r="H3629" i="1"/>
  <c r="I3628" i="1"/>
  <c r="H3628" i="1"/>
  <c r="I3627" i="1"/>
  <c r="H3627" i="1"/>
  <c r="I3626" i="1"/>
  <c r="H3626" i="1"/>
  <c r="I3625" i="1"/>
  <c r="H3625" i="1"/>
  <c r="I3624" i="1"/>
  <c r="H3624" i="1"/>
  <c r="I3623" i="1"/>
  <c r="H3623" i="1"/>
  <c r="I3622" i="1"/>
  <c r="H3622" i="1"/>
  <c r="I3621" i="1"/>
  <c r="H3621" i="1"/>
  <c r="I3620" i="1"/>
  <c r="H3620" i="1"/>
  <c r="I3619" i="1"/>
  <c r="H3619" i="1"/>
  <c r="I3618" i="1"/>
  <c r="H3618" i="1"/>
  <c r="I3617" i="1"/>
  <c r="H3617" i="1"/>
  <c r="I3616" i="1"/>
  <c r="H3616" i="1"/>
  <c r="I3615" i="1"/>
  <c r="H3615" i="1"/>
  <c r="I3614" i="1"/>
  <c r="H3614" i="1"/>
  <c r="I3613" i="1"/>
  <c r="H3613" i="1"/>
  <c r="I3612" i="1"/>
  <c r="H3612" i="1"/>
  <c r="I3611" i="1"/>
  <c r="H3611" i="1"/>
  <c r="I3610" i="1"/>
  <c r="H3610" i="1"/>
  <c r="I3609" i="1"/>
  <c r="H3609" i="1"/>
  <c r="I3608" i="1"/>
  <c r="H3608" i="1"/>
  <c r="I3607" i="1"/>
  <c r="H3607" i="1"/>
  <c r="I3606" i="1"/>
  <c r="H3606" i="1"/>
  <c r="I3605" i="1"/>
  <c r="H3605" i="1"/>
  <c r="I3604" i="1"/>
  <c r="H3604" i="1"/>
  <c r="I3603" i="1"/>
  <c r="H3603" i="1"/>
  <c r="I3602" i="1"/>
  <c r="H3602" i="1"/>
  <c r="I3601" i="1"/>
  <c r="H3601" i="1"/>
  <c r="I3600" i="1"/>
  <c r="H3600" i="1"/>
  <c r="I3599" i="1"/>
  <c r="H3599" i="1"/>
  <c r="I3598" i="1"/>
  <c r="H3598" i="1"/>
  <c r="I3597" i="1"/>
  <c r="H3597" i="1"/>
  <c r="I3596" i="1"/>
  <c r="H3596" i="1"/>
  <c r="I3595" i="1"/>
  <c r="H3595" i="1"/>
  <c r="I3594" i="1"/>
  <c r="H3594" i="1"/>
  <c r="I3593" i="1"/>
  <c r="H3593" i="1"/>
  <c r="I3592" i="1"/>
  <c r="H3592" i="1"/>
  <c r="I3591" i="1"/>
  <c r="H3591" i="1"/>
  <c r="I3590" i="1"/>
  <c r="H3590" i="1"/>
  <c r="I3589" i="1"/>
  <c r="H3589" i="1"/>
  <c r="I3588" i="1"/>
  <c r="H3588" i="1"/>
  <c r="I3587" i="1"/>
  <c r="H3587" i="1"/>
  <c r="I3586" i="1"/>
  <c r="H3586" i="1"/>
  <c r="I3585" i="1"/>
  <c r="H3585" i="1"/>
  <c r="I3584" i="1"/>
  <c r="H3584" i="1"/>
  <c r="I3583" i="1"/>
  <c r="H3583" i="1"/>
  <c r="I3582" i="1"/>
  <c r="H3582" i="1"/>
  <c r="I3581" i="1"/>
  <c r="H3581" i="1"/>
  <c r="I3580" i="1"/>
  <c r="H3580" i="1"/>
  <c r="I3579" i="1"/>
  <c r="H3579" i="1"/>
  <c r="I3578" i="1"/>
  <c r="H3578" i="1"/>
  <c r="I3577" i="1"/>
  <c r="H3577" i="1"/>
  <c r="I3576" i="1"/>
  <c r="H3576" i="1"/>
  <c r="I3575" i="1"/>
  <c r="H3575" i="1"/>
  <c r="I3574" i="1"/>
  <c r="H3574" i="1"/>
  <c r="I3573" i="1"/>
  <c r="H3573" i="1"/>
  <c r="I3572" i="1"/>
  <c r="H3572" i="1"/>
  <c r="I3571" i="1"/>
  <c r="H3571" i="1"/>
  <c r="I3570" i="1"/>
  <c r="H3570" i="1"/>
  <c r="I3569" i="1"/>
  <c r="H3569" i="1"/>
  <c r="I3568" i="1"/>
  <c r="H3568" i="1"/>
  <c r="I3567" i="1"/>
  <c r="H3567" i="1"/>
  <c r="I3566" i="1"/>
  <c r="H3566" i="1"/>
  <c r="I3565" i="1"/>
  <c r="H3565" i="1"/>
  <c r="I3564" i="1"/>
  <c r="H3564" i="1"/>
  <c r="I3563" i="1"/>
  <c r="H3563" i="1"/>
  <c r="I3562" i="1"/>
  <c r="H3562" i="1"/>
  <c r="I3561" i="1"/>
  <c r="H3561" i="1"/>
  <c r="I3560" i="1"/>
  <c r="H3560" i="1"/>
  <c r="I3559" i="1"/>
  <c r="H3559" i="1"/>
  <c r="I3558" i="1"/>
  <c r="H3558" i="1"/>
  <c r="I3557" i="1"/>
  <c r="H3557" i="1"/>
  <c r="I3556" i="1"/>
  <c r="H3556" i="1"/>
  <c r="I3555" i="1"/>
  <c r="H3555" i="1"/>
  <c r="I3554" i="1"/>
  <c r="H3554" i="1"/>
  <c r="I3553" i="1"/>
  <c r="H3553" i="1"/>
  <c r="I3552" i="1"/>
  <c r="H3552" i="1"/>
  <c r="I3551" i="1"/>
  <c r="H3551" i="1"/>
  <c r="I3550" i="1"/>
  <c r="H3550" i="1"/>
  <c r="I3549" i="1"/>
  <c r="H3549" i="1"/>
  <c r="I3548" i="1"/>
  <c r="H3548" i="1"/>
  <c r="I3547" i="1"/>
  <c r="H3547" i="1"/>
  <c r="I3546" i="1"/>
  <c r="H3546" i="1"/>
  <c r="I3545" i="1"/>
  <c r="H3545" i="1"/>
  <c r="I3544" i="1"/>
  <c r="H3544" i="1"/>
  <c r="I3543" i="1"/>
  <c r="H3543" i="1"/>
  <c r="I3542" i="1"/>
  <c r="H3542" i="1"/>
  <c r="I3541" i="1"/>
  <c r="H3541" i="1"/>
  <c r="I3540" i="1"/>
  <c r="H3540" i="1"/>
  <c r="I3539" i="1"/>
  <c r="H3539" i="1"/>
  <c r="I3538" i="1"/>
  <c r="H3538" i="1"/>
  <c r="I3537" i="1"/>
  <c r="H3537" i="1"/>
  <c r="I3536" i="1"/>
  <c r="H3536" i="1"/>
  <c r="I3535" i="1"/>
  <c r="H3535" i="1"/>
  <c r="I3534" i="1"/>
  <c r="H3534" i="1"/>
  <c r="I3533" i="1"/>
  <c r="H3533" i="1"/>
  <c r="I3532" i="1"/>
  <c r="H3532" i="1"/>
  <c r="I3531" i="1"/>
  <c r="H3531" i="1"/>
  <c r="I3530" i="1"/>
  <c r="H3530" i="1"/>
  <c r="I3529" i="1"/>
  <c r="H3529" i="1"/>
  <c r="I3528" i="1"/>
  <c r="H3528" i="1"/>
  <c r="I3527" i="1"/>
  <c r="H3527" i="1"/>
  <c r="I3526" i="1"/>
  <c r="H3526" i="1"/>
  <c r="I3525" i="1"/>
  <c r="H3525" i="1"/>
  <c r="I3524" i="1"/>
  <c r="H3524" i="1"/>
  <c r="I3523" i="1"/>
  <c r="H3523" i="1"/>
  <c r="I3522" i="1"/>
  <c r="H3522" i="1"/>
  <c r="I3521" i="1"/>
  <c r="H3521" i="1"/>
  <c r="I3520" i="1"/>
  <c r="H3520" i="1"/>
  <c r="I3519" i="1"/>
  <c r="H3519" i="1"/>
  <c r="I3518" i="1"/>
  <c r="H3518" i="1"/>
  <c r="I3517" i="1"/>
  <c r="H3517" i="1"/>
  <c r="I3516" i="1"/>
  <c r="H3516" i="1"/>
  <c r="I3515" i="1"/>
  <c r="H3515" i="1"/>
  <c r="I3514" i="1"/>
  <c r="H3514" i="1"/>
  <c r="I3513" i="1"/>
  <c r="H3513" i="1"/>
  <c r="I3512" i="1"/>
  <c r="H3512" i="1"/>
  <c r="I3511" i="1"/>
  <c r="H3511" i="1"/>
  <c r="I3510" i="1"/>
  <c r="H3510" i="1"/>
  <c r="I3509" i="1"/>
  <c r="H3509" i="1"/>
  <c r="I3508" i="1"/>
  <c r="H3508" i="1"/>
  <c r="I3507" i="1"/>
  <c r="H3507" i="1"/>
  <c r="I3506" i="1"/>
  <c r="H3506" i="1"/>
  <c r="I3505" i="1"/>
  <c r="H3505" i="1"/>
  <c r="I3504" i="1"/>
  <c r="H3504" i="1"/>
  <c r="I3503" i="1"/>
  <c r="H3503" i="1"/>
  <c r="I3502" i="1"/>
  <c r="H3502" i="1"/>
  <c r="I3501" i="1"/>
  <c r="H3501" i="1"/>
  <c r="I3500" i="1"/>
  <c r="H3500" i="1"/>
  <c r="I3499" i="1"/>
  <c r="H3499" i="1"/>
  <c r="I3498" i="1"/>
  <c r="H3498" i="1"/>
  <c r="I3497" i="1"/>
  <c r="H3497" i="1"/>
  <c r="I3496" i="1"/>
  <c r="H3496" i="1"/>
  <c r="I3495" i="1"/>
  <c r="H3495" i="1"/>
  <c r="I3494" i="1"/>
  <c r="H3494" i="1"/>
  <c r="I3493" i="1"/>
  <c r="H3493" i="1"/>
  <c r="I3492" i="1"/>
  <c r="H3492" i="1"/>
  <c r="I3491" i="1"/>
  <c r="H3491" i="1"/>
  <c r="I3490" i="1"/>
  <c r="H3490" i="1"/>
  <c r="I3489" i="1"/>
  <c r="H3489" i="1"/>
  <c r="I3488" i="1"/>
  <c r="H3488" i="1"/>
  <c r="I3487" i="1"/>
  <c r="H3487" i="1"/>
  <c r="I3486" i="1"/>
  <c r="H3486" i="1"/>
  <c r="I3485" i="1"/>
  <c r="H3485" i="1"/>
  <c r="I3484" i="1"/>
  <c r="H3484" i="1"/>
  <c r="I3483" i="1"/>
  <c r="H3483" i="1"/>
  <c r="I3482" i="1"/>
  <c r="H3482" i="1"/>
  <c r="I3481" i="1"/>
  <c r="H3481" i="1"/>
  <c r="I3480" i="1"/>
  <c r="H3480" i="1"/>
  <c r="I3479" i="1"/>
  <c r="H3479" i="1"/>
  <c r="I3478" i="1"/>
  <c r="H3478" i="1"/>
  <c r="I3477" i="1"/>
  <c r="H3477" i="1"/>
  <c r="I3476" i="1"/>
  <c r="H3476" i="1"/>
  <c r="I3475" i="1"/>
  <c r="H3475" i="1"/>
  <c r="I3474" i="1"/>
  <c r="H3474" i="1"/>
  <c r="I3473" i="1"/>
  <c r="H3473" i="1"/>
  <c r="I3472" i="1"/>
  <c r="H3472" i="1"/>
  <c r="I3471" i="1"/>
  <c r="H3471" i="1"/>
  <c r="I3470" i="1"/>
  <c r="H3470" i="1"/>
  <c r="I3469" i="1"/>
  <c r="H3469" i="1"/>
  <c r="I3468" i="1"/>
  <c r="H3468" i="1"/>
  <c r="I3467" i="1"/>
  <c r="H3467" i="1"/>
  <c r="I3466" i="1"/>
  <c r="H3466" i="1"/>
  <c r="I3465" i="1"/>
  <c r="H3465" i="1"/>
  <c r="I3464" i="1"/>
  <c r="H3464" i="1"/>
  <c r="I3463" i="1"/>
  <c r="H3463" i="1"/>
  <c r="I3462" i="1"/>
  <c r="H3462" i="1"/>
  <c r="I3461" i="1"/>
  <c r="H3461" i="1"/>
  <c r="I3460" i="1"/>
  <c r="H3460" i="1"/>
  <c r="I3459" i="1"/>
  <c r="H3459" i="1"/>
  <c r="I3458" i="1"/>
  <c r="H3458" i="1"/>
  <c r="I3457" i="1"/>
  <c r="H3457" i="1"/>
  <c r="I3456" i="1"/>
  <c r="H3456" i="1"/>
  <c r="I3455" i="1"/>
  <c r="H3455" i="1"/>
  <c r="I3454" i="1"/>
  <c r="H3454" i="1"/>
  <c r="I3453" i="1"/>
  <c r="H3453" i="1"/>
  <c r="I3452" i="1"/>
  <c r="H3452" i="1"/>
  <c r="I3451" i="1"/>
  <c r="H3451" i="1"/>
  <c r="I3450" i="1"/>
  <c r="H3450" i="1"/>
  <c r="I3449" i="1"/>
  <c r="H3449" i="1"/>
  <c r="I3448" i="1"/>
  <c r="H3448" i="1"/>
  <c r="I3447" i="1"/>
  <c r="H3447" i="1"/>
  <c r="I3446" i="1"/>
  <c r="H3446" i="1"/>
  <c r="I3445" i="1"/>
  <c r="H3445" i="1"/>
  <c r="I3444" i="1"/>
  <c r="H3444" i="1"/>
  <c r="I3443" i="1"/>
  <c r="H3443" i="1"/>
  <c r="I3442" i="1"/>
  <c r="H3442" i="1"/>
  <c r="I3441" i="1"/>
  <c r="H3441" i="1"/>
  <c r="I3440" i="1"/>
  <c r="H3440" i="1"/>
  <c r="I3439" i="1"/>
  <c r="H3439" i="1"/>
  <c r="I3438" i="1"/>
  <c r="H3438" i="1"/>
  <c r="I3437" i="1"/>
  <c r="H3437" i="1"/>
  <c r="I3436" i="1"/>
  <c r="H3436" i="1"/>
  <c r="I3435" i="1"/>
  <c r="H3435" i="1"/>
  <c r="I3434" i="1"/>
  <c r="H3434" i="1"/>
  <c r="I3433" i="1"/>
  <c r="H3433" i="1"/>
  <c r="I3432" i="1"/>
  <c r="H3432" i="1"/>
  <c r="I3431" i="1"/>
  <c r="H3431" i="1"/>
  <c r="I3430" i="1"/>
  <c r="H3430" i="1"/>
  <c r="I3429" i="1"/>
  <c r="H3429" i="1"/>
  <c r="I3428" i="1"/>
  <c r="H3428" i="1"/>
  <c r="I3427" i="1"/>
  <c r="H3427" i="1"/>
  <c r="I3426" i="1"/>
  <c r="H3426" i="1"/>
  <c r="I3425" i="1"/>
  <c r="H3425" i="1"/>
  <c r="I3424" i="1"/>
  <c r="H3424" i="1"/>
  <c r="I3423" i="1"/>
  <c r="H3423" i="1"/>
  <c r="I3422" i="1"/>
  <c r="H3422" i="1"/>
  <c r="I3421" i="1"/>
  <c r="H3421" i="1"/>
  <c r="I3420" i="1"/>
  <c r="H3420" i="1"/>
  <c r="I3419" i="1"/>
  <c r="H3419" i="1"/>
  <c r="I3418" i="1"/>
  <c r="H3418" i="1"/>
  <c r="I3417" i="1"/>
  <c r="H3417" i="1"/>
  <c r="I3416" i="1"/>
  <c r="H3416" i="1"/>
  <c r="I3415" i="1"/>
  <c r="H3415" i="1"/>
  <c r="I3414" i="1"/>
  <c r="H3414" i="1"/>
  <c r="I3413" i="1"/>
  <c r="H3413" i="1"/>
  <c r="I3412" i="1"/>
  <c r="H3412" i="1"/>
  <c r="I3411" i="1"/>
  <c r="H3411" i="1"/>
  <c r="I3410" i="1"/>
  <c r="H3410" i="1"/>
  <c r="I3409" i="1"/>
  <c r="H3409" i="1"/>
  <c r="I3408" i="1"/>
  <c r="H3408" i="1"/>
  <c r="I3407" i="1"/>
  <c r="H3407" i="1"/>
  <c r="I3406" i="1"/>
  <c r="H3406" i="1"/>
  <c r="I3405" i="1"/>
  <c r="H3405" i="1"/>
  <c r="I3404" i="1"/>
  <c r="H3404" i="1"/>
  <c r="I3403" i="1"/>
  <c r="H3403" i="1"/>
  <c r="I3402" i="1"/>
  <c r="H3402" i="1"/>
  <c r="I3401" i="1"/>
  <c r="H3401" i="1"/>
  <c r="I3400" i="1"/>
  <c r="H3400" i="1"/>
  <c r="I3399" i="1"/>
  <c r="H3399" i="1"/>
  <c r="I3398" i="1"/>
  <c r="H3398" i="1"/>
  <c r="I3397" i="1"/>
  <c r="H3397" i="1"/>
  <c r="I3396" i="1"/>
  <c r="H3396" i="1"/>
  <c r="I3395" i="1"/>
  <c r="H3395" i="1"/>
  <c r="I3394" i="1"/>
  <c r="H3394" i="1"/>
  <c r="I3393" i="1"/>
  <c r="H3393" i="1"/>
  <c r="I3392" i="1"/>
  <c r="H3392" i="1"/>
  <c r="I3391" i="1"/>
  <c r="H3391" i="1"/>
  <c r="I3390" i="1"/>
  <c r="H3390" i="1"/>
  <c r="I3389" i="1"/>
  <c r="H3389" i="1"/>
  <c r="I3388" i="1"/>
  <c r="H3388" i="1"/>
  <c r="I3387" i="1"/>
  <c r="H3387" i="1"/>
  <c r="I3386" i="1"/>
  <c r="H3386" i="1"/>
  <c r="I3385" i="1"/>
  <c r="H3385" i="1"/>
  <c r="I3384" i="1"/>
  <c r="H3384" i="1"/>
  <c r="I3383" i="1"/>
  <c r="H3383" i="1"/>
  <c r="I3382" i="1"/>
  <c r="H3382" i="1"/>
  <c r="I3381" i="1"/>
  <c r="H3381" i="1"/>
  <c r="I3380" i="1"/>
  <c r="H3380" i="1"/>
  <c r="I3379" i="1"/>
  <c r="H3379" i="1"/>
  <c r="I3378" i="1"/>
  <c r="H3378" i="1"/>
  <c r="I3377" i="1"/>
  <c r="H3377" i="1"/>
  <c r="I3376" i="1"/>
  <c r="H3376" i="1"/>
  <c r="I3375" i="1"/>
  <c r="H3375" i="1"/>
  <c r="I3374" i="1"/>
  <c r="H3374" i="1"/>
  <c r="I3373" i="1"/>
  <c r="H3373" i="1"/>
  <c r="I3372" i="1"/>
  <c r="H3372" i="1"/>
  <c r="I3371" i="1"/>
  <c r="H3371" i="1"/>
  <c r="I3370" i="1"/>
  <c r="H3370" i="1"/>
  <c r="I3369" i="1"/>
  <c r="H3369" i="1"/>
  <c r="I3368" i="1"/>
  <c r="H3368" i="1"/>
  <c r="I3367" i="1"/>
  <c r="H3367" i="1"/>
  <c r="I3366" i="1"/>
  <c r="H3366" i="1"/>
  <c r="I3365" i="1"/>
  <c r="H3365" i="1"/>
  <c r="I3364" i="1"/>
  <c r="H3364" i="1"/>
  <c r="I3363" i="1"/>
  <c r="H3363" i="1"/>
  <c r="I3362" i="1"/>
  <c r="H3362" i="1"/>
  <c r="I3361" i="1"/>
  <c r="H3361" i="1"/>
  <c r="I3360" i="1"/>
  <c r="H3360" i="1"/>
  <c r="I3359" i="1"/>
  <c r="H3359" i="1"/>
  <c r="I3358" i="1"/>
  <c r="H3358" i="1"/>
  <c r="I3357" i="1"/>
  <c r="H3357" i="1"/>
  <c r="I3356" i="1"/>
  <c r="H3356" i="1"/>
  <c r="I3355" i="1"/>
  <c r="H3355" i="1"/>
  <c r="I3354" i="1"/>
  <c r="H3354" i="1"/>
  <c r="I3353" i="1"/>
  <c r="H3353" i="1"/>
  <c r="I3352" i="1"/>
  <c r="H3352" i="1"/>
  <c r="I3351" i="1"/>
  <c r="H3351" i="1"/>
  <c r="I3350" i="1"/>
  <c r="H3350" i="1"/>
  <c r="I3349" i="1"/>
  <c r="H3349" i="1"/>
  <c r="I3348" i="1"/>
  <c r="H3348" i="1"/>
  <c r="I3347" i="1"/>
  <c r="H3347" i="1"/>
  <c r="I3346" i="1"/>
  <c r="H3346" i="1"/>
  <c r="I3345" i="1"/>
  <c r="H3345" i="1"/>
  <c r="I3344" i="1"/>
  <c r="H3344" i="1"/>
  <c r="I3343" i="1"/>
  <c r="H3343" i="1"/>
  <c r="I3342" i="1"/>
  <c r="H3342" i="1"/>
  <c r="I3341" i="1"/>
  <c r="H3341" i="1"/>
  <c r="I3340" i="1"/>
  <c r="H3340" i="1"/>
  <c r="I3339" i="1"/>
  <c r="H3339" i="1"/>
  <c r="I3338" i="1"/>
  <c r="H3338" i="1"/>
  <c r="I3337" i="1"/>
  <c r="H3337" i="1"/>
  <c r="I3336" i="1"/>
  <c r="H3336" i="1"/>
  <c r="I3335" i="1"/>
  <c r="H3335" i="1"/>
  <c r="I3334" i="1"/>
  <c r="H3334" i="1"/>
  <c r="I3333" i="1"/>
  <c r="H3333" i="1"/>
  <c r="I3332" i="1"/>
  <c r="H3332" i="1"/>
  <c r="I3331" i="1"/>
  <c r="H3331" i="1"/>
  <c r="I3330" i="1"/>
  <c r="H3330" i="1"/>
  <c r="I3329" i="1"/>
  <c r="H3329" i="1"/>
  <c r="I3328" i="1"/>
  <c r="H3328" i="1"/>
  <c r="I3327" i="1"/>
  <c r="H3327" i="1"/>
  <c r="I3326" i="1"/>
  <c r="H3326" i="1"/>
  <c r="I3325" i="1"/>
  <c r="H3325" i="1"/>
  <c r="I3324" i="1"/>
  <c r="H3324" i="1"/>
  <c r="I3323" i="1"/>
  <c r="H3323" i="1"/>
  <c r="I3322" i="1"/>
  <c r="H3322" i="1"/>
  <c r="I3321" i="1"/>
  <c r="H3321" i="1"/>
  <c r="I3320" i="1"/>
  <c r="H3320" i="1"/>
  <c r="I3319" i="1"/>
  <c r="H3319" i="1"/>
  <c r="I3318" i="1"/>
  <c r="H3318" i="1"/>
  <c r="I3317" i="1"/>
  <c r="H3317" i="1"/>
  <c r="I3316" i="1"/>
  <c r="H3316" i="1"/>
  <c r="I3315" i="1"/>
  <c r="H3315" i="1"/>
  <c r="I3314" i="1"/>
  <c r="H3314" i="1"/>
  <c r="I3313" i="1"/>
  <c r="H3313" i="1"/>
  <c r="I3312" i="1"/>
  <c r="H3312" i="1"/>
  <c r="I3311" i="1"/>
  <c r="H3311" i="1"/>
  <c r="I3310" i="1"/>
  <c r="H3310" i="1"/>
  <c r="I3309" i="1"/>
  <c r="H3309" i="1"/>
  <c r="I3308" i="1"/>
  <c r="H3308" i="1"/>
  <c r="I3307" i="1"/>
  <c r="H3307" i="1"/>
  <c r="I3306" i="1"/>
  <c r="H3306" i="1"/>
  <c r="I3305" i="1"/>
  <c r="H3305" i="1"/>
  <c r="I3304" i="1"/>
  <c r="H3304" i="1"/>
  <c r="I3303" i="1"/>
  <c r="H3303" i="1"/>
  <c r="I3302" i="1"/>
  <c r="H3302" i="1"/>
  <c r="I3301" i="1"/>
  <c r="H3301" i="1"/>
  <c r="I3300" i="1"/>
  <c r="H3300" i="1"/>
  <c r="I3299" i="1"/>
  <c r="H3299" i="1"/>
  <c r="I3298" i="1"/>
  <c r="H3298" i="1"/>
  <c r="I3297" i="1"/>
  <c r="H3297" i="1"/>
  <c r="I3296" i="1"/>
  <c r="H3296" i="1"/>
  <c r="I3295" i="1"/>
  <c r="H3295" i="1"/>
  <c r="I3294" i="1"/>
  <c r="H3294" i="1"/>
  <c r="I3293" i="1"/>
  <c r="H3293" i="1"/>
  <c r="I3292" i="1"/>
  <c r="H3292" i="1"/>
  <c r="I3291" i="1"/>
  <c r="H3291" i="1"/>
  <c r="I3290" i="1"/>
  <c r="H3290" i="1"/>
  <c r="I3289" i="1"/>
  <c r="H3289" i="1"/>
  <c r="I3288" i="1"/>
  <c r="H3288" i="1"/>
  <c r="I3287" i="1"/>
  <c r="H3287" i="1"/>
  <c r="I3286" i="1"/>
  <c r="H3286" i="1"/>
  <c r="I3285" i="1"/>
  <c r="H3285" i="1"/>
  <c r="I3284" i="1"/>
  <c r="H3284" i="1"/>
  <c r="I3283" i="1"/>
  <c r="H3283" i="1"/>
  <c r="I3282" i="1"/>
  <c r="H3282" i="1"/>
  <c r="I3281" i="1"/>
  <c r="H3281" i="1"/>
  <c r="I3280" i="1"/>
  <c r="H3280" i="1"/>
  <c r="I3279" i="1"/>
  <c r="H3279" i="1"/>
  <c r="I3278" i="1"/>
  <c r="H3278" i="1"/>
  <c r="I3277" i="1"/>
  <c r="H3277" i="1"/>
  <c r="I3276" i="1"/>
  <c r="H3276" i="1"/>
  <c r="I3275" i="1"/>
  <c r="H3275" i="1"/>
  <c r="I3274" i="1"/>
  <c r="H3274" i="1"/>
  <c r="I3273" i="1"/>
  <c r="H3273" i="1"/>
  <c r="I3272" i="1"/>
  <c r="H3272" i="1"/>
  <c r="I3271" i="1"/>
  <c r="H3271" i="1"/>
  <c r="I3270" i="1"/>
  <c r="H3270" i="1"/>
  <c r="I3269" i="1"/>
  <c r="H3269" i="1"/>
  <c r="I3268" i="1"/>
  <c r="H3268" i="1"/>
  <c r="I3267" i="1"/>
  <c r="H3267" i="1"/>
  <c r="I3266" i="1"/>
  <c r="H3266" i="1"/>
  <c r="I3265" i="1"/>
  <c r="H3265" i="1"/>
  <c r="I3264" i="1"/>
  <c r="H3264" i="1"/>
  <c r="I3263" i="1"/>
  <c r="H3263" i="1"/>
  <c r="I3262" i="1"/>
  <c r="H3262" i="1"/>
  <c r="I3261" i="1"/>
  <c r="H3261" i="1"/>
  <c r="I3260" i="1"/>
  <c r="H3260" i="1"/>
  <c r="I3259" i="1"/>
  <c r="H3259" i="1"/>
  <c r="I3258" i="1"/>
  <c r="H3258" i="1"/>
  <c r="I3257" i="1"/>
  <c r="H3257" i="1"/>
  <c r="I3256" i="1"/>
  <c r="H3256" i="1"/>
  <c r="I3255" i="1"/>
  <c r="H3255" i="1"/>
  <c r="I3254" i="1"/>
  <c r="H3254" i="1"/>
  <c r="I3253" i="1"/>
  <c r="H3253" i="1"/>
  <c r="I3252" i="1"/>
  <c r="H3252" i="1"/>
  <c r="I3251" i="1"/>
  <c r="H3251" i="1"/>
  <c r="I3250" i="1"/>
  <c r="H3250" i="1"/>
  <c r="I3249" i="1"/>
  <c r="H3249" i="1"/>
  <c r="I3248" i="1"/>
  <c r="H3248" i="1"/>
  <c r="I3247" i="1"/>
  <c r="H3247" i="1"/>
  <c r="I3246" i="1"/>
  <c r="H3246" i="1"/>
  <c r="I3245" i="1"/>
  <c r="H3245" i="1"/>
  <c r="I3244" i="1"/>
  <c r="H3244" i="1"/>
  <c r="I3243" i="1"/>
  <c r="H3243" i="1"/>
  <c r="I3242" i="1"/>
  <c r="H3242" i="1"/>
  <c r="I3241" i="1"/>
  <c r="H3241" i="1"/>
  <c r="I3240" i="1"/>
  <c r="H3240" i="1"/>
  <c r="I3239" i="1"/>
  <c r="H3239" i="1"/>
  <c r="I3238" i="1"/>
  <c r="H3238" i="1"/>
  <c r="I3237" i="1"/>
  <c r="H3237" i="1"/>
  <c r="I3236" i="1"/>
  <c r="H3236" i="1"/>
  <c r="I3235" i="1"/>
  <c r="H3235" i="1"/>
  <c r="I3234" i="1"/>
  <c r="H3234" i="1"/>
  <c r="I3233" i="1"/>
  <c r="H3233" i="1"/>
  <c r="I3232" i="1"/>
  <c r="H3232" i="1"/>
  <c r="I3231" i="1"/>
  <c r="H3231" i="1"/>
  <c r="I3230" i="1"/>
  <c r="H3230" i="1"/>
  <c r="I3229" i="1"/>
  <c r="H3229" i="1"/>
  <c r="I3228" i="1"/>
  <c r="H3228" i="1"/>
  <c r="I3227" i="1"/>
  <c r="H3227" i="1"/>
  <c r="I3226" i="1"/>
  <c r="H3226" i="1"/>
  <c r="I3225" i="1"/>
  <c r="H3225" i="1"/>
  <c r="I3224" i="1"/>
  <c r="H3224" i="1"/>
  <c r="I3223" i="1"/>
  <c r="H3223" i="1"/>
  <c r="I3222" i="1"/>
  <c r="H3222" i="1"/>
  <c r="I3221" i="1"/>
  <c r="H3221" i="1"/>
  <c r="I3220" i="1"/>
  <c r="H3220" i="1"/>
  <c r="I3219" i="1"/>
  <c r="H3219" i="1"/>
  <c r="I3218" i="1"/>
  <c r="H3218" i="1"/>
  <c r="I3217" i="1"/>
  <c r="H3217" i="1"/>
  <c r="I3216" i="1"/>
  <c r="H3216" i="1"/>
  <c r="I3215" i="1"/>
  <c r="H3215" i="1"/>
  <c r="I3214" i="1"/>
  <c r="H3214" i="1"/>
  <c r="I3213" i="1"/>
  <c r="H3213" i="1"/>
  <c r="I3212" i="1"/>
  <c r="H3212" i="1"/>
  <c r="I3211" i="1"/>
  <c r="H3211" i="1"/>
  <c r="I3210" i="1"/>
  <c r="H3210" i="1"/>
  <c r="I3209" i="1"/>
  <c r="H3209" i="1"/>
  <c r="I3208" i="1"/>
  <c r="H3208" i="1"/>
  <c r="I3207" i="1"/>
  <c r="H3207" i="1"/>
  <c r="I3206" i="1"/>
  <c r="H3206" i="1"/>
  <c r="I3205" i="1"/>
  <c r="H3205" i="1"/>
  <c r="I3204" i="1"/>
  <c r="H3204" i="1"/>
  <c r="I3203" i="1"/>
  <c r="H3203" i="1"/>
  <c r="I3202" i="1"/>
  <c r="H3202" i="1"/>
  <c r="I3201" i="1"/>
  <c r="H3201" i="1"/>
  <c r="I3200" i="1"/>
  <c r="H3200" i="1"/>
  <c r="I3199" i="1"/>
  <c r="H3199" i="1"/>
  <c r="I3198" i="1"/>
  <c r="H3198" i="1"/>
  <c r="I3197" i="1"/>
  <c r="H3197" i="1"/>
  <c r="I3196" i="1"/>
  <c r="H3196" i="1"/>
  <c r="I3195" i="1"/>
  <c r="H3195" i="1"/>
  <c r="I3194" i="1"/>
  <c r="H3194" i="1"/>
  <c r="I3193" i="1"/>
  <c r="H3193" i="1"/>
  <c r="I3192" i="1"/>
  <c r="H3192" i="1"/>
  <c r="I3191" i="1"/>
  <c r="H3191" i="1"/>
  <c r="I3190" i="1"/>
  <c r="H3190" i="1"/>
  <c r="I3189" i="1"/>
  <c r="H3189" i="1"/>
  <c r="I3188" i="1"/>
  <c r="H3188" i="1"/>
  <c r="I3187" i="1"/>
  <c r="H3187" i="1"/>
  <c r="I3186" i="1"/>
  <c r="H3186" i="1"/>
  <c r="I3185" i="1"/>
  <c r="H3185" i="1"/>
  <c r="I3184" i="1"/>
  <c r="H3184" i="1"/>
  <c r="I3183" i="1"/>
  <c r="H3183" i="1"/>
  <c r="I3182" i="1"/>
  <c r="H3182" i="1"/>
  <c r="I3181" i="1"/>
  <c r="H3181" i="1"/>
  <c r="I3180" i="1"/>
  <c r="H3180" i="1"/>
  <c r="I3179" i="1"/>
  <c r="H3179" i="1"/>
  <c r="I3178" i="1"/>
  <c r="H3178" i="1"/>
  <c r="I3177" i="1"/>
  <c r="H3177" i="1"/>
  <c r="I3176" i="1"/>
  <c r="H3176" i="1"/>
  <c r="I3175" i="1"/>
  <c r="H3175" i="1"/>
  <c r="I3174" i="1"/>
  <c r="H3174" i="1"/>
  <c r="I3173" i="1"/>
  <c r="H3173" i="1"/>
  <c r="I3172" i="1"/>
  <c r="H3172" i="1"/>
  <c r="I3171" i="1"/>
  <c r="H3171" i="1"/>
  <c r="I3170" i="1"/>
  <c r="H3170" i="1"/>
  <c r="I3169" i="1"/>
  <c r="H3169" i="1"/>
  <c r="I3168" i="1"/>
  <c r="H3168" i="1"/>
  <c r="I3167" i="1"/>
  <c r="H3167" i="1"/>
  <c r="I3166" i="1"/>
  <c r="H3166" i="1"/>
  <c r="I3165" i="1"/>
  <c r="H3165" i="1"/>
  <c r="I3164" i="1"/>
  <c r="H3164" i="1"/>
  <c r="I3163" i="1"/>
  <c r="H3163" i="1"/>
  <c r="I3162" i="1"/>
  <c r="H3162" i="1"/>
  <c r="I3161" i="1"/>
  <c r="H3161" i="1"/>
  <c r="I3160" i="1"/>
  <c r="H3160" i="1"/>
  <c r="I3159" i="1"/>
  <c r="H3159" i="1"/>
  <c r="I3158" i="1"/>
  <c r="H3158" i="1"/>
  <c r="I3157" i="1"/>
  <c r="H3157" i="1"/>
  <c r="I3156" i="1"/>
  <c r="H3156" i="1"/>
  <c r="I3155" i="1"/>
  <c r="H3155" i="1"/>
  <c r="I3154" i="1"/>
  <c r="H3154" i="1"/>
  <c r="I3153" i="1"/>
  <c r="H3153" i="1"/>
  <c r="I3152" i="1"/>
  <c r="H3152" i="1"/>
  <c r="I3151" i="1"/>
  <c r="H3151" i="1"/>
  <c r="I3150" i="1"/>
  <c r="H3150" i="1"/>
  <c r="I3149" i="1"/>
  <c r="H3149" i="1"/>
  <c r="I3148" i="1"/>
  <c r="H3148" i="1"/>
  <c r="I3147" i="1"/>
  <c r="H3147" i="1"/>
  <c r="I3146" i="1"/>
  <c r="H3146" i="1"/>
  <c r="I3145" i="1"/>
  <c r="H3145" i="1"/>
  <c r="I3144" i="1"/>
  <c r="H3144" i="1"/>
  <c r="I3143" i="1"/>
  <c r="H3143" i="1"/>
  <c r="I3142" i="1"/>
  <c r="H3142" i="1"/>
  <c r="I3141" i="1"/>
  <c r="H3141" i="1"/>
  <c r="I3140" i="1"/>
  <c r="H3140" i="1"/>
  <c r="I3139" i="1"/>
  <c r="H3139" i="1"/>
  <c r="I3138" i="1"/>
  <c r="H3138" i="1"/>
  <c r="I3137" i="1"/>
  <c r="H3137" i="1"/>
  <c r="I3136" i="1"/>
  <c r="H3136" i="1"/>
  <c r="I3135" i="1"/>
  <c r="H3135" i="1"/>
  <c r="I3134" i="1"/>
  <c r="H3134" i="1"/>
  <c r="I3133" i="1"/>
  <c r="H3133" i="1"/>
  <c r="I3132" i="1"/>
  <c r="H3132" i="1"/>
  <c r="I3131" i="1"/>
  <c r="H3131" i="1"/>
  <c r="I3130" i="1"/>
  <c r="H3130" i="1"/>
  <c r="I3129" i="1"/>
  <c r="H3129" i="1"/>
  <c r="I3128" i="1"/>
  <c r="H3128" i="1"/>
  <c r="I3127" i="1"/>
  <c r="H3127" i="1"/>
  <c r="I3126" i="1"/>
  <c r="H3126" i="1"/>
  <c r="I3125" i="1"/>
  <c r="H3125" i="1"/>
  <c r="I3124" i="1"/>
  <c r="H3124" i="1"/>
  <c r="I3123" i="1"/>
  <c r="H3123" i="1"/>
  <c r="I3122" i="1"/>
  <c r="H3122" i="1"/>
  <c r="I3121" i="1"/>
  <c r="H3121" i="1"/>
  <c r="I3120" i="1"/>
  <c r="H3120" i="1"/>
  <c r="I3119" i="1"/>
  <c r="H3119" i="1"/>
  <c r="I3118" i="1"/>
  <c r="H3118" i="1"/>
  <c r="I3117" i="1"/>
  <c r="H3117" i="1"/>
  <c r="I3116" i="1"/>
  <c r="H3116" i="1"/>
  <c r="I3115" i="1"/>
  <c r="H3115" i="1"/>
  <c r="I3114" i="1"/>
  <c r="H3114" i="1"/>
  <c r="I3113" i="1"/>
  <c r="H3113" i="1"/>
  <c r="I3112" i="1"/>
  <c r="H3112" i="1"/>
  <c r="I3111" i="1"/>
  <c r="H3111" i="1"/>
  <c r="I3110" i="1"/>
  <c r="H3110" i="1"/>
  <c r="I3109" i="1"/>
  <c r="H3109" i="1"/>
  <c r="I3108" i="1"/>
  <c r="H3108" i="1"/>
  <c r="I3107" i="1"/>
  <c r="H3107" i="1"/>
  <c r="I3106" i="1"/>
  <c r="H3106" i="1"/>
  <c r="I3105" i="1"/>
  <c r="H3105" i="1"/>
  <c r="I3104" i="1"/>
  <c r="H3104" i="1"/>
  <c r="I3103" i="1"/>
  <c r="H3103" i="1"/>
  <c r="I3102" i="1"/>
  <c r="H3102" i="1"/>
  <c r="I3101" i="1"/>
  <c r="H3101" i="1"/>
  <c r="I3100" i="1"/>
  <c r="H3100" i="1"/>
  <c r="I3099" i="1"/>
  <c r="H3099" i="1"/>
  <c r="I3098" i="1"/>
  <c r="H3098" i="1"/>
  <c r="I3097" i="1"/>
  <c r="H3097" i="1"/>
  <c r="I3096" i="1"/>
  <c r="H3096" i="1"/>
  <c r="I3095" i="1"/>
  <c r="H3095" i="1"/>
  <c r="I3094" i="1"/>
  <c r="H3094" i="1"/>
  <c r="I3093" i="1"/>
  <c r="H3093" i="1"/>
  <c r="I3092" i="1"/>
  <c r="H3092" i="1"/>
  <c r="I3091" i="1"/>
  <c r="H3091" i="1"/>
  <c r="I3090" i="1"/>
  <c r="H3090" i="1"/>
  <c r="I3089" i="1"/>
  <c r="H3089" i="1"/>
  <c r="I3088" i="1"/>
  <c r="H3088" i="1"/>
  <c r="I3087" i="1"/>
  <c r="H3087" i="1"/>
  <c r="I3086" i="1"/>
  <c r="H3086" i="1"/>
  <c r="I3085" i="1"/>
  <c r="H3085" i="1"/>
  <c r="I3084" i="1"/>
  <c r="H3084" i="1"/>
  <c r="I3083" i="1"/>
  <c r="H3083" i="1"/>
  <c r="I3082" i="1"/>
  <c r="H3082" i="1"/>
  <c r="I3081" i="1"/>
  <c r="H3081" i="1"/>
  <c r="I3080" i="1"/>
  <c r="H3080" i="1"/>
  <c r="I3079" i="1"/>
  <c r="H3079" i="1"/>
  <c r="I3078" i="1"/>
  <c r="H3078" i="1"/>
  <c r="I3077" i="1"/>
  <c r="H3077" i="1"/>
  <c r="I3076" i="1"/>
  <c r="H3076" i="1"/>
  <c r="I3075" i="1"/>
  <c r="H3075" i="1"/>
  <c r="I3074" i="1"/>
  <c r="H3074" i="1"/>
  <c r="I3073" i="1"/>
  <c r="H3073" i="1"/>
  <c r="I3072" i="1"/>
  <c r="H3072" i="1"/>
  <c r="I3071" i="1"/>
  <c r="H3071" i="1"/>
  <c r="I3070" i="1"/>
  <c r="H3070" i="1"/>
  <c r="I3069" i="1"/>
  <c r="H3069" i="1"/>
  <c r="I3068" i="1"/>
  <c r="H3068" i="1"/>
  <c r="I3067" i="1"/>
  <c r="H3067" i="1"/>
  <c r="I3066" i="1"/>
  <c r="H3066" i="1"/>
  <c r="I3065" i="1"/>
  <c r="H3065" i="1"/>
  <c r="I3064" i="1"/>
  <c r="H3064" i="1"/>
  <c r="I3063" i="1"/>
  <c r="H3063" i="1"/>
  <c r="I3062" i="1"/>
  <c r="H3062" i="1"/>
  <c r="I3061" i="1"/>
  <c r="H3061" i="1"/>
  <c r="I3060" i="1"/>
  <c r="H3060" i="1"/>
  <c r="I3059" i="1"/>
  <c r="H3059" i="1"/>
  <c r="I3058" i="1"/>
  <c r="H3058" i="1"/>
  <c r="I3057" i="1"/>
  <c r="H3057" i="1"/>
  <c r="I3056" i="1"/>
  <c r="H3056" i="1"/>
  <c r="I3055" i="1"/>
  <c r="H3055" i="1"/>
  <c r="I3054" i="1"/>
  <c r="H3054" i="1"/>
  <c r="I3053" i="1"/>
  <c r="H3053" i="1"/>
  <c r="I3052" i="1"/>
  <c r="H3052" i="1"/>
  <c r="I3051" i="1"/>
  <c r="H3051" i="1"/>
  <c r="I3050" i="1"/>
  <c r="H3050" i="1"/>
  <c r="I3049" i="1"/>
  <c r="H3049" i="1"/>
  <c r="I3048" i="1"/>
  <c r="H3048" i="1"/>
  <c r="I3047" i="1"/>
  <c r="H3047" i="1"/>
  <c r="I3046" i="1"/>
  <c r="H3046" i="1"/>
  <c r="I3045" i="1"/>
  <c r="H3045" i="1"/>
  <c r="I3044" i="1"/>
  <c r="H3044" i="1"/>
  <c r="I3043" i="1"/>
  <c r="H3043" i="1"/>
  <c r="I3042" i="1"/>
  <c r="H3042" i="1"/>
  <c r="I3041" i="1"/>
  <c r="H3041" i="1"/>
  <c r="I3040" i="1"/>
  <c r="H3040" i="1"/>
  <c r="I3039" i="1"/>
  <c r="H3039" i="1"/>
  <c r="I3038" i="1"/>
  <c r="H3038" i="1"/>
  <c r="I3037" i="1"/>
  <c r="H3037" i="1"/>
  <c r="I3036" i="1"/>
  <c r="H3036" i="1"/>
  <c r="I3035" i="1"/>
  <c r="H3035" i="1"/>
  <c r="I3034" i="1"/>
  <c r="H3034" i="1"/>
  <c r="I3033" i="1"/>
  <c r="H3033" i="1"/>
  <c r="I3032" i="1"/>
  <c r="H3032" i="1"/>
  <c r="I3031" i="1"/>
  <c r="H3031" i="1"/>
  <c r="I3030" i="1"/>
  <c r="H3030" i="1"/>
  <c r="I3029" i="1"/>
  <c r="H3029" i="1"/>
  <c r="I3028" i="1"/>
  <c r="H3028" i="1"/>
  <c r="I3027" i="1"/>
  <c r="H3027" i="1"/>
  <c r="I3026" i="1"/>
  <c r="H3026" i="1"/>
  <c r="I3025" i="1"/>
  <c r="H3025" i="1"/>
  <c r="I3024" i="1"/>
  <c r="H3024" i="1"/>
  <c r="I3023" i="1"/>
  <c r="H3023" i="1"/>
  <c r="I3022" i="1"/>
  <c r="H3022" i="1"/>
  <c r="I3021" i="1"/>
  <c r="H3021" i="1"/>
  <c r="I3020" i="1"/>
  <c r="H3020" i="1"/>
  <c r="I3019" i="1"/>
  <c r="H3019" i="1"/>
  <c r="I3018" i="1"/>
  <c r="H3018" i="1"/>
  <c r="I3017" i="1"/>
  <c r="H3017" i="1"/>
  <c r="I3016" i="1"/>
  <c r="H3016" i="1"/>
  <c r="I3015" i="1"/>
  <c r="H3015" i="1"/>
  <c r="I3014" i="1"/>
  <c r="H3014" i="1"/>
  <c r="I3013" i="1"/>
  <c r="H3013" i="1"/>
  <c r="I3012" i="1"/>
  <c r="H3012" i="1"/>
  <c r="I3011" i="1"/>
  <c r="H3011" i="1"/>
  <c r="I3010" i="1"/>
  <c r="H3010" i="1"/>
  <c r="I3009" i="1"/>
  <c r="H3009" i="1"/>
  <c r="I3008" i="1"/>
  <c r="H3008" i="1"/>
  <c r="I3007" i="1"/>
  <c r="H3007" i="1"/>
  <c r="I3006" i="1"/>
  <c r="H3006" i="1"/>
  <c r="I3005" i="1"/>
  <c r="H3005" i="1"/>
  <c r="I3004" i="1"/>
  <c r="H3004" i="1"/>
  <c r="I3003" i="1"/>
  <c r="H3003" i="1"/>
  <c r="I3002" i="1"/>
  <c r="H3002" i="1"/>
  <c r="I3001" i="1"/>
  <c r="H3001" i="1"/>
  <c r="I3000" i="1"/>
  <c r="H3000" i="1"/>
  <c r="I2999" i="1"/>
  <c r="H2999" i="1"/>
  <c r="I2998" i="1"/>
  <c r="H2998" i="1"/>
  <c r="I2997" i="1"/>
  <c r="H2997" i="1"/>
  <c r="I2996" i="1"/>
  <c r="H2996" i="1"/>
  <c r="I2995" i="1"/>
  <c r="H2995" i="1"/>
  <c r="I2994" i="1"/>
  <c r="H2994" i="1"/>
  <c r="I2993" i="1"/>
  <c r="H2993" i="1"/>
  <c r="I2992" i="1"/>
  <c r="H2992" i="1"/>
  <c r="I2991" i="1"/>
  <c r="H2991" i="1"/>
  <c r="I2990" i="1"/>
  <c r="H2990" i="1"/>
  <c r="I2989" i="1"/>
  <c r="H2989" i="1"/>
  <c r="I2988" i="1"/>
  <c r="H2988" i="1"/>
  <c r="I2987" i="1"/>
  <c r="H2987" i="1"/>
  <c r="I2986" i="1"/>
  <c r="H2986" i="1"/>
  <c r="I2985" i="1"/>
  <c r="H2985" i="1"/>
  <c r="I2984" i="1"/>
  <c r="H2984" i="1"/>
  <c r="I2983" i="1"/>
  <c r="H2983" i="1"/>
  <c r="I2982" i="1"/>
  <c r="H2982" i="1"/>
  <c r="I2981" i="1"/>
  <c r="H2981" i="1"/>
  <c r="I2980" i="1"/>
  <c r="H2980" i="1"/>
  <c r="I2979" i="1"/>
  <c r="H2979" i="1"/>
  <c r="I2978" i="1"/>
  <c r="H2978" i="1"/>
  <c r="I2977" i="1"/>
  <c r="H2977" i="1"/>
  <c r="I2976" i="1"/>
  <c r="H2976" i="1"/>
  <c r="I2975" i="1"/>
  <c r="H2975" i="1"/>
  <c r="I2974" i="1"/>
  <c r="H2974" i="1"/>
  <c r="I2973" i="1"/>
  <c r="H2973" i="1"/>
  <c r="I2972" i="1"/>
  <c r="H2972" i="1"/>
  <c r="I2971" i="1"/>
  <c r="H2971" i="1"/>
  <c r="I2970" i="1"/>
  <c r="H2970" i="1"/>
  <c r="I2969" i="1"/>
  <c r="H2969" i="1"/>
  <c r="I2968" i="1"/>
  <c r="H2968" i="1"/>
  <c r="I2967" i="1"/>
  <c r="H2967" i="1"/>
  <c r="I2966" i="1"/>
  <c r="H2966" i="1"/>
  <c r="I2965" i="1"/>
  <c r="H2965" i="1"/>
  <c r="I2964" i="1"/>
  <c r="H2964" i="1"/>
  <c r="I2963" i="1"/>
  <c r="H2963" i="1"/>
  <c r="I2962" i="1"/>
  <c r="H2962" i="1"/>
  <c r="I2961" i="1"/>
  <c r="H2961" i="1"/>
  <c r="I2960" i="1"/>
  <c r="H2960" i="1"/>
  <c r="I2959" i="1"/>
  <c r="H2959" i="1"/>
  <c r="I2958" i="1"/>
  <c r="H2958" i="1"/>
  <c r="I2957" i="1"/>
  <c r="H2957" i="1"/>
  <c r="I2956" i="1"/>
  <c r="H2956" i="1"/>
  <c r="I2955" i="1"/>
  <c r="H2955" i="1"/>
  <c r="I2954" i="1"/>
  <c r="H2954" i="1"/>
  <c r="I2953" i="1"/>
  <c r="H2953" i="1"/>
  <c r="I2952" i="1"/>
  <c r="H2952" i="1"/>
  <c r="I2951" i="1"/>
  <c r="H2951" i="1"/>
  <c r="I2950" i="1"/>
  <c r="H2950" i="1"/>
  <c r="I2949" i="1"/>
  <c r="H2949" i="1"/>
  <c r="I2948" i="1"/>
  <c r="H2948" i="1"/>
  <c r="I2947" i="1"/>
  <c r="H2947" i="1"/>
  <c r="I2946" i="1"/>
  <c r="H2946" i="1"/>
  <c r="I2945" i="1"/>
  <c r="H2945" i="1"/>
  <c r="I2944" i="1"/>
  <c r="H2944" i="1"/>
  <c r="I2943" i="1"/>
  <c r="H2943" i="1"/>
  <c r="I2942" i="1"/>
  <c r="H2942" i="1"/>
  <c r="I2941" i="1"/>
  <c r="H2941" i="1"/>
  <c r="I2940" i="1"/>
  <c r="H2940" i="1"/>
  <c r="I2939" i="1"/>
  <c r="H2939" i="1"/>
  <c r="I2938" i="1"/>
  <c r="H2938" i="1"/>
  <c r="I2937" i="1"/>
  <c r="H2937" i="1"/>
  <c r="I2936" i="1"/>
  <c r="H2936" i="1"/>
  <c r="I2935" i="1"/>
  <c r="H2935" i="1"/>
  <c r="I2934" i="1"/>
  <c r="H2934" i="1"/>
  <c r="I2933" i="1"/>
  <c r="H2933" i="1"/>
  <c r="I2932" i="1"/>
  <c r="H2932" i="1"/>
  <c r="I2931" i="1"/>
  <c r="H2931" i="1"/>
  <c r="I2930" i="1"/>
  <c r="H2930" i="1"/>
  <c r="I2929" i="1"/>
  <c r="H2929" i="1"/>
  <c r="I2928" i="1"/>
  <c r="H2928" i="1"/>
  <c r="I2927" i="1"/>
  <c r="H2927" i="1"/>
  <c r="I2926" i="1"/>
  <c r="H2926" i="1"/>
  <c r="I2925" i="1"/>
  <c r="H2925" i="1"/>
  <c r="I2924" i="1"/>
  <c r="H2924" i="1"/>
  <c r="I2923" i="1"/>
  <c r="H2923" i="1"/>
  <c r="I2922" i="1"/>
  <c r="H2922" i="1"/>
  <c r="I2921" i="1"/>
  <c r="H2921" i="1"/>
  <c r="I2920" i="1"/>
  <c r="H2920" i="1"/>
  <c r="I2919" i="1"/>
  <c r="H2919" i="1"/>
  <c r="I2918" i="1"/>
  <c r="H2918" i="1"/>
  <c r="I2917" i="1"/>
  <c r="H2917" i="1"/>
  <c r="I2916" i="1"/>
  <c r="H2916" i="1"/>
  <c r="I2915" i="1"/>
  <c r="H2915" i="1"/>
  <c r="I2914" i="1"/>
  <c r="H2914" i="1"/>
  <c r="I2913" i="1"/>
  <c r="H2913" i="1"/>
  <c r="I2912" i="1"/>
  <c r="H2912" i="1"/>
  <c r="I2911" i="1"/>
  <c r="H2911" i="1"/>
  <c r="I2910" i="1"/>
  <c r="H2910" i="1"/>
  <c r="I2909" i="1"/>
  <c r="H2909" i="1"/>
  <c r="I2908" i="1"/>
  <c r="H2908" i="1"/>
  <c r="I2907" i="1"/>
  <c r="H2907" i="1"/>
  <c r="I2906" i="1"/>
  <c r="H2906" i="1"/>
  <c r="I2905" i="1"/>
  <c r="H2905" i="1"/>
  <c r="I2904" i="1"/>
  <c r="H2904" i="1"/>
  <c r="I2903" i="1"/>
  <c r="H2903" i="1"/>
  <c r="I2902" i="1"/>
  <c r="H2902" i="1"/>
  <c r="I2901" i="1"/>
  <c r="H2901" i="1"/>
  <c r="I2900" i="1"/>
  <c r="H2900" i="1"/>
  <c r="I2899" i="1"/>
  <c r="H2899" i="1"/>
  <c r="I2898" i="1"/>
  <c r="H2898" i="1"/>
  <c r="I2897" i="1"/>
  <c r="H2897" i="1"/>
  <c r="I2896" i="1"/>
  <c r="H2896" i="1"/>
  <c r="I2895" i="1"/>
  <c r="H2895" i="1"/>
  <c r="I2894" i="1"/>
  <c r="H2894" i="1"/>
  <c r="I2893" i="1"/>
  <c r="H2893" i="1"/>
  <c r="I2892" i="1"/>
  <c r="H2892" i="1"/>
  <c r="I2891" i="1"/>
  <c r="H2891" i="1"/>
  <c r="I2890" i="1"/>
  <c r="H2890" i="1"/>
  <c r="I2889" i="1"/>
  <c r="H2889" i="1"/>
  <c r="I2888" i="1"/>
  <c r="H2888" i="1"/>
  <c r="I2887" i="1"/>
  <c r="H2887" i="1"/>
  <c r="I2886" i="1"/>
  <c r="H2886" i="1"/>
  <c r="I2885" i="1"/>
  <c r="H2885" i="1"/>
  <c r="I2884" i="1"/>
  <c r="H2884" i="1"/>
  <c r="I2883" i="1"/>
  <c r="H2883" i="1"/>
  <c r="I2882" i="1"/>
  <c r="H2882" i="1"/>
  <c r="I2881" i="1"/>
  <c r="H2881" i="1"/>
  <c r="I2880" i="1"/>
  <c r="H2880" i="1"/>
  <c r="I2879" i="1"/>
  <c r="H2879" i="1"/>
  <c r="I2878" i="1"/>
  <c r="H2878" i="1"/>
  <c r="I2877" i="1"/>
  <c r="H2877" i="1"/>
  <c r="I2876" i="1"/>
  <c r="H2876" i="1"/>
  <c r="I2875" i="1"/>
  <c r="H2875" i="1"/>
  <c r="I2874" i="1"/>
  <c r="H2874" i="1"/>
  <c r="I2873" i="1"/>
  <c r="H2873" i="1"/>
  <c r="I2872" i="1"/>
  <c r="H2872" i="1"/>
  <c r="I2871" i="1"/>
  <c r="H2871" i="1"/>
  <c r="I2870" i="1"/>
  <c r="H2870" i="1"/>
  <c r="I2869" i="1"/>
  <c r="H2869" i="1"/>
  <c r="I2868" i="1"/>
  <c r="H2868" i="1"/>
  <c r="I2867" i="1"/>
  <c r="H2867" i="1"/>
  <c r="I2866" i="1"/>
  <c r="H2866" i="1"/>
  <c r="I2865" i="1"/>
  <c r="H2865" i="1"/>
  <c r="I2864" i="1"/>
  <c r="H2864" i="1"/>
  <c r="I2863" i="1"/>
  <c r="H2863" i="1"/>
  <c r="I2862" i="1"/>
  <c r="H2862" i="1"/>
  <c r="I2861" i="1"/>
  <c r="H2861" i="1"/>
  <c r="I2860" i="1"/>
  <c r="H2860" i="1"/>
  <c r="I2859" i="1"/>
  <c r="H2859" i="1"/>
  <c r="I2858" i="1"/>
  <c r="H2858" i="1"/>
  <c r="I2857" i="1"/>
  <c r="H2857" i="1"/>
  <c r="I2856" i="1"/>
  <c r="H2856" i="1"/>
  <c r="I2855" i="1"/>
  <c r="H2855" i="1"/>
  <c r="I2854" i="1"/>
  <c r="H2854" i="1"/>
  <c r="I2853" i="1"/>
  <c r="H2853" i="1"/>
  <c r="I2852" i="1"/>
  <c r="H2852" i="1"/>
  <c r="I2851" i="1"/>
  <c r="H2851" i="1"/>
  <c r="I2850" i="1"/>
  <c r="H2850" i="1"/>
  <c r="I2849" i="1"/>
  <c r="H2849" i="1"/>
  <c r="I2848" i="1"/>
  <c r="H2848" i="1"/>
  <c r="I2847" i="1"/>
  <c r="H2847" i="1"/>
  <c r="I2846" i="1"/>
  <c r="H2846" i="1"/>
  <c r="I2845" i="1"/>
  <c r="H2845" i="1"/>
  <c r="I2844" i="1"/>
  <c r="H2844" i="1"/>
  <c r="I2843" i="1"/>
  <c r="H2843" i="1"/>
  <c r="I2842" i="1"/>
  <c r="H2842" i="1"/>
  <c r="I2841" i="1"/>
  <c r="H2841" i="1"/>
  <c r="I2840" i="1"/>
  <c r="H2840" i="1"/>
  <c r="I2839" i="1"/>
  <c r="H2839" i="1"/>
  <c r="I2838" i="1"/>
  <c r="H2838" i="1"/>
  <c r="I2837" i="1"/>
  <c r="H2837" i="1"/>
  <c r="I2836" i="1"/>
  <c r="H2836" i="1"/>
  <c r="I2835" i="1"/>
  <c r="H2835" i="1"/>
  <c r="I2834" i="1"/>
  <c r="H2834" i="1"/>
  <c r="I2833" i="1"/>
  <c r="H2833" i="1"/>
  <c r="I2832" i="1"/>
  <c r="H2832" i="1"/>
  <c r="I2831" i="1"/>
  <c r="H2831" i="1"/>
  <c r="I2830" i="1"/>
  <c r="H2830" i="1"/>
  <c r="I2829" i="1"/>
  <c r="H2829" i="1"/>
  <c r="I2828" i="1"/>
  <c r="H2828" i="1"/>
  <c r="I2827" i="1"/>
  <c r="H2827" i="1"/>
  <c r="I2826" i="1"/>
  <c r="H2826" i="1"/>
  <c r="I2825" i="1"/>
  <c r="H2825" i="1"/>
  <c r="I2824" i="1"/>
  <c r="H2824" i="1"/>
  <c r="I2823" i="1"/>
  <c r="H2823" i="1"/>
  <c r="I2822" i="1"/>
  <c r="H2822" i="1"/>
  <c r="I2821" i="1"/>
  <c r="H2821" i="1"/>
  <c r="I2820" i="1"/>
  <c r="H2820" i="1"/>
  <c r="I2819" i="1"/>
  <c r="H2819" i="1"/>
  <c r="I2818" i="1"/>
  <c r="H2818" i="1"/>
  <c r="I2817" i="1"/>
  <c r="H2817" i="1"/>
  <c r="I2816" i="1"/>
  <c r="H2816" i="1"/>
  <c r="I2815" i="1"/>
  <c r="H2815" i="1"/>
  <c r="I2814" i="1"/>
  <c r="H2814" i="1"/>
  <c r="I2813" i="1"/>
  <c r="H2813" i="1"/>
  <c r="I2812" i="1"/>
  <c r="H2812" i="1"/>
  <c r="I2811" i="1"/>
  <c r="H2811" i="1"/>
  <c r="I2810" i="1"/>
  <c r="H2810" i="1"/>
  <c r="I2809" i="1"/>
  <c r="H2809" i="1"/>
  <c r="I2808" i="1"/>
  <c r="H2808" i="1"/>
  <c r="I2807" i="1"/>
  <c r="H2807" i="1"/>
  <c r="I2806" i="1"/>
  <c r="H2806" i="1"/>
  <c r="I2805" i="1"/>
  <c r="H2805" i="1"/>
  <c r="I2804" i="1"/>
  <c r="H2804" i="1"/>
  <c r="I2803" i="1"/>
  <c r="H2803" i="1"/>
  <c r="I2802" i="1"/>
  <c r="H2802" i="1"/>
  <c r="I2801" i="1"/>
  <c r="H2801" i="1"/>
  <c r="I2800" i="1"/>
  <c r="H2800" i="1"/>
  <c r="I2799" i="1"/>
  <c r="H2799" i="1"/>
  <c r="I2798" i="1"/>
  <c r="H2798" i="1"/>
  <c r="I2797" i="1"/>
  <c r="H2797" i="1"/>
  <c r="I2796" i="1"/>
  <c r="H2796" i="1"/>
  <c r="I2795" i="1"/>
  <c r="H2795" i="1"/>
  <c r="I2794" i="1"/>
  <c r="H2794" i="1"/>
  <c r="I2793" i="1"/>
  <c r="H2793" i="1"/>
  <c r="I2792" i="1"/>
  <c r="H2792" i="1"/>
  <c r="I2791" i="1"/>
  <c r="H2791" i="1"/>
  <c r="I2790" i="1"/>
  <c r="H2790" i="1"/>
  <c r="I2789" i="1"/>
  <c r="H2789" i="1"/>
  <c r="I2788" i="1"/>
  <c r="H2788" i="1"/>
  <c r="I2787" i="1"/>
  <c r="H2787" i="1"/>
  <c r="I2786" i="1"/>
  <c r="H2786" i="1"/>
  <c r="I2785" i="1"/>
  <c r="H2785" i="1"/>
  <c r="I2784" i="1"/>
  <c r="H2784" i="1"/>
  <c r="I2783" i="1"/>
  <c r="H2783" i="1"/>
  <c r="I2782" i="1"/>
  <c r="H2782" i="1"/>
  <c r="I2781" i="1"/>
  <c r="H2781" i="1"/>
  <c r="I2780" i="1"/>
  <c r="H2780" i="1"/>
  <c r="I2779" i="1"/>
  <c r="H2779" i="1"/>
  <c r="I2778" i="1"/>
  <c r="H2778" i="1"/>
  <c r="I2777" i="1"/>
  <c r="H2777" i="1"/>
  <c r="I2776" i="1"/>
  <c r="H2776" i="1"/>
  <c r="I2775" i="1"/>
  <c r="H2775" i="1"/>
  <c r="I2774" i="1"/>
  <c r="H2774" i="1"/>
  <c r="I2773" i="1"/>
  <c r="H2773" i="1"/>
  <c r="I2772" i="1"/>
  <c r="H2772" i="1"/>
  <c r="I2771" i="1"/>
  <c r="H2771" i="1"/>
  <c r="I2770" i="1"/>
  <c r="H2770" i="1"/>
  <c r="I2769" i="1"/>
  <c r="H2769" i="1"/>
  <c r="I2768" i="1"/>
  <c r="H2768" i="1"/>
  <c r="I2767" i="1"/>
  <c r="H2767" i="1"/>
  <c r="I2766" i="1"/>
  <c r="H2766" i="1"/>
  <c r="I2765" i="1"/>
  <c r="H2765" i="1"/>
  <c r="I2764" i="1"/>
  <c r="H2764" i="1"/>
  <c r="I2763" i="1"/>
  <c r="H2763" i="1"/>
  <c r="I2762" i="1"/>
  <c r="H2762" i="1"/>
  <c r="I2761" i="1"/>
  <c r="H2761" i="1"/>
  <c r="I2760" i="1"/>
  <c r="H2760" i="1"/>
  <c r="I2759" i="1"/>
  <c r="H2759" i="1"/>
  <c r="I2758" i="1"/>
  <c r="H2758" i="1"/>
  <c r="I2757" i="1"/>
  <c r="H2757" i="1"/>
  <c r="I2756" i="1"/>
  <c r="H2756" i="1"/>
  <c r="I2755" i="1"/>
  <c r="H2755" i="1"/>
  <c r="I2754" i="1"/>
  <c r="H2754" i="1"/>
  <c r="I2753" i="1"/>
  <c r="H2753" i="1"/>
  <c r="I2752" i="1"/>
  <c r="H2752" i="1"/>
  <c r="I2751" i="1"/>
  <c r="H2751" i="1"/>
  <c r="I2750" i="1"/>
  <c r="H2750" i="1"/>
  <c r="I2749" i="1"/>
  <c r="H2749" i="1"/>
  <c r="I2748" i="1"/>
  <c r="H2748" i="1"/>
  <c r="I2747" i="1"/>
  <c r="H2747" i="1"/>
  <c r="I2746" i="1"/>
  <c r="H2746" i="1"/>
  <c r="I2745" i="1"/>
  <c r="H2745" i="1"/>
  <c r="I2744" i="1"/>
  <c r="H2744" i="1"/>
  <c r="I2743" i="1"/>
  <c r="H2743" i="1"/>
  <c r="I2742" i="1"/>
  <c r="H2742" i="1"/>
  <c r="I2741" i="1"/>
  <c r="H2741" i="1"/>
  <c r="I2740" i="1"/>
  <c r="H2740" i="1"/>
  <c r="I2739" i="1"/>
  <c r="H2739" i="1"/>
  <c r="I2738" i="1"/>
  <c r="H2738" i="1"/>
  <c r="I2737" i="1"/>
  <c r="H2737" i="1"/>
  <c r="I2736" i="1"/>
  <c r="H2736" i="1"/>
  <c r="I2735" i="1"/>
  <c r="H2735" i="1"/>
  <c r="I2734" i="1"/>
  <c r="H2734" i="1"/>
  <c r="I2733" i="1"/>
  <c r="H2733" i="1"/>
  <c r="I2732" i="1"/>
  <c r="H2732" i="1"/>
  <c r="I2731" i="1"/>
  <c r="H2731" i="1"/>
  <c r="I2730" i="1"/>
  <c r="H2730" i="1"/>
  <c r="I2729" i="1"/>
  <c r="H2729" i="1"/>
  <c r="I2728" i="1"/>
  <c r="H2728" i="1"/>
  <c r="I2727" i="1"/>
  <c r="H2727" i="1"/>
  <c r="I2726" i="1"/>
  <c r="H2726" i="1"/>
  <c r="I2725" i="1"/>
  <c r="H2725" i="1"/>
  <c r="I2724" i="1"/>
  <c r="H2724" i="1"/>
  <c r="I2723" i="1"/>
  <c r="H2723" i="1"/>
  <c r="I2722" i="1"/>
  <c r="H2722" i="1"/>
  <c r="I2721" i="1"/>
  <c r="H2721" i="1"/>
  <c r="I2720" i="1"/>
  <c r="H2720" i="1"/>
  <c r="I2719" i="1"/>
  <c r="H2719" i="1"/>
  <c r="I2718" i="1"/>
  <c r="H2718" i="1"/>
  <c r="I2717" i="1"/>
  <c r="H2717" i="1"/>
  <c r="I2716" i="1"/>
  <c r="H2716" i="1"/>
  <c r="I2715" i="1"/>
  <c r="H2715" i="1"/>
  <c r="I2714" i="1"/>
  <c r="H2714" i="1"/>
  <c r="I2713" i="1"/>
  <c r="H2713" i="1"/>
  <c r="I2712" i="1"/>
  <c r="H2712" i="1"/>
  <c r="I2711" i="1"/>
  <c r="H2711" i="1"/>
  <c r="I2710" i="1"/>
  <c r="H2710" i="1"/>
  <c r="I2709" i="1"/>
  <c r="H2709" i="1"/>
  <c r="I2708" i="1"/>
  <c r="H2708" i="1"/>
  <c r="I2707" i="1"/>
  <c r="H2707" i="1"/>
  <c r="I2706" i="1"/>
  <c r="H2706" i="1"/>
  <c r="I2705" i="1"/>
  <c r="H2705" i="1"/>
  <c r="I2704" i="1"/>
  <c r="H2704" i="1"/>
  <c r="I2703" i="1"/>
  <c r="H2703" i="1"/>
  <c r="I2702" i="1"/>
  <c r="H2702" i="1"/>
  <c r="I2701" i="1"/>
  <c r="H2701" i="1"/>
  <c r="I2700" i="1"/>
  <c r="H2700" i="1"/>
  <c r="I2699" i="1"/>
  <c r="H2699" i="1"/>
  <c r="I2698" i="1"/>
  <c r="H2698" i="1"/>
  <c r="I2697" i="1"/>
  <c r="H2697" i="1"/>
  <c r="I2696" i="1"/>
  <c r="H2696" i="1"/>
  <c r="I2695" i="1"/>
  <c r="H2695" i="1"/>
  <c r="I2694" i="1"/>
  <c r="H2694" i="1"/>
  <c r="I2693" i="1"/>
  <c r="H2693" i="1"/>
  <c r="I2692" i="1"/>
  <c r="H2692" i="1"/>
  <c r="I2691" i="1"/>
  <c r="H2691" i="1"/>
  <c r="I2690" i="1"/>
  <c r="H2690" i="1"/>
  <c r="I2689" i="1"/>
  <c r="H2689" i="1"/>
  <c r="I2688" i="1"/>
  <c r="H2688" i="1"/>
  <c r="I2687" i="1"/>
  <c r="H2687" i="1"/>
  <c r="I2686" i="1"/>
  <c r="H2686" i="1"/>
  <c r="I2685" i="1"/>
  <c r="H2685" i="1"/>
  <c r="I2684" i="1"/>
  <c r="H2684" i="1"/>
  <c r="I2683" i="1"/>
  <c r="H2683" i="1"/>
  <c r="I2682" i="1"/>
  <c r="H2682" i="1"/>
  <c r="I2681" i="1"/>
  <c r="H2681" i="1"/>
  <c r="I2680" i="1"/>
  <c r="H2680" i="1"/>
  <c r="I2679" i="1"/>
  <c r="H2679" i="1"/>
  <c r="I2678" i="1"/>
  <c r="H2678" i="1"/>
  <c r="I2677" i="1"/>
  <c r="H2677" i="1"/>
  <c r="I2676" i="1"/>
  <c r="H2676" i="1"/>
  <c r="I2675" i="1"/>
  <c r="H2675" i="1"/>
  <c r="I2674" i="1"/>
  <c r="H2674" i="1"/>
  <c r="I2673" i="1"/>
  <c r="H2673" i="1"/>
  <c r="I2672" i="1"/>
  <c r="H2672" i="1"/>
  <c r="I2671" i="1"/>
  <c r="H2671" i="1"/>
  <c r="I2670" i="1"/>
  <c r="H2670" i="1"/>
  <c r="I2669" i="1"/>
  <c r="H2669" i="1"/>
  <c r="I2668" i="1"/>
  <c r="H2668" i="1"/>
  <c r="I2667" i="1"/>
  <c r="H2667" i="1"/>
  <c r="I2666" i="1"/>
  <c r="H2666" i="1"/>
  <c r="I2665" i="1"/>
  <c r="H2665" i="1"/>
  <c r="I2664" i="1"/>
  <c r="H2664" i="1"/>
  <c r="I2663" i="1"/>
  <c r="H2663" i="1"/>
  <c r="I2662" i="1"/>
  <c r="H2662" i="1"/>
  <c r="I2661" i="1"/>
  <c r="H2661" i="1"/>
  <c r="I2660" i="1"/>
  <c r="H2660" i="1"/>
  <c r="I2659" i="1"/>
  <c r="H2659" i="1"/>
  <c r="I2658" i="1"/>
  <c r="H2658" i="1"/>
  <c r="I2657" i="1"/>
  <c r="H2657" i="1"/>
  <c r="I2656" i="1"/>
  <c r="H2656" i="1"/>
  <c r="I2655" i="1"/>
  <c r="H2655" i="1"/>
  <c r="I2654" i="1"/>
  <c r="H2654" i="1"/>
  <c r="I2653" i="1"/>
  <c r="H2653" i="1"/>
  <c r="I2652" i="1"/>
  <c r="H2652" i="1"/>
  <c r="I2651" i="1"/>
  <c r="H2651" i="1"/>
  <c r="I2650" i="1"/>
  <c r="H2650" i="1"/>
  <c r="I2649" i="1"/>
  <c r="H2649" i="1"/>
  <c r="I2648" i="1"/>
  <c r="H2648" i="1"/>
  <c r="I2647" i="1"/>
  <c r="H2647" i="1"/>
  <c r="I2646" i="1"/>
  <c r="H2646" i="1"/>
  <c r="I2645" i="1"/>
  <c r="H2645" i="1"/>
  <c r="I2644" i="1"/>
  <c r="H2644" i="1"/>
  <c r="I2643" i="1"/>
  <c r="H2643" i="1"/>
  <c r="I2642" i="1"/>
  <c r="H2642" i="1"/>
  <c r="I2641" i="1"/>
  <c r="H2641" i="1"/>
  <c r="I2640" i="1"/>
  <c r="H2640" i="1"/>
  <c r="I2639" i="1"/>
  <c r="H2639" i="1"/>
  <c r="I2638" i="1"/>
  <c r="H2638" i="1"/>
  <c r="I2637" i="1"/>
  <c r="H2637" i="1"/>
  <c r="I2636" i="1"/>
  <c r="H2636" i="1"/>
  <c r="I2635" i="1"/>
  <c r="H2635" i="1"/>
  <c r="I2634" i="1"/>
  <c r="H2634" i="1"/>
  <c r="I2633" i="1"/>
  <c r="H2633" i="1"/>
  <c r="I2632" i="1"/>
  <c r="H2632" i="1"/>
  <c r="I2631" i="1"/>
  <c r="H2631" i="1"/>
  <c r="I2630" i="1"/>
  <c r="H2630" i="1"/>
  <c r="I2629" i="1"/>
  <c r="H2629" i="1"/>
  <c r="I2628" i="1"/>
  <c r="H2628" i="1"/>
  <c r="I2627" i="1"/>
  <c r="H2627" i="1"/>
  <c r="I2626" i="1"/>
  <c r="H2626" i="1"/>
  <c r="I2625" i="1"/>
  <c r="H2625" i="1"/>
  <c r="I2624" i="1"/>
  <c r="H2624" i="1"/>
  <c r="I2623" i="1"/>
  <c r="H2623" i="1"/>
  <c r="I2622" i="1"/>
  <c r="H2622" i="1"/>
  <c r="I2621" i="1"/>
  <c r="H2621" i="1"/>
  <c r="I2620" i="1"/>
  <c r="H2620" i="1"/>
  <c r="I2619" i="1"/>
  <c r="H2619" i="1"/>
  <c r="I2618" i="1"/>
  <c r="H2618" i="1"/>
  <c r="I2617" i="1"/>
  <c r="H2617" i="1"/>
  <c r="I2616" i="1"/>
  <c r="H2616" i="1"/>
  <c r="I2615" i="1"/>
  <c r="H2615" i="1"/>
  <c r="I2614" i="1"/>
  <c r="H2614" i="1"/>
  <c r="I2613" i="1"/>
  <c r="H2613" i="1"/>
  <c r="I2612" i="1"/>
  <c r="H2612" i="1"/>
  <c r="I2611" i="1"/>
  <c r="H2611" i="1"/>
  <c r="I2610" i="1"/>
  <c r="H2610" i="1"/>
  <c r="I2609" i="1"/>
  <c r="H2609" i="1"/>
  <c r="I2608" i="1"/>
  <c r="H2608" i="1"/>
  <c r="I2607" i="1"/>
  <c r="H2607" i="1"/>
  <c r="I2606" i="1"/>
  <c r="H2606" i="1"/>
  <c r="I2605" i="1"/>
  <c r="H2605" i="1"/>
  <c r="I2604" i="1"/>
  <c r="H2604" i="1"/>
  <c r="I2603" i="1"/>
  <c r="H2603" i="1"/>
  <c r="I2602" i="1"/>
  <c r="H2602" i="1"/>
  <c r="I2601" i="1"/>
  <c r="H2601" i="1"/>
  <c r="I2600" i="1"/>
  <c r="H2600" i="1"/>
  <c r="I2599" i="1"/>
  <c r="H2599" i="1"/>
  <c r="I2598" i="1"/>
  <c r="H2598" i="1"/>
  <c r="I2597" i="1"/>
  <c r="H2597" i="1"/>
  <c r="I2596" i="1"/>
  <c r="H2596" i="1"/>
  <c r="I2595" i="1"/>
  <c r="H2595" i="1"/>
  <c r="I2594" i="1"/>
  <c r="H2594" i="1"/>
  <c r="I2593" i="1"/>
  <c r="H2593" i="1"/>
  <c r="I2592" i="1"/>
  <c r="H2592" i="1"/>
  <c r="I2591" i="1"/>
  <c r="H2591" i="1"/>
  <c r="I2590" i="1"/>
  <c r="H2590" i="1"/>
  <c r="I2589" i="1"/>
  <c r="H2589" i="1"/>
  <c r="I2588" i="1"/>
  <c r="H2588" i="1"/>
  <c r="I2587" i="1"/>
  <c r="H2587" i="1"/>
  <c r="I2586" i="1"/>
  <c r="H2586" i="1"/>
  <c r="I2585" i="1"/>
  <c r="H2585" i="1"/>
  <c r="I2584" i="1"/>
  <c r="H2584" i="1"/>
  <c r="I2583" i="1"/>
  <c r="H2583" i="1"/>
  <c r="I2582" i="1"/>
  <c r="H2582" i="1"/>
  <c r="I2581" i="1"/>
  <c r="H2581" i="1"/>
  <c r="I2580" i="1"/>
  <c r="H2580" i="1"/>
  <c r="I2579" i="1"/>
  <c r="H2579" i="1"/>
  <c r="I2578" i="1"/>
  <c r="H2578" i="1"/>
  <c r="I2577" i="1"/>
  <c r="H2577" i="1"/>
  <c r="I2576" i="1"/>
  <c r="H2576" i="1"/>
  <c r="I2575" i="1"/>
  <c r="H2575" i="1"/>
  <c r="I2574" i="1"/>
  <c r="H2574" i="1"/>
  <c r="I2573" i="1"/>
  <c r="H2573" i="1"/>
  <c r="I2572" i="1"/>
  <c r="H2572" i="1"/>
  <c r="I2571" i="1"/>
  <c r="H2571" i="1"/>
  <c r="I2570" i="1"/>
  <c r="H2570" i="1"/>
  <c r="I2569" i="1"/>
  <c r="H2569" i="1"/>
  <c r="I2568" i="1"/>
  <c r="H2568" i="1"/>
  <c r="I2567" i="1"/>
  <c r="H2567" i="1"/>
  <c r="I2566" i="1"/>
  <c r="H2566" i="1"/>
  <c r="I2565" i="1"/>
  <c r="H2565" i="1"/>
  <c r="I2564" i="1"/>
  <c r="H2564" i="1"/>
  <c r="I2563" i="1"/>
  <c r="H2563" i="1"/>
  <c r="I2562" i="1"/>
  <c r="H2562" i="1"/>
  <c r="I2561" i="1"/>
  <c r="H2561" i="1"/>
  <c r="I2560" i="1"/>
  <c r="H2560" i="1"/>
  <c r="I2559" i="1"/>
  <c r="H2559" i="1"/>
  <c r="I2558" i="1"/>
  <c r="H2558" i="1"/>
  <c r="I2557" i="1"/>
  <c r="H2557" i="1"/>
  <c r="I2556" i="1"/>
  <c r="H2556" i="1"/>
  <c r="I2555" i="1"/>
  <c r="H2555" i="1"/>
  <c r="I2554" i="1"/>
  <c r="H2554" i="1"/>
  <c r="I2553" i="1"/>
  <c r="H2553" i="1"/>
  <c r="I2552" i="1"/>
  <c r="H2552" i="1"/>
  <c r="I2551" i="1"/>
  <c r="H2551" i="1"/>
  <c r="I2550" i="1"/>
  <c r="H2550" i="1"/>
  <c r="I2549" i="1"/>
  <c r="H2549" i="1"/>
  <c r="I2548" i="1"/>
  <c r="H2548" i="1"/>
  <c r="I2547" i="1"/>
  <c r="H2547" i="1"/>
  <c r="I2546" i="1"/>
  <c r="H2546" i="1"/>
  <c r="I2545" i="1"/>
  <c r="H2545" i="1"/>
  <c r="I2544" i="1"/>
  <c r="H2544" i="1"/>
  <c r="I2543" i="1"/>
  <c r="H2543" i="1"/>
  <c r="I2542" i="1"/>
  <c r="H2542" i="1"/>
  <c r="I2541" i="1"/>
  <c r="H2541" i="1"/>
  <c r="I2540" i="1"/>
  <c r="H2540" i="1"/>
  <c r="I2539" i="1"/>
  <c r="H2539" i="1"/>
  <c r="I2538" i="1"/>
  <c r="H2538" i="1"/>
  <c r="I2537" i="1"/>
  <c r="H2537" i="1"/>
  <c r="I2536" i="1"/>
  <c r="H2536" i="1"/>
  <c r="I2535" i="1"/>
  <c r="H2535" i="1"/>
  <c r="I2534" i="1"/>
  <c r="H2534" i="1"/>
  <c r="I2533" i="1"/>
  <c r="H2533" i="1"/>
  <c r="I2532" i="1"/>
  <c r="H2532" i="1"/>
  <c r="I2531" i="1"/>
  <c r="H2531" i="1"/>
  <c r="I2530" i="1"/>
  <c r="H2530" i="1"/>
  <c r="I2529" i="1"/>
  <c r="H2529" i="1"/>
  <c r="I2528" i="1"/>
  <c r="H2528" i="1"/>
  <c r="I2527" i="1"/>
  <c r="H2527" i="1"/>
  <c r="I2526" i="1"/>
  <c r="H2526" i="1"/>
  <c r="I2525" i="1"/>
  <c r="H2525" i="1"/>
  <c r="I2524" i="1"/>
  <c r="H2524" i="1"/>
  <c r="I2523" i="1"/>
  <c r="H2523" i="1"/>
  <c r="I2522" i="1"/>
  <c r="H2522" i="1"/>
  <c r="I2521" i="1"/>
  <c r="H2521" i="1"/>
  <c r="I2520" i="1"/>
  <c r="H2520" i="1"/>
  <c r="I2519" i="1"/>
  <c r="H2519" i="1"/>
  <c r="I2518" i="1"/>
  <c r="H2518" i="1"/>
  <c r="I2517" i="1"/>
  <c r="H2517" i="1"/>
  <c r="I2516" i="1"/>
  <c r="H2516" i="1"/>
  <c r="I2515" i="1"/>
  <c r="H2515" i="1"/>
  <c r="I2514" i="1"/>
  <c r="H2514" i="1"/>
  <c r="I2513" i="1"/>
  <c r="H2513" i="1"/>
  <c r="I2512" i="1"/>
  <c r="H2512" i="1"/>
  <c r="I2511" i="1"/>
  <c r="H2511" i="1"/>
  <c r="I2510" i="1"/>
  <c r="H2510" i="1"/>
  <c r="I2509" i="1"/>
  <c r="H2509" i="1"/>
  <c r="I2508" i="1"/>
  <c r="H2508" i="1"/>
  <c r="I2507" i="1"/>
  <c r="H2507" i="1"/>
  <c r="I2506" i="1"/>
  <c r="H2506" i="1"/>
  <c r="I2505" i="1"/>
  <c r="H2505" i="1"/>
  <c r="I2504" i="1"/>
  <c r="H2504" i="1"/>
  <c r="I2503" i="1"/>
  <c r="H2503" i="1"/>
  <c r="I2502" i="1"/>
  <c r="H2502" i="1"/>
  <c r="I2501" i="1"/>
  <c r="H2501" i="1"/>
  <c r="I2500" i="1"/>
  <c r="H2500" i="1"/>
  <c r="I2499" i="1"/>
  <c r="H2499" i="1"/>
  <c r="I2498" i="1"/>
  <c r="H2498" i="1"/>
  <c r="I2497" i="1"/>
  <c r="H2497" i="1"/>
  <c r="I2496" i="1"/>
  <c r="H2496" i="1"/>
  <c r="I2495" i="1"/>
  <c r="H2495" i="1"/>
  <c r="I2494" i="1"/>
  <c r="H2494" i="1"/>
  <c r="I2493" i="1"/>
  <c r="H2493" i="1"/>
  <c r="I2492" i="1"/>
  <c r="H2492" i="1"/>
  <c r="I2491" i="1"/>
  <c r="H2491" i="1"/>
  <c r="I2490" i="1"/>
  <c r="H2490" i="1"/>
  <c r="I2489" i="1"/>
  <c r="H2489" i="1"/>
  <c r="I2488" i="1"/>
  <c r="H2488" i="1"/>
  <c r="I2487" i="1"/>
  <c r="H2487" i="1"/>
  <c r="I2486" i="1"/>
  <c r="H2486" i="1"/>
  <c r="I2485" i="1"/>
  <c r="H2485" i="1"/>
  <c r="I2484" i="1"/>
  <c r="H2484" i="1"/>
  <c r="I2483" i="1"/>
  <c r="H2483" i="1"/>
  <c r="I2482" i="1"/>
  <c r="H2482" i="1"/>
  <c r="I2481" i="1"/>
  <c r="H2481" i="1"/>
  <c r="I2480" i="1"/>
  <c r="H2480" i="1"/>
  <c r="I2479" i="1"/>
  <c r="H2479" i="1"/>
  <c r="I2478" i="1"/>
  <c r="H2478" i="1"/>
  <c r="I2477" i="1"/>
  <c r="H2477" i="1"/>
  <c r="I2476" i="1"/>
  <c r="H2476" i="1"/>
  <c r="I2475" i="1"/>
  <c r="H2475" i="1"/>
  <c r="I2474" i="1"/>
  <c r="H2474" i="1"/>
  <c r="I2473" i="1"/>
  <c r="H2473" i="1"/>
  <c r="I2472" i="1"/>
  <c r="H2472" i="1"/>
  <c r="I2471" i="1"/>
  <c r="H2471" i="1"/>
  <c r="I2470" i="1"/>
  <c r="H2470" i="1"/>
  <c r="I2469" i="1"/>
  <c r="H2469" i="1"/>
  <c r="I2468" i="1"/>
  <c r="H2468" i="1"/>
  <c r="I2467" i="1"/>
  <c r="H2467" i="1"/>
  <c r="I2466" i="1"/>
  <c r="H2466" i="1"/>
  <c r="I2465" i="1"/>
  <c r="H2465" i="1"/>
  <c r="I2464" i="1"/>
  <c r="H2464" i="1"/>
  <c r="I2463" i="1"/>
  <c r="H2463" i="1"/>
  <c r="I2462" i="1"/>
  <c r="H2462" i="1"/>
  <c r="I2461" i="1"/>
  <c r="H2461" i="1"/>
  <c r="I2460" i="1"/>
  <c r="H2460" i="1"/>
  <c r="I2459" i="1"/>
  <c r="H2459" i="1"/>
  <c r="I2458" i="1"/>
  <c r="H2458" i="1"/>
  <c r="I2457" i="1"/>
  <c r="H2457" i="1"/>
  <c r="I2456" i="1"/>
  <c r="H2456" i="1"/>
  <c r="I2455" i="1"/>
  <c r="H2455" i="1"/>
  <c r="I2454" i="1"/>
  <c r="H2454" i="1"/>
  <c r="I2453" i="1"/>
  <c r="H2453" i="1"/>
  <c r="I2452" i="1"/>
  <c r="H2452" i="1"/>
  <c r="I2451" i="1"/>
  <c r="H2451" i="1"/>
  <c r="I2450" i="1"/>
  <c r="H2450" i="1"/>
  <c r="I2449" i="1"/>
  <c r="H2449" i="1"/>
  <c r="I2448" i="1"/>
  <c r="H2448" i="1"/>
  <c r="I2447" i="1"/>
  <c r="H2447" i="1"/>
  <c r="I2446" i="1"/>
  <c r="H2446" i="1"/>
  <c r="I2445" i="1"/>
  <c r="H2445" i="1"/>
  <c r="I2444" i="1"/>
  <c r="H2444" i="1"/>
  <c r="I2443" i="1"/>
  <c r="H2443" i="1"/>
  <c r="I2442" i="1"/>
  <c r="H2442" i="1"/>
  <c r="I2441" i="1"/>
  <c r="H2441" i="1"/>
  <c r="I2440" i="1"/>
  <c r="H2440" i="1"/>
  <c r="I2439" i="1"/>
  <c r="H2439" i="1"/>
  <c r="I2438" i="1"/>
  <c r="H2438" i="1"/>
  <c r="I2437" i="1"/>
  <c r="H2437" i="1"/>
  <c r="I2436" i="1"/>
  <c r="H2436" i="1"/>
  <c r="I2435" i="1"/>
  <c r="H2435" i="1"/>
  <c r="I2434" i="1"/>
  <c r="H2434" i="1"/>
  <c r="I2433" i="1"/>
  <c r="H2433" i="1"/>
  <c r="I2432" i="1"/>
  <c r="H2432" i="1"/>
  <c r="I2431" i="1"/>
  <c r="H2431" i="1"/>
  <c r="I2430" i="1"/>
  <c r="H2430" i="1"/>
  <c r="I2429" i="1"/>
  <c r="H2429" i="1"/>
  <c r="I2428" i="1"/>
  <c r="H2428" i="1"/>
  <c r="I2427" i="1"/>
  <c r="H2427" i="1"/>
  <c r="I2426" i="1"/>
  <c r="H2426" i="1"/>
  <c r="I2425" i="1"/>
  <c r="H2425" i="1"/>
  <c r="I2424" i="1"/>
  <c r="H2424" i="1"/>
  <c r="I2423" i="1"/>
  <c r="H2423" i="1"/>
  <c r="I2422" i="1"/>
  <c r="H2422" i="1"/>
  <c r="I2421" i="1"/>
  <c r="H2421" i="1"/>
  <c r="I2420" i="1"/>
  <c r="H2420" i="1"/>
  <c r="I2419" i="1"/>
  <c r="H2419" i="1"/>
  <c r="I2418" i="1"/>
  <c r="H2418" i="1"/>
  <c r="I2417" i="1"/>
  <c r="H2417" i="1"/>
  <c r="I2416" i="1"/>
  <c r="H2416" i="1"/>
  <c r="I2415" i="1"/>
  <c r="H2415" i="1"/>
  <c r="I2414" i="1"/>
  <c r="H2414" i="1"/>
  <c r="I2413" i="1"/>
  <c r="H2413" i="1"/>
  <c r="I2412" i="1"/>
  <c r="H2412" i="1"/>
  <c r="I2411" i="1"/>
  <c r="H2411" i="1"/>
  <c r="I2410" i="1"/>
  <c r="H2410" i="1"/>
  <c r="I2409" i="1"/>
  <c r="H2409" i="1"/>
  <c r="I2408" i="1"/>
  <c r="H2408" i="1"/>
  <c r="I2407" i="1"/>
  <c r="H2407" i="1"/>
  <c r="I2406" i="1"/>
  <c r="H2406" i="1"/>
  <c r="I2405" i="1"/>
  <c r="H2405" i="1"/>
  <c r="I2404" i="1"/>
  <c r="H2404" i="1"/>
  <c r="I2403" i="1"/>
  <c r="H2403" i="1"/>
  <c r="I2402" i="1"/>
  <c r="H2402" i="1"/>
  <c r="I2401" i="1"/>
  <c r="H2401" i="1"/>
  <c r="I2400" i="1"/>
  <c r="H2400" i="1"/>
  <c r="I2399" i="1"/>
  <c r="H2399" i="1"/>
  <c r="I2398" i="1"/>
  <c r="H2398" i="1"/>
  <c r="I2397" i="1"/>
  <c r="H2397" i="1"/>
  <c r="I2396" i="1"/>
  <c r="H2396" i="1"/>
  <c r="I2395" i="1"/>
  <c r="H2395" i="1"/>
  <c r="I2394" i="1"/>
  <c r="H2394" i="1"/>
  <c r="I2393" i="1"/>
  <c r="H2393" i="1"/>
  <c r="I2392" i="1"/>
  <c r="H2392" i="1"/>
  <c r="I2391" i="1"/>
  <c r="H2391" i="1"/>
  <c r="I2390" i="1"/>
  <c r="H2390" i="1"/>
  <c r="I2389" i="1"/>
  <c r="H2389" i="1"/>
  <c r="I2388" i="1"/>
  <c r="H2388" i="1"/>
  <c r="I2387" i="1"/>
  <c r="H2387" i="1"/>
  <c r="I2386" i="1"/>
  <c r="H2386" i="1"/>
  <c r="I2385" i="1"/>
  <c r="H2385" i="1"/>
  <c r="I2384" i="1"/>
  <c r="H2384" i="1"/>
  <c r="I2383" i="1"/>
  <c r="H2383" i="1"/>
  <c r="I2382" i="1"/>
  <c r="H2382" i="1"/>
  <c r="I2381" i="1"/>
  <c r="H2381" i="1"/>
  <c r="I2380" i="1"/>
  <c r="H2380" i="1"/>
  <c r="I2379" i="1"/>
  <c r="H2379" i="1"/>
  <c r="I2378" i="1"/>
  <c r="H2378" i="1"/>
  <c r="I2377" i="1"/>
  <c r="H2377" i="1"/>
  <c r="I2376" i="1"/>
  <c r="H2376" i="1"/>
  <c r="I2375" i="1"/>
  <c r="H2375" i="1"/>
  <c r="I2374" i="1"/>
  <c r="H2374" i="1"/>
  <c r="I2373" i="1"/>
  <c r="H2373" i="1"/>
  <c r="I2372" i="1"/>
  <c r="H2372" i="1"/>
  <c r="I2371" i="1"/>
  <c r="H2371" i="1"/>
  <c r="I2370" i="1"/>
  <c r="H2370" i="1"/>
  <c r="I2369" i="1"/>
  <c r="H2369" i="1"/>
  <c r="I2368" i="1"/>
  <c r="H2368" i="1"/>
  <c r="I2367" i="1"/>
  <c r="H2367" i="1"/>
  <c r="I2366" i="1"/>
  <c r="H2366" i="1"/>
  <c r="I2365" i="1"/>
  <c r="H2365" i="1"/>
  <c r="I2364" i="1"/>
  <c r="H2364" i="1"/>
  <c r="I2363" i="1"/>
  <c r="H2363" i="1"/>
  <c r="I2362" i="1"/>
  <c r="H2362" i="1"/>
  <c r="I2361" i="1"/>
  <c r="H2361" i="1"/>
  <c r="I2360" i="1"/>
  <c r="H2360" i="1"/>
  <c r="I2359" i="1"/>
  <c r="H2359" i="1"/>
  <c r="I2358" i="1"/>
  <c r="H2358" i="1"/>
  <c r="I2357" i="1"/>
  <c r="H2357" i="1"/>
  <c r="I2356" i="1"/>
  <c r="H2356" i="1"/>
  <c r="I2355" i="1"/>
  <c r="H2355" i="1"/>
  <c r="I2354" i="1"/>
  <c r="H2354" i="1"/>
  <c r="I2353" i="1"/>
  <c r="H2353" i="1"/>
  <c r="I2352" i="1"/>
  <c r="H2352" i="1"/>
  <c r="I2351" i="1"/>
  <c r="H2351" i="1"/>
  <c r="I2350" i="1"/>
  <c r="H2350" i="1"/>
  <c r="I2349" i="1"/>
  <c r="H2349" i="1"/>
  <c r="I2348" i="1"/>
  <c r="H2348" i="1"/>
  <c r="I2347" i="1"/>
  <c r="H2347" i="1"/>
  <c r="I2346" i="1"/>
  <c r="H2346" i="1"/>
  <c r="I2345" i="1"/>
  <c r="H2345" i="1"/>
  <c r="I2344" i="1"/>
  <c r="H2344" i="1"/>
  <c r="I2343" i="1"/>
  <c r="H2343" i="1"/>
  <c r="I2342" i="1"/>
  <c r="H2342" i="1"/>
  <c r="I2341" i="1"/>
  <c r="H2341" i="1"/>
  <c r="I2340" i="1"/>
  <c r="H2340" i="1"/>
  <c r="I2339" i="1"/>
  <c r="H2339" i="1"/>
  <c r="I2338" i="1"/>
  <c r="H2338" i="1"/>
  <c r="I2337" i="1"/>
  <c r="H2337" i="1"/>
  <c r="I2336" i="1"/>
  <c r="H2336" i="1"/>
  <c r="I2335" i="1"/>
  <c r="H2335" i="1"/>
  <c r="I2334" i="1"/>
  <c r="H2334" i="1"/>
  <c r="I2333" i="1"/>
  <c r="H2333" i="1"/>
  <c r="I2332" i="1"/>
  <c r="H2332" i="1"/>
  <c r="I2331" i="1"/>
  <c r="H2331" i="1"/>
  <c r="I2330" i="1"/>
  <c r="H2330" i="1"/>
  <c r="I2329" i="1"/>
  <c r="H2329" i="1"/>
  <c r="I2328" i="1"/>
  <c r="H2328" i="1"/>
  <c r="I2327" i="1"/>
  <c r="H2327" i="1"/>
  <c r="I2326" i="1"/>
  <c r="H2326" i="1"/>
  <c r="I2325" i="1"/>
  <c r="H2325" i="1"/>
  <c r="I2324" i="1"/>
  <c r="H2324" i="1"/>
  <c r="I2323" i="1"/>
  <c r="H2323" i="1"/>
  <c r="I2322" i="1"/>
  <c r="H2322" i="1"/>
  <c r="I2321" i="1"/>
  <c r="H2321" i="1"/>
  <c r="I2320" i="1"/>
  <c r="H2320" i="1"/>
  <c r="I2319" i="1"/>
  <c r="H2319" i="1"/>
  <c r="I2318" i="1"/>
  <c r="H2318" i="1"/>
  <c r="I2317" i="1"/>
  <c r="H2317" i="1"/>
  <c r="I2316" i="1"/>
  <c r="H2316" i="1"/>
  <c r="I2315" i="1"/>
  <c r="H2315" i="1"/>
  <c r="I2314" i="1"/>
  <c r="H2314" i="1"/>
  <c r="I2313" i="1"/>
  <c r="H2313" i="1"/>
  <c r="I2312" i="1"/>
  <c r="H2312" i="1"/>
  <c r="I2311" i="1"/>
  <c r="H2311" i="1"/>
  <c r="I2310" i="1"/>
  <c r="H2310" i="1"/>
  <c r="I2309" i="1"/>
  <c r="H2309" i="1"/>
  <c r="I2308" i="1"/>
  <c r="H2308" i="1"/>
  <c r="I2307" i="1"/>
  <c r="H2307" i="1"/>
  <c r="I2306" i="1"/>
  <c r="H2306" i="1"/>
  <c r="I2305" i="1"/>
  <c r="H2305" i="1"/>
  <c r="I2304" i="1"/>
  <c r="H2304" i="1"/>
  <c r="I2303" i="1"/>
  <c r="H2303" i="1"/>
  <c r="I2302" i="1"/>
  <c r="H2302" i="1"/>
  <c r="I2301" i="1"/>
  <c r="H2301" i="1"/>
  <c r="I2300" i="1"/>
  <c r="H2300" i="1"/>
  <c r="I2299" i="1"/>
  <c r="H2299" i="1"/>
  <c r="I2298" i="1"/>
  <c r="H2298" i="1"/>
  <c r="I2297" i="1"/>
  <c r="H2297" i="1"/>
  <c r="I2296" i="1"/>
  <c r="H2296" i="1"/>
  <c r="I2295" i="1"/>
  <c r="H2295" i="1"/>
  <c r="I2294" i="1"/>
  <c r="H2294" i="1"/>
  <c r="I2293" i="1"/>
  <c r="H2293" i="1"/>
  <c r="I2292" i="1"/>
  <c r="H2292" i="1"/>
  <c r="I2291" i="1"/>
  <c r="H2291" i="1"/>
  <c r="I2290" i="1"/>
  <c r="H2290" i="1"/>
  <c r="I2289" i="1"/>
  <c r="H2289" i="1"/>
  <c r="I2288" i="1"/>
  <c r="H2288" i="1"/>
  <c r="I2287" i="1"/>
  <c r="H2287" i="1"/>
  <c r="I2286" i="1"/>
  <c r="H2286" i="1"/>
  <c r="I2285" i="1"/>
  <c r="H2285" i="1"/>
  <c r="I2284" i="1"/>
  <c r="H2284" i="1"/>
  <c r="I2283" i="1"/>
  <c r="H2283" i="1"/>
  <c r="I2282" i="1"/>
  <c r="H2282" i="1"/>
  <c r="I2281" i="1"/>
  <c r="H2281" i="1"/>
  <c r="I2280" i="1"/>
  <c r="H2280" i="1"/>
  <c r="I2279" i="1"/>
  <c r="H2279" i="1"/>
  <c r="I2278" i="1"/>
  <c r="H2278" i="1"/>
  <c r="I2277" i="1"/>
  <c r="H2277" i="1"/>
  <c r="I2276" i="1"/>
  <c r="H2276" i="1"/>
  <c r="I2275" i="1"/>
  <c r="H2275" i="1"/>
  <c r="I2274" i="1"/>
  <c r="H2274" i="1"/>
  <c r="I2273" i="1"/>
  <c r="H2273" i="1"/>
  <c r="I2272" i="1"/>
  <c r="H2272" i="1"/>
  <c r="I2271" i="1"/>
  <c r="H2271" i="1"/>
  <c r="I2270" i="1"/>
  <c r="H2270" i="1"/>
  <c r="I2269" i="1"/>
  <c r="H2269" i="1"/>
  <c r="I2268" i="1"/>
  <c r="H2268" i="1"/>
  <c r="I2267" i="1"/>
  <c r="H2267" i="1"/>
  <c r="I2266" i="1"/>
  <c r="H2266" i="1"/>
  <c r="I2265" i="1"/>
  <c r="H2265" i="1"/>
  <c r="I2264" i="1"/>
  <c r="H2264" i="1"/>
  <c r="I2263" i="1"/>
  <c r="H2263" i="1"/>
  <c r="I2262" i="1"/>
  <c r="H2262" i="1"/>
  <c r="I2261" i="1"/>
  <c r="H2261" i="1"/>
  <c r="I2260" i="1"/>
  <c r="H2260" i="1"/>
  <c r="I2259" i="1"/>
  <c r="H2259" i="1"/>
  <c r="I2258" i="1"/>
  <c r="H2258" i="1"/>
  <c r="I2257" i="1"/>
  <c r="H2257" i="1"/>
  <c r="I2256" i="1"/>
  <c r="H2256" i="1"/>
  <c r="I2255" i="1"/>
  <c r="H2255" i="1"/>
  <c r="I2254" i="1"/>
  <c r="H2254" i="1"/>
  <c r="I2253" i="1"/>
  <c r="H2253" i="1"/>
  <c r="I2252" i="1"/>
  <c r="H2252" i="1"/>
  <c r="I2251" i="1"/>
  <c r="H2251" i="1"/>
  <c r="I2250" i="1"/>
  <c r="H2250" i="1"/>
  <c r="I2249" i="1"/>
  <c r="H2249" i="1"/>
  <c r="I2248" i="1"/>
  <c r="H2248" i="1"/>
  <c r="I2247" i="1"/>
  <c r="H2247" i="1"/>
  <c r="I2246" i="1"/>
  <c r="H2246" i="1"/>
  <c r="I2245" i="1"/>
  <c r="H2245" i="1"/>
  <c r="I2244" i="1"/>
  <c r="H2244" i="1"/>
  <c r="I2243" i="1"/>
  <c r="H2243" i="1"/>
  <c r="I2242" i="1"/>
  <c r="H2242" i="1"/>
  <c r="I2241" i="1"/>
  <c r="H2241" i="1"/>
  <c r="I2240" i="1"/>
  <c r="H2240" i="1"/>
  <c r="I2239" i="1"/>
  <c r="H2239" i="1"/>
  <c r="I2238" i="1"/>
  <c r="H2238" i="1"/>
  <c r="I2237" i="1"/>
  <c r="H2237" i="1"/>
  <c r="I2236" i="1"/>
  <c r="H2236" i="1"/>
  <c r="I2235" i="1"/>
  <c r="H2235" i="1"/>
  <c r="I2234" i="1"/>
  <c r="H2234" i="1"/>
  <c r="I2233" i="1"/>
  <c r="H2233" i="1"/>
  <c r="I2232" i="1"/>
  <c r="H2232" i="1"/>
  <c r="I2231" i="1"/>
  <c r="H2231" i="1"/>
  <c r="I2230" i="1"/>
  <c r="H2230" i="1"/>
  <c r="I2229" i="1"/>
  <c r="H2229" i="1"/>
  <c r="I2228" i="1"/>
  <c r="H2228" i="1"/>
  <c r="I2227" i="1"/>
  <c r="H2227" i="1"/>
  <c r="I2226" i="1"/>
  <c r="H2226" i="1"/>
  <c r="I2225" i="1"/>
  <c r="H2225" i="1"/>
  <c r="I2224" i="1"/>
  <c r="H2224" i="1"/>
  <c r="I2223" i="1"/>
  <c r="H2223" i="1"/>
  <c r="I2222" i="1"/>
  <c r="H2222" i="1"/>
  <c r="I2221" i="1"/>
  <c r="H2221" i="1"/>
  <c r="I2220" i="1"/>
  <c r="H2220" i="1"/>
  <c r="I2219" i="1"/>
  <c r="H2219" i="1"/>
  <c r="I2218" i="1"/>
  <c r="H2218" i="1"/>
  <c r="I2217" i="1"/>
  <c r="H2217" i="1"/>
  <c r="I2216" i="1"/>
  <c r="H2216" i="1"/>
  <c r="I2215" i="1"/>
  <c r="H2215" i="1"/>
  <c r="I2214" i="1"/>
  <c r="H2214" i="1"/>
  <c r="I2213" i="1"/>
  <c r="H2213" i="1"/>
  <c r="I2212" i="1"/>
  <c r="H2212" i="1"/>
  <c r="I2211" i="1"/>
  <c r="H2211" i="1"/>
  <c r="I2210" i="1"/>
  <c r="H2210" i="1"/>
  <c r="I2209" i="1"/>
  <c r="H2209" i="1"/>
  <c r="I2208" i="1"/>
  <c r="H2208" i="1"/>
  <c r="I2207" i="1"/>
  <c r="H2207" i="1"/>
  <c r="I2206" i="1"/>
  <c r="H2206" i="1"/>
  <c r="I2205" i="1"/>
  <c r="H2205" i="1"/>
  <c r="I2204" i="1"/>
  <c r="H2204" i="1"/>
  <c r="I2203" i="1"/>
  <c r="H2203" i="1"/>
  <c r="I2202" i="1"/>
  <c r="H2202" i="1"/>
  <c r="I2201" i="1"/>
  <c r="H2201" i="1"/>
  <c r="I2200" i="1"/>
  <c r="H2200" i="1"/>
  <c r="I2199" i="1"/>
  <c r="H2199" i="1"/>
  <c r="I2198" i="1"/>
  <c r="H2198" i="1"/>
  <c r="I2197" i="1"/>
  <c r="H2197" i="1"/>
  <c r="I2196" i="1"/>
  <c r="H2196" i="1"/>
  <c r="I2195" i="1"/>
  <c r="H2195" i="1"/>
  <c r="I2194" i="1"/>
  <c r="H2194" i="1"/>
  <c r="I2193" i="1"/>
  <c r="H2193" i="1"/>
  <c r="I2192" i="1"/>
  <c r="H2192" i="1"/>
  <c r="I2191" i="1"/>
  <c r="H2191" i="1"/>
  <c r="I2190" i="1"/>
  <c r="H2190" i="1"/>
  <c r="I2189" i="1"/>
  <c r="H2189" i="1"/>
  <c r="I2188" i="1"/>
  <c r="H2188" i="1"/>
  <c r="I2187" i="1"/>
  <c r="H2187" i="1"/>
  <c r="I2186" i="1"/>
  <c r="H2186" i="1"/>
  <c r="I2185" i="1"/>
  <c r="H2185" i="1"/>
  <c r="I2184" i="1"/>
  <c r="H2184" i="1"/>
  <c r="I2183" i="1"/>
  <c r="H2183" i="1"/>
  <c r="I2182" i="1"/>
  <c r="H2182" i="1"/>
  <c r="I2181" i="1"/>
  <c r="H2181" i="1"/>
  <c r="I2180" i="1"/>
  <c r="H2180" i="1"/>
  <c r="I2179" i="1"/>
  <c r="H2179" i="1"/>
  <c r="I2178" i="1"/>
  <c r="H2178" i="1"/>
  <c r="I2177" i="1"/>
  <c r="H2177" i="1"/>
  <c r="I2176" i="1"/>
  <c r="H2176" i="1"/>
  <c r="I2175" i="1"/>
  <c r="H2175" i="1"/>
  <c r="I2174" i="1"/>
  <c r="H2174" i="1"/>
  <c r="I2173" i="1"/>
  <c r="H2173" i="1"/>
  <c r="I2172" i="1"/>
  <c r="H2172" i="1"/>
  <c r="I2171" i="1"/>
  <c r="H2171" i="1"/>
  <c r="I2170" i="1"/>
  <c r="H2170" i="1"/>
  <c r="I2169" i="1"/>
  <c r="H2169" i="1"/>
  <c r="I2168" i="1"/>
  <c r="H2168" i="1"/>
  <c r="I2167" i="1"/>
  <c r="H2167" i="1"/>
  <c r="I2166" i="1"/>
  <c r="H2166" i="1"/>
  <c r="I2165" i="1"/>
  <c r="H2165" i="1"/>
  <c r="I2164" i="1"/>
  <c r="H2164" i="1"/>
  <c r="I2163" i="1"/>
  <c r="H2163" i="1"/>
  <c r="I2162" i="1"/>
  <c r="H2162" i="1"/>
  <c r="I2161" i="1"/>
  <c r="H2161" i="1"/>
  <c r="I2160" i="1"/>
  <c r="H2160" i="1"/>
  <c r="I2159" i="1"/>
  <c r="H2159" i="1"/>
  <c r="I2158" i="1"/>
  <c r="H2158" i="1"/>
  <c r="I2157" i="1"/>
  <c r="H2157" i="1"/>
  <c r="I2156" i="1"/>
  <c r="H2156" i="1"/>
  <c r="I2155" i="1"/>
  <c r="H2155" i="1"/>
  <c r="I2154" i="1"/>
  <c r="H2154" i="1"/>
  <c r="I2153" i="1"/>
  <c r="H2153" i="1"/>
  <c r="I2152" i="1"/>
  <c r="H2152" i="1"/>
  <c r="I2151" i="1"/>
  <c r="H2151" i="1"/>
  <c r="I2150" i="1"/>
  <c r="H2150" i="1"/>
  <c r="I2149" i="1"/>
  <c r="H2149" i="1"/>
  <c r="I2148" i="1"/>
  <c r="H2148" i="1"/>
  <c r="I2147" i="1"/>
  <c r="H2147" i="1"/>
  <c r="I2146" i="1"/>
  <c r="H2146" i="1"/>
  <c r="I2145" i="1"/>
  <c r="H2145" i="1"/>
  <c r="I2144" i="1"/>
  <c r="H2144" i="1"/>
  <c r="I2143" i="1"/>
  <c r="H2143" i="1"/>
  <c r="I2142" i="1"/>
  <c r="H2142" i="1"/>
  <c r="I2141" i="1"/>
  <c r="H2141" i="1"/>
  <c r="I2140" i="1"/>
  <c r="H2140" i="1"/>
  <c r="I2139" i="1"/>
  <c r="H2139" i="1"/>
  <c r="I2138" i="1"/>
  <c r="H2138" i="1"/>
  <c r="I2137" i="1"/>
  <c r="H2137" i="1"/>
  <c r="I2136" i="1"/>
  <c r="H2136" i="1"/>
  <c r="I2135" i="1"/>
  <c r="H2135" i="1"/>
  <c r="I2134" i="1"/>
  <c r="H2134" i="1"/>
  <c r="I2133" i="1"/>
  <c r="H2133" i="1"/>
  <c r="I2132" i="1"/>
  <c r="H2132" i="1"/>
  <c r="I2131" i="1"/>
  <c r="H2131" i="1"/>
  <c r="I2130" i="1"/>
  <c r="H2130" i="1"/>
  <c r="I2129" i="1"/>
  <c r="H2129" i="1"/>
  <c r="I2128" i="1"/>
  <c r="H2128" i="1"/>
  <c r="I2127" i="1"/>
  <c r="H2127" i="1"/>
  <c r="I2126" i="1"/>
  <c r="H2126" i="1"/>
  <c r="I2125" i="1"/>
  <c r="H2125" i="1"/>
  <c r="I2124" i="1"/>
  <c r="H2124" i="1"/>
  <c r="I2123" i="1"/>
  <c r="H2123" i="1"/>
  <c r="I2122" i="1"/>
  <c r="H2122" i="1"/>
  <c r="I2121" i="1"/>
  <c r="H2121" i="1"/>
  <c r="I2120" i="1"/>
  <c r="H2120" i="1"/>
  <c r="I2119" i="1"/>
  <c r="H2119" i="1"/>
  <c r="I2118" i="1"/>
  <c r="H2118" i="1"/>
  <c r="I2117" i="1"/>
  <c r="H2117" i="1"/>
  <c r="I2116" i="1"/>
  <c r="H2116" i="1"/>
  <c r="I2115" i="1"/>
  <c r="H2115" i="1"/>
  <c r="I2114" i="1"/>
  <c r="H2114" i="1"/>
  <c r="I2113" i="1"/>
  <c r="H2113" i="1"/>
  <c r="I2112" i="1"/>
  <c r="H2112" i="1"/>
  <c r="I2111" i="1"/>
  <c r="H2111" i="1"/>
  <c r="I2110" i="1"/>
  <c r="H2110" i="1"/>
  <c r="I2109" i="1"/>
  <c r="H2109" i="1"/>
  <c r="I2108" i="1"/>
  <c r="H2108" i="1"/>
  <c r="I2107" i="1"/>
  <c r="H2107" i="1"/>
  <c r="I2106" i="1"/>
  <c r="H2106" i="1"/>
  <c r="I2105" i="1"/>
  <c r="H2105" i="1"/>
  <c r="I2104" i="1"/>
  <c r="H2104" i="1"/>
  <c r="I2103" i="1"/>
  <c r="H2103" i="1"/>
  <c r="I2102" i="1"/>
  <c r="H2102" i="1"/>
  <c r="I2101" i="1"/>
  <c r="H2101" i="1"/>
  <c r="I2100" i="1"/>
  <c r="H2100" i="1"/>
  <c r="I2099" i="1"/>
  <c r="H2099" i="1"/>
  <c r="I2098" i="1"/>
  <c r="H2098" i="1"/>
  <c r="I2097" i="1"/>
  <c r="H2097" i="1"/>
  <c r="I2096" i="1"/>
  <c r="H2096" i="1"/>
  <c r="I2095" i="1"/>
  <c r="H2095" i="1"/>
  <c r="I2094" i="1"/>
  <c r="H2094" i="1"/>
  <c r="I2093" i="1"/>
  <c r="H2093" i="1"/>
  <c r="I2092" i="1"/>
  <c r="H2092" i="1"/>
  <c r="I2091" i="1"/>
  <c r="H2091" i="1"/>
  <c r="I2090" i="1"/>
  <c r="H2090" i="1"/>
  <c r="I2089" i="1"/>
  <c r="H2089" i="1"/>
  <c r="I2088" i="1"/>
  <c r="H2088" i="1"/>
  <c r="I2087" i="1"/>
  <c r="H2087" i="1"/>
  <c r="I2086" i="1"/>
  <c r="H2086" i="1"/>
  <c r="I2085" i="1"/>
  <c r="H2085" i="1"/>
  <c r="I2084" i="1"/>
  <c r="H2084" i="1"/>
  <c r="I2083" i="1"/>
  <c r="H2083" i="1"/>
  <c r="I2082" i="1"/>
  <c r="H2082" i="1"/>
  <c r="I2081" i="1"/>
  <c r="H2081" i="1"/>
  <c r="I2080" i="1"/>
  <c r="H2080" i="1"/>
  <c r="I2079" i="1"/>
  <c r="H2079" i="1"/>
  <c r="I2078" i="1"/>
  <c r="H2078" i="1"/>
  <c r="I2077" i="1"/>
  <c r="H2077" i="1"/>
  <c r="I2076" i="1"/>
  <c r="H2076" i="1"/>
  <c r="I2075" i="1"/>
  <c r="H2075" i="1"/>
  <c r="I2074" i="1"/>
  <c r="H2074" i="1"/>
  <c r="I2073" i="1"/>
  <c r="H2073" i="1"/>
  <c r="I2072" i="1"/>
  <c r="H2072" i="1"/>
  <c r="I2071" i="1"/>
  <c r="H2071" i="1"/>
  <c r="I2070" i="1"/>
  <c r="H2070" i="1"/>
  <c r="I2069" i="1"/>
  <c r="H2069" i="1"/>
  <c r="I2068" i="1"/>
  <c r="H2068" i="1"/>
  <c r="I2067" i="1"/>
  <c r="H2067" i="1"/>
  <c r="I2066" i="1"/>
  <c r="H2066" i="1"/>
  <c r="I2065" i="1"/>
  <c r="H2065" i="1"/>
  <c r="I2064" i="1"/>
  <c r="H2064" i="1"/>
  <c r="I2063" i="1"/>
  <c r="H2063" i="1"/>
  <c r="I2062" i="1"/>
  <c r="H2062" i="1"/>
  <c r="I2061" i="1"/>
  <c r="H2061" i="1"/>
  <c r="I2060" i="1"/>
  <c r="H2060" i="1"/>
  <c r="I2059" i="1"/>
  <c r="H2059" i="1"/>
  <c r="I2058" i="1"/>
  <c r="H2058" i="1"/>
  <c r="I2057" i="1"/>
  <c r="H2057" i="1"/>
  <c r="I2056" i="1"/>
  <c r="H2056" i="1"/>
  <c r="I2055" i="1"/>
  <c r="H2055" i="1"/>
  <c r="I2054" i="1"/>
  <c r="H2054" i="1"/>
  <c r="I2053" i="1"/>
  <c r="H2053" i="1"/>
  <c r="I2052" i="1"/>
  <c r="H2052" i="1"/>
  <c r="I2051" i="1"/>
  <c r="H2051" i="1"/>
  <c r="I2050" i="1"/>
  <c r="H2050" i="1"/>
  <c r="I2049" i="1"/>
  <c r="H2049" i="1"/>
  <c r="I2048" i="1"/>
  <c r="H2048" i="1"/>
  <c r="I2047" i="1"/>
  <c r="H2047" i="1"/>
  <c r="I2046" i="1"/>
  <c r="H2046" i="1"/>
  <c r="I2045" i="1"/>
  <c r="H2045" i="1"/>
  <c r="I2044" i="1"/>
  <c r="H2044" i="1"/>
  <c r="I2043" i="1"/>
  <c r="H2043" i="1"/>
  <c r="I2042" i="1"/>
  <c r="H2042" i="1"/>
  <c r="I2041" i="1"/>
  <c r="H2041" i="1"/>
  <c r="I2040" i="1"/>
  <c r="H2040" i="1"/>
  <c r="I2039" i="1"/>
  <c r="H2039" i="1"/>
  <c r="I2038" i="1"/>
  <c r="H2038" i="1"/>
  <c r="I2037" i="1"/>
  <c r="H2037" i="1"/>
  <c r="I2036" i="1"/>
  <c r="H2036" i="1"/>
  <c r="I2035" i="1"/>
  <c r="H2035" i="1"/>
  <c r="I2034" i="1"/>
  <c r="H2034" i="1"/>
  <c r="I2033" i="1"/>
  <c r="H2033" i="1"/>
  <c r="I2032" i="1"/>
  <c r="H2032" i="1"/>
  <c r="I2031" i="1"/>
  <c r="H2031" i="1"/>
  <c r="I2030" i="1"/>
  <c r="H2030" i="1"/>
  <c r="I2029" i="1"/>
  <c r="H2029" i="1"/>
  <c r="I2028" i="1"/>
  <c r="H2028" i="1"/>
  <c r="I2027" i="1"/>
  <c r="H2027" i="1"/>
  <c r="I2026" i="1"/>
  <c r="H2026" i="1"/>
  <c r="I2025" i="1"/>
  <c r="H2025" i="1"/>
  <c r="I2024" i="1"/>
  <c r="H2024" i="1"/>
  <c r="I2023" i="1"/>
  <c r="H2023" i="1"/>
  <c r="I2022" i="1"/>
  <c r="H2022" i="1"/>
  <c r="I2021" i="1"/>
  <c r="H2021" i="1"/>
  <c r="I2020" i="1"/>
  <c r="H2020" i="1"/>
  <c r="I2019" i="1"/>
  <c r="H2019" i="1"/>
  <c r="I2018" i="1"/>
  <c r="H2018" i="1"/>
  <c r="I2017" i="1"/>
  <c r="H2017" i="1"/>
  <c r="I2016" i="1"/>
  <c r="H2016" i="1"/>
  <c r="I2015" i="1"/>
  <c r="H2015" i="1"/>
  <c r="I2014" i="1"/>
  <c r="H2014" i="1"/>
  <c r="I2013" i="1"/>
  <c r="H2013" i="1"/>
  <c r="I2012" i="1"/>
  <c r="H2012" i="1"/>
  <c r="I2011" i="1"/>
  <c r="H2011" i="1"/>
  <c r="I2010" i="1"/>
  <c r="H2010" i="1"/>
  <c r="I2009" i="1"/>
  <c r="H2009" i="1"/>
  <c r="I2008" i="1"/>
  <c r="H2008" i="1"/>
  <c r="I2007" i="1"/>
  <c r="H2007" i="1"/>
  <c r="I2006" i="1"/>
  <c r="H2006" i="1"/>
  <c r="I2005" i="1"/>
  <c r="H2005" i="1"/>
  <c r="I2004" i="1"/>
  <c r="H2004" i="1"/>
  <c r="I2003" i="1"/>
  <c r="H2003" i="1"/>
  <c r="I2002" i="1"/>
  <c r="H2002" i="1"/>
  <c r="I2001" i="1"/>
  <c r="H2001" i="1"/>
  <c r="I2000" i="1"/>
  <c r="H2000" i="1"/>
  <c r="I1999" i="1"/>
  <c r="H1999" i="1"/>
  <c r="I1998" i="1"/>
  <c r="H1998" i="1"/>
  <c r="I1997" i="1"/>
  <c r="H1997" i="1"/>
  <c r="I1996" i="1"/>
  <c r="H1996" i="1"/>
  <c r="I1995" i="1"/>
  <c r="H1995" i="1"/>
  <c r="I1994" i="1"/>
  <c r="H1994" i="1"/>
  <c r="I1993" i="1"/>
  <c r="H1993" i="1"/>
  <c r="I1992" i="1"/>
  <c r="H1992" i="1"/>
  <c r="I1991" i="1"/>
  <c r="H1991" i="1"/>
  <c r="I1990" i="1"/>
  <c r="H1990" i="1"/>
  <c r="I1989" i="1"/>
  <c r="H1989" i="1"/>
  <c r="I1988" i="1"/>
  <c r="H1988" i="1"/>
  <c r="I1987" i="1"/>
  <c r="H1987" i="1"/>
  <c r="I1986" i="1"/>
  <c r="H1986" i="1"/>
  <c r="I1985" i="1"/>
  <c r="H1985" i="1"/>
  <c r="I1984" i="1"/>
  <c r="H1984" i="1"/>
  <c r="I1983" i="1"/>
  <c r="H1983" i="1"/>
  <c r="I1982" i="1"/>
  <c r="H1982" i="1"/>
  <c r="I1981" i="1"/>
  <c r="H1981" i="1"/>
  <c r="I1980" i="1"/>
  <c r="H1980" i="1"/>
  <c r="I1979" i="1"/>
  <c r="H1979" i="1"/>
  <c r="I1978" i="1"/>
  <c r="H1978" i="1"/>
  <c r="I1977" i="1"/>
  <c r="H1977" i="1"/>
  <c r="I1976" i="1"/>
  <c r="H1976" i="1"/>
  <c r="I1975" i="1"/>
  <c r="H1975" i="1"/>
  <c r="I1974" i="1"/>
  <c r="H1974" i="1"/>
  <c r="I1973" i="1"/>
  <c r="H1973" i="1"/>
  <c r="I1972" i="1"/>
  <c r="H1972" i="1"/>
  <c r="I1971" i="1"/>
  <c r="H1971" i="1"/>
  <c r="I1970" i="1"/>
  <c r="H1970" i="1"/>
  <c r="I1969" i="1"/>
  <c r="H1969" i="1"/>
  <c r="I1968" i="1"/>
  <c r="H1968" i="1"/>
  <c r="I1967" i="1"/>
  <c r="H1967" i="1"/>
  <c r="I1966" i="1"/>
  <c r="H1966" i="1"/>
  <c r="I1965" i="1"/>
  <c r="H1965" i="1"/>
  <c r="I1964" i="1"/>
  <c r="H1964" i="1"/>
  <c r="I1963" i="1"/>
  <c r="H1963" i="1"/>
  <c r="I1962" i="1"/>
  <c r="H1962" i="1"/>
  <c r="I1961" i="1"/>
  <c r="H1961" i="1"/>
  <c r="I1960" i="1"/>
  <c r="H1960" i="1"/>
  <c r="I1959" i="1"/>
  <c r="H1959" i="1"/>
  <c r="I1958" i="1"/>
  <c r="H1958" i="1"/>
  <c r="I1957" i="1"/>
  <c r="H1957" i="1"/>
  <c r="I1956" i="1"/>
  <c r="H1956" i="1"/>
  <c r="I1955" i="1"/>
  <c r="H1955" i="1"/>
  <c r="I1954" i="1"/>
  <c r="H1954" i="1"/>
  <c r="I1953" i="1"/>
  <c r="H1953" i="1"/>
  <c r="I1952" i="1"/>
  <c r="H1952" i="1"/>
  <c r="I1951" i="1"/>
  <c r="H1951" i="1"/>
  <c r="I1950" i="1"/>
  <c r="H1950" i="1"/>
  <c r="I1949" i="1"/>
  <c r="H1949" i="1"/>
  <c r="I1948" i="1"/>
  <c r="H1948" i="1"/>
  <c r="I1947" i="1"/>
  <c r="H1947" i="1"/>
  <c r="I1946" i="1"/>
  <c r="H1946" i="1"/>
  <c r="I1945" i="1"/>
  <c r="H1945" i="1"/>
  <c r="I1944" i="1"/>
  <c r="H1944" i="1"/>
  <c r="I1943" i="1"/>
  <c r="H1943" i="1"/>
  <c r="I1942" i="1"/>
  <c r="H1942" i="1"/>
  <c r="I1941" i="1"/>
  <c r="H1941" i="1"/>
  <c r="I1940" i="1"/>
  <c r="H1940" i="1"/>
  <c r="I1939" i="1"/>
  <c r="H1939" i="1"/>
  <c r="I1938" i="1"/>
  <c r="H1938" i="1"/>
  <c r="I1937" i="1"/>
  <c r="H1937" i="1"/>
  <c r="I1936" i="1"/>
  <c r="H1936" i="1"/>
  <c r="I1935" i="1"/>
  <c r="H1935" i="1"/>
  <c r="I1934" i="1"/>
  <c r="H1934" i="1"/>
  <c r="I1933" i="1"/>
  <c r="H1933" i="1"/>
  <c r="I1932" i="1"/>
  <c r="H1932" i="1"/>
  <c r="I1931" i="1"/>
  <c r="H1931" i="1"/>
  <c r="I1930" i="1"/>
  <c r="H1930" i="1"/>
  <c r="I1929" i="1"/>
  <c r="H1929" i="1"/>
  <c r="I1928" i="1"/>
  <c r="H1928" i="1"/>
  <c r="I1927" i="1"/>
  <c r="H1927" i="1"/>
  <c r="I1926" i="1"/>
  <c r="H1926" i="1"/>
  <c r="I1925" i="1"/>
  <c r="H1925" i="1"/>
  <c r="I1924" i="1"/>
  <c r="H1924" i="1"/>
  <c r="I1923" i="1"/>
  <c r="H1923" i="1"/>
  <c r="I1922" i="1"/>
  <c r="H1922" i="1"/>
  <c r="I1921" i="1"/>
  <c r="H1921" i="1"/>
  <c r="I1920" i="1"/>
  <c r="H1920" i="1"/>
  <c r="I1919" i="1"/>
  <c r="H1919" i="1"/>
  <c r="I1918" i="1"/>
  <c r="H1918" i="1"/>
  <c r="I1917" i="1"/>
  <c r="H1917" i="1"/>
  <c r="I1916" i="1"/>
  <c r="H1916" i="1"/>
  <c r="I1915" i="1"/>
  <c r="H1915" i="1"/>
  <c r="I1914" i="1"/>
  <c r="H1914" i="1"/>
  <c r="I1913" i="1"/>
  <c r="H1913" i="1"/>
  <c r="I1912" i="1"/>
  <c r="H1912" i="1"/>
  <c r="I1911" i="1"/>
  <c r="H1911" i="1"/>
  <c r="I1910" i="1"/>
  <c r="H1910" i="1"/>
  <c r="I1909" i="1"/>
  <c r="H1909" i="1"/>
  <c r="I1908" i="1"/>
  <c r="H1908" i="1"/>
  <c r="I1907" i="1"/>
  <c r="H1907" i="1"/>
  <c r="I1906" i="1"/>
  <c r="H1906" i="1"/>
  <c r="I1905" i="1"/>
  <c r="H1905" i="1"/>
  <c r="I1904" i="1"/>
  <c r="H1904" i="1"/>
  <c r="I1903" i="1"/>
  <c r="H1903" i="1"/>
  <c r="I1902" i="1"/>
  <c r="H1902" i="1"/>
  <c r="I1901" i="1"/>
  <c r="H1901" i="1"/>
  <c r="I1900" i="1"/>
  <c r="H1900" i="1"/>
  <c r="I1899" i="1"/>
  <c r="H1899" i="1"/>
  <c r="I1898" i="1"/>
  <c r="H1898" i="1"/>
  <c r="I1897" i="1"/>
  <c r="H1897" i="1"/>
  <c r="I1896" i="1"/>
  <c r="H1896" i="1"/>
  <c r="I1895" i="1"/>
  <c r="H1895" i="1"/>
  <c r="I1894" i="1"/>
  <c r="H1894" i="1"/>
  <c r="I1893" i="1"/>
  <c r="H1893" i="1"/>
  <c r="I1892" i="1"/>
  <c r="H1892" i="1"/>
  <c r="I1891" i="1"/>
  <c r="H1891" i="1"/>
  <c r="I1890" i="1"/>
  <c r="H1890" i="1"/>
  <c r="I1889" i="1"/>
  <c r="H1889" i="1"/>
  <c r="I1888" i="1"/>
  <c r="H1888" i="1"/>
  <c r="I1887" i="1"/>
  <c r="H1887" i="1"/>
  <c r="I1886" i="1"/>
  <c r="H1886" i="1"/>
  <c r="I1885" i="1"/>
  <c r="H1885" i="1"/>
  <c r="I1884" i="1"/>
  <c r="H1884" i="1"/>
  <c r="I1883" i="1"/>
  <c r="H1883" i="1"/>
  <c r="I1882" i="1"/>
  <c r="H1882" i="1"/>
  <c r="I1881" i="1"/>
  <c r="H1881" i="1"/>
  <c r="I1880" i="1"/>
  <c r="H1880" i="1"/>
  <c r="I1879" i="1"/>
  <c r="H1879" i="1"/>
  <c r="I1878" i="1"/>
  <c r="H1878" i="1"/>
  <c r="I1877" i="1"/>
  <c r="H1877" i="1"/>
  <c r="I1876" i="1"/>
  <c r="H1876" i="1"/>
  <c r="I1875" i="1"/>
  <c r="H1875" i="1"/>
  <c r="I1874" i="1"/>
  <c r="H1874" i="1"/>
  <c r="I1873" i="1"/>
  <c r="H1873" i="1"/>
  <c r="I1872" i="1"/>
  <c r="H1872" i="1"/>
  <c r="I1871" i="1"/>
  <c r="H1871" i="1"/>
  <c r="I1870" i="1"/>
  <c r="H1870" i="1"/>
  <c r="I1869" i="1"/>
  <c r="H1869" i="1"/>
  <c r="I1868" i="1"/>
  <c r="H1868" i="1"/>
  <c r="I1867" i="1"/>
  <c r="H1867" i="1"/>
  <c r="I1866" i="1"/>
  <c r="H1866" i="1"/>
  <c r="I1865" i="1"/>
  <c r="H1865" i="1"/>
  <c r="I1864" i="1"/>
  <c r="H1864" i="1"/>
  <c r="I1863" i="1"/>
  <c r="H1863" i="1"/>
  <c r="I1862" i="1"/>
  <c r="H1862" i="1"/>
  <c r="I1861" i="1"/>
  <c r="H1861" i="1"/>
  <c r="I1860" i="1"/>
  <c r="H1860" i="1"/>
  <c r="I1859" i="1"/>
  <c r="H1859" i="1"/>
  <c r="I1858" i="1"/>
  <c r="H1858" i="1"/>
  <c r="I1857" i="1"/>
  <c r="H1857" i="1"/>
  <c r="I1856" i="1"/>
  <c r="H1856" i="1"/>
  <c r="I1855" i="1"/>
  <c r="H1855" i="1"/>
  <c r="I1854" i="1"/>
  <c r="H1854" i="1"/>
  <c r="I1853" i="1"/>
  <c r="H1853" i="1"/>
  <c r="I1852" i="1"/>
  <c r="H1852" i="1"/>
  <c r="I1851" i="1"/>
  <c r="H1851" i="1"/>
  <c r="I1850" i="1"/>
  <c r="H1850" i="1"/>
  <c r="I1849" i="1"/>
  <c r="H1849" i="1"/>
  <c r="I1848" i="1"/>
  <c r="H1848" i="1"/>
  <c r="I1847" i="1"/>
  <c r="H1847" i="1"/>
  <c r="I1846" i="1"/>
  <c r="H1846" i="1"/>
  <c r="I1845" i="1"/>
  <c r="H1845" i="1"/>
  <c r="I1844" i="1"/>
  <c r="H1844" i="1"/>
  <c r="I1843" i="1"/>
  <c r="H1843" i="1"/>
  <c r="I1842" i="1"/>
  <c r="H1842" i="1"/>
  <c r="I1841" i="1"/>
  <c r="H1841" i="1"/>
  <c r="I1840" i="1"/>
  <c r="H1840" i="1"/>
  <c r="I1839" i="1"/>
  <c r="H1839" i="1"/>
  <c r="I1838" i="1"/>
  <c r="H1838" i="1"/>
  <c r="I1837" i="1"/>
  <c r="H1837" i="1"/>
  <c r="I1836" i="1"/>
  <c r="H1836" i="1"/>
  <c r="I1835" i="1"/>
  <c r="H1835" i="1"/>
  <c r="I1834" i="1"/>
  <c r="H1834" i="1"/>
  <c r="I1833" i="1"/>
  <c r="H1833" i="1"/>
  <c r="I1832" i="1"/>
  <c r="H1832" i="1"/>
  <c r="I1831" i="1"/>
  <c r="H1831" i="1"/>
  <c r="I1830" i="1"/>
  <c r="H1830" i="1"/>
  <c r="I1829" i="1"/>
  <c r="H1829" i="1"/>
  <c r="I1828" i="1"/>
  <c r="H1828" i="1"/>
  <c r="I1827" i="1"/>
  <c r="H1827" i="1"/>
  <c r="I1826" i="1"/>
  <c r="H1826" i="1"/>
  <c r="I1825" i="1"/>
  <c r="H1825" i="1"/>
  <c r="I1824" i="1"/>
  <c r="H1824" i="1"/>
  <c r="I1823" i="1"/>
  <c r="H1823" i="1"/>
  <c r="I1822" i="1"/>
  <c r="H1822" i="1"/>
  <c r="I1821" i="1"/>
  <c r="H1821" i="1"/>
  <c r="I1820" i="1"/>
  <c r="H1820" i="1"/>
  <c r="I1819" i="1"/>
  <c r="H1819" i="1"/>
  <c r="I1818" i="1"/>
  <c r="H1818" i="1"/>
  <c r="I1817" i="1"/>
  <c r="H1817" i="1"/>
  <c r="I1816" i="1"/>
  <c r="H1816" i="1"/>
  <c r="I1815" i="1"/>
  <c r="H1815" i="1"/>
  <c r="I1814" i="1"/>
  <c r="H1814" i="1"/>
  <c r="I1813" i="1"/>
  <c r="H1813" i="1"/>
  <c r="I1812" i="1"/>
  <c r="H1812" i="1"/>
  <c r="I1811" i="1"/>
  <c r="H1811" i="1"/>
  <c r="I1810" i="1"/>
  <c r="H1810" i="1"/>
  <c r="I1809" i="1"/>
  <c r="H1809" i="1"/>
  <c r="I1808" i="1"/>
  <c r="H1808" i="1"/>
  <c r="I1807" i="1"/>
  <c r="H1807" i="1"/>
  <c r="I1806" i="1"/>
  <c r="H1806" i="1"/>
  <c r="I1805" i="1"/>
  <c r="H1805" i="1"/>
  <c r="I1804" i="1"/>
  <c r="H1804" i="1"/>
  <c r="I1803" i="1"/>
  <c r="H1803" i="1"/>
  <c r="I1802" i="1"/>
  <c r="H1802" i="1"/>
  <c r="I1801" i="1"/>
  <c r="H1801" i="1"/>
  <c r="I1800" i="1"/>
  <c r="H1800" i="1"/>
  <c r="I1799" i="1"/>
  <c r="H1799" i="1"/>
  <c r="I1798" i="1"/>
  <c r="H1798" i="1"/>
  <c r="I1797" i="1"/>
  <c r="H1797" i="1"/>
  <c r="I1796" i="1"/>
  <c r="H1796" i="1"/>
  <c r="I1795" i="1"/>
  <c r="H1795" i="1"/>
  <c r="I1794" i="1"/>
  <c r="H1794" i="1"/>
  <c r="I1793" i="1"/>
  <c r="H1793" i="1"/>
  <c r="I1792" i="1"/>
  <c r="H1792" i="1"/>
  <c r="I1791" i="1"/>
  <c r="H1791" i="1"/>
  <c r="I1790" i="1"/>
  <c r="H1790" i="1"/>
  <c r="I1789" i="1"/>
  <c r="H1789" i="1"/>
  <c r="I1788" i="1"/>
  <c r="H1788" i="1"/>
  <c r="I1787" i="1"/>
  <c r="H1787" i="1"/>
  <c r="I1786" i="1"/>
  <c r="H1786" i="1"/>
  <c r="I1785" i="1"/>
  <c r="H1785" i="1"/>
  <c r="I1784" i="1"/>
  <c r="H1784" i="1"/>
  <c r="I1783" i="1"/>
  <c r="H1783" i="1"/>
  <c r="I1782" i="1"/>
  <c r="H1782" i="1"/>
  <c r="I1781" i="1"/>
  <c r="H1781" i="1"/>
  <c r="I1780" i="1"/>
  <c r="H1780" i="1"/>
  <c r="I1779" i="1"/>
  <c r="H1779" i="1"/>
  <c r="I1778" i="1"/>
  <c r="H1778" i="1"/>
  <c r="I1777" i="1"/>
  <c r="H1777" i="1"/>
  <c r="I1776" i="1"/>
  <c r="H1776" i="1"/>
  <c r="I1775" i="1"/>
  <c r="H1775" i="1"/>
  <c r="I1774" i="1"/>
  <c r="H1774" i="1"/>
  <c r="I1773" i="1"/>
  <c r="H1773" i="1"/>
  <c r="I1772" i="1"/>
  <c r="H1772" i="1"/>
  <c r="I1771" i="1"/>
  <c r="H1771" i="1"/>
  <c r="I1770" i="1"/>
  <c r="H1770" i="1"/>
  <c r="I1769" i="1"/>
  <c r="H1769" i="1"/>
  <c r="I1768" i="1"/>
  <c r="H1768" i="1"/>
  <c r="I1767" i="1"/>
  <c r="H1767" i="1"/>
  <c r="I1766" i="1"/>
  <c r="H1766" i="1"/>
  <c r="I1765" i="1"/>
  <c r="H1765" i="1"/>
  <c r="I1764" i="1"/>
  <c r="H1764" i="1"/>
  <c r="I1763" i="1"/>
  <c r="H1763" i="1"/>
  <c r="I1762" i="1"/>
  <c r="H1762" i="1"/>
  <c r="I1761" i="1"/>
  <c r="H1761" i="1"/>
  <c r="I1760" i="1"/>
  <c r="H1760" i="1"/>
  <c r="I1759" i="1"/>
  <c r="H1759" i="1"/>
  <c r="I1758" i="1"/>
  <c r="H1758" i="1"/>
  <c r="I1757" i="1"/>
  <c r="H1757" i="1"/>
  <c r="I1756" i="1"/>
  <c r="H1756" i="1"/>
  <c r="I1755" i="1"/>
  <c r="H1755" i="1"/>
  <c r="I1754" i="1"/>
  <c r="H1754" i="1"/>
  <c r="I1753" i="1"/>
  <c r="H1753" i="1"/>
  <c r="I1752" i="1"/>
  <c r="H1752" i="1"/>
  <c r="I1751" i="1"/>
  <c r="H1751" i="1"/>
  <c r="I1750" i="1"/>
  <c r="H1750" i="1"/>
  <c r="I1749" i="1"/>
  <c r="H1749" i="1"/>
  <c r="I1748" i="1"/>
  <c r="H1748" i="1"/>
  <c r="I1747" i="1"/>
  <c r="H1747" i="1"/>
  <c r="I1746" i="1"/>
  <c r="H1746" i="1"/>
  <c r="I1745" i="1"/>
  <c r="H1745" i="1"/>
  <c r="I1744" i="1"/>
  <c r="H1744" i="1"/>
  <c r="I1743" i="1"/>
  <c r="H1743" i="1"/>
  <c r="I1742" i="1"/>
  <c r="H1742" i="1"/>
  <c r="I1741" i="1"/>
  <c r="H1741" i="1"/>
  <c r="I1740" i="1"/>
  <c r="H1740" i="1"/>
  <c r="I1739" i="1"/>
  <c r="H1739" i="1"/>
  <c r="I1738" i="1"/>
  <c r="H1738" i="1"/>
  <c r="I1737" i="1"/>
  <c r="H1737" i="1"/>
  <c r="I1736" i="1"/>
  <c r="H1736" i="1"/>
  <c r="I1735" i="1"/>
  <c r="H1735" i="1"/>
  <c r="I1734" i="1"/>
  <c r="H1734" i="1"/>
  <c r="I1733" i="1"/>
  <c r="H1733" i="1"/>
  <c r="I1732" i="1"/>
  <c r="H1732" i="1"/>
  <c r="I1731" i="1"/>
  <c r="H1731" i="1"/>
  <c r="I1730" i="1"/>
  <c r="H1730" i="1"/>
  <c r="I1729" i="1"/>
  <c r="H1729" i="1"/>
  <c r="I1728" i="1"/>
  <c r="H1728" i="1"/>
  <c r="I1727" i="1"/>
  <c r="H1727" i="1"/>
  <c r="I1726" i="1"/>
  <c r="H1726" i="1"/>
  <c r="I1725" i="1"/>
  <c r="H1725" i="1"/>
  <c r="I1724" i="1"/>
  <c r="H1724" i="1"/>
  <c r="I1723" i="1"/>
  <c r="H1723" i="1"/>
  <c r="I1722" i="1"/>
  <c r="H1722" i="1"/>
  <c r="I1721" i="1"/>
  <c r="H1721" i="1"/>
  <c r="I1720" i="1"/>
  <c r="H1720" i="1"/>
  <c r="I1719" i="1"/>
  <c r="H1719" i="1"/>
  <c r="I1718" i="1"/>
  <c r="H1718" i="1"/>
  <c r="I1717" i="1"/>
  <c r="H1717" i="1"/>
  <c r="I1716" i="1"/>
  <c r="H1716" i="1"/>
  <c r="I1715" i="1"/>
  <c r="H1715" i="1"/>
  <c r="I1714" i="1"/>
  <c r="H1714" i="1"/>
  <c r="I1713" i="1"/>
  <c r="H1713" i="1"/>
  <c r="I1712" i="1"/>
  <c r="H1712" i="1"/>
  <c r="I1711" i="1"/>
  <c r="H1711" i="1"/>
  <c r="I1710" i="1"/>
  <c r="H1710" i="1"/>
  <c r="I1709" i="1"/>
  <c r="H1709" i="1"/>
  <c r="I1708" i="1"/>
  <c r="H1708" i="1"/>
  <c r="I1707" i="1"/>
  <c r="H1707" i="1"/>
  <c r="I1706" i="1"/>
  <c r="H1706" i="1"/>
  <c r="I1705" i="1"/>
  <c r="H1705" i="1"/>
  <c r="I1704" i="1"/>
  <c r="H1704" i="1"/>
  <c r="I1703" i="1"/>
  <c r="H1703" i="1"/>
  <c r="I1702" i="1"/>
  <c r="H1702" i="1"/>
  <c r="I1701" i="1"/>
  <c r="H1701" i="1"/>
  <c r="I1700" i="1"/>
  <c r="H1700" i="1"/>
  <c r="I1699" i="1"/>
  <c r="H1699" i="1"/>
  <c r="I1698" i="1"/>
  <c r="H1698" i="1"/>
  <c r="I1697" i="1"/>
  <c r="H1697" i="1"/>
  <c r="I1696" i="1"/>
  <c r="H1696" i="1"/>
  <c r="I1695" i="1"/>
  <c r="H1695" i="1"/>
  <c r="I1694" i="1"/>
  <c r="H1694" i="1"/>
  <c r="I1693" i="1"/>
  <c r="H1693" i="1"/>
  <c r="I1692" i="1"/>
  <c r="H1692" i="1"/>
  <c r="I1691" i="1"/>
  <c r="H1691" i="1"/>
  <c r="I1690" i="1"/>
  <c r="H1690" i="1"/>
  <c r="I1689" i="1"/>
  <c r="H1689" i="1"/>
  <c r="I1688" i="1"/>
  <c r="H1688" i="1"/>
  <c r="I1687" i="1"/>
  <c r="H1687" i="1"/>
  <c r="I1686" i="1"/>
  <c r="H1686" i="1"/>
  <c r="I1685" i="1"/>
  <c r="H1685" i="1"/>
  <c r="I1684" i="1"/>
  <c r="H1684" i="1"/>
  <c r="I1683" i="1"/>
  <c r="H1683" i="1"/>
  <c r="I1682" i="1"/>
  <c r="H1682" i="1"/>
  <c r="I1681" i="1"/>
  <c r="H1681" i="1"/>
  <c r="I1680" i="1"/>
  <c r="H1680" i="1"/>
  <c r="I1679" i="1"/>
  <c r="H1679" i="1"/>
  <c r="I1678" i="1"/>
  <c r="H1678" i="1"/>
  <c r="I1677" i="1"/>
  <c r="H1677" i="1"/>
  <c r="I1676" i="1"/>
  <c r="H1676" i="1"/>
  <c r="I1675" i="1"/>
  <c r="H1675" i="1"/>
  <c r="I1674" i="1"/>
  <c r="H1674" i="1"/>
  <c r="I1673" i="1"/>
  <c r="H1673" i="1"/>
  <c r="I1672" i="1"/>
  <c r="H1672" i="1"/>
  <c r="I1671" i="1"/>
  <c r="H1671" i="1"/>
  <c r="I1670" i="1"/>
  <c r="H1670" i="1"/>
  <c r="I1669" i="1"/>
  <c r="H1669" i="1"/>
  <c r="I1668" i="1"/>
  <c r="H1668" i="1"/>
  <c r="I1667" i="1"/>
  <c r="H1667" i="1"/>
  <c r="I1666" i="1"/>
  <c r="H1666" i="1"/>
  <c r="I1665" i="1"/>
  <c r="H1665" i="1"/>
  <c r="I1664" i="1"/>
  <c r="H1664" i="1"/>
  <c r="I1663" i="1"/>
  <c r="H1663" i="1"/>
  <c r="I1662" i="1"/>
  <c r="H1662" i="1"/>
  <c r="I1661" i="1"/>
  <c r="H1661" i="1"/>
  <c r="I1660" i="1"/>
  <c r="H1660" i="1"/>
  <c r="I1659" i="1"/>
  <c r="H1659" i="1"/>
  <c r="I1658" i="1"/>
  <c r="H1658" i="1"/>
  <c r="I1657" i="1"/>
  <c r="H1657" i="1"/>
  <c r="I1656" i="1"/>
  <c r="H1656" i="1"/>
  <c r="I1655" i="1"/>
  <c r="H1655" i="1"/>
  <c r="I1654" i="1"/>
  <c r="H1654" i="1"/>
  <c r="I1653" i="1"/>
  <c r="H1653" i="1"/>
  <c r="I1652" i="1"/>
  <c r="H1652" i="1"/>
  <c r="I1651" i="1"/>
  <c r="H1651" i="1"/>
  <c r="I1650" i="1"/>
  <c r="H1650" i="1"/>
  <c r="I1649" i="1"/>
  <c r="H1649" i="1"/>
  <c r="I1648" i="1"/>
  <c r="H1648" i="1"/>
  <c r="I1647" i="1"/>
  <c r="H1647" i="1"/>
  <c r="I1646" i="1"/>
  <c r="H1646" i="1"/>
  <c r="I1645" i="1"/>
  <c r="H1645" i="1"/>
  <c r="I1644" i="1"/>
  <c r="H1644" i="1"/>
  <c r="I1643" i="1"/>
  <c r="H1643" i="1"/>
  <c r="I1642" i="1"/>
  <c r="H1642" i="1"/>
  <c r="I1641" i="1"/>
  <c r="H1641" i="1"/>
  <c r="I1640" i="1"/>
  <c r="H1640" i="1"/>
  <c r="I1639" i="1"/>
  <c r="H1639" i="1"/>
  <c r="I1638" i="1"/>
  <c r="H1638" i="1"/>
  <c r="I1637" i="1"/>
  <c r="H1637" i="1"/>
  <c r="I1636" i="1"/>
  <c r="H1636" i="1"/>
  <c r="I1635" i="1"/>
  <c r="H1635" i="1"/>
  <c r="I1634" i="1"/>
  <c r="H1634" i="1"/>
  <c r="I1633" i="1"/>
  <c r="H1633" i="1"/>
  <c r="I1632" i="1"/>
  <c r="H1632" i="1"/>
  <c r="I1631" i="1"/>
  <c r="H1631" i="1"/>
  <c r="I1630" i="1"/>
  <c r="H1630" i="1"/>
  <c r="I1629" i="1"/>
  <c r="H1629" i="1"/>
  <c r="I1628" i="1"/>
  <c r="H1628" i="1"/>
  <c r="I1627" i="1"/>
  <c r="H1627" i="1"/>
  <c r="I1626" i="1"/>
  <c r="H1626" i="1"/>
  <c r="I1625" i="1"/>
  <c r="H1625" i="1"/>
  <c r="I1624" i="1"/>
  <c r="H1624" i="1"/>
  <c r="I1623" i="1"/>
  <c r="H1623" i="1"/>
  <c r="I1622" i="1"/>
  <c r="H1622" i="1"/>
  <c r="I1621" i="1"/>
  <c r="H1621" i="1"/>
  <c r="I1620" i="1"/>
  <c r="H1620" i="1"/>
  <c r="I1619" i="1"/>
  <c r="H1619" i="1"/>
  <c r="I1618" i="1"/>
  <c r="H1618" i="1"/>
  <c r="I1617" i="1"/>
  <c r="H1617" i="1"/>
  <c r="I1616" i="1"/>
  <c r="H1616" i="1"/>
  <c r="I1615" i="1"/>
  <c r="H1615" i="1"/>
  <c r="I1614" i="1"/>
  <c r="H1614" i="1"/>
  <c r="I1613" i="1"/>
  <c r="H1613" i="1"/>
  <c r="I1612" i="1"/>
  <c r="H1612" i="1"/>
  <c r="I1611" i="1"/>
  <c r="H1611" i="1"/>
  <c r="I1610" i="1"/>
  <c r="H1610" i="1"/>
  <c r="I1609" i="1"/>
  <c r="H1609" i="1"/>
  <c r="I1608" i="1"/>
  <c r="H1608" i="1"/>
  <c r="I1607" i="1"/>
  <c r="H1607" i="1"/>
  <c r="I1606" i="1"/>
  <c r="H1606" i="1"/>
  <c r="I1605" i="1"/>
  <c r="H1605" i="1"/>
  <c r="I1604" i="1"/>
  <c r="H1604" i="1"/>
  <c r="I1603" i="1"/>
  <c r="H1603" i="1"/>
  <c r="I1602" i="1"/>
  <c r="H1602" i="1"/>
  <c r="I1601" i="1"/>
  <c r="H1601" i="1"/>
  <c r="I1600" i="1"/>
  <c r="H1600" i="1"/>
  <c r="I1599" i="1"/>
  <c r="H1599" i="1"/>
  <c r="I1598" i="1"/>
  <c r="H1598" i="1"/>
  <c r="I1597" i="1"/>
  <c r="H1597" i="1"/>
  <c r="I1596" i="1"/>
  <c r="H1596" i="1"/>
  <c r="I1595" i="1"/>
  <c r="H1595" i="1"/>
  <c r="I1594" i="1"/>
  <c r="H1594" i="1"/>
  <c r="I1593" i="1"/>
  <c r="H1593" i="1"/>
  <c r="I1592" i="1"/>
  <c r="H1592" i="1"/>
  <c r="I1591" i="1"/>
  <c r="H1591" i="1"/>
  <c r="I1590" i="1"/>
  <c r="H1590" i="1"/>
  <c r="I1589" i="1"/>
  <c r="H1589" i="1"/>
  <c r="I1588" i="1"/>
  <c r="H1588" i="1"/>
  <c r="I1587" i="1"/>
  <c r="H1587" i="1"/>
  <c r="I1586" i="1"/>
  <c r="H1586" i="1"/>
  <c r="I1585" i="1"/>
  <c r="H1585" i="1"/>
  <c r="I1584" i="1"/>
  <c r="H1584" i="1"/>
  <c r="I1583" i="1"/>
  <c r="H1583" i="1"/>
  <c r="I1582" i="1"/>
  <c r="H1582" i="1"/>
  <c r="I1581" i="1"/>
  <c r="H1581" i="1"/>
  <c r="I1580" i="1"/>
  <c r="H1580" i="1"/>
  <c r="I1579" i="1"/>
  <c r="H1579" i="1"/>
  <c r="I1578" i="1"/>
  <c r="H1578" i="1"/>
  <c r="I1577" i="1"/>
  <c r="H1577" i="1"/>
  <c r="I1576" i="1"/>
  <c r="H1576" i="1"/>
  <c r="I1575" i="1"/>
  <c r="H1575" i="1"/>
  <c r="I1574" i="1"/>
  <c r="H1574" i="1"/>
  <c r="I1573" i="1"/>
  <c r="H1573" i="1"/>
  <c r="I1572" i="1"/>
  <c r="H1572" i="1"/>
  <c r="I1571" i="1"/>
  <c r="H1571" i="1"/>
  <c r="I1570" i="1"/>
  <c r="H1570" i="1"/>
  <c r="I1569" i="1"/>
  <c r="H1569" i="1"/>
  <c r="I1568" i="1"/>
  <c r="H1568" i="1"/>
  <c r="I1567" i="1"/>
  <c r="H1567" i="1"/>
  <c r="I1566" i="1"/>
  <c r="H1566" i="1"/>
  <c r="I1565" i="1"/>
  <c r="H1565" i="1"/>
  <c r="I1564" i="1"/>
  <c r="H1564" i="1"/>
  <c r="I1563" i="1"/>
  <c r="H1563" i="1"/>
  <c r="I1562" i="1"/>
  <c r="H1562" i="1"/>
  <c r="I1561" i="1"/>
  <c r="H1561" i="1"/>
  <c r="I1560" i="1"/>
  <c r="H1560" i="1"/>
  <c r="I1559" i="1"/>
  <c r="H1559" i="1"/>
  <c r="I1558" i="1"/>
  <c r="H1558" i="1"/>
  <c r="I1557" i="1"/>
  <c r="H1557" i="1"/>
  <c r="I1556" i="1"/>
  <c r="H1556" i="1"/>
  <c r="I1555" i="1"/>
  <c r="H1555" i="1"/>
  <c r="I1554" i="1"/>
  <c r="H1554" i="1"/>
  <c r="I1553" i="1"/>
  <c r="H1553" i="1"/>
  <c r="I1552" i="1"/>
  <c r="H1552" i="1"/>
  <c r="I1551" i="1"/>
  <c r="H1551" i="1"/>
  <c r="I1550" i="1"/>
  <c r="H1550" i="1"/>
  <c r="I1549" i="1"/>
  <c r="H1549" i="1"/>
  <c r="I1548" i="1"/>
  <c r="H1548" i="1"/>
  <c r="I1547" i="1"/>
  <c r="H1547" i="1"/>
  <c r="I1546" i="1"/>
  <c r="H1546" i="1"/>
  <c r="I1545" i="1"/>
  <c r="H1545" i="1"/>
  <c r="I1544" i="1"/>
  <c r="H1544" i="1"/>
  <c r="I1543" i="1"/>
  <c r="H1543" i="1"/>
  <c r="I1542" i="1"/>
  <c r="H1542" i="1"/>
  <c r="I1541" i="1"/>
  <c r="H1541" i="1"/>
  <c r="I1540" i="1"/>
  <c r="H1540" i="1"/>
  <c r="I1539" i="1"/>
  <c r="H1539" i="1"/>
  <c r="I1538" i="1"/>
  <c r="H1538" i="1"/>
  <c r="I1537" i="1"/>
  <c r="H1537" i="1"/>
  <c r="I1536" i="1"/>
  <c r="H1536" i="1"/>
  <c r="I1535" i="1"/>
  <c r="H1535" i="1"/>
  <c r="I1534" i="1"/>
  <c r="H1534" i="1"/>
  <c r="I1533" i="1"/>
  <c r="H1533" i="1"/>
  <c r="I1532" i="1"/>
  <c r="H1532" i="1"/>
  <c r="I1531" i="1"/>
  <c r="H1531" i="1"/>
  <c r="I1530" i="1"/>
  <c r="H1530" i="1"/>
  <c r="I1529" i="1"/>
  <c r="H1529" i="1"/>
  <c r="I1528" i="1"/>
  <c r="H1528" i="1"/>
  <c r="I1527" i="1"/>
  <c r="H1527" i="1"/>
  <c r="I1526" i="1"/>
  <c r="H1526" i="1"/>
  <c r="I1525" i="1"/>
  <c r="H1525" i="1"/>
  <c r="I1524" i="1"/>
  <c r="H1524" i="1"/>
  <c r="I1523" i="1"/>
  <c r="H1523" i="1"/>
  <c r="I1522" i="1"/>
  <c r="H1522" i="1"/>
  <c r="I1521" i="1"/>
  <c r="H1521" i="1"/>
  <c r="I1520" i="1"/>
  <c r="H1520" i="1"/>
  <c r="I1519" i="1"/>
  <c r="H1519" i="1"/>
  <c r="I1518" i="1"/>
  <c r="H1518" i="1"/>
  <c r="I1517" i="1"/>
  <c r="H1517" i="1"/>
  <c r="I1516" i="1"/>
  <c r="H1516" i="1"/>
  <c r="I1515" i="1"/>
  <c r="H1515" i="1"/>
  <c r="I1514" i="1"/>
  <c r="H1514" i="1"/>
  <c r="I1513" i="1"/>
  <c r="H1513" i="1"/>
  <c r="I1512" i="1"/>
  <c r="H1512" i="1"/>
  <c r="I1511" i="1"/>
  <c r="H1511" i="1"/>
  <c r="I1510" i="1"/>
  <c r="H1510" i="1"/>
  <c r="I1509" i="1"/>
  <c r="H1509" i="1"/>
  <c r="I1508" i="1"/>
  <c r="H1508" i="1"/>
  <c r="I1507" i="1"/>
  <c r="H1507" i="1"/>
  <c r="I1506" i="1"/>
  <c r="H1506" i="1"/>
  <c r="I1505" i="1"/>
  <c r="H1505" i="1"/>
  <c r="I1504" i="1"/>
  <c r="H1504" i="1"/>
  <c r="I1503" i="1"/>
  <c r="H1503" i="1"/>
  <c r="I1502" i="1"/>
  <c r="H1502" i="1"/>
  <c r="I1501" i="1"/>
  <c r="H1501" i="1"/>
  <c r="I1500" i="1"/>
  <c r="H1500" i="1"/>
  <c r="I1499" i="1"/>
  <c r="H1499" i="1"/>
  <c r="I1498" i="1"/>
  <c r="H1498" i="1"/>
  <c r="I1497" i="1"/>
  <c r="H1497" i="1"/>
  <c r="I1496" i="1"/>
  <c r="H1496" i="1"/>
  <c r="I1495" i="1"/>
  <c r="H1495" i="1"/>
  <c r="I1494" i="1"/>
  <c r="H1494" i="1"/>
  <c r="I1493" i="1"/>
  <c r="H1493" i="1"/>
  <c r="I1492" i="1"/>
  <c r="H1492" i="1"/>
  <c r="I1491" i="1"/>
  <c r="H1491" i="1"/>
  <c r="I1490" i="1"/>
  <c r="H1490" i="1"/>
  <c r="I1489" i="1"/>
  <c r="H1489" i="1"/>
  <c r="I1488" i="1"/>
  <c r="H1488" i="1"/>
  <c r="I1487" i="1"/>
  <c r="H1487" i="1"/>
  <c r="I1486" i="1"/>
  <c r="H1486" i="1"/>
  <c r="I1485" i="1"/>
  <c r="H1485" i="1"/>
  <c r="I1484" i="1"/>
  <c r="H1484" i="1"/>
  <c r="I1483" i="1"/>
  <c r="H1483" i="1"/>
  <c r="I1482" i="1"/>
  <c r="H1482" i="1"/>
  <c r="I1481" i="1"/>
  <c r="H1481" i="1"/>
  <c r="I1480" i="1"/>
  <c r="H1480" i="1"/>
  <c r="I1479" i="1"/>
  <c r="H1479" i="1"/>
  <c r="I1478" i="1"/>
  <c r="H1478" i="1"/>
  <c r="I1477" i="1"/>
  <c r="H1477" i="1"/>
  <c r="I1476" i="1"/>
  <c r="H1476" i="1"/>
  <c r="I1475" i="1"/>
  <c r="H1475" i="1"/>
  <c r="I1474" i="1"/>
  <c r="H1474" i="1"/>
  <c r="I1473" i="1"/>
  <c r="H1473" i="1"/>
  <c r="I1472" i="1"/>
  <c r="H1472" i="1"/>
  <c r="I1471" i="1"/>
  <c r="H1471" i="1"/>
  <c r="I1470" i="1"/>
  <c r="H1470" i="1"/>
  <c r="I1469" i="1"/>
  <c r="H1469" i="1"/>
  <c r="I1468" i="1"/>
  <c r="H1468" i="1"/>
  <c r="I1467" i="1"/>
  <c r="H1467" i="1"/>
  <c r="I1466" i="1"/>
  <c r="H1466" i="1"/>
  <c r="I1465" i="1"/>
  <c r="H1465" i="1"/>
  <c r="I1464" i="1"/>
  <c r="H1464" i="1"/>
  <c r="I1463" i="1"/>
  <c r="H1463" i="1"/>
  <c r="I1462" i="1"/>
  <c r="H1462" i="1"/>
  <c r="I1461" i="1"/>
  <c r="H1461" i="1"/>
  <c r="I1460" i="1"/>
  <c r="H1460" i="1"/>
  <c r="I1459" i="1"/>
  <c r="H1459" i="1"/>
  <c r="I1458" i="1"/>
  <c r="H1458" i="1"/>
  <c r="I1457" i="1"/>
  <c r="H1457" i="1"/>
  <c r="I1456" i="1"/>
  <c r="H1456" i="1"/>
  <c r="I1455" i="1"/>
  <c r="H1455" i="1"/>
  <c r="I1454" i="1"/>
  <c r="H1454" i="1"/>
  <c r="I1453" i="1"/>
  <c r="H1453" i="1"/>
  <c r="I1452" i="1"/>
  <c r="H1452" i="1"/>
  <c r="I1451" i="1"/>
  <c r="H1451" i="1"/>
  <c r="I1450" i="1"/>
  <c r="H1450" i="1"/>
  <c r="I1449" i="1"/>
  <c r="H1449" i="1"/>
  <c r="I1448" i="1"/>
  <c r="H1448" i="1"/>
  <c r="I1447" i="1"/>
  <c r="H1447" i="1"/>
  <c r="I1446" i="1"/>
  <c r="H1446" i="1"/>
  <c r="I1445" i="1"/>
  <c r="H1445" i="1"/>
  <c r="I1444" i="1"/>
  <c r="H1444" i="1"/>
  <c r="I1443" i="1"/>
  <c r="H1443" i="1"/>
  <c r="I1442" i="1"/>
  <c r="H1442" i="1"/>
  <c r="I1441" i="1"/>
  <c r="H1441" i="1"/>
  <c r="I1440" i="1"/>
  <c r="H1440" i="1"/>
  <c r="I1439" i="1"/>
  <c r="H1439" i="1"/>
  <c r="I1438" i="1"/>
  <c r="H1438" i="1"/>
  <c r="I1437" i="1"/>
  <c r="H1437" i="1"/>
  <c r="I1436" i="1"/>
  <c r="H1436" i="1"/>
  <c r="I1435" i="1"/>
  <c r="H1435" i="1"/>
  <c r="I1434" i="1"/>
  <c r="H1434" i="1"/>
  <c r="I1433" i="1"/>
  <c r="H1433" i="1"/>
  <c r="I1432" i="1"/>
  <c r="H1432" i="1"/>
  <c r="I1431" i="1"/>
  <c r="H1431" i="1"/>
  <c r="I1430" i="1"/>
  <c r="H1430" i="1"/>
  <c r="I1429" i="1"/>
  <c r="H1429" i="1"/>
  <c r="I1428" i="1"/>
  <c r="H1428" i="1"/>
  <c r="I1427" i="1"/>
  <c r="H1427" i="1"/>
  <c r="I1426" i="1"/>
  <c r="H1426" i="1"/>
  <c r="I1425" i="1"/>
  <c r="H1425" i="1"/>
  <c r="I1424" i="1"/>
  <c r="H1424" i="1"/>
  <c r="I1423" i="1"/>
  <c r="H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6" i="1"/>
  <c r="H1406" i="1"/>
  <c r="I1405" i="1"/>
  <c r="H1405" i="1"/>
  <c r="I1404" i="1"/>
  <c r="H1404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3" i="1"/>
  <c r="H1383" i="1"/>
  <c r="I1382" i="1"/>
  <c r="H1382" i="1"/>
  <c r="I1381" i="1"/>
  <c r="H1381" i="1"/>
  <c r="I1380" i="1"/>
  <c r="H1380" i="1"/>
  <c r="I1379" i="1"/>
  <c r="H1379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11" i="1"/>
  <c r="H1311" i="1"/>
  <c r="I1310" i="1"/>
  <c r="H1310" i="1"/>
  <c r="I1309" i="1"/>
  <c r="H1309" i="1"/>
  <c r="I1308" i="1"/>
  <c r="H1308" i="1"/>
  <c r="I1307" i="1"/>
  <c r="H1307" i="1"/>
  <c r="I1306" i="1"/>
  <c r="H1306" i="1"/>
  <c r="I1305" i="1"/>
  <c r="H1305" i="1"/>
  <c r="I1304" i="1"/>
  <c r="H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8" i="1"/>
  <c r="H1178" i="1"/>
  <c r="I1177" i="1"/>
  <c r="H1177" i="1"/>
  <c r="I1176" i="1"/>
  <c r="H1176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<sst xmlns="http://schemas.openxmlformats.org/spreadsheetml/2006/main" count="60635" uniqueCount="24403">
  <si>
    <t>property_id</t>
  </si>
  <si>
    <t>auction_id</t>
  </si>
  <si>
    <t>bank</t>
  </si>
  <si>
    <t>location</t>
  </si>
  <si>
    <t>auction_start_date</t>
  </si>
  <si>
    <t>auction_end_date</t>
  </si>
  <si>
    <t>id</t>
  </si>
  <si>
    <t>hyperlink</t>
  </si>
  <si>
    <t>property_link</t>
  </si>
  <si>
    <t>property_status</t>
  </si>
  <si>
    <t>closed_date</t>
  </si>
  <si>
    <t>reserve_price</t>
  </si>
  <si>
    <t>emd</t>
  </si>
  <si>
    <t>CNRBABDULKAREEM2</t>
  </si>
  <si>
    <t>300828</t>
  </si>
  <si>
    <t>Canara Bank</t>
  </si>
  <si>
    <t>Narasimharajapura, Karnataka</t>
  </si>
  <si>
    <t>23-06-2026 11:30</t>
  </si>
  <si>
    <t>23-06-2026 12:30</t>
  </si>
  <si>
    <t>284786</t>
  </si>
  <si>
    <t>Closed</t>
  </si>
  <si>
    <t>2026-06-23</t>
  </si>
  <si>
    <t>CNRB7659315901</t>
  </si>
  <si>
    <t>306288</t>
  </si>
  <si>
    <t>Fazilka, Punjab</t>
  </si>
  <si>
    <t>229731</t>
  </si>
  <si>
    <t>CNRBHYDNOR015</t>
  </si>
  <si>
    <t>307587</t>
  </si>
  <si>
    <t>Narayanpet, Telangana</t>
  </si>
  <si>
    <t>201667</t>
  </si>
  <si>
    <t>CNRBHYDNOR001</t>
  </si>
  <si>
    <t>307674</t>
  </si>
  <si>
    <t>Hyderabad, Telangana</t>
  </si>
  <si>
    <t>240884</t>
  </si>
  <si>
    <t>CNRBHYDNOR004</t>
  </si>
  <si>
    <t>307677</t>
  </si>
  <si>
    <t>240891</t>
  </si>
  <si>
    <t>CNRBHYDNOR005</t>
  </si>
  <si>
    <t>307680</t>
  </si>
  <si>
    <t>240890</t>
  </si>
  <si>
    <t>CNRBHYDNOR002</t>
  </si>
  <si>
    <t>307689</t>
  </si>
  <si>
    <t>240883</t>
  </si>
  <si>
    <t>CNRBHYDNOR003</t>
  </si>
  <si>
    <t>307697</t>
  </si>
  <si>
    <t>240892</t>
  </si>
  <si>
    <t>CNRB306105672</t>
  </si>
  <si>
    <t>308027</t>
  </si>
  <si>
    <t>Kangeyam, Tamil Nadu</t>
  </si>
  <si>
    <t>225225</t>
  </si>
  <si>
    <t>CNRB55236150</t>
  </si>
  <si>
    <t>308046</t>
  </si>
  <si>
    <t>Rudravathi, Tamil Nadu</t>
  </si>
  <si>
    <t>206340</t>
  </si>
  <si>
    <t>CNRB306235493</t>
  </si>
  <si>
    <t>308162</t>
  </si>
  <si>
    <t>Kanakkampalayam, Tamil Nadu</t>
  </si>
  <si>
    <t>205619</t>
  </si>
  <si>
    <t>CNRB309151727</t>
  </si>
  <si>
    <t>308265</t>
  </si>
  <si>
    <t>Madathukulam, Tamil Nadu</t>
  </si>
  <si>
    <t>243291</t>
  </si>
  <si>
    <t>CNRB93062107</t>
  </si>
  <si>
    <t>308270</t>
  </si>
  <si>
    <t>Vellakoil, Tamil Nadu</t>
  </si>
  <si>
    <t>245587</t>
  </si>
  <si>
    <t>CNRB314450439</t>
  </si>
  <si>
    <t>308275</t>
  </si>
  <si>
    <t>Kaniyur Tiruppur, Tamil Nadu</t>
  </si>
  <si>
    <t>247112</t>
  </si>
  <si>
    <t>CNRB76260730</t>
  </si>
  <si>
    <t>308280</t>
  </si>
  <si>
    <t>Avanashi, Tamil Nadu</t>
  </si>
  <si>
    <t>247125</t>
  </si>
  <si>
    <t>CNRB000124</t>
  </si>
  <si>
    <t>307048</t>
  </si>
  <si>
    <t>Saharsa, Bihar</t>
  </si>
  <si>
    <t>22-06-2026 12:30</t>
  </si>
  <si>
    <t>22-06-2026 13:30</t>
  </si>
  <si>
    <t>212957</t>
  </si>
  <si>
    <t>2026-06-22</t>
  </si>
  <si>
    <t>BARBGANGA</t>
  </si>
  <si>
    <t>302275</t>
  </si>
  <si>
    <t>Bank of Baroda</t>
  </si>
  <si>
    <t>Jhansi, Uttar Pradesh</t>
  </si>
  <si>
    <t>22-06-2026 12:00</t>
  </si>
  <si>
    <t>22-06-2026 14:00</t>
  </si>
  <si>
    <t>285128</t>
  </si>
  <si>
    <t>CNRB512461315</t>
  </si>
  <si>
    <t>307270</t>
  </si>
  <si>
    <t>Hubballi, Karnataka</t>
  </si>
  <si>
    <t>219665</t>
  </si>
  <si>
    <t>CNRB7364654673646546</t>
  </si>
  <si>
    <t>308285</t>
  </si>
  <si>
    <t>Chinnakkampalayam, Tamil Nadu</t>
  </si>
  <si>
    <t>247106</t>
  </si>
  <si>
    <t>CNRB101078837</t>
  </si>
  <si>
    <t>308288</t>
  </si>
  <si>
    <t>K Madhapur, Tamil Nadu</t>
  </si>
  <si>
    <t>245613</t>
  </si>
  <si>
    <t>CNRBANADRENJITH</t>
  </si>
  <si>
    <t>311450</t>
  </si>
  <si>
    <t>Thiruvananthapuram, Kerala</t>
  </si>
  <si>
    <t>263157</t>
  </si>
  <si>
    <t>CNRBKRAJASREE</t>
  </si>
  <si>
    <t>311459</t>
  </si>
  <si>
    <t>256360</t>
  </si>
  <si>
    <t>CNRB31328386</t>
  </si>
  <si>
    <t>312196</t>
  </si>
  <si>
    <t>Belur, Karnataka</t>
  </si>
  <si>
    <t>257926</t>
  </si>
  <si>
    <t>CNRB3189314571</t>
  </si>
  <si>
    <t>315479</t>
  </si>
  <si>
    <t>Chandigarh, Chandigarh</t>
  </si>
  <si>
    <t>281842</t>
  </si>
  <si>
    <t>CNRB318931457</t>
  </si>
  <si>
    <t>315488</t>
  </si>
  <si>
    <t>Naraingarh, Haryana</t>
  </si>
  <si>
    <t>281840</t>
  </si>
  <si>
    <t>PUNB2589AKSHAYMAJI</t>
  </si>
  <si>
    <t>304803</t>
  </si>
  <si>
    <t>Punjab National Bank</t>
  </si>
  <si>
    <t>Balichak, West Bengal</t>
  </si>
  <si>
    <t>23-06-2026 15:30</t>
  </si>
  <si>
    <t>284902</t>
  </si>
  <si>
    <t>CNRBKISHORE</t>
  </si>
  <si>
    <t>302390</t>
  </si>
  <si>
    <t>Gwalior, Madhya Pradesh</t>
  </si>
  <si>
    <t>22-06-2026 13:00</t>
  </si>
  <si>
    <t>233288</t>
  </si>
  <si>
    <t>BARBKOTESHWARARAO</t>
  </si>
  <si>
    <t>304446</t>
  </si>
  <si>
    <t>22-06-2026 17:00</t>
  </si>
  <si>
    <t>242461</t>
  </si>
  <si>
    <t>PUNB2322SOUMYAPATTANAYAK</t>
  </si>
  <si>
    <t>305036</t>
  </si>
  <si>
    <t>Belda, West Bengal</t>
  </si>
  <si>
    <t>284908</t>
  </si>
  <si>
    <t>PUNBU60544305001</t>
  </si>
  <si>
    <t>307885</t>
  </si>
  <si>
    <t>Sivasagar, Assam</t>
  </si>
  <si>
    <t>178982</t>
  </si>
  <si>
    <t>IOBA2637MAATARA</t>
  </si>
  <si>
    <t>309515</t>
  </si>
  <si>
    <t>Indian Overseas Bank</t>
  </si>
  <si>
    <t>Habra, West Bengal</t>
  </si>
  <si>
    <t>268500</t>
  </si>
  <si>
    <t>IOBA2638KRISHNA</t>
  </si>
  <si>
    <t>309520</t>
  </si>
  <si>
    <t>Barasat, West Bengal</t>
  </si>
  <si>
    <t>212834</t>
  </si>
  <si>
    <t>IOBA0532SWAPAN</t>
  </si>
  <si>
    <t>309531</t>
  </si>
  <si>
    <t>Asansol, West Bengal</t>
  </si>
  <si>
    <t>267936</t>
  </si>
  <si>
    <t>IOBA2122BIKASH</t>
  </si>
  <si>
    <t>309626</t>
  </si>
  <si>
    <t>Kolkata, West Bengal</t>
  </si>
  <si>
    <t>272201</t>
  </si>
  <si>
    <t>PUNB8262SHAHIENTERPRISE</t>
  </si>
  <si>
    <t>311178</t>
  </si>
  <si>
    <t>Digha Purba Medinipur, West Bengal</t>
  </si>
  <si>
    <t>262201</t>
  </si>
  <si>
    <t>PUNBU62538937001</t>
  </si>
  <si>
    <t>311630</t>
  </si>
  <si>
    <t>Cooch Behar, West Bengal</t>
  </si>
  <si>
    <t>174849</t>
  </si>
  <si>
    <t>PUNB352595645001</t>
  </si>
  <si>
    <t>311635</t>
  </si>
  <si>
    <t>Banarhat Tea Garden, West Bengal</t>
  </si>
  <si>
    <t>275625</t>
  </si>
  <si>
    <t>PUNBU73670426001</t>
  </si>
  <si>
    <t>311641</t>
  </si>
  <si>
    <t>174845</t>
  </si>
  <si>
    <t>PUNBU59485068007</t>
  </si>
  <si>
    <t>312120</t>
  </si>
  <si>
    <t>175076</t>
  </si>
  <si>
    <t>PUNBABA40397218</t>
  </si>
  <si>
    <t>312231</t>
  </si>
  <si>
    <t>Contai, West Bengal</t>
  </si>
  <si>
    <t>178759</t>
  </si>
  <si>
    <t>PUNBABA40356890</t>
  </si>
  <si>
    <t>312233</t>
  </si>
  <si>
    <t>Bagnan, West Bengal</t>
  </si>
  <si>
    <t>180275</t>
  </si>
  <si>
    <t>PUNBUJB52240213</t>
  </si>
  <si>
    <t>312338</t>
  </si>
  <si>
    <t>Dakshin Baguan, West Bengal</t>
  </si>
  <si>
    <t>227643</t>
  </si>
  <si>
    <t>PUNBABA40424377</t>
  </si>
  <si>
    <t>312482</t>
  </si>
  <si>
    <t>Egra, West Bengal</t>
  </si>
  <si>
    <t>180267</t>
  </si>
  <si>
    <t>PUNBABA40341144</t>
  </si>
  <si>
    <t>312498</t>
  </si>
  <si>
    <t>178751</t>
  </si>
  <si>
    <t>PUNB0U59829985</t>
  </si>
  <si>
    <t>312505</t>
  </si>
  <si>
    <t>Kakdihi, West Bengal</t>
  </si>
  <si>
    <t>178726</t>
  </si>
  <si>
    <t>PUNBABA40342687</t>
  </si>
  <si>
    <t>312579</t>
  </si>
  <si>
    <t>178752</t>
  </si>
  <si>
    <t>PUNBABA40376253</t>
  </si>
  <si>
    <t>312638</t>
  </si>
  <si>
    <t>218660</t>
  </si>
  <si>
    <t>PUNB4D959714141</t>
  </si>
  <si>
    <t>312646</t>
  </si>
  <si>
    <t>Khadalgobra, West Bengal</t>
  </si>
  <si>
    <t>278359</t>
  </si>
  <si>
    <t>PUNB148300</t>
  </si>
  <si>
    <t>312710</t>
  </si>
  <si>
    <t>Chaulia, West Bengal</t>
  </si>
  <si>
    <t>276583</t>
  </si>
  <si>
    <t>PUNB118920SANTUJANA</t>
  </si>
  <si>
    <t>312721</t>
  </si>
  <si>
    <t>283187</t>
  </si>
  <si>
    <t>PUNB196600SAMANTAHARDWARE</t>
  </si>
  <si>
    <t>312729</t>
  </si>
  <si>
    <t>Kharagpur, West Bengal</t>
  </si>
  <si>
    <t>286760</t>
  </si>
  <si>
    <t>PUNB0U53381259</t>
  </si>
  <si>
    <t>312732</t>
  </si>
  <si>
    <t>178723</t>
  </si>
  <si>
    <t>PUNB199600RANJANGARU</t>
  </si>
  <si>
    <t>312738</t>
  </si>
  <si>
    <t>286550</t>
  </si>
  <si>
    <t>PUNB199600ANWARALIKHAN</t>
  </si>
  <si>
    <t>312763</t>
  </si>
  <si>
    <t>286534</t>
  </si>
  <si>
    <t>PUNB320900BANERJEE</t>
  </si>
  <si>
    <t>312778</t>
  </si>
  <si>
    <t>286536</t>
  </si>
  <si>
    <t>PUNB199600DIPANKARPAINE</t>
  </si>
  <si>
    <t>312787</t>
  </si>
  <si>
    <t>286542</t>
  </si>
  <si>
    <t>PUNB199600HASIBULRAHAMAN</t>
  </si>
  <si>
    <t>312791</t>
  </si>
  <si>
    <t>286543</t>
  </si>
  <si>
    <t>PUNB04910</t>
  </si>
  <si>
    <t>312811</t>
  </si>
  <si>
    <t>276942</t>
  </si>
  <si>
    <t>PUNB19960</t>
  </si>
  <si>
    <t>312818</t>
  </si>
  <si>
    <t>267826</t>
  </si>
  <si>
    <t>PUNB121400</t>
  </si>
  <si>
    <t>312827</t>
  </si>
  <si>
    <t>280751</t>
  </si>
  <si>
    <t>PUNB168710</t>
  </si>
  <si>
    <t>312838</t>
  </si>
  <si>
    <t>281268</t>
  </si>
  <si>
    <t>PUNB199600SUSANTADEY</t>
  </si>
  <si>
    <t>314187</t>
  </si>
  <si>
    <t>287050</t>
  </si>
  <si>
    <t>PUNB199600SANJAYGHORAI</t>
  </si>
  <si>
    <t>314194</t>
  </si>
  <si>
    <t>286917</t>
  </si>
  <si>
    <t>PUNB232200MANIKMAITY</t>
  </si>
  <si>
    <t>314295</t>
  </si>
  <si>
    <t>287094</t>
  </si>
  <si>
    <t>PUNBU48949894007</t>
  </si>
  <si>
    <t>315562</t>
  </si>
  <si>
    <t>Andul, West Bengal</t>
  </si>
  <si>
    <t>175102</t>
  </si>
  <si>
    <t>PUNB8262JHINGLESWARIPRATI</t>
  </si>
  <si>
    <t>317596</t>
  </si>
  <si>
    <t>Bahirgram, West Bengal</t>
  </si>
  <si>
    <t>264669</t>
  </si>
  <si>
    <t>PUNB8262JHINGLESHWAITAPAN</t>
  </si>
  <si>
    <t>317647</t>
  </si>
  <si>
    <t>264674</t>
  </si>
  <si>
    <t>PUNBABA40484996</t>
  </si>
  <si>
    <t>317687</t>
  </si>
  <si>
    <t>Tamluk, West Bengal</t>
  </si>
  <si>
    <t>262312</t>
  </si>
  <si>
    <t>CNRB124234611</t>
  </si>
  <si>
    <t>306809</t>
  </si>
  <si>
    <t>Patiala, Punjab</t>
  </si>
  <si>
    <t>24-06-2026 12:30</t>
  </si>
  <si>
    <t>252113</t>
  </si>
  <si>
    <t>BARB599620240313</t>
  </si>
  <si>
    <t>295312</t>
  </si>
  <si>
    <t>Vadodara, Gujarat</t>
  </si>
  <si>
    <t>23-06-2026 12:00</t>
  </si>
  <si>
    <t>23-06-2026 13:00</t>
  </si>
  <si>
    <t>255911</t>
  </si>
  <si>
    <t>CNRBMAHADEV</t>
  </si>
  <si>
    <t>299545</t>
  </si>
  <si>
    <t>Saundatti Yellamma, Karnataka</t>
  </si>
  <si>
    <t>284615</t>
  </si>
  <si>
    <t>CNRB249989327</t>
  </si>
  <si>
    <t>304785</t>
  </si>
  <si>
    <t>Dehu Cantt Civil Township, Maharashtra</t>
  </si>
  <si>
    <t>201454</t>
  </si>
  <si>
    <t>CNRB86631353</t>
  </si>
  <si>
    <t>305661</t>
  </si>
  <si>
    <t>Andipatti Jakkampatti, Tamil Nadu</t>
  </si>
  <si>
    <t>245202</t>
  </si>
  <si>
    <t>CNRB68330985</t>
  </si>
  <si>
    <t>307561</t>
  </si>
  <si>
    <t>Vedaranyam, Tamil Nadu</t>
  </si>
  <si>
    <t>266066</t>
  </si>
  <si>
    <t>CNRB7908HANUMANJIBHANDAR</t>
  </si>
  <si>
    <t>306782</t>
  </si>
  <si>
    <t>Dhanbad, Jharkhand</t>
  </si>
  <si>
    <t>23-06-2026 14:00</t>
  </si>
  <si>
    <t>267930</t>
  </si>
  <si>
    <t>CNRBRAJENDRA2</t>
  </si>
  <si>
    <t>308158</t>
  </si>
  <si>
    <t>Bhopal, Madhya Pradesh</t>
  </si>
  <si>
    <t>240819</t>
  </si>
  <si>
    <t>CNRBRAJENDRA1</t>
  </si>
  <si>
    <t>308210</t>
  </si>
  <si>
    <t>240820</t>
  </si>
  <si>
    <t>CNRB313831521</t>
  </si>
  <si>
    <t>309737</t>
  </si>
  <si>
    <t>NTPC Sipat Township, Chhattisgarh</t>
  </si>
  <si>
    <t>259865</t>
  </si>
  <si>
    <t>CNRB257799311</t>
  </si>
  <si>
    <t>309767</t>
  </si>
  <si>
    <t>Champa, Chhattisgarh</t>
  </si>
  <si>
    <t>259751</t>
  </si>
  <si>
    <t>IOBA2871hemlata</t>
  </si>
  <si>
    <t>314289</t>
  </si>
  <si>
    <t>Raipur, Chhattisgarh</t>
  </si>
  <si>
    <t>281316</t>
  </si>
  <si>
    <t>IOBA3092KIR</t>
  </si>
  <si>
    <t>314305</t>
  </si>
  <si>
    <t>Bemetara, Chhattisgarh</t>
  </si>
  <si>
    <t>253868</t>
  </si>
  <si>
    <t>SBIN1015105202601</t>
  </si>
  <si>
    <t>304011</t>
  </si>
  <si>
    <t>State Bank of India</t>
  </si>
  <si>
    <t>Alandi, Maharashtra</t>
  </si>
  <si>
    <t>23-06-2026 16:00</t>
  </si>
  <si>
    <t>284077</t>
  </si>
  <si>
    <t>PUNB02378SUBHANG</t>
  </si>
  <si>
    <t>311128</t>
  </si>
  <si>
    <t>Kanpur, Uttar Pradesh</t>
  </si>
  <si>
    <t>179634</t>
  </si>
  <si>
    <t>PUNB237400KUSWAHA</t>
  </si>
  <si>
    <t>311303</t>
  </si>
  <si>
    <t>Ramgarh, Bihar</t>
  </si>
  <si>
    <t>239072</t>
  </si>
  <si>
    <t>PUNBR09333107001</t>
  </si>
  <si>
    <t>312408</t>
  </si>
  <si>
    <t>Siliguri, West Bengal</t>
  </si>
  <si>
    <t>286670</t>
  </si>
  <si>
    <t>PUNB818800000012</t>
  </si>
  <si>
    <t>312707</t>
  </si>
  <si>
    <t>Sasaram, Bihar</t>
  </si>
  <si>
    <t>174159</t>
  </si>
  <si>
    <t>PUNBHHC5361425</t>
  </si>
  <si>
    <t>313438</t>
  </si>
  <si>
    <t>174154</t>
  </si>
  <si>
    <t>PUNBNFA54334644</t>
  </si>
  <si>
    <t>313690</t>
  </si>
  <si>
    <t>Patna, Bihar</t>
  </si>
  <si>
    <t>244152</t>
  </si>
  <si>
    <t>PUNBNFA10374438</t>
  </si>
  <si>
    <t>315673</t>
  </si>
  <si>
    <t>255918</t>
  </si>
  <si>
    <t>PUNB99X60540424</t>
  </si>
  <si>
    <t>315978</t>
  </si>
  <si>
    <t>Arwal, Bihar</t>
  </si>
  <si>
    <t>174189</t>
  </si>
  <si>
    <t>PUNB2YT60969644</t>
  </si>
  <si>
    <t>315984</t>
  </si>
  <si>
    <t>174237</t>
  </si>
  <si>
    <t>PUNBABA40467696</t>
  </si>
  <si>
    <t>315996</t>
  </si>
  <si>
    <t>174248</t>
  </si>
  <si>
    <t>PUNB0038003038</t>
  </si>
  <si>
    <t>305728</t>
  </si>
  <si>
    <t>Balaghat, Madhya Pradesh</t>
  </si>
  <si>
    <t>23-06-2026 17:30</t>
  </si>
  <si>
    <t>283865</t>
  </si>
  <si>
    <t>PUNB021707477</t>
  </si>
  <si>
    <t>305893</t>
  </si>
  <si>
    <t>Patan, Madhya Pradesh</t>
  </si>
  <si>
    <t>284759</t>
  </si>
  <si>
    <t>PUNB1937200724</t>
  </si>
  <si>
    <t>313464</t>
  </si>
  <si>
    <t>Jabalpur, Madhya Pradesh</t>
  </si>
  <si>
    <t>190845</t>
  </si>
  <si>
    <t>CBIN0280377</t>
  </si>
  <si>
    <t>317024</t>
  </si>
  <si>
    <t>Central Bank of India</t>
  </si>
  <si>
    <t>Buria, Haryana</t>
  </si>
  <si>
    <t>23-06-2026 18:00</t>
  </si>
  <si>
    <t>287835</t>
  </si>
  <si>
    <t>CNRB753932081</t>
  </si>
  <si>
    <t>301088</t>
  </si>
  <si>
    <t>Tiruchirappalli, Tamil Nadu</t>
  </si>
  <si>
    <t>23-06-2026 13:30</t>
  </si>
  <si>
    <t>284872</t>
  </si>
  <si>
    <t>CNRB104266209</t>
  </si>
  <si>
    <t>301092</t>
  </si>
  <si>
    <t>284877</t>
  </si>
  <si>
    <t>CNRBNARESHBANGALWA</t>
  </si>
  <si>
    <t>301823</t>
  </si>
  <si>
    <t>Jamalpur, Bihar</t>
  </si>
  <si>
    <t>254035</t>
  </si>
  <si>
    <t>CNRB228076930</t>
  </si>
  <si>
    <t>301966</t>
  </si>
  <si>
    <t>Munger, Bihar</t>
  </si>
  <si>
    <t>191443</t>
  </si>
  <si>
    <t>CNRB121459229</t>
  </si>
  <si>
    <t>302157</t>
  </si>
  <si>
    <t>232780</t>
  </si>
  <si>
    <t>CNRB110417354</t>
  </si>
  <si>
    <t>302762</t>
  </si>
  <si>
    <t>239016</t>
  </si>
  <si>
    <t>CNRBKANCHAN5744</t>
  </si>
  <si>
    <t>305712</t>
  </si>
  <si>
    <t>Bhagalpur, Bihar</t>
  </si>
  <si>
    <t>268975</t>
  </si>
  <si>
    <t>CNRB235714819</t>
  </si>
  <si>
    <t>305768</t>
  </si>
  <si>
    <t>232783</t>
  </si>
  <si>
    <t>CNRBDELCOMT</t>
  </si>
  <si>
    <t>308192</t>
  </si>
  <si>
    <t>Dehradun, Uttarakhand</t>
  </si>
  <si>
    <t>282668</t>
  </si>
  <si>
    <t>CNRBPARVEE</t>
  </si>
  <si>
    <t>308212</t>
  </si>
  <si>
    <t>244076</t>
  </si>
  <si>
    <t>CNRB3038BANSAL</t>
  </si>
  <si>
    <t>308214</t>
  </si>
  <si>
    <t>Haridwar, Uttarakhand</t>
  </si>
  <si>
    <t>271798</t>
  </si>
  <si>
    <t>CNRB3038MEENA</t>
  </si>
  <si>
    <t>308232</t>
  </si>
  <si>
    <t>248317</t>
  </si>
  <si>
    <t>CNRBAMITTRADER</t>
  </si>
  <si>
    <t>308266</t>
  </si>
  <si>
    <t>Dineshpur, Uttarakhand</t>
  </si>
  <si>
    <t>262797</t>
  </si>
  <si>
    <t>CNRB3038RASHI</t>
  </si>
  <si>
    <t>308585</t>
  </si>
  <si>
    <t>189249</t>
  </si>
  <si>
    <t>CNRB3038TILES</t>
  </si>
  <si>
    <t>309784</t>
  </si>
  <si>
    <t>Sirsi, Uttar Pradesh</t>
  </si>
  <si>
    <t>244090</t>
  </si>
  <si>
    <t>CNRB43077761</t>
  </si>
  <si>
    <t>310874</t>
  </si>
  <si>
    <t>Jasodharpur Industrial Area, Uttarakhand</t>
  </si>
  <si>
    <t>189234</t>
  </si>
  <si>
    <t>CNRB76068770</t>
  </si>
  <si>
    <t>315648</t>
  </si>
  <si>
    <t>Lalgudi, Tamil Nadu</t>
  </si>
  <si>
    <t>201979</t>
  </si>
  <si>
    <t>CNRB115224705</t>
  </si>
  <si>
    <t>315662</t>
  </si>
  <si>
    <t>Pichandarkovil, Tamil Nadu</t>
  </si>
  <si>
    <t>257806</t>
  </si>
  <si>
    <t>CNRB82795795</t>
  </si>
  <si>
    <t>315667</t>
  </si>
  <si>
    <t>Jayankondam, Tamil Nadu</t>
  </si>
  <si>
    <t>205078</t>
  </si>
  <si>
    <t>CNRB109977968</t>
  </si>
  <si>
    <t>315679</t>
  </si>
  <si>
    <t>Namakkal, Tamil Nadu</t>
  </si>
  <si>
    <t>261091</t>
  </si>
  <si>
    <t>CNRB125621612</t>
  </si>
  <si>
    <t>315687</t>
  </si>
  <si>
    <t>198638</t>
  </si>
  <si>
    <t>CNRB110216284</t>
  </si>
  <si>
    <t>315728</t>
  </si>
  <si>
    <t>201978</t>
  </si>
  <si>
    <t>CNRB53615068</t>
  </si>
  <si>
    <t>315752</t>
  </si>
  <si>
    <t>Manachanallur, Tamil Nadu</t>
  </si>
  <si>
    <t>226476</t>
  </si>
  <si>
    <t>CNRB327535735</t>
  </si>
  <si>
    <t>307213</t>
  </si>
  <si>
    <t>23-06-2026 14:30</t>
  </si>
  <si>
    <t>266700</t>
  </si>
  <si>
    <t>CNRB11264275601</t>
  </si>
  <si>
    <t>307235</t>
  </si>
  <si>
    <t>278596</t>
  </si>
  <si>
    <t>CNRB11658223901</t>
  </si>
  <si>
    <t>307261</t>
  </si>
  <si>
    <t>249814</t>
  </si>
  <si>
    <t>CNRB11658223902</t>
  </si>
  <si>
    <t>307278</t>
  </si>
  <si>
    <t>249820</t>
  </si>
  <si>
    <t>CNRB11658223903</t>
  </si>
  <si>
    <t>307297</t>
  </si>
  <si>
    <t>249821</t>
  </si>
  <si>
    <t>CNRB13591KALIDASrev</t>
  </si>
  <si>
    <t>306938</t>
  </si>
  <si>
    <t>Tuni, Andhra Pradesh</t>
  </si>
  <si>
    <t>212901</t>
  </si>
  <si>
    <t>CNRB13591PRASANGI1</t>
  </si>
  <si>
    <t>306963</t>
  </si>
  <si>
    <t>Visakhapatnam, Andhra Pradesh</t>
  </si>
  <si>
    <t>273217</t>
  </si>
  <si>
    <t>CNRB13591PUMA</t>
  </si>
  <si>
    <t>306989</t>
  </si>
  <si>
    <t>Eluru, Andhra Pradesh</t>
  </si>
  <si>
    <t>198132</t>
  </si>
  <si>
    <t>CNRB13591PERFECTHOUSE</t>
  </si>
  <si>
    <t>307320</t>
  </si>
  <si>
    <t>Industrial Park Balighattam, Andhra Pradesh</t>
  </si>
  <si>
    <t>249101</t>
  </si>
  <si>
    <t>CNRB78816112</t>
  </si>
  <si>
    <t>303590</t>
  </si>
  <si>
    <t>Navsari, Gujarat</t>
  </si>
  <si>
    <t>23-06-2026 15:00</t>
  </si>
  <si>
    <t>189088</t>
  </si>
  <si>
    <t>CNRB94160609</t>
  </si>
  <si>
    <t>303597</t>
  </si>
  <si>
    <t>Bhilad, Gujarat</t>
  </si>
  <si>
    <t>285076</t>
  </si>
  <si>
    <t>CNRB326151418</t>
  </si>
  <si>
    <t>303602</t>
  </si>
  <si>
    <t>Surat, Gujarat</t>
  </si>
  <si>
    <t>285168</t>
  </si>
  <si>
    <t>CNRB253521923</t>
  </si>
  <si>
    <t>303628</t>
  </si>
  <si>
    <t>225780</t>
  </si>
  <si>
    <t>PSIB07830004</t>
  </si>
  <si>
    <t>308979</t>
  </si>
  <si>
    <t>Punjab &amp; Sind Bank</t>
  </si>
  <si>
    <t>Ghaziabad, Uttar Pradesh</t>
  </si>
  <si>
    <t>192418</t>
  </si>
  <si>
    <t>PSIB0783007</t>
  </si>
  <si>
    <t>309010</t>
  </si>
  <si>
    <t>192499</t>
  </si>
  <si>
    <t>PSIB0000784</t>
  </si>
  <si>
    <t>309542</t>
  </si>
  <si>
    <t>New Delhi, Delhi</t>
  </si>
  <si>
    <t>192108</t>
  </si>
  <si>
    <t>PUNB4896NC486</t>
  </si>
  <si>
    <t>313855</t>
  </si>
  <si>
    <t>Morena, Madhya Pradesh</t>
  </si>
  <si>
    <t>23-06-2026 17:00</t>
  </si>
  <si>
    <t>287019</t>
  </si>
  <si>
    <t>PUNB4896930433</t>
  </si>
  <si>
    <t>313913</t>
  </si>
  <si>
    <t>172729</t>
  </si>
  <si>
    <t>CBIN0392001</t>
  </si>
  <si>
    <t>317818</t>
  </si>
  <si>
    <t>Samalkha, Haryana</t>
  </si>
  <si>
    <t>288039</t>
  </si>
  <si>
    <t>BARB762005</t>
  </si>
  <si>
    <t>313336</t>
  </si>
  <si>
    <t>Palghar, Maharashtra</t>
  </si>
  <si>
    <t>275663</t>
  </si>
  <si>
    <t>BARB253202</t>
  </si>
  <si>
    <t>313654</t>
  </si>
  <si>
    <t>Badlapur, Maharashtra</t>
  </si>
  <si>
    <t>287204</t>
  </si>
  <si>
    <t>BARB350304</t>
  </si>
  <si>
    <t>313662</t>
  </si>
  <si>
    <t>Dahanu, Maharashtra</t>
  </si>
  <si>
    <t>287210</t>
  </si>
  <si>
    <t>BARB458101</t>
  </si>
  <si>
    <t>313672</t>
  </si>
  <si>
    <t>287199</t>
  </si>
  <si>
    <t>BARB0VASWES01</t>
  </si>
  <si>
    <t>313696</t>
  </si>
  <si>
    <t>115679</t>
  </si>
  <si>
    <t>PUNBGEX003211</t>
  </si>
  <si>
    <t>316904</t>
  </si>
  <si>
    <t>Panaji, Goa</t>
  </si>
  <si>
    <t>287201</t>
  </si>
  <si>
    <t>IDIB3270002553</t>
  </si>
  <si>
    <t>309754</t>
  </si>
  <si>
    <t>Indian Bank</t>
  </si>
  <si>
    <t>Chalthan, Gujarat</t>
  </si>
  <si>
    <t>24-06-2026 10:00</t>
  </si>
  <si>
    <t>24-06-2026 17:00</t>
  </si>
  <si>
    <t>240379</t>
  </si>
  <si>
    <t>IDIBLUK0405L561</t>
  </si>
  <si>
    <t>302057</t>
  </si>
  <si>
    <t>Lucknow, Uttar Pradesh</t>
  </si>
  <si>
    <t>24-06-2026 11:00</t>
  </si>
  <si>
    <t>24-06-2026 15:30</t>
  </si>
  <si>
    <t>285067</t>
  </si>
  <si>
    <t>IDIB50373299445</t>
  </si>
  <si>
    <t>301897</t>
  </si>
  <si>
    <t>Khardaha, West Bengal</t>
  </si>
  <si>
    <t>24-06-2026 16:00</t>
  </si>
  <si>
    <t>262182</t>
  </si>
  <si>
    <t>BKIDTVM8594KAVITHA</t>
  </si>
  <si>
    <t>314540</t>
  </si>
  <si>
    <t>Bank of India</t>
  </si>
  <si>
    <t>Varkala, Kerala</t>
  </si>
  <si>
    <t>283194</t>
  </si>
  <si>
    <t>UBINAHMSUR5360A</t>
  </si>
  <si>
    <t>306469</t>
  </si>
  <si>
    <t>Union Bank of India</t>
  </si>
  <si>
    <t>Valsad, Gujarat</t>
  </si>
  <si>
    <t>24-06-2026 12:00</t>
  </si>
  <si>
    <t>286026</t>
  </si>
  <si>
    <t>UBINCOITNV2026</t>
  </si>
  <si>
    <t>312008</t>
  </si>
  <si>
    <t>Aruppukkottai, Tamil Nadu</t>
  </si>
  <si>
    <t>286860</t>
  </si>
  <si>
    <t>UBINCOITNV0370</t>
  </si>
  <si>
    <t>312017</t>
  </si>
  <si>
    <t>Tirunelveli, Tamil Nadu</t>
  </si>
  <si>
    <t>286872</t>
  </si>
  <si>
    <t>UBINBLRBLE4036</t>
  </si>
  <si>
    <t>315152</t>
  </si>
  <si>
    <t>Bengaluru, Karnataka</t>
  </si>
  <si>
    <t>287189</t>
  </si>
  <si>
    <t>UBINDELARB8113</t>
  </si>
  <si>
    <t>317479</t>
  </si>
  <si>
    <t>Faridabad, Haryana</t>
  </si>
  <si>
    <t>286766</t>
  </si>
  <si>
    <t>UBINCOITRP8931</t>
  </si>
  <si>
    <t>317581</t>
  </si>
  <si>
    <t>Papanasam, Tamil Nadu</t>
  </si>
  <si>
    <t>287038</t>
  </si>
  <si>
    <t>UBINBLRBLE0319</t>
  </si>
  <si>
    <t>317691</t>
  </si>
  <si>
    <t>287208</t>
  </si>
  <si>
    <t>BKID177976286</t>
  </si>
  <si>
    <t>304243</t>
  </si>
  <si>
    <t>25-06-2026 11:00</t>
  </si>
  <si>
    <t>25-06-2026 17:00</t>
  </si>
  <si>
    <t>285409</t>
  </si>
  <si>
    <t>BKID843075110000136</t>
  </si>
  <si>
    <t>307427</t>
  </si>
  <si>
    <t>Mandya, Karnataka</t>
  </si>
  <si>
    <t>285899</t>
  </si>
  <si>
    <t>BKID68270manishsingh</t>
  </si>
  <si>
    <t>313098</t>
  </si>
  <si>
    <t>265089</t>
  </si>
  <si>
    <t>CNRB90740001</t>
  </si>
  <si>
    <t>303443</t>
  </si>
  <si>
    <t>Peravurani, Tamil Nadu</t>
  </si>
  <si>
    <t>25-06-2026 12:30</t>
  </si>
  <si>
    <t>25-06-2026 13:30</t>
  </si>
  <si>
    <t>281380</t>
  </si>
  <si>
    <t>PUNBTAJHOME</t>
  </si>
  <si>
    <t>314317</t>
  </si>
  <si>
    <t>Deoband, Uttar Pradesh</t>
  </si>
  <si>
    <t>10-07-2026 11:00</t>
  </si>
  <si>
    <t>10-07-2026 16:00</t>
  </si>
  <si>
    <t>287298</t>
  </si>
  <si>
    <t>PUNBABA40323229</t>
  </si>
  <si>
    <t>315747</t>
  </si>
  <si>
    <t>Kanti, Bihar</t>
  </si>
  <si>
    <t>17-07-2026 11:00</t>
  </si>
  <si>
    <t>17-07-2026 16:00</t>
  </si>
  <si>
    <t>287309</t>
  </si>
  <si>
    <t>CNRB739JISHA</t>
  </si>
  <si>
    <t>308448</t>
  </si>
  <si>
    <t>Palakkad, Kerala</t>
  </si>
  <si>
    <t>23-06-2026 11:00</t>
  </si>
  <si>
    <t>224476</t>
  </si>
  <si>
    <t>CNRB831ABDULNASAR</t>
  </si>
  <si>
    <t>308449</t>
  </si>
  <si>
    <t>Kongad, Kerala</t>
  </si>
  <si>
    <t>263697</t>
  </si>
  <si>
    <t>CNRB1536RADHA</t>
  </si>
  <si>
    <t>308450</t>
  </si>
  <si>
    <t>Cherppulassery, Kerala</t>
  </si>
  <si>
    <t>257877</t>
  </si>
  <si>
    <t>CNRB1538AKFR</t>
  </si>
  <si>
    <t>308451</t>
  </si>
  <si>
    <t>Industrial Development Plot Kappur, Kerala</t>
  </si>
  <si>
    <t>273962</t>
  </si>
  <si>
    <t>CNRB0743APPU</t>
  </si>
  <si>
    <t>308452</t>
  </si>
  <si>
    <t>284349</t>
  </si>
  <si>
    <t>CNRBSWARNAFLAT</t>
  </si>
  <si>
    <t>308596</t>
  </si>
  <si>
    <t>Alevoor, Karnataka</t>
  </si>
  <si>
    <t>190063</t>
  </si>
  <si>
    <t>CNRBHUCCHESHWARA</t>
  </si>
  <si>
    <t>308783</t>
  </si>
  <si>
    <t>Bankapura, Karnataka</t>
  </si>
  <si>
    <t>250993</t>
  </si>
  <si>
    <t>CNRB2380PREML</t>
  </si>
  <si>
    <t>309194</t>
  </si>
  <si>
    <t>273989</t>
  </si>
  <si>
    <t>CNRB2380PREM</t>
  </si>
  <si>
    <t>309195</t>
  </si>
  <si>
    <t>273986</t>
  </si>
  <si>
    <t>CNRB810VINU</t>
  </si>
  <si>
    <t>309196</t>
  </si>
  <si>
    <t>Ayilur, Nemmara, Kerala</t>
  </si>
  <si>
    <t>267153</t>
  </si>
  <si>
    <t>CNRB0719PRAK</t>
  </si>
  <si>
    <t>309197</t>
  </si>
  <si>
    <t>Shoranur, Kerala</t>
  </si>
  <si>
    <t>279933</t>
  </si>
  <si>
    <t>CNRB14461BABU</t>
  </si>
  <si>
    <t>309198</t>
  </si>
  <si>
    <t>Alathur, Kerala</t>
  </si>
  <si>
    <t>279591</t>
  </si>
  <si>
    <t>CNRB1677HAMSA</t>
  </si>
  <si>
    <t>309199</t>
  </si>
  <si>
    <t>Ongallur, Kerala</t>
  </si>
  <si>
    <t>237597</t>
  </si>
  <si>
    <t>CNRB2380GENESIS</t>
  </si>
  <si>
    <t>309200</t>
  </si>
  <si>
    <t>224528</t>
  </si>
  <si>
    <t>CNRB313562212</t>
  </si>
  <si>
    <t>309363</t>
  </si>
  <si>
    <t>Bhiwandi, Maharashtra</t>
  </si>
  <si>
    <t>250412</t>
  </si>
  <si>
    <t>CNRB312809076</t>
  </si>
  <si>
    <t>309374</t>
  </si>
  <si>
    <t>Chowk, Maharashtra</t>
  </si>
  <si>
    <t>276162</t>
  </si>
  <si>
    <t>CNRBSHANKARAPPA</t>
  </si>
  <si>
    <t>309933</t>
  </si>
  <si>
    <t>Hirekerur, Karnataka</t>
  </si>
  <si>
    <t>248220</t>
  </si>
  <si>
    <t>CNRB0603261001082a</t>
  </si>
  <si>
    <t>310773</t>
  </si>
  <si>
    <t>Udupi, Karnataka</t>
  </si>
  <si>
    <t>286539</t>
  </si>
  <si>
    <t>CNRB1587SARF</t>
  </si>
  <si>
    <t>311049</t>
  </si>
  <si>
    <t>Srikrishnapuram, Kerala</t>
  </si>
  <si>
    <t>279443</t>
  </si>
  <si>
    <t>IBKLKAVITA2026</t>
  </si>
  <si>
    <t>315932</t>
  </si>
  <si>
    <t>Industrial Development Bank of India Limited</t>
  </si>
  <si>
    <t>257807</t>
  </si>
  <si>
    <t>IBKL88478728</t>
  </si>
  <si>
    <t>305944</t>
  </si>
  <si>
    <t>246807</t>
  </si>
  <si>
    <t>IBKL8847bambhaniya</t>
  </si>
  <si>
    <t>305948</t>
  </si>
  <si>
    <t>dastan, Gujarat</t>
  </si>
  <si>
    <t>285707</t>
  </si>
  <si>
    <t>IBKL9610suresh</t>
  </si>
  <si>
    <t>305950</t>
  </si>
  <si>
    <t>Kadodara, Gujarat</t>
  </si>
  <si>
    <t>285691</t>
  </si>
  <si>
    <t>IBKL8697khushi</t>
  </si>
  <si>
    <t>305954</t>
  </si>
  <si>
    <t>285703</t>
  </si>
  <si>
    <t>IOBA1570GR</t>
  </si>
  <si>
    <t>307077</t>
  </si>
  <si>
    <t>271195</t>
  </si>
  <si>
    <t>IOBA0432PFI</t>
  </si>
  <si>
    <t>307119</t>
  </si>
  <si>
    <t>278696</t>
  </si>
  <si>
    <t>CNRB0001</t>
  </si>
  <si>
    <t>308399</t>
  </si>
  <si>
    <t>Etah, Uttar Pradesh</t>
  </si>
  <si>
    <t>171040</t>
  </si>
  <si>
    <t>CNRBALKAGOEL</t>
  </si>
  <si>
    <t>308408</t>
  </si>
  <si>
    <t>Faridnagar, Uttar Pradesh</t>
  </si>
  <si>
    <t>244239</t>
  </si>
  <si>
    <t>CNRBAMPLE</t>
  </si>
  <si>
    <t>308472</t>
  </si>
  <si>
    <t>Hasangarh, Uttar Pradesh</t>
  </si>
  <si>
    <t>256896</t>
  </si>
  <si>
    <t>CNRB1855201</t>
  </si>
  <si>
    <t>308705</t>
  </si>
  <si>
    <t>Hapur, Uttar Pradesh</t>
  </si>
  <si>
    <t>240679</t>
  </si>
  <si>
    <t>CNRB1865114</t>
  </si>
  <si>
    <t>309133</t>
  </si>
  <si>
    <t>240677</t>
  </si>
  <si>
    <t>CNRBSHAHILCERAMICS</t>
  </si>
  <si>
    <t>309229</t>
  </si>
  <si>
    <t>238063</t>
  </si>
  <si>
    <t>CNRB1984002</t>
  </si>
  <si>
    <t>309243</t>
  </si>
  <si>
    <t>240654</t>
  </si>
  <si>
    <t>CNRBBALAJIANKUR</t>
  </si>
  <si>
    <t>309336</t>
  </si>
  <si>
    <t>267910</t>
  </si>
  <si>
    <t>CNRB0001155002</t>
  </si>
  <si>
    <t>309502</t>
  </si>
  <si>
    <t>Nazira, Assam</t>
  </si>
  <si>
    <t>227962</t>
  </si>
  <si>
    <t>CNRB0003666002</t>
  </si>
  <si>
    <t>309533</t>
  </si>
  <si>
    <t>Moranhat, Assam</t>
  </si>
  <si>
    <t>190675</t>
  </si>
  <si>
    <t>CNRB0001155006</t>
  </si>
  <si>
    <t>309539</t>
  </si>
  <si>
    <t>258961</t>
  </si>
  <si>
    <t>CNRB0003666004</t>
  </si>
  <si>
    <t>309548</t>
  </si>
  <si>
    <t>190824</t>
  </si>
  <si>
    <t>CNRB0004248005</t>
  </si>
  <si>
    <t>309558</t>
  </si>
  <si>
    <t>North Lakhimpur, Assam</t>
  </si>
  <si>
    <t>278533</t>
  </si>
  <si>
    <t>CNRB0001154001</t>
  </si>
  <si>
    <t>309616</t>
  </si>
  <si>
    <t>Teok, Assam</t>
  </si>
  <si>
    <t>205849</t>
  </si>
  <si>
    <t>CNRB0001152003</t>
  </si>
  <si>
    <t>309678</t>
  </si>
  <si>
    <t>Tinsukia, Assam</t>
  </si>
  <si>
    <t>246174</t>
  </si>
  <si>
    <t>CNRB00042480005</t>
  </si>
  <si>
    <t>309689</t>
  </si>
  <si>
    <t>190668</t>
  </si>
  <si>
    <t>CNRBBALAJIARUN</t>
  </si>
  <si>
    <t>309715</t>
  </si>
  <si>
    <t>267906</t>
  </si>
  <si>
    <t>CNRBSHRIRAMENTERPRISES</t>
  </si>
  <si>
    <t>309738</t>
  </si>
  <si>
    <t>257493</t>
  </si>
  <si>
    <t>CNRBMAAKIRPA</t>
  </si>
  <si>
    <t>309780</t>
  </si>
  <si>
    <t>Kailashpur, Uttar Pradesh</t>
  </si>
  <si>
    <t>240722</t>
  </si>
  <si>
    <t>CNRB1865045</t>
  </si>
  <si>
    <t>309798</t>
  </si>
  <si>
    <t>240614</t>
  </si>
  <si>
    <t>CNRBVNFOODP2</t>
  </si>
  <si>
    <t>309883</t>
  </si>
  <si>
    <t>224375</t>
  </si>
  <si>
    <t>IOBA1904TVRR</t>
  </si>
  <si>
    <t>310344</t>
  </si>
  <si>
    <t>264498</t>
  </si>
  <si>
    <t>IOBA1904GS</t>
  </si>
  <si>
    <t>310355</t>
  </si>
  <si>
    <t>258025</t>
  </si>
  <si>
    <t>IOBA1904TP</t>
  </si>
  <si>
    <t>310361</t>
  </si>
  <si>
    <t>264501</t>
  </si>
  <si>
    <t>MAHB292</t>
  </si>
  <si>
    <t>309749</t>
  </si>
  <si>
    <t>Bank of Maharashtra</t>
  </si>
  <si>
    <t>Shrirampur, Maharashtra</t>
  </si>
  <si>
    <t>171458</t>
  </si>
  <si>
    <t>MAHB15551</t>
  </si>
  <si>
    <t>309760</t>
  </si>
  <si>
    <t>Ahmednagar, Maharashtra</t>
  </si>
  <si>
    <t>181345</t>
  </si>
  <si>
    <t>CNRBPLASTOMAX</t>
  </si>
  <si>
    <t>308357</t>
  </si>
  <si>
    <t>23-06-2026 10:00</t>
  </si>
  <si>
    <t>283959</t>
  </si>
  <si>
    <t>CNRB111657035</t>
  </si>
  <si>
    <t>308566</t>
  </si>
  <si>
    <t>Khapoli, Maharashtra</t>
  </si>
  <si>
    <t>257556</t>
  </si>
  <si>
    <t>CNRBMANSI</t>
  </si>
  <si>
    <t>309525</t>
  </si>
  <si>
    <t>Karjat, Maharashtra</t>
  </si>
  <si>
    <t>278547</t>
  </si>
  <si>
    <t>PUNBMAJNA</t>
  </si>
  <si>
    <t>304652</t>
  </si>
  <si>
    <t>Vasai Virar, Maharashtra</t>
  </si>
  <si>
    <t>285600</t>
  </si>
  <si>
    <t>SBIN200076523867</t>
  </si>
  <si>
    <t>299865</t>
  </si>
  <si>
    <t>Devanahalli, Karnataka</t>
  </si>
  <si>
    <t>284126</t>
  </si>
  <si>
    <t>PUNBABA47513807</t>
  </si>
  <si>
    <t>302993</t>
  </si>
  <si>
    <t>Madurai, Tamil Nadu</t>
  </si>
  <si>
    <t>179251</t>
  </si>
  <si>
    <t>PUNBHFV003808</t>
  </si>
  <si>
    <t>305284</t>
  </si>
  <si>
    <t>Nurpur, Himachal Pradesh</t>
  </si>
  <si>
    <t>284600</t>
  </si>
  <si>
    <t>MAHB241</t>
  </si>
  <si>
    <t>309768</t>
  </si>
  <si>
    <t>Koregaon Bhima, Maharashtra</t>
  </si>
  <si>
    <t>181465</t>
  </si>
  <si>
    <t>MAHB18321</t>
  </si>
  <si>
    <t>309778</t>
  </si>
  <si>
    <t>Shirur, Maharashtra</t>
  </si>
  <si>
    <t>181458</t>
  </si>
  <si>
    <t>MAHB1476</t>
  </si>
  <si>
    <t>309787</t>
  </si>
  <si>
    <t>Newasa, Maharashtra</t>
  </si>
  <si>
    <t>220343</t>
  </si>
  <si>
    <t>MAHB1040</t>
  </si>
  <si>
    <t>309795</t>
  </si>
  <si>
    <t>Shevgaon, Maharashtra</t>
  </si>
  <si>
    <t>220352</t>
  </si>
  <si>
    <t>MAHB293</t>
  </si>
  <si>
    <t>309799</t>
  </si>
  <si>
    <t>273642</t>
  </si>
  <si>
    <t>IOBA0369gbsteel</t>
  </si>
  <si>
    <t>315465</t>
  </si>
  <si>
    <t>Mandi Govindgarh, Punjab</t>
  </si>
  <si>
    <t>274442</t>
  </si>
  <si>
    <t>IOBA3516ravinder</t>
  </si>
  <si>
    <t>315467</t>
  </si>
  <si>
    <t>Jawalamukhi, Himachal Pradesh</t>
  </si>
  <si>
    <t>283835</t>
  </si>
  <si>
    <t>SBIN77124161070</t>
  </si>
  <si>
    <t>317039</t>
  </si>
  <si>
    <t>PALODE, Kerala</t>
  </si>
  <si>
    <t>107504</t>
  </si>
  <si>
    <t>PUNBKVA55090242</t>
  </si>
  <si>
    <t>310621</t>
  </si>
  <si>
    <t>Guntur, Andhra Pradesh</t>
  </si>
  <si>
    <t>277037</t>
  </si>
  <si>
    <t>PUNBJIA62498882</t>
  </si>
  <si>
    <t>310636</t>
  </si>
  <si>
    <t>266876</t>
  </si>
  <si>
    <t>PUNBKUA55030862</t>
  </si>
  <si>
    <t>310645</t>
  </si>
  <si>
    <t>Bhimavaram, Andhra Pradesh</t>
  </si>
  <si>
    <t>259888</t>
  </si>
  <si>
    <t>PUNBKUA55048582</t>
  </si>
  <si>
    <t>310653</t>
  </si>
  <si>
    <t>223825</t>
  </si>
  <si>
    <t>PUNBKUA55055457</t>
  </si>
  <si>
    <t>310658</t>
  </si>
  <si>
    <t>177098</t>
  </si>
  <si>
    <t>PUNBKUA55048565</t>
  </si>
  <si>
    <t>310661</t>
  </si>
  <si>
    <t>177097</t>
  </si>
  <si>
    <t>PUNBKUA55062540</t>
  </si>
  <si>
    <t>310666</t>
  </si>
  <si>
    <t>177096</t>
  </si>
  <si>
    <t>PUNBABA37960173</t>
  </si>
  <si>
    <t>310682</t>
  </si>
  <si>
    <t>Kadapa, Andhra Pradesh</t>
  </si>
  <si>
    <t>258268</t>
  </si>
  <si>
    <t>PUNBABA37960172</t>
  </si>
  <si>
    <t>310689</t>
  </si>
  <si>
    <t>258260</t>
  </si>
  <si>
    <t>PUNB14A10055191</t>
  </si>
  <si>
    <t>310700</t>
  </si>
  <si>
    <t>Ganapavaram, Andhra Pradesh</t>
  </si>
  <si>
    <t>226667</t>
  </si>
  <si>
    <t>PUNB14A10055066</t>
  </si>
  <si>
    <t>310707</t>
  </si>
  <si>
    <t>226666</t>
  </si>
  <si>
    <t>PUNB8762202402</t>
  </si>
  <si>
    <t>311014</t>
  </si>
  <si>
    <t>Pune, Maharashtra</t>
  </si>
  <si>
    <t>171351</t>
  </si>
  <si>
    <t>PUNB87622024104</t>
  </si>
  <si>
    <t>311040</t>
  </si>
  <si>
    <t>256103</t>
  </si>
  <si>
    <t>PUNB8762202452</t>
  </si>
  <si>
    <t>311053</t>
  </si>
  <si>
    <t>183775</t>
  </si>
  <si>
    <t>PUNB8762202476</t>
  </si>
  <si>
    <t>312556</t>
  </si>
  <si>
    <t>183818</t>
  </si>
  <si>
    <t>PUNB8762202405</t>
  </si>
  <si>
    <t>312669</t>
  </si>
  <si>
    <t>Chakan, Maharashtra</t>
  </si>
  <si>
    <t>171416</t>
  </si>
  <si>
    <t>PUNB8762202470</t>
  </si>
  <si>
    <t>312674</t>
  </si>
  <si>
    <t>183813</t>
  </si>
  <si>
    <t>PUNB87622024109</t>
  </si>
  <si>
    <t>312679</t>
  </si>
  <si>
    <t>183741</t>
  </si>
  <si>
    <t>PUNB8762202536</t>
  </si>
  <si>
    <t>314005</t>
  </si>
  <si>
    <t>Belagavi, Karnataka</t>
  </si>
  <si>
    <t>254171</t>
  </si>
  <si>
    <t>PUNB87622024178</t>
  </si>
  <si>
    <t>314019</t>
  </si>
  <si>
    <t>190211</t>
  </si>
  <si>
    <t>PUNB0VKENTERPRISES</t>
  </si>
  <si>
    <t>311247</t>
  </si>
  <si>
    <t>231928</t>
  </si>
  <si>
    <t>PUNB8762202510</t>
  </si>
  <si>
    <t>314030</t>
  </si>
  <si>
    <t>233957</t>
  </si>
  <si>
    <t>PUNB87622024103</t>
  </si>
  <si>
    <t>314046</t>
  </si>
  <si>
    <t>183735</t>
  </si>
  <si>
    <t>PUNB8762202428</t>
  </si>
  <si>
    <t>314058</t>
  </si>
  <si>
    <t>183751</t>
  </si>
  <si>
    <t>PUNB8762202401</t>
  </si>
  <si>
    <t>314091</t>
  </si>
  <si>
    <t>170537</t>
  </si>
  <si>
    <t>PUNB87622024111</t>
  </si>
  <si>
    <t>314099</t>
  </si>
  <si>
    <t>183743</t>
  </si>
  <si>
    <t>PUNB8762202550</t>
  </si>
  <si>
    <t>314106</t>
  </si>
  <si>
    <t>269934</t>
  </si>
  <si>
    <t>PUNB8762202459</t>
  </si>
  <si>
    <t>314114</t>
  </si>
  <si>
    <t>183802</t>
  </si>
  <si>
    <t>PUNBU73742691</t>
  </si>
  <si>
    <t>301630</t>
  </si>
  <si>
    <t>Berhampore, West Bengal</t>
  </si>
  <si>
    <t>284381</t>
  </si>
  <si>
    <t>PUNBPNB481039</t>
  </si>
  <si>
    <t>302330</t>
  </si>
  <si>
    <t>Batala, Punjab</t>
  </si>
  <si>
    <t>257549</t>
  </si>
  <si>
    <t>PUNBJANTABEEZBHANDAR</t>
  </si>
  <si>
    <t>302333</t>
  </si>
  <si>
    <t>Gaya, Bihar</t>
  </si>
  <si>
    <t>285127</t>
  </si>
  <si>
    <t>SBIN129530011</t>
  </si>
  <si>
    <t>302867</t>
  </si>
  <si>
    <t>Chhatrapati Sambhajinagar, Maharashtra</t>
  </si>
  <si>
    <t>284947</t>
  </si>
  <si>
    <t>PUNB0R11148452</t>
  </si>
  <si>
    <t>303034</t>
  </si>
  <si>
    <t>Aligarh, Uttar Pradesh</t>
  </si>
  <si>
    <t>257234</t>
  </si>
  <si>
    <t>PUNB0U57594738</t>
  </si>
  <si>
    <t>303036</t>
  </si>
  <si>
    <t>238380</t>
  </si>
  <si>
    <t>PUNB0R10465954</t>
  </si>
  <si>
    <t>303040</t>
  </si>
  <si>
    <t>172766</t>
  </si>
  <si>
    <t>PUNB0U51990110</t>
  </si>
  <si>
    <t>303044</t>
  </si>
  <si>
    <t>276283</t>
  </si>
  <si>
    <t>PUNB0R12658756</t>
  </si>
  <si>
    <t>303108</t>
  </si>
  <si>
    <t>253872</t>
  </si>
  <si>
    <t>PUNB28T52190442</t>
  </si>
  <si>
    <t>303131</t>
  </si>
  <si>
    <t>Kullu, Himachal Pradesh</t>
  </si>
  <si>
    <t>284542</t>
  </si>
  <si>
    <t>PUNB28T55066813</t>
  </si>
  <si>
    <t>303133</t>
  </si>
  <si>
    <t>284537</t>
  </si>
  <si>
    <t>PUNBMBD2258</t>
  </si>
  <si>
    <t>303214</t>
  </si>
  <si>
    <t>Bilari, Uttar Pradesh</t>
  </si>
  <si>
    <t>282746</t>
  </si>
  <si>
    <t>PUNB8237ABA37942028</t>
  </si>
  <si>
    <t>303497</t>
  </si>
  <si>
    <t>Bhadra, Rajasthan</t>
  </si>
  <si>
    <t>227884</t>
  </si>
  <si>
    <t>PUNB7NT76161471</t>
  </si>
  <si>
    <t>303571</t>
  </si>
  <si>
    <t>Nohar, Rajasthan</t>
  </si>
  <si>
    <t>250748</t>
  </si>
  <si>
    <t>PUNBANOOP</t>
  </si>
  <si>
    <t>303723</t>
  </si>
  <si>
    <t>284677</t>
  </si>
  <si>
    <t>PUNBABA40373984</t>
  </si>
  <si>
    <t>304204</t>
  </si>
  <si>
    <t>206615</t>
  </si>
  <si>
    <t>PUNB6I657630800</t>
  </si>
  <si>
    <t>304236</t>
  </si>
  <si>
    <t>285541</t>
  </si>
  <si>
    <t>PUNB8302060</t>
  </si>
  <si>
    <t>304295</t>
  </si>
  <si>
    <t>Raebareli, Uttar Pradesh</t>
  </si>
  <si>
    <t>187079</t>
  </si>
  <si>
    <t>PUNBO32247007JAI</t>
  </si>
  <si>
    <t>304303</t>
  </si>
  <si>
    <t>Lalganj, Uttar Pradesh</t>
  </si>
  <si>
    <t>267951</t>
  </si>
  <si>
    <t>PUNBS24PGNPULAK</t>
  </si>
  <si>
    <t>304543</t>
  </si>
  <si>
    <t>Diamond Harbour, West Bengal</t>
  </si>
  <si>
    <t>278858</t>
  </si>
  <si>
    <t>PUNB052120NARE01</t>
  </si>
  <si>
    <t>304751</t>
  </si>
  <si>
    <t>235562</t>
  </si>
  <si>
    <t>PUNB208620JAYESH</t>
  </si>
  <si>
    <t>304756</t>
  </si>
  <si>
    <t>Balitha, Gujarat</t>
  </si>
  <si>
    <t>191180</t>
  </si>
  <si>
    <t>PUNB133610PATE01</t>
  </si>
  <si>
    <t>304758</t>
  </si>
  <si>
    <t>Baben, Gujarat</t>
  </si>
  <si>
    <t>255070</t>
  </si>
  <si>
    <t>PUNB156620PRAB01</t>
  </si>
  <si>
    <t>304762</t>
  </si>
  <si>
    <t>264988</t>
  </si>
  <si>
    <t>PUNB156620DHAR01</t>
  </si>
  <si>
    <t>304763</t>
  </si>
  <si>
    <t>250047</t>
  </si>
  <si>
    <t>PUNB453500ABHI01</t>
  </si>
  <si>
    <t>304771</t>
  </si>
  <si>
    <t>282403</t>
  </si>
  <si>
    <t>PUNB972700GADH01</t>
  </si>
  <si>
    <t>304776</t>
  </si>
  <si>
    <t>Sayan, Gujarat</t>
  </si>
  <si>
    <t>258368</t>
  </si>
  <si>
    <t>PUNB972700MILA01</t>
  </si>
  <si>
    <t>304807</t>
  </si>
  <si>
    <t>258371</t>
  </si>
  <si>
    <t>PUNB04CZ51502741</t>
  </si>
  <si>
    <t>304868</t>
  </si>
  <si>
    <t>Majhauliraj, Uttar Pradesh</t>
  </si>
  <si>
    <t>255210</t>
  </si>
  <si>
    <t>PUNB04CZ48399178</t>
  </si>
  <si>
    <t>304870</t>
  </si>
  <si>
    <t>Gaura Barhaj, Uttar Pradesh</t>
  </si>
  <si>
    <t>213271</t>
  </si>
  <si>
    <t>PUNB36120422</t>
  </si>
  <si>
    <t>304900</t>
  </si>
  <si>
    <t>Chengalpattu, Tamil Nadu</t>
  </si>
  <si>
    <t>178675</t>
  </si>
  <si>
    <t>PUNB0R16261260</t>
  </si>
  <si>
    <t>305433</t>
  </si>
  <si>
    <t>285348</t>
  </si>
  <si>
    <t>PUNB0R17320049</t>
  </si>
  <si>
    <t>305437</t>
  </si>
  <si>
    <t>285353</t>
  </si>
  <si>
    <t>PUNBTRANSORGANIC4</t>
  </si>
  <si>
    <t>305442</t>
  </si>
  <si>
    <t>285790</t>
  </si>
  <si>
    <t>PUNBTRANSORGANIC3</t>
  </si>
  <si>
    <t>305444</t>
  </si>
  <si>
    <t>285817</t>
  </si>
  <si>
    <t>PUNBTRANSORGANIC2</t>
  </si>
  <si>
    <t>305446</t>
  </si>
  <si>
    <t>285830</t>
  </si>
  <si>
    <t>PUNBTRANSORGANIC1</t>
  </si>
  <si>
    <t>305448</t>
  </si>
  <si>
    <t>285832</t>
  </si>
  <si>
    <t>PUNBMBD2272</t>
  </si>
  <si>
    <t>305546</t>
  </si>
  <si>
    <t>Amroha, Uttar Pradesh</t>
  </si>
  <si>
    <t>283781</t>
  </si>
  <si>
    <t>PUNB80751335</t>
  </si>
  <si>
    <t>305547</t>
  </si>
  <si>
    <t>175725</t>
  </si>
  <si>
    <t>PUNBMBD2275</t>
  </si>
  <si>
    <t>305549</t>
  </si>
  <si>
    <t>Barwara Mazra, Uttar Pradesh</t>
  </si>
  <si>
    <t>283787</t>
  </si>
  <si>
    <t>PUNBVIJAYSAROJ</t>
  </si>
  <si>
    <t>305565</t>
  </si>
  <si>
    <t>285846</t>
  </si>
  <si>
    <t>PUNBLAIKAHMAD</t>
  </si>
  <si>
    <t>305567</t>
  </si>
  <si>
    <t>285849</t>
  </si>
  <si>
    <t>PUNBMBD2280</t>
  </si>
  <si>
    <t>305569</t>
  </si>
  <si>
    <t>Shahabad Rampur, Uttar Pradesh</t>
  </si>
  <si>
    <t>285794</t>
  </si>
  <si>
    <t>PUNBABA38194039</t>
  </si>
  <si>
    <t>305580</t>
  </si>
  <si>
    <t>Ramgarh Cantonment Civil Township, Jharkhand</t>
  </si>
  <si>
    <t>201801</t>
  </si>
  <si>
    <t>PUNBMBD2210</t>
  </si>
  <si>
    <t>305604</t>
  </si>
  <si>
    <t>257782</t>
  </si>
  <si>
    <t>PUNBMBD2281</t>
  </si>
  <si>
    <t>305609</t>
  </si>
  <si>
    <t>285813</t>
  </si>
  <si>
    <t>PUNBMBD2273</t>
  </si>
  <si>
    <t>305615</t>
  </si>
  <si>
    <t>283785</t>
  </si>
  <si>
    <t>PUNBMBD2282</t>
  </si>
  <si>
    <t>305620</t>
  </si>
  <si>
    <t>285818</t>
  </si>
  <si>
    <t>PUNBMBD2283</t>
  </si>
  <si>
    <t>305623</t>
  </si>
  <si>
    <t>285819</t>
  </si>
  <si>
    <t>PUNB90409</t>
  </si>
  <si>
    <t>305625</t>
  </si>
  <si>
    <t>260285</t>
  </si>
  <si>
    <t>PUNBMBD2284</t>
  </si>
  <si>
    <t>305631</t>
  </si>
  <si>
    <t>285828</t>
  </si>
  <si>
    <t>PUNB904011</t>
  </si>
  <si>
    <t>305643</t>
  </si>
  <si>
    <t>278145</t>
  </si>
  <si>
    <t>PUNB7621PANDIT</t>
  </si>
  <si>
    <t>305750</t>
  </si>
  <si>
    <t>Ichalkaranji, Maharashtra</t>
  </si>
  <si>
    <t>191880</t>
  </si>
  <si>
    <t>PUNB762100AMOL</t>
  </si>
  <si>
    <t>305754</t>
  </si>
  <si>
    <t>173809</t>
  </si>
  <si>
    <t>PUNBLIY010648</t>
  </si>
  <si>
    <t>305764</t>
  </si>
  <si>
    <t>228087</t>
  </si>
  <si>
    <t>PUNB7621JAISINGH</t>
  </si>
  <si>
    <t>305767</t>
  </si>
  <si>
    <t>173805</t>
  </si>
  <si>
    <t>PUNBDLR011791TNC9482196</t>
  </si>
  <si>
    <t>305774</t>
  </si>
  <si>
    <t>Gandhinagar, Maharashtra</t>
  </si>
  <si>
    <t>232193</t>
  </si>
  <si>
    <t>PUNBO35468994</t>
  </si>
  <si>
    <t>305815</t>
  </si>
  <si>
    <t>Arvi, Maharashtra</t>
  </si>
  <si>
    <t>232179</t>
  </si>
  <si>
    <t>PUNBHCW015334TNC53168149</t>
  </si>
  <si>
    <t>305835</t>
  </si>
  <si>
    <t>Solapur, Maharashtra</t>
  </si>
  <si>
    <t>232285</t>
  </si>
  <si>
    <t>PUNBHCW015334</t>
  </si>
  <si>
    <t>305839</t>
  </si>
  <si>
    <t>232286</t>
  </si>
  <si>
    <t>PUNBO70864070ABA29009269</t>
  </si>
  <si>
    <t>305847</t>
  </si>
  <si>
    <t>188697</t>
  </si>
  <si>
    <t>PUNBU72729376ABA40458571</t>
  </si>
  <si>
    <t>305850</t>
  </si>
  <si>
    <t>188522</t>
  </si>
  <si>
    <t>PUNBU74030225ABA40373376</t>
  </si>
  <si>
    <t>305855</t>
  </si>
  <si>
    <t>170983</t>
  </si>
  <si>
    <t>PUNBU74383843ABA40470345</t>
  </si>
  <si>
    <t>305858</t>
  </si>
  <si>
    <t>171245</t>
  </si>
  <si>
    <t>PUNBFOT016109TNC9481689</t>
  </si>
  <si>
    <t>305865</t>
  </si>
  <si>
    <t>171350</t>
  </si>
  <si>
    <t>PUNBO70864234ABA29006984</t>
  </si>
  <si>
    <t>305866</t>
  </si>
  <si>
    <t>232453</t>
  </si>
  <si>
    <t>PUNBO70864234ABA2900698</t>
  </si>
  <si>
    <t>305869</t>
  </si>
  <si>
    <t>232457</t>
  </si>
  <si>
    <t>PUNB3846shrikhande</t>
  </si>
  <si>
    <t>306122</t>
  </si>
  <si>
    <t>Amravati, Maharashtra</t>
  </si>
  <si>
    <t>282310</t>
  </si>
  <si>
    <t>PUNB831200O72424039</t>
  </si>
  <si>
    <t>306325</t>
  </si>
  <si>
    <t>Morinda, Punjab</t>
  </si>
  <si>
    <t>284915</t>
  </si>
  <si>
    <t>PUNB1QQ10349144</t>
  </si>
  <si>
    <t>306377</t>
  </si>
  <si>
    <t>285758</t>
  </si>
  <si>
    <t>SBIN400016160702</t>
  </si>
  <si>
    <t>306400</t>
  </si>
  <si>
    <t>Guwahati, Assam</t>
  </si>
  <si>
    <t>17678</t>
  </si>
  <si>
    <t>PUNB0BABAFILLING</t>
  </si>
  <si>
    <t>306433</t>
  </si>
  <si>
    <t>Lalitpur, Uttar Pradesh</t>
  </si>
  <si>
    <t>250756</t>
  </si>
  <si>
    <t>PUNB002990020132</t>
  </si>
  <si>
    <t>306434</t>
  </si>
  <si>
    <t>177959</t>
  </si>
  <si>
    <t>PUNB002990020144</t>
  </si>
  <si>
    <t>306436</t>
  </si>
  <si>
    <t>177958</t>
  </si>
  <si>
    <t>PUNB0ALM00346501</t>
  </si>
  <si>
    <t>306459</t>
  </si>
  <si>
    <t>216232</t>
  </si>
  <si>
    <t>CNRBMOHAN16003</t>
  </si>
  <si>
    <t>302263</t>
  </si>
  <si>
    <t>Chennai, Tamil Nadu</t>
  </si>
  <si>
    <t>285124</t>
  </si>
  <si>
    <t>CNRB14459001</t>
  </si>
  <si>
    <t>307735</t>
  </si>
  <si>
    <t>203709</t>
  </si>
  <si>
    <t>CNRB8682001</t>
  </si>
  <si>
    <t>308391</t>
  </si>
  <si>
    <t>Koottilangadi, Kerala</t>
  </si>
  <si>
    <t>240104</t>
  </si>
  <si>
    <t>SBIN400016161203</t>
  </si>
  <si>
    <t>306470</t>
  </si>
  <si>
    <t>126623</t>
  </si>
  <si>
    <t>PUNB3846THAKARE</t>
  </si>
  <si>
    <t>306476</t>
  </si>
  <si>
    <t>286034</t>
  </si>
  <si>
    <t>PUNBPNP002</t>
  </si>
  <si>
    <t>306523</t>
  </si>
  <si>
    <t>Panipat, Haryana</t>
  </si>
  <si>
    <t>271803</t>
  </si>
  <si>
    <t>PUNB90402</t>
  </si>
  <si>
    <t>306656</t>
  </si>
  <si>
    <t>Banthla, Uttar Pradesh</t>
  </si>
  <si>
    <t>249783</t>
  </si>
  <si>
    <t>PUNBMANISHKUMAR3891</t>
  </si>
  <si>
    <t>306662</t>
  </si>
  <si>
    <t>277764</t>
  </si>
  <si>
    <t>PUNB90406</t>
  </si>
  <si>
    <t>306686</t>
  </si>
  <si>
    <t>254469</t>
  </si>
  <si>
    <t>PUNBCS6041KIRAN</t>
  </si>
  <si>
    <t>306697</t>
  </si>
  <si>
    <t>Ulhasnagar, Maharashtra</t>
  </si>
  <si>
    <t>186790</t>
  </si>
  <si>
    <t>PUNBCS6041POOJAK</t>
  </si>
  <si>
    <t>306701</t>
  </si>
  <si>
    <t>253488</t>
  </si>
  <si>
    <t>PUNBCS6041SONAL</t>
  </si>
  <si>
    <t>306706</t>
  </si>
  <si>
    <t>180981</t>
  </si>
  <si>
    <t>SBINSVKRRAMAKISHORE</t>
  </si>
  <si>
    <t>306709</t>
  </si>
  <si>
    <t>281865</t>
  </si>
  <si>
    <t>PUNBCS6041SONAL1</t>
  </si>
  <si>
    <t>306716</t>
  </si>
  <si>
    <t>217297</t>
  </si>
  <si>
    <t>PUNBCS6041DATTA</t>
  </si>
  <si>
    <t>306723</t>
  </si>
  <si>
    <t>Asangaon, Maharashtra</t>
  </si>
  <si>
    <t>188340</t>
  </si>
  <si>
    <t>PUNBCS6041DATTA1</t>
  </si>
  <si>
    <t>306726</t>
  </si>
  <si>
    <t>188646</t>
  </si>
  <si>
    <t>PUNBCS6041NAREN1</t>
  </si>
  <si>
    <t>306734</t>
  </si>
  <si>
    <t>Kalyan, Maharashtra</t>
  </si>
  <si>
    <t>190516</t>
  </si>
  <si>
    <t>PUNB90408</t>
  </si>
  <si>
    <t>306735</t>
  </si>
  <si>
    <t>257204</t>
  </si>
  <si>
    <t>PUNB030450009</t>
  </si>
  <si>
    <t>306790</t>
  </si>
  <si>
    <t>229690</t>
  </si>
  <si>
    <t>PUNBCS6041MANOJ</t>
  </si>
  <si>
    <t>306858</t>
  </si>
  <si>
    <t>Mumbai, Maharashtra</t>
  </si>
  <si>
    <t>184148</t>
  </si>
  <si>
    <t>PUNBCS6041HIMMAT</t>
  </si>
  <si>
    <t>306863</t>
  </si>
  <si>
    <t>184220</t>
  </si>
  <si>
    <t>PUNBCS6041PRAKASHP</t>
  </si>
  <si>
    <t>306872</t>
  </si>
  <si>
    <t>253941</t>
  </si>
  <si>
    <t>SBIN88428904508</t>
  </si>
  <si>
    <t>307076</t>
  </si>
  <si>
    <t>278545</t>
  </si>
  <si>
    <t>SBIN78014952671</t>
  </si>
  <si>
    <t>307082</t>
  </si>
  <si>
    <t>Madhurawada, Andhra Pradesh</t>
  </si>
  <si>
    <t>271676</t>
  </si>
  <si>
    <t>SBIN78014952706</t>
  </si>
  <si>
    <t>307088</t>
  </si>
  <si>
    <t>271694</t>
  </si>
  <si>
    <t>CNRB923667232</t>
  </si>
  <si>
    <t>311929</t>
  </si>
  <si>
    <t>271846</t>
  </si>
  <si>
    <t>PUNB803</t>
  </si>
  <si>
    <t>307163</t>
  </si>
  <si>
    <t>Raxaul Bazar, Bihar</t>
  </si>
  <si>
    <t>285789</t>
  </si>
  <si>
    <t>PUNB8K750631619I</t>
  </si>
  <si>
    <t>307541</t>
  </si>
  <si>
    <t>Mahabubnagar, Telangana</t>
  </si>
  <si>
    <t>264119</t>
  </si>
  <si>
    <t>PUNB1OQ57716109I</t>
  </si>
  <si>
    <t>307554</t>
  </si>
  <si>
    <t>264099</t>
  </si>
  <si>
    <t>PUNB47320002</t>
  </si>
  <si>
    <t>307571</t>
  </si>
  <si>
    <t>Karimnagar, Telangana</t>
  </si>
  <si>
    <t>170901</t>
  </si>
  <si>
    <t>PUNBARORATRADERS</t>
  </si>
  <si>
    <t>307630</t>
  </si>
  <si>
    <t>Ferozepur, Punjab</t>
  </si>
  <si>
    <t>286186</t>
  </si>
  <si>
    <t>PUNBCS6041AMBHORE</t>
  </si>
  <si>
    <t>307742</t>
  </si>
  <si>
    <t>Additional Murbad Industrial Area, Maharashtra</t>
  </si>
  <si>
    <t>252282</t>
  </si>
  <si>
    <t>PUNBCS6041VISHNU</t>
  </si>
  <si>
    <t>307811</t>
  </si>
  <si>
    <t>202443</t>
  </si>
  <si>
    <t>PUNBCS6041AFAQ</t>
  </si>
  <si>
    <t>307816</t>
  </si>
  <si>
    <t>202412</t>
  </si>
  <si>
    <t>PUNB0ROHITKUMAR</t>
  </si>
  <si>
    <t>307822</t>
  </si>
  <si>
    <t>Sardhana, Uttar Pradesh</t>
  </si>
  <si>
    <t>180712</t>
  </si>
  <si>
    <t>PUNBABA37807822</t>
  </si>
  <si>
    <t>307828</t>
  </si>
  <si>
    <t>Meerut, Uttar Pradesh</t>
  </si>
  <si>
    <t>171717</t>
  </si>
  <si>
    <t>PUNBADC10726601</t>
  </si>
  <si>
    <t>307851</t>
  </si>
  <si>
    <t>171661</t>
  </si>
  <si>
    <t>PUNBO40312452</t>
  </si>
  <si>
    <t>307886</t>
  </si>
  <si>
    <t>Zira, Punjab</t>
  </si>
  <si>
    <t>176380</t>
  </si>
  <si>
    <t>PUNB98A24329774</t>
  </si>
  <si>
    <t>307902</t>
  </si>
  <si>
    <t>171708</t>
  </si>
  <si>
    <t>PUNBWCB24320952</t>
  </si>
  <si>
    <t>307905</t>
  </si>
  <si>
    <t>Moga, Punjab</t>
  </si>
  <si>
    <t>273527</t>
  </si>
  <si>
    <t>PUNBO25471897</t>
  </si>
  <si>
    <t>307910</t>
  </si>
  <si>
    <t>179137</t>
  </si>
  <si>
    <t>PUNBSANKARSTORE</t>
  </si>
  <si>
    <t>307940</t>
  </si>
  <si>
    <t>186939</t>
  </si>
  <si>
    <t>PUNBAMARJIT</t>
  </si>
  <si>
    <t>307636</t>
  </si>
  <si>
    <t>286164</t>
  </si>
  <si>
    <t>PUNBGOPALBH</t>
  </si>
  <si>
    <t>307965</t>
  </si>
  <si>
    <t>225707</t>
  </si>
  <si>
    <t>PUNBPRADIPKSHAW</t>
  </si>
  <si>
    <t>307982</t>
  </si>
  <si>
    <t>227574</t>
  </si>
  <si>
    <t>PUNBSANDEEPLALL</t>
  </si>
  <si>
    <t>307998</t>
  </si>
  <si>
    <t>227334</t>
  </si>
  <si>
    <t>PUNBPANKAJN001</t>
  </si>
  <si>
    <t>308028</t>
  </si>
  <si>
    <t>Baruipur, West Bengal</t>
  </si>
  <si>
    <t>263090</t>
  </si>
  <si>
    <t>PUNBDAYNIGHTSEC</t>
  </si>
  <si>
    <t>308050</t>
  </si>
  <si>
    <t>271946</t>
  </si>
  <si>
    <t>ABHY0REC101</t>
  </si>
  <si>
    <t>308057</t>
  </si>
  <si>
    <t>Abhyudaya Co-Operative Bank Ltd</t>
  </si>
  <si>
    <t>251014</t>
  </si>
  <si>
    <t>PUNBCHANCHALD</t>
  </si>
  <si>
    <t>308064</t>
  </si>
  <si>
    <t>171131</t>
  </si>
  <si>
    <t>ABHY0REC103</t>
  </si>
  <si>
    <t>308066</t>
  </si>
  <si>
    <t>256361</t>
  </si>
  <si>
    <t>ABHY0REC110</t>
  </si>
  <si>
    <t>308069</t>
  </si>
  <si>
    <t>261008</t>
  </si>
  <si>
    <t>ABHY0REC112</t>
  </si>
  <si>
    <t>308071</t>
  </si>
  <si>
    <t>261019</t>
  </si>
  <si>
    <t>ABHY0REC118</t>
  </si>
  <si>
    <t>308074</t>
  </si>
  <si>
    <t>270394</t>
  </si>
  <si>
    <t>ABHY0REC120</t>
  </si>
  <si>
    <t>308076</t>
  </si>
  <si>
    <t>270396</t>
  </si>
  <si>
    <t>ABHY0REC119</t>
  </si>
  <si>
    <t>308078</t>
  </si>
  <si>
    <t>270395</t>
  </si>
  <si>
    <t>PUNB82220057</t>
  </si>
  <si>
    <t>308083</t>
  </si>
  <si>
    <t>Raghunathpur, West Bengal</t>
  </si>
  <si>
    <t>177238</t>
  </si>
  <si>
    <t>ABHY0REC125</t>
  </si>
  <si>
    <t>308094</t>
  </si>
  <si>
    <t>270673</t>
  </si>
  <si>
    <t>PUNB24EW26766718</t>
  </si>
  <si>
    <t>308110</t>
  </si>
  <si>
    <t>227288</t>
  </si>
  <si>
    <t>ABHY0REC113</t>
  </si>
  <si>
    <t>308111</t>
  </si>
  <si>
    <t>261021</t>
  </si>
  <si>
    <t>ABHY0REC123</t>
  </si>
  <si>
    <t>308123</t>
  </si>
  <si>
    <t>270401</t>
  </si>
  <si>
    <t>ABHY0REC129</t>
  </si>
  <si>
    <t>308132</t>
  </si>
  <si>
    <t>273461</t>
  </si>
  <si>
    <t>PUNBRNC59587871</t>
  </si>
  <si>
    <t>308144</t>
  </si>
  <si>
    <t>Hindusthan Cables Town, West Bengal</t>
  </si>
  <si>
    <t>261406</t>
  </si>
  <si>
    <t>PUNBABA40376773</t>
  </si>
  <si>
    <t>308157</t>
  </si>
  <si>
    <t>231815</t>
  </si>
  <si>
    <t>PUNBABA40318082</t>
  </si>
  <si>
    <t>308194</t>
  </si>
  <si>
    <t>227307</t>
  </si>
  <si>
    <t>PUNBUKA9616428</t>
  </si>
  <si>
    <t>308462</t>
  </si>
  <si>
    <t>Faridkot, Punjab</t>
  </si>
  <si>
    <t>182903</t>
  </si>
  <si>
    <t>IOBA2722ambatrader</t>
  </si>
  <si>
    <t>315497</t>
  </si>
  <si>
    <t>Kaithal, Haryana</t>
  </si>
  <si>
    <t>277104</t>
  </si>
  <si>
    <t>PUNB4DA9422025</t>
  </si>
  <si>
    <t>308468</t>
  </si>
  <si>
    <t>175574</t>
  </si>
  <si>
    <t>PUNB83250276</t>
  </si>
  <si>
    <t>308494</t>
  </si>
  <si>
    <t>230831</t>
  </si>
  <si>
    <t>PUNB19F9465159</t>
  </si>
  <si>
    <t>308496</t>
  </si>
  <si>
    <t>Tarn Taran, Punjab</t>
  </si>
  <si>
    <t>276332</t>
  </si>
  <si>
    <t>PUNB083250330</t>
  </si>
  <si>
    <t>308498</t>
  </si>
  <si>
    <t>Thane, Maharashtra</t>
  </si>
  <si>
    <t>186976</t>
  </si>
  <si>
    <t>PUNB8325180</t>
  </si>
  <si>
    <t>308501</t>
  </si>
  <si>
    <t>179552</t>
  </si>
  <si>
    <t>PUNB5DA10637669</t>
  </si>
  <si>
    <t>308506</t>
  </si>
  <si>
    <t>Amritsar, Punjab</t>
  </si>
  <si>
    <t>246059</t>
  </si>
  <si>
    <t>PUNB818601355</t>
  </si>
  <si>
    <t>308524</t>
  </si>
  <si>
    <t>173072</t>
  </si>
  <si>
    <t>PUNB818601347</t>
  </si>
  <si>
    <t>308530</t>
  </si>
  <si>
    <t>173077</t>
  </si>
  <si>
    <t>PUNB82820105</t>
  </si>
  <si>
    <t>308533</t>
  </si>
  <si>
    <t>178235</t>
  </si>
  <si>
    <t>PUNB83250232021</t>
  </si>
  <si>
    <t>308536</t>
  </si>
  <si>
    <t>179559</t>
  </si>
  <si>
    <t>PUNB82220203</t>
  </si>
  <si>
    <t>308562</t>
  </si>
  <si>
    <t>Durgapur, West Bengal</t>
  </si>
  <si>
    <t>177248</t>
  </si>
  <si>
    <t>PUNB83250232</t>
  </si>
  <si>
    <t>308572</t>
  </si>
  <si>
    <t>178164</t>
  </si>
  <si>
    <t>PUNB9H562278096</t>
  </si>
  <si>
    <t>308576</t>
  </si>
  <si>
    <t>285779</t>
  </si>
  <si>
    <t>PUNB818601331</t>
  </si>
  <si>
    <t>308577</t>
  </si>
  <si>
    <t>173057</t>
  </si>
  <si>
    <t>SBIN897712610441</t>
  </si>
  <si>
    <t>308580</t>
  </si>
  <si>
    <t>169830</t>
  </si>
  <si>
    <t>PUNB4MJ9686636</t>
  </si>
  <si>
    <t>308685</t>
  </si>
  <si>
    <t>Nagpur, Maharashtra</t>
  </si>
  <si>
    <t>175249</t>
  </si>
  <si>
    <t>PUNB5GA9423686</t>
  </si>
  <si>
    <t>308717</t>
  </si>
  <si>
    <t>175215</t>
  </si>
  <si>
    <t>PUNBC7A23886952</t>
  </si>
  <si>
    <t>308723</t>
  </si>
  <si>
    <t>175232</t>
  </si>
  <si>
    <t>PUNB1HA9499904</t>
  </si>
  <si>
    <t>308728</t>
  </si>
  <si>
    <t>175188</t>
  </si>
  <si>
    <t>PUNB5FU10394302</t>
  </si>
  <si>
    <t>308737</t>
  </si>
  <si>
    <t>Wani, Maharashtra</t>
  </si>
  <si>
    <t>175251</t>
  </si>
  <si>
    <t>PUNB6795JADHAV</t>
  </si>
  <si>
    <t>308744</t>
  </si>
  <si>
    <t>Bhalar Township, Maharashtra</t>
  </si>
  <si>
    <t>213146</t>
  </si>
  <si>
    <t>PUNB6795JADHAV2</t>
  </si>
  <si>
    <t>308749</t>
  </si>
  <si>
    <t>213149</t>
  </si>
  <si>
    <t>PUNB6795AMRUTA</t>
  </si>
  <si>
    <t>308795</t>
  </si>
  <si>
    <t>235402</t>
  </si>
  <si>
    <t>PUNB5FT10622494</t>
  </si>
  <si>
    <t>308798</t>
  </si>
  <si>
    <t>175245</t>
  </si>
  <si>
    <t>PUNB416800154</t>
  </si>
  <si>
    <t>308835</t>
  </si>
  <si>
    <t>186332</t>
  </si>
  <si>
    <t>PUNB23I58990432</t>
  </si>
  <si>
    <t>309034</t>
  </si>
  <si>
    <t>Jalalabad Muzaffarnagar, Uttar Pradesh</t>
  </si>
  <si>
    <t>208458</t>
  </si>
  <si>
    <t>CNRBPUTULRANIDAS</t>
  </si>
  <si>
    <t>300746</t>
  </si>
  <si>
    <t>Gakulpur, Tripura</t>
  </si>
  <si>
    <t>284189</t>
  </si>
  <si>
    <t>PUNBDINESH001</t>
  </si>
  <si>
    <t>309121</t>
  </si>
  <si>
    <t>Bamna, West Bengal</t>
  </si>
  <si>
    <t>270260</t>
  </si>
  <si>
    <t>PUNBAW261616706</t>
  </si>
  <si>
    <t>309137</t>
  </si>
  <si>
    <t>Anantpur, Maharashtra</t>
  </si>
  <si>
    <t>266215</t>
  </si>
  <si>
    <t>PUNBAW259857848</t>
  </si>
  <si>
    <t>309139</t>
  </si>
  <si>
    <t>266241</t>
  </si>
  <si>
    <t>PUNBAW259857900</t>
  </si>
  <si>
    <t>309144</t>
  </si>
  <si>
    <t>266227</t>
  </si>
  <si>
    <t>PUNB000828800183</t>
  </si>
  <si>
    <t>309149</t>
  </si>
  <si>
    <t>182574</t>
  </si>
  <si>
    <t>PUNB000828800220</t>
  </si>
  <si>
    <t>309155</t>
  </si>
  <si>
    <t>182575</t>
  </si>
  <si>
    <t>PUNB23B49286761</t>
  </si>
  <si>
    <t>309191</t>
  </si>
  <si>
    <t>Yamunanagar, Haryana</t>
  </si>
  <si>
    <t>260671</t>
  </si>
  <si>
    <t>PUNB23B47543462</t>
  </si>
  <si>
    <t>309192</t>
  </si>
  <si>
    <t>260259</t>
  </si>
  <si>
    <t>PUNB23B48972215</t>
  </si>
  <si>
    <t>309193</t>
  </si>
  <si>
    <t>260680</t>
  </si>
  <si>
    <t>PUNB8728960</t>
  </si>
  <si>
    <t>309451</t>
  </si>
  <si>
    <t>Hajipur, Bihar</t>
  </si>
  <si>
    <t>181498</t>
  </si>
  <si>
    <t>PUNBZSSUVIKAS2</t>
  </si>
  <si>
    <t>309453</t>
  </si>
  <si>
    <t>244301</t>
  </si>
  <si>
    <t>PUNBABA40482599</t>
  </si>
  <si>
    <t>309563</t>
  </si>
  <si>
    <t>Malda, West Bengal</t>
  </si>
  <si>
    <t>175417</t>
  </si>
  <si>
    <t>PUNBMODISOL0001</t>
  </si>
  <si>
    <t>309585</t>
  </si>
  <si>
    <t>Ludhiana, Punjab</t>
  </si>
  <si>
    <t>274795</t>
  </si>
  <si>
    <t>PUNBMODISOL0002</t>
  </si>
  <si>
    <t>309589</t>
  </si>
  <si>
    <t>274818</t>
  </si>
  <si>
    <t>PUNBSAMIMBEN</t>
  </si>
  <si>
    <t>309621</t>
  </si>
  <si>
    <t>Gandhinagar., Gujarat</t>
  </si>
  <si>
    <t>264088</t>
  </si>
  <si>
    <t>PUNB465100202305</t>
  </si>
  <si>
    <t>309639</t>
  </si>
  <si>
    <t>183513</t>
  </si>
  <si>
    <t>PUNB000220202401</t>
  </si>
  <si>
    <t>309647</t>
  </si>
  <si>
    <t>173551</t>
  </si>
  <si>
    <t>PUNBKEYUR</t>
  </si>
  <si>
    <t>309649</t>
  </si>
  <si>
    <t>Ahmedabad, Gujarat</t>
  </si>
  <si>
    <t>254398</t>
  </si>
  <si>
    <t>PUNB0NISHISETH</t>
  </si>
  <si>
    <t>309665</t>
  </si>
  <si>
    <t>202209</t>
  </si>
  <si>
    <t>PUNBU4596660301</t>
  </si>
  <si>
    <t>309677</t>
  </si>
  <si>
    <t>264340</t>
  </si>
  <si>
    <t>PUNB0543SUKHDEV</t>
  </si>
  <si>
    <t>309776</t>
  </si>
  <si>
    <t>Mansa, Punjab</t>
  </si>
  <si>
    <t>177696</t>
  </si>
  <si>
    <t>PUNBABA47473347</t>
  </si>
  <si>
    <t>309788</t>
  </si>
  <si>
    <t>Raman, Punjab</t>
  </si>
  <si>
    <t>239756</t>
  </si>
  <si>
    <t>PUNBQNA55804814</t>
  </si>
  <si>
    <t>309797</t>
  </si>
  <si>
    <t>Bathinda, Punjab</t>
  </si>
  <si>
    <t>248566</t>
  </si>
  <si>
    <t>PUNBRICHA3174</t>
  </si>
  <si>
    <t>309801</t>
  </si>
  <si>
    <t>Janjgir, Chhattisgarh</t>
  </si>
  <si>
    <t>220757</t>
  </si>
  <si>
    <t>PUNBYL166933647</t>
  </si>
  <si>
    <t>309807</t>
  </si>
  <si>
    <t>Rampura Phul, Punjab</t>
  </si>
  <si>
    <t>255711</t>
  </si>
  <si>
    <t>PUNBABA37778906</t>
  </si>
  <si>
    <t>309813</t>
  </si>
  <si>
    <t>271654</t>
  </si>
  <si>
    <t>PUNB0598600SANJAY</t>
  </si>
  <si>
    <t>304832</t>
  </si>
  <si>
    <t>229226</t>
  </si>
  <si>
    <t>PUNBCS6041SHRIK</t>
  </si>
  <si>
    <t>309817</t>
  </si>
  <si>
    <t>171209</t>
  </si>
  <si>
    <t>PUNBDADISUMAN8600</t>
  </si>
  <si>
    <t>309818</t>
  </si>
  <si>
    <t>Jindal Industrial Park, Chhattisgarh</t>
  </si>
  <si>
    <t>265462</t>
  </si>
  <si>
    <t>PUNBDADIMAMTA9200</t>
  </si>
  <si>
    <t>309851</t>
  </si>
  <si>
    <t>265457</t>
  </si>
  <si>
    <t>PUNBSANJAYHAZRA</t>
  </si>
  <si>
    <t>309949</t>
  </si>
  <si>
    <t>231663</t>
  </si>
  <si>
    <t>PUNBABA40352150</t>
  </si>
  <si>
    <t>309950</t>
  </si>
  <si>
    <t>274317</t>
  </si>
  <si>
    <t>PUNBABA40326762</t>
  </si>
  <si>
    <t>309951</t>
  </si>
  <si>
    <t>Chak Baria, West Bengal</t>
  </si>
  <si>
    <t>258137</t>
  </si>
  <si>
    <t>PUNBMAYAJEWELLER</t>
  </si>
  <si>
    <t>309952</t>
  </si>
  <si>
    <t>Dhamua, West Bengal</t>
  </si>
  <si>
    <t>174458</t>
  </si>
  <si>
    <t>PUNBHG456154189</t>
  </si>
  <si>
    <t>309953</t>
  </si>
  <si>
    <t>Uttarpara Kotrung, West Bengal</t>
  </si>
  <si>
    <t>276140</t>
  </si>
  <si>
    <t>PUNBSALEMMOLLA</t>
  </si>
  <si>
    <t>309954</t>
  </si>
  <si>
    <t>219638</t>
  </si>
  <si>
    <t>PUNB826520200036</t>
  </si>
  <si>
    <t>309955</t>
  </si>
  <si>
    <t>171054</t>
  </si>
  <si>
    <t>PUNBGHOSHBUILD</t>
  </si>
  <si>
    <t>309956</t>
  </si>
  <si>
    <t>174435</t>
  </si>
  <si>
    <t>PUNBMITHUN001</t>
  </si>
  <si>
    <t>309957</t>
  </si>
  <si>
    <t>Muragachha, West Bengal</t>
  </si>
  <si>
    <t>174415</t>
  </si>
  <si>
    <t>PUNBMITHUN002</t>
  </si>
  <si>
    <t>309958</t>
  </si>
  <si>
    <t>179772</t>
  </si>
  <si>
    <t>PUNBABA4048149301</t>
  </si>
  <si>
    <t>309959</t>
  </si>
  <si>
    <t>268905</t>
  </si>
  <si>
    <t>PUNBSAHIRULMALI</t>
  </si>
  <si>
    <t>309960</t>
  </si>
  <si>
    <t>Canning, West Bengal</t>
  </si>
  <si>
    <t>186303</t>
  </si>
  <si>
    <t>PUNBRITALAHIRI</t>
  </si>
  <si>
    <t>309961</t>
  </si>
  <si>
    <t>231601</t>
  </si>
  <si>
    <t>PUNBU43463491001</t>
  </si>
  <si>
    <t>309962</t>
  </si>
  <si>
    <t>174529</t>
  </si>
  <si>
    <t>PUNB2W57288599101</t>
  </si>
  <si>
    <t>309963</t>
  </si>
  <si>
    <t>Rajpur Sonarpur, West Bengal</t>
  </si>
  <si>
    <t>273756</t>
  </si>
  <si>
    <t>PUNBCENTRETEX</t>
  </si>
  <si>
    <t>309964</t>
  </si>
  <si>
    <t>174499</t>
  </si>
  <si>
    <t>PUNBGOLDENTRANS</t>
  </si>
  <si>
    <t>309965</t>
  </si>
  <si>
    <t>174396</t>
  </si>
  <si>
    <t>PUNBU49250587001</t>
  </si>
  <si>
    <t>309966</t>
  </si>
  <si>
    <t>172284</t>
  </si>
  <si>
    <t>PUNBSHREE001</t>
  </si>
  <si>
    <t>309967</t>
  </si>
  <si>
    <t>174412</t>
  </si>
  <si>
    <t>PUNBU66511708001</t>
  </si>
  <si>
    <t>309968</t>
  </si>
  <si>
    <t>174525</t>
  </si>
  <si>
    <t>PUNBGENEXT</t>
  </si>
  <si>
    <t>309969</t>
  </si>
  <si>
    <t>174426</t>
  </si>
  <si>
    <t>PUNBSANJHRUP</t>
  </si>
  <si>
    <t>309970</t>
  </si>
  <si>
    <t>174425</t>
  </si>
  <si>
    <t>PUNBSREEKRISHNA</t>
  </si>
  <si>
    <t>309971</t>
  </si>
  <si>
    <t>174434</t>
  </si>
  <si>
    <t>PUNBABA40415055</t>
  </si>
  <si>
    <t>310012</t>
  </si>
  <si>
    <t>Minakhan, West Bengal</t>
  </si>
  <si>
    <t>263312</t>
  </si>
  <si>
    <t>PUNBABA380898311</t>
  </si>
  <si>
    <t>310094</t>
  </si>
  <si>
    <t>Lasalgaon, Maharashtra</t>
  </si>
  <si>
    <t>278021</t>
  </si>
  <si>
    <t>SBINBORASRINIVASAREDDY</t>
  </si>
  <si>
    <t>310108</t>
  </si>
  <si>
    <t>276882</t>
  </si>
  <si>
    <t>PUNBNOC9570280</t>
  </si>
  <si>
    <t>310110</t>
  </si>
  <si>
    <t>Nanded, Maharashtra</t>
  </si>
  <si>
    <t>271610</t>
  </si>
  <si>
    <t>PUNBABA37852672</t>
  </si>
  <si>
    <t>310114</t>
  </si>
  <si>
    <t>275406</t>
  </si>
  <si>
    <t>PUNBABA38145657</t>
  </si>
  <si>
    <t>310121</t>
  </si>
  <si>
    <t>276763</t>
  </si>
  <si>
    <t>PUNB1HA9556188</t>
  </si>
  <si>
    <t>310125</t>
  </si>
  <si>
    <t>Akola, Maharashtra</t>
  </si>
  <si>
    <t>277968</t>
  </si>
  <si>
    <t>PUNB1HA9556394</t>
  </si>
  <si>
    <t>310128</t>
  </si>
  <si>
    <t>277975</t>
  </si>
  <si>
    <t>PUNBABA47449031</t>
  </si>
  <si>
    <t>310135</t>
  </si>
  <si>
    <t>Buldhana, Maharashtra</t>
  </si>
  <si>
    <t>275385</t>
  </si>
  <si>
    <t>PUNBCS6041VIMALB</t>
  </si>
  <si>
    <t>310144</t>
  </si>
  <si>
    <t>184063</t>
  </si>
  <si>
    <t>PUNB8075UDGHAM</t>
  </si>
  <si>
    <t>310156</t>
  </si>
  <si>
    <t>261250</t>
  </si>
  <si>
    <t>PUNB3037RAJESH</t>
  </si>
  <si>
    <t>310196</t>
  </si>
  <si>
    <t>Chirmiri, Chhattisgarh</t>
  </si>
  <si>
    <t>216413</t>
  </si>
  <si>
    <t>PUNB8302120</t>
  </si>
  <si>
    <t>310234</t>
  </si>
  <si>
    <t>175974</t>
  </si>
  <si>
    <t>PUNB8302030</t>
  </si>
  <si>
    <t>310239</t>
  </si>
  <si>
    <t>Banda, Uttar Pradesh</t>
  </si>
  <si>
    <t>255208</t>
  </si>
  <si>
    <t>PUNB2085RAMPRASAD</t>
  </si>
  <si>
    <t>310302</t>
  </si>
  <si>
    <t>Bodla, Chhattisgarh</t>
  </si>
  <si>
    <t>208268</t>
  </si>
  <si>
    <t>PUNBO34729524</t>
  </si>
  <si>
    <t>310412</t>
  </si>
  <si>
    <t>Greater Noida, Uttar Pradesh</t>
  </si>
  <si>
    <t>275740</t>
  </si>
  <si>
    <t>PUNBO34729502</t>
  </si>
  <si>
    <t>310427</t>
  </si>
  <si>
    <t>277859</t>
  </si>
  <si>
    <t>PUNBU66246861007</t>
  </si>
  <si>
    <t>310442</t>
  </si>
  <si>
    <t>Krishnanagar, West Bengal</t>
  </si>
  <si>
    <t>218137</t>
  </si>
  <si>
    <t>PUNB8292SKAGRO</t>
  </si>
  <si>
    <t>310445</t>
  </si>
  <si>
    <t>238204</t>
  </si>
  <si>
    <t>PUNBabhinav</t>
  </si>
  <si>
    <t>310453</t>
  </si>
  <si>
    <t>Jalandhar, Punjab</t>
  </si>
  <si>
    <t>278739</t>
  </si>
  <si>
    <t>PUNBABA40338265</t>
  </si>
  <si>
    <t>310454</t>
  </si>
  <si>
    <t>233903</t>
  </si>
  <si>
    <t>PUNB8075PRIYA</t>
  </si>
  <si>
    <t>310455</t>
  </si>
  <si>
    <t>274992</t>
  </si>
  <si>
    <t>PUNB80750027</t>
  </si>
  <si>
    <t>310463</t>
  </si>
  <si>
    <t>272270</t>
  </si>
  <si>
    <t>PUNB8303152</t>
  </si>
  <si>
    <t>310467</t>
  </si>
  <si>
    <t>184533</t>
  </si>
  <si>
    <t>PUNBABA40332946</t>
  </si>
  <si>
    <t>310472</t>
  </si>
  <si>
    <t>Bally, West Bengal</t>
  </si>
  <si>
    <t>278953</t>
  </si>
  <si>
    <t>PUNB8292SFE</t>
  </si>
  <si>
    <t>310475</t>
  </si>
  <si>
    <t>183669</t>
  </si>
  <si>
    <t>PUNB8292SCK</t>
  </si>
  <si>
    <t>310489</t>
  </si>
  <si>
    <t>232084</t>
  </si>
  <si>
    <t>PUNBABA40357021</t>
  </si>
  <si>
    <t>310507</t>
  </si>
  <si>
    <t>278965</t>
  </si>
  <si>
    <t>PUNB08303845</t>
  </si>
  <si>
    <t>310518</t>
  </si>
  <si>
    <t>218377</t>
  </si>
  <si>
    <t>PUNBRKI08</t>
  </si>
  <si>
    <t>310519</t>
  </si>
  <si>
    <t>Bareilly, Uttar Pradesh</t>
  </si>
  <si>
    <t>264954</t>
  </si>
  <si>
    <t>PUNB0DIVYAPATELPLOT59</t>
  </si>
  <si>
    <t>310522</t>
  </si>
  <si>
    <t>Ranasan Industrial Area, Gujarat</t>
  </si>
  <si>
    <t>277156</t>
  </si>
  <si>
    <t>PUNB0DIVYAPATELPLOT58</t>
  </si>
  <si>
    <t>310525</t>
  </si>
  <si>
    <t>277143</t>
  </si>
  <si>
    <t>PUNBU74631118007</t>
  </si>
  <si>
    <t>310529</t>
  </si>
  <si>
    <t>175025</t>
  </si>
  <si>
    <t>PUNB0DIVYAPATELPLOT64</t>
  </si>
  <si>
    <t>310530</t>
  </si>
  <si>
    <t>277309</t>
  </si>
  <si>
    <t>PUNB0DIVYAPATELPLOT66</t>
  </si>
  <si>
    <t>310532</t>
  </si>
  <si>
    <t>277317</t>
  </si>
  <si>
    <t>PUNB08303393</t>
  </si>
  <si>
    <t>310536</t>
  </si>
  <si>
    <t>233084</t>
  </si>
  <si>
    <t>PUNB0DIVYAPATELPLOT67</t>
  </si>
  <si>
    <t>310538</t>
  </si>
  <si>
    <t>277328</t>
  </si>
  <si>
    <t>PUNB0DIVYAPATELPLOT75</t>
  </si>
  <si>
    <t>310543</t>
  </si>
  <si>
    <t>277345</t>
  </si>
  <si>
    <t>PUNB0DIVYAPATELPLOT82</t>
  </si>
  <si>
    <t>310547</t>
  </si>
  <si>
    <t>277376</t>
  </si>
  <si>
    <t>SBINADABALAPADMAJIRAO</t>
  </si>
  <si>
    <t>310568</t>
  </si>
  <si>
    <t>Narasapur, Andhra Pradesh</t>
  </si>
  <si>
    <t>286615</t>
  </si>
  <si>
    <t>PUNB465200202501</t>
  </si>
  <si>
    <t>310619</t>
  </si>
  <si>
    <t>227438</t>
  </si>
  <si>
    <t>PUNB299900RAJSHR</t>
  </si>
  <si>
    <t>310644</t>
  </si>
  <si>
    <t>175544</t>
  </si>
  <si>
    <t>PUNBDHILLONCLOTH</t>
  </si>
  <si>
    <t>307629</t>
  </si>
  <si>
    <t>Mudki, Punjab</t>
  </si>
  <si>
    <t>286193</t>
  </si>
  <si>
    <t>PUNBKUA26779684</t>
  </si>
  <si>
    <t>310711</t>
  </si>
  <si>
    <t>226665</t>
  </si>
  <si>
    <t>PUNB0271200025</t>
  </si>
  <si>
    <t>310716</t>
  </si>
  <si>
    <t>Mau Aima, Uttar Pradesh</t>
  </si>
  <si>
    <t>253962</t>
  </si>
  <si>
    <t>PUNB0271200023</t>
  </si>
  <si>
    <t>310723</t>
  </si>
  <si>
    <t>Prayagraj, Uttar Pradesh</t>
  </si>
  <si>
    <t>199408</t>
  </si>
  <si>
    <t>PUNB20244</t>
  </si>
  <si>
    <t>310820</t>
  </si>
  <si>
    <t>Ranchi, Jharkhand</t>
  </si>
  <si>
    <t>173638</t>
  </si>
  <si>
    <t>PUNB6794032023</t>
  </si>
  <si>
    <t>310822</t>
  </si>
  <si>
    <t>173626</t>
  </si>
  <si>
    <t>PUNB8302107</t>
  </si>
  <si>
    <t>310830</t>
  </si>
  <si>
    <t>233586</t>
  </si>
  <si>
    <t>PUNB826520200024</t>
  </si>
  <si>
    <t>310834</t>
  </si>
  <si>
    <t>175054</t>
  </si>
  <si>
    <t>PUNB31260648253</t>
  </si>
  <si>
    <t>310841</t>
  </si>
  <si>
    <t>Howrah, West Bengal</t>
  </si>
  <si>
    <t>263201</t>
  </si>
  <si>
    <t>PUNBABA40271127</t>
  </si>
  <si>
    <t>310854</t>
  </si>
  <si>
    <t>261820</t>
  </si>
  <si>
    <t>PUNB0024420EPVISA</t>
  </si>
  <si>
    <t>310856</t>
  </si>
  <si>
    <t>Bhubaneswar, Odisha</t>
  </si>
  <si>
    <t>217293</t>
  </si>
  <si>
    <t>PUNBU47794514007</t>
  </si>
  <si>
    <t>310861</t>
  </si>
  <si>
    <t>175006</t>
  </si>
  <si>
    <t>PUNB4ZA55833682</t>
  </si>
  <si>
    <t>310870</t>
  </si>
  <si>
    <t>232427</t>
  </si>
  <si>
    <t>PUNBEE461251177</t>
  </si>
  <si>
    <t>310882</t>
  </si>
  <si>
    <t>259574</t>
  </si>
  <si>
    <t>PUNBABA47894076</t>
  </si>
  <si>
    <t>310891</t>
  </si>
  <si>
    <t>275213</t>
  </si>
  <si>
    <t>PUNB0825306791</t>
  </si>
  <si>
    <t>310921</t>
  </si>
  <si>
    <t>Sahebganj, Bihar</t>
  </si>
  <si>
    <t>182174</t>
  </si>
  <si>
    <t>PUNB8260003244</t>
  </si>
  <si>
    <t>310947</t>
  </si>
  <si>
    <t>Badhi Majra 126, Haryana</t>
  </si>
  <si>
    <t>176109</t>
  </si>
  <si>
    <t>PUNB6041MBR</t>
  </si>
  <si>
    <t>310958</t>
  </si>
  <si>
    <t>271701</t>
  </si>
  <si>
    <t>PUNB352607124</t>
  </si>
  <si>
    <t>311063</t>
  </si>
  <si>
    <t>Bankura, West Bengal</t>
  </si>
  <si>
    <t>186752</t>
  </si>
  <si>
    <t>SBIN200035766140</t>
  </si>
  <si>
    <t>311106</t>
  </si>
  <si>
    <t>248059</t>
  </si>
  <si>
    <t>PUNBVTB54407996</t>
  </si>
  <si>
    <t>311119</t>
  </si>
  <si>
    <t>Phagwara, Punjab</t>
  </si>
  <si>
    <t>286745</t>
  </si>
  <si>
    <t>PUNBVTB52295087</t>
  </si>
  <si>
    <t>311126</t>
  </si>
  <si>
    <t>286744</t>
  </si>
  <si>
    <t>PUNBU65228065</t>
  </si>
  <si>
    <t>311142</t>
  </si>
  <si>
    <t>Chandrakona, West Bengal</t>
  </si>
  <si>
    <t>174804</t>
  </si>
  <si>
    <t>PUNBABA40391990</t>
  </si>
  <si>
    <t>311146</t>
  </si>
  <si>
    <t>Kotulpur, West Bengal</t>
  </si>
  <si>
    <t>218665</t>
  </si>
  <si>
    <t>PUNB000093</t>
  </si>
  <si>
    <t>311156</t>
  </si>
  <si>
    <t>181116</t>
  </si>
  <si>
    <t>PUNB8302077</t>
  </si>
  <si>
    <t>311182</t>
  </si>
  <si>
    <t>Amethi, Uttar Pradesh</t>
  </si>
  <si>
    <t>234163</t>
  </si>
  <si>
    <t>PUNBCS44440180</t>
  </si>
  <si>
    <t>311188</t>
  </si>
  <si>
    <t>179936</t>
  </si>
  <si>
    <t>PUNBU65852486</t>
  </si>
  <si>
    <t>311193</t>
  </si>
  <si>
    <t>179474</t>
  </si>
  <si>
    <t>PUNB30470072602</t>
  </si>
  <si>
    <t>311195</t>
  </si>
  <si>
    <t>255421</t>
  </si>
  <si>
    <t>PUNBJAIN14A</t>
  </si>
  <si>
    <t>311201</t>
  </si>
  <si>
    <t>272140</t>
  </si>
  <si>
    <t>PUNB8302062</t>
  </si>
  <si>
    <t>311207</t>
  </si>
  <si>
    <t>214556</t>
  </si>
  <si>
    <t>PUNBJAIN15A</t>
  </si>
  <si>
    <t>311218</t>
  </si>
  <si>
    <t>272138</t>
  </si>
  <si>
    <t>PUNB8302063</t>
  </si>
  <si>
    <t>311220</t>
  </si>
  <si>
    <t>214557</t>
  </si>
  <si>
    <t>PUNBAQB0138612KA9623273</t>
  </si>
  <si>
    <t>311222</t>
  </si>
  <si>
    <t>Sangli, Maharashtra</t>
  </si>
  <si>
    <t>281926</t>
  </si>
  <si>
    <t>PUNB8302093</t>
  </si>
  <si>
    <t>311232</t>
  </si>
  <si>
    <t>Pratapgarh, Uttar Pradesh</t>
  </si>
  <si>
    <t>189754</t>
  </si>
  <si>
    <t>PUNB8302138</t>
  </si>
  <si>
    <t>311249</t>
  </si>
  <si>
    <t>189443</t>
  </si>
  <si>
    <t>PUNBBOT014018</t>
  </si>
  <si>
    <t>311250</t>
  </si>
  <si>
    <t>279476</t>
  </si>
  <si>
    <t>PUNB0KHAGESHYADAV</t>
  </si>
  <si>
    <t>311251</t>
  </si>
  <si>
    <t>Katihar, Bihar</t>
  </si>
  <si>
    <t>254995</t>
  </si>
  <si>
    <t>PUNB00827000180</t>
  </si>
  <si>
    <t>311260</t>
  </si>
  <si>
    <t>176388</t>
  </si>
  <si>
    <t>SBIN20003576665</t>
  </si>
  <si>
    <t>311265</t>
  </si>
  <si>
    <t>248015</t>
  </si>
  <si>
    <t>PUNB000016</t>
  </si>
  <si>
    <t>311268</t>
  </si>
  <si>
    <t>175980</t>
  </si>
  <si>
    <t>SBIN200035766558</t>
  </si>
  <si>
    <t>311275</t>
  </si>
  <si>
    <t>248052</t>
  </si>
  <si>
    <t>PUNB000017</t>
  </si>
  <si>
    <t>311276</t>
  </si>
  <si>
    <t>175981</t>
  </si>
  <si>
    <t>PUNBXZB9769360</t>
  </si>
  <si>
    <t>311291</t>
  </si>
  <si>
    <t>185690</t>
  </si>
  <si>
    <t>MAHBBHAGYASHRI01</t>
  </si>
  <si>
    <t>311395</t>
  </si>
  <si>
    <t>Purna, Maharashtra</t>
  </si>
  <si>
    <t>222781</t>
  </si>
  <si>
    <t>PUNB336000PLUS4</t>
  </si>
  <si>
    <t>311406</t>
  </si>
  <si>
    <t>Uchana, Haryana</t>
  </si>
  <si>
    <t>175866</t>
  </si>
  <si>
    <t>PUNB336000PLUS5</t>
  </si>
  <si>
    <t>311411</t>
  </si>
  <si>
    <t>175865</t>
  </si>
  <si>
    <t>PUNB336000PLUS2</t>
  </si>
  <si>
    <t>311412</t>
  </si>
  <si>
    <t>174021</t>
  </si>
  <si>
    <t>PUNB83250267</t>
  </si>
  <si>
    <t>311421</t>
  </si>
  <si>
    <t>200820</t>
  </si>
  <si>
    <t>PUNBXZB61825446</t>
  </si>
  <si>
    <t>311446</t>
  </si>
  <si>
    <t>185693</t>
  </si>
  <si>
    <t>SBIN200059846379</t>
  </si>
  <si>
    <t>311456</t>
  </si>
  <si>
    <t>252040</t>
  </si>
  <si>
    <t>PUNBVT155779484</t>
  </si>
  <si>
    <t>311491</t>
  </si>
  <si>
    <t>Amaravati, Andhra Pradesh</t>
  </si>
  <si>
    <t>236389</t>
  </si>
  <si>
    <t>CBIN1993TAMBSRIDH01</t>
  </si>
  <si>
    <t>311525</t>
  </si>
  <si>
    <t>253206</t>
  </si>
  <si>
    <t>PUNB829500P42</t>
  </si>
  <si>
    <t>311672</t>
  </si>
  <si>
    <t>Gurdaspur, Punjab</t>
  </si>
  <si>
    <t>186131</t>
  </si>
  <si>
    <t>PUNBABA40407309</t>
  </si>
  <si>
    <t>311675</t>
  </si>
  <si>
    <t>Dakshin Chatra, West Bengal</t>
  </si>
  <si>
    <t>189562</t>
  </si>
  <si>
    <t>PUNBAFQ009892</t>
  </si>
  <si>
    <t>308823</t>
  </si>
  <si>
    <t>275787</t>
  </si>
  <si>
    <t>PUNB2QP53289394</t>
  </si>
  <si>
    <t>311676</t>
  </si>
  <si>
    <t>Chirkunda, Jharkhand</t>
  </si>
  <si>
    <t>263839</t>
  </si>
  <si>
    <t>PUNBU47146908</t>
  </si>
  <si>
    <t>311683</t>
  </si>
  <si>
    <t>185009</t>
  </si>
  <si>
    <t>PUNBABA40343544</t>
  </si>
  <si>
    <t>311687</t>
  </si>
  <si>
    <t>177013</t>
  </si>
  <si>
    <t>PUNB2QP52250674</t>
  </si>
  <si>
    <t>311689</t>
  </si>
  <si>
    <t>263835</t>
  </si>
  <si>
    <t>PUNBU47734667C</t>
  </si>
  <si>
    <t>311692</t>
  </si>
  <si>
    <t>186787</t>
  </si>
  <si>
    <t>PUNBABA40471034</t>
  </si>
  <si>
    <t>311694</t>
  </si>
  <si>
    <t>Sashan, West Bengal</t>
  </si>
  <si>
    <t>255027</t>
  </si>
  <si>
    <t>PUNBU50967591</t>
  </si>
  <si>
    <t>311700</t>
  </si>
  <si>
    <t>238889</t>
  </si>
  <si>
    <t>PUNBABA40368237</t>
  </si>
  <si>
    <t>311712</t>
  </si>
  <si>
    <t>Bangaon, West Bengal</t>
  </si>
  <si>
    <t>174001</t>
  </si>
  <si>
    <t>PUNB1Y954030243</t>
  </si>
  <si>
    <t>311738</t>
  </si>
  <si>
    <t>Bhatpara, West Bengal</t>
  </si>
  <si>
    <t>176988</t>
  </si>
  <si>
    <t>PUNBABA41361223</t>
  </si>
  <si>
    <t>311751</t>
  </si>
  <si>
    <t>255017</t>
  </si>
  <si>
    <t>PUNB1Y652335516</t>
  </si>
  <si>
    <t>311767</t>
  </si>
  <si>
    <t>189671</t>
  </si>
  <si>
    <t>PUNBABA40364346</t>
  </si>
  <si>
    <t>311775</t>
  </si>
  <si>
    <t>254785</t>
  </si>
  <si>
    <t>PUNBU21076888</t>
  </si>
  <si>
    <t>311807</t>
  </si>
  <si>
    <t>Adra, West Bengal</t>
  </si>
  <si>
    <t>232040</t>
  </si>
  <si>
    <t>PUNBABA40419654</t>
  </si>
  <si>
    <t>311833</t>
  </si>
  <si>
    <t>263406</t>
  </si>
  <si>
    <t>PUNB3G453424150</t>
  </si>
  <si>
    <t>311844</t>
  </si>
  <si>
    <t>Bandipur, West Bengal</t>
  </si>
  <si>
    <t>255020</t>
  </si>
  <si>
    <t>PUNBABA40444025</t>
  </si>
  <si>
    <t>311861</t>
  </si>
  <si>
    <t>173960</t>
  </si>
  <si>
    <t>PUNBABA40393248</t>
  </si>
  <si>
    <t>311869</t>
  </si>
  <si>
    <t>Panihati, West Bengal</t>
  </si>
  <si>
    <t>176975</t>
  </si>
  <si>
    <t>PUNBABA40315612</t>
  </si>
  <si>
    <t>311872</t>
  </si>
  <si>
    <t>173983</t>
  </si>
  <si>
    <t>PUNBU40270005</t>
  </si>
  <si>
    <t>311878</t>
  </si>
  <si>
    <t>200655</t>
  </si>
  <si>
    <t>PUNBO33335829</t>
  </si>
  <si>
    <t>311904</t>
  </si>
  <si>
    <t>173142</t>
  </si>
  <si>
    <t>PUNBU50838824MUR</t>
  </si>
  <si>
    <t>311911</t>
  </si>
  <si>
    <t>Anup Nagar, West Bengal</t>
  </si>
  <si>
    <t>262321</t>
  </si>
  <si>
    <t>PUNBU43215816KOY</t>
  </si>
  <si>
    <t>311924</t>
  </si>
  <si>
    <t>263223</t>
  </si>
  <si>
    <t>PUNB8075AEAE</t>
  </si>
  <si>
    <t>312063</t>
  </si>
  <si>
    <t>259691</t>
  </si>
  <si>
    <t>PUNB0CDALFB4</t>
  </si>
  <si>
    <t>312073</t>
  </si>
  <si>
    <t>Kanheipur, Odisha</t>
  </si>
  <si>
    <t>286791</t>
  </si>
  <si>
    <t>PUNB0CDALFB5</t>
  </si>
  <si>
    <t>312077</t>
  </si>
  <si>
    <t>286806</t>
  </si>
  <si>
    <t>PUNB83250330</t>
  </si>
  <si>
    <t>312100</t>
  </si>
  <si>
    <t>178234</t>
  </si>
  <si>
    <t>PUNBSW062703</t>
  </si>
  <si>
    <t>312104</t>
  </si>
  <si>
    <t>232180</t>
  </si>
  <si>
    <t>PUNB8325MUBARAK303</t>
  </si>
  <si>
    <t>312108</t>
  </si>
  <si>
    <t>270643</t>
  </si>
  <si>
    <t>PUNB8325MUBARAK707</t>
  </si>
  <si>
    <t>312113</t>
  </si>
  <si>
    <t>Navi Mumbai, Maharashtra</t>
  </si>
  <si>
    <t>270652</t>
  </si>
  <si>
    <t>PUNBCLBSR4</t>
  </si>
  <si>
    <t>312132</t>
  </si>
  <si>
    <t>Bulandshahr, Uttar Pradesh</t>
  </si>
  <si>
    <t>279512</t>
  </si>
  <si>
    <t>PUNBU19290000</t>
  </si>
  <si>
    <t>312269</t>
  </si>
  <si>
    <t>Purulia, West Bengal</t>
  </si>
  <si>
    <t>186761</t>
  </si>
  <si>
    <t>PUNB8325RAVAL</t>
  </si>
  <si>
    <t>312285</t>
  </si>
  <si>
    <t>282898</t>
  </si>
  <si>
    <t>PUNBU74847845</t>
  </si>
  <si>
    <t>312317</t>
  </si>
  <si>
    <t>Karimganj, Assam</t>
  </si>
  <si>
    <t>177221</t>
  </si>
  <si>
    <t>PUNB8325MRMETAL</t>
  </si>
  <si>
    <t>312333</t>
  </si>
  <si>
    <t>265380</t>
  </si>
  <si>
    <t>PUNB01G52272948</t>
  </si>
  <si>
    <t>312336</t>
  </si>
  <si>
    <t>Silchar, Assam</t>
  </si>
  <si>
    <t>270681</t>
  </si>
  <si>
    <t>PUNBCS44440164</t>
  </si>
  <si>
    <t>312347</t>
  </si>
  <si>
    <t>177381</t>
  </si>
  <si>
    <t>PUNBABA40405381</t>
  </si>
  <si>
    <t>312349</t>
  </si>
  <si>
    <t>173500</t>
  </si>
  <si>
    <t>PUNBDEHRA011</t>
  </si>
  <si>
    <t>312367</t>
  </si>
  <si>
    <t>Vikasnagar, Uttarakhand</t>
  </si>
  <si>
    <t>177183</t>
  </si>
  <si>
    <t>PUNB0GYF006683</t>
  </si>
  <si>
    <t>312368</t>
  </si>
  <si>
    <t>213269</t>
  </si>
  <si>
    <t>PUNBCS0062</t>
  </si>
  <si>
    <t>312370</t>
  </si>
  <si>
    <t>177382</t>
  </si>
  <si>
    <t>PUNBCSFOURSTAR1</t>
  </si>
  <si>
    <t>312380</t>
  </si>
  <si>
    <t>177375</t>
  </si>
  <si>
    <t>PUNBU05452151007</t>
  </si>
  <si>
    <t>312391</t>
  </si>
  <si>
    <t>271879</t>
  </si>
  <si>
    <t>PUNB8325LALIT</t>
  </si>
  <si>
    <t>312402</t>
  </si>
  <si>
    <t>269261</t>
  </si>
  <si>
    <t>PUNBKRISHNADUTT</t>
  </si>
  <si>
    <t>312409</t>
  </si>
  <si>
    <t>266085</t>
  </si>
  <si>
    <t>PUNBCSDEHRA001</t>
  </si>
  <si>
    <t>312425</t>
  </si>
  <si>
    <t>177161</t>
  </si>
  <si>
    <t>PUNB0C01156538</t>
  </si>
  <si>
    <t>312427</t>
  </si>
  <si>
    <t>Ballia, Uttar Pradesh</t>
  </si>
  <si>
    <t>213247</t>
  </si>
  <si>
    <t>PUNB020210HUSSAIN</t>
  </si>
  <si>
    <t>312431</t>
  </si>
  <si>
    <t>Chandrapur, Maharashtra</t>
  </si>
  <si>
    <t>250440</t>
  </si>
  <si>
    <t>PUNB0LAC10058931</t>
  </si>
  <si>
    <t>312439</t>
  </si>
  <si>
    <t>213157</t>
  </si>
  <si>
    <t>PUNBDEHRA014</t>
  </si>
  <si>
    <t>312445</t>
  </si>
  <si>
    <t>198079</t>
  </si>
  <si>
    <t>PUNBU51715513007</t>
  </si>
  <si>
    <t>312454</t>
  </si>
  <si>
    <t>Chandapur Champagachhi, West Bengal</t>
  </si>
  <si>
    <t>175072</t>
  </si>
  <si>
    <t>PUNB0QJC47596016</t>
  </si>
  <si>
    <t>312461</t>
  </si>
  <si>
    <t>Deoria, Uttar Pradesh</t>
  </si>
  <si>
    <t>202485</t>
  </si>
  <si>
    <t>PUNB0QJC52571883</t>
  </si>
  <si>
    <t>312464</t>
  </si>
  <si>
    <t>202458</t>
  </si>
  <si>
    <t>PUNBU02666743007</t>
  </si>
  <si>
    <t>312478</t>
  </si>
  <si>
    <t>175026</t>
  </si>
  <si>
    <t>PUNBAZL01067001</t>
  </si>
  <si>
    <t>312503</t>
  </si>
  <si>
    <t>Ghazipur, Uttar Pradesh</t>
  </si>
  <si>
    <t>272944</t>
  </si>
  <si>
    <t>PUNB0066200001</t>
  </si>
  <si>
    <t>312509</t>
  </si>
  <si>
    <t>182152</t>
  </si>
  <si>
    <t>PUNBU58458766007</t>
  </si>
  <si>
    <t>312535</t>
  </si>
  <si>
    <t>175062</t>
  </si>
  <si>
    <t>PUNBCIRCLE02</t>
  </si>
  <si>
    <t>312555</t>
  </si>
  <si>
    <t>197577</t>
  </si>
  <si>
    <t>PUNB0ABA37934017</t>
  </si>
  <si>
    <t>312567</t>
  </si>
  <si>
    <t>Phulpur Azamgarh, Uttar Pradesh</t>
  </si>
  <si>
    <t>198379</t>
  </si>
  <si>
    <t>PUNBABA37884864</t>
  </si>
  <si>
    <t>312572</t>
  </si>
  <si>
    <t>172926</t>
  </si>
  <si>
    <t>PUNB050C48710132</t>
  </si>
  <si>
    <t>312575</t>
  </si>
  <si>
    <t>Chakmano, Uttar Pradesh</t>
  </si>
  <si>
    <t>218241</t>
  </si>
  <si>
    <t>PUNBABA40435379</t>
  </si>
  <si>
    <t>312584</t>
  </si>
  <si>
    <t>280972</t>
  </si>
  <si>
    <t>PUNBCOSAMHRD020</t>
  </si>
  <si>
    <t>312587</t>
  </si>
  <si>
    <t>Laksar, Uttarakhand</t>
  </si>
  <si>
    <t>270720</t>
  </si>
  <si>
    <t>PUNBCIRCLE03</t>
  </si>
  <si>
    <t>312602</t>
  </si>
  <si>
    <t>197612</t>
  </si>
  <si>
    <t>PUNBABA474605401</t>
  </si>
  <si>
    <t>312647</t>
  </si>
  <si>
    <t>Srikakulam, Andhra Pradesh</t>
  </si>
  <si>
    <t>260859</t>
  </si>
  <si>
    <t>PUNBABA40394905</t>
  </si>
  <si>
    <t>312654</t>
  </si>
  <si>
    <t>Gangarampur, West Bengal</t>
  </si>
  <si>
    <t>175384</t>
  </si>
  <si>
    <t>PUNBDK262593298</t>
  </si>
  <si>
    <t>312660</t>
  </si>
  <si>
    <t>274916</t>
  </si>
  <si>
    <t>PUNBADC10697651</t>
  </si>
  <si>
    <t>312668</t>
  </si>
  <si>
    <t>236948</t>
  </si>
  <si>
    <t>PUNB08303761</t>
  </si>
  <si>
    <t>312814</t>
  </si>
  <si>
    <t>225294</t>
  </si>
  <si>
    <t>PUNBABA4032874801</t>
  </si>
  <si>
    <t>312972</t>
  </si>
  <si>
    <t>256159</t>
  </si>
  <si>
    <t>PUNBABA40344000</t>
  </si>
  <si>
    <t>312977</t>
  </si>
  <si>
    <t>280682</t>
  </si>
  <si>
    <t>PUNBXBB61675658</t>
  </si>
  <si>
    <t>313075</t>
  </si>
  <si>
    <t>278904</t>
  </si>
  <si>
    <t>PUNBWXB23245744</t>
  </si>
  <si>
    <t>313076</t>
  </si>
  <si>
    <t>177073</t>
  </si>
  <si>
    <t>PUNBCSB014581</t>
  </si>
  <si>
    <t>313079</t>
  </si>
  <si>
    <t>Banat, Uttar Pradesh</t>
  </si>
  <si>
    <t>277890</t>
  </si>
  <si>
    <t>PUNB45400010606</t>
  </si>
  <si>
    <t>313080</t>
  </si>
  <si>
    <t>185549</t>
  </si>
  <si>
    <t>PUNBABA37950849</t>
  </si>
  <si>
    <t>313088</t>
  </si>
  <si>
    <t>267627</t>
  </si>
  <si>
    <t>PUNBVIC25733708</t>
  </si>
  <si>
    <t>313101</t>
  </si>
  <si>
    <t>258110</t>
  </si>
  <si>
    <t>PUNB45400010629</t>
  </si>
  <si>
    <t>313109</t>
  </si>
  <si>
    <t>171905</t>
  </si>
  <si>
    <t>PUNBU48928374</t>
  </si>
  <si>
    <t>313122</t>
  </si>
  <si>
    <t>Lala, Assam</t>
  </si>
  <si>
    <t>280490</t>
  </si>
  <si>
    <t>PUNB0ABA38070102</t>
  </si>
  <si>
    <t>313124</t>
  </si>
  <si>
    <t>279822</t>
  </si>
  <si>
    <t>PUNB4C849226912</t>
  </si>
  <si>
    <t>313135</t>
  </si>
  <si>
    <t>Betpuli, West Bengal</t>
  </si>
  <si>
    <t>191379</t>
  </si>
  <si>
    <t>PUNBABA37766981</t>
  </si>
  <si>
    <t>313141</t>
  </si>
  <si>
    <t>173538</t>
  </si>
  <si>
    <t>PUNBC00431125007</t>
  </si>
  <si>
    <t>313145</t>
  </si>
  <si>
    <t>New Town, West Bengal</t>
  </si>
  <si>
    <t>175055</t>
  </si>
  <si>
    <t>PUNBVIC26307407</t>
  </si>
  <si>
    <t>313151</t>
  </si>
  <si>
    <t>Bidhan Nagar, West Bengal</t>
  </si>
  <si>
    <t>237298</t>
  </si>
  <si>
    <t>PUNBU72243796</t>
  </si>
  <si>
    <t>313154</t>
  </si>
  <si>
    <t>173139</t>
  </si>
  <si>
    <t>PUNBU44198760</t>
  </si>
  <si>
    <t>313159</t>
  </si>
  <si>
    <t>173111</t>
  </si>
  <si>
    <t>PUNBABA40389333</t>
  </si>
  <si>
    <t>313164</t>
  </si>
  <si>
    <t>191466</t>
  </si>
  <si>
    <t>PUNBU62253651</t>
  </si>
  <si>
    <t>313170</t>
  </si>
  <si>
    <t>Hailakandi, Assam</t>
  </si>
  <si>
    <t>256544</t>
  </si>
  <si>
    <t>PUNBU15282407</t>
  </si>
  <si>
    <t>313174</t>
  </si>
  <si>
    <t>173148</t>
  </si>
  <si>
    <t>PUNB6I654898642</t>
  </si>
  <si>
    <t>313180</t>
  </si>
  <si>
    <t>276370</t>
  </si>
  <si>
    <t>PUNBU47153525</t>
  </si>
  <si>
    <t>313182</t>
  </si>
  <si>
    <t>177487</t>
  </si>
  <si>
    <t>PUNBU47675586</t>
  </si>
  <si>
    <t>313193</t>
  </si>
  <si>
    <t>177485</t>
  </si>
  <si>
    <t>PUNB92710001</t>
  </si>
  <si>
    <t>313376</t>
  </si>
  <si>
    <t>179074</t>
  </si>
  <si>
    <t>PUNB04490036</t>
  </si>
  <si>
    <t>313445</t>
  </si>
  <si>
    <t>236101</t>
  </si>
  <si>
    <t>PUNBABA40470749</t>
  </si>
  <si>
    <t>313457</t>
  </si>
  <si>
    <t>Simhat, West Bengal</t>
  </si>
  <si>
    <t>173961</t>
  </si>
  <si>
    <t>PUNB04490035</t>
  </si>
  <si>
    <t>313460</t>
  </si>
  <si>
    <t>Punjaipuliampatti, Tamil Nadu</t>
  </si>
  <si>
    <t>236097</t>
  </si>
  <si>
    <t>PUNBABA4035767201</t>
  </si>
  <si>
    <t>313480</t>
  </si>
  <si>
    <t>261652</t>
  </si>
  <si>
    <t>PUNBABA4035767202</t>
  </si>
  <si>
    <t>313487</t>
  </si>
  <si>
    <t>261668</t>
  </si>
  <si>
    <t>PUNBABA40482622</t>
  </si>
  <si>
    <t>313499</t>
  </si>
  <si>
    <t>173945</t>
  </si>
  <si>
    <t>PUNBABA40422653</t>
  </si>
  <si>
    <t>313509</t>
  </si>
  <si>
    <t>Taki, West Bengal</t>
  </si>
  <si>
    <t>173944</t>
  </si>
  <si>
    <t>PUNBABA40455758</t>
  </si>
  <si>
    <t>313518</t>
  </si>
  <si>
    <t>Deulia, West Bengal</t>
  </si>
  <si>
    <t>174006</t>
  </si>
  <si>
    <t>PUNB0MALOYDUTTA0</t>
  </si>
  <si>
    <t>313557</t>
  </si>
  <si>
    <t>173936</t>
  </si>
  <si>
    <t>PUNB0PAPPUPANDIT</t>
  </si>
  <si>
    <t>313567</t>
  </si>
  <si>
    <t>Warisaliganj, Bihar</t>
  </si>
  <si>
    <t>189563</t>
  </si>
  <si>
    <t>PUNB0JAWAID</t>
  </si>
  <si>
    <t>313589</t>
  </si>
  <si>
    <t>Nawada, Bihar</t>
  </si>
  <si>
    <t>280398</t>
  </si>
  <si>
    <t>PUNB04IR49426404</t>
  </si>
  <si>
    <t>313600</t>
  </si>
  <si>
    <t>235546</t>
  </si>
  <si>
    <t>PUNB95A26353738</t>
  </si>
  <si>
    <t>313631</t>
  </si>
  <si>
    <t>220236</t>
  </si>
  <si>
    <t>PUNB82150095</t>
  </si>
  <si>
    <t>313661</t>
  </si>
  <si>
    <t>177495</t>
  </si>
  <si>
    <t>PUNB5LM55752545</t>
  </si>
  <si>
    <t>313671</t>
  </si>
  <si>
    <t>Maraimalai Nagar, Tamil Nadu</t>
  </si>
  <si>
    <t>256699</t>
  </si>
  <si>
    <t>PUNBOD259727022</t>
  </si>
  <si>
    <t>313677</t>
  </si>
  <si>
    <t>247377</t>
  </si>
  <si>
    <t>PUNBOD258762033</t>
  </si>
  <si>
    <t>313681</t>
  </si>
  <si>
    <t>247371</t>
  </si>
  <si>
    <t>PUNB95A57683260</t>
  </si>
  <si>
    <t>313687</t>
  </si>
  <si>
    <t>263696</t>
  </si>
  <si>
    <t>PUNBABA40478937</t>
  </si>
  <si>
    <t>313702</t>
  </si>
  <si>
    <t>Santipur, West Bengal</t>
  </si>
  <si>
    <t>171732</t>
  </si>
  <si>
    <t>PUNBABA40476331</t>
  </si>
  <si>
    <t>313704</t>
  </si>
  <si>
    <t>Haringhata Farm, West Bengal</t>
  </si>
  <si>
    <t>220505</t>
  </si>
  <si>
    <t>PUNBU08403507001</t>
  </si>
  <si>
    <t>313706</t>
  </si>
  <si>
    <t>Birnagar, West Bengal</t>
  </si>
  <si>
    <t>176170</t>
  </si>
  <si>
    <t>PUNBU47094606001</t>
  </si>
  <si>
    <t>313709</t>
  </si>
  <si>
    <t>176206</t>
  </si>
  <si>
    <t>PUNBU04720632001</t>
  </si>
  <si>
    <t>313715</t>
  </si>
  <si>
    <t>Harinadibhastsala, West Bengal</t>
  </si>
  <si>
    <t>176227</t>
  </si>
  <si>
    <t>PUNBU47544813001</t>
  </si>
  <si>
    <t>313720</t>
  </si>
  <si>
    <t>Kalyani, West Bengal</t>
  </si>
  <si>
    <t>187461</t>
  </si>
  <si>
    <t>PUNBABA40445559</t>
  </si>
  <si>
    <t>313724</t>
  </si>
  <si>
    <t>172232</t>
  </si>
  <si>
    <t>PUNBU47639556001</t>
  </si>
  <si>
    <t>313726</t>
  </si>
  <si>
    <t>Bethuadahari, West Bengal</t>
  </si>
  <si>
    <t>187459</t>
  </si>
  <si>
    <t>PUNBU12408668001</t>
  </si>
  <si>
    <t>313730</t>
  </si>
  <si>
    <t>176186</t>
  </si>
  <si>
    <t>PUNB83034877</t>
  </si>
  <si>
    <t>313895</t>
  </si>
  <si>
    <t>244624</t>
  </si>
  <si>
    <t>PUNB08303115</t>
  </si>
  <si>
    <t>313904</t>
  </si>
  <si>
    <t>201731</t>
  </si>
  <si>
    <t>PUNB0409007</t>
  </si>
  <si>
    <t>313918</t>
  </si>
  <si>
    <t>Namkeen &amp; Allied Food Cluster Karmadi, Madhya Pradesh</t>
  </si>
  <si>
    <t>221388</t>
  </si>
  <si>
    <t>PUNB032410002</t>
  </si>
  <si>
    <t>313927</t>
  </si>
  <si>
    <t>216952</t>
  </si>
  <si>
    <t>PUNB0409001</t>
  </si>
  <si>
    <t>313936</t>
  </si>
  <si>
    <t>Ratlam, Madhya Pradesh</t>
  </si>
  <si>
    <t>186096</t>
  </si>
  <si>
    <t>PUNB6304001</t>
  </si>
  <si>
    <t>313937</t>
  </si>
  <si>
    <t>172937</t>
  </si>
  <si>
    <t>PUNB0068300002</t>
  </si>
  <si>
    <t>313939</t>
  </si>
  <si>
    <t>Shajapur, Madhya Pradesh</t>
  </si>
  <si>
    <t>175634</t>
  </si>
  <si>
    <t>PUNBMEHULAGRAVAT</t>
  </si>
  <si>
    <t>313941</t>
  </si>
  <si>
    <t>225111</t>
  </si>
  <si>
    <t>PUNBMEHJABIN113610</t>
  </si>
  <si>
    <t>313952</t>
  </si>
  <si>
    <t>Bharuch, Gujarat</t>
  </si>
  <si>
    <t>187663</t>
  </si>
  <si>
    <t>PUNBKAVYAENTPLOT172</t>
  </si>
  <si>
    <t>313967</t>
  </si>
  <si>
    <t>Kapadvanj, Gujarat</t>
  </si>
  <si>
    <t>187771</t>
  </si>
  <si>
    <t>PUNBGUNATI5</t>
  </si>
  <si>
    <t>313984</t>
  </si>
  <si>
    <t>Kathlal, Gujarat</t>
  </si>
  <si>
    <t>177428</t>
  </si>
  <si>
    <t>PUNB38370302</t>
  </si>
  <si>
    <t>313989</t>
  </si>
  <si>
    <t>Kotwa, Uttar Pradesh</t>
  </si>
  <si>
    <t>188959</t>
  </si>
  <si>
    <t>PUNBDHARANKLESH</t>
  </si>
  <si>
    <t>313993</t>
  </si>
  <si>
    <t>189600</t>
  </si>
  <si>
    <t>PUNB38370277</t>
  </si>
  <si>
    <t>314022</t>
  </si>
  <si>
    <t>Churk Ghurma, Uttar Pradesh</t>
  </si>
  <si>
    <t>187798</t>
  </si>
  <si>
    <t>PUNBKAVYAENTPLOT28</t>
  </si>
  <si>
    <t>314035</t>
  </si>
  <si>
    <t>187821</t>
  </si>
  <si>
    <t>PUNBKAVYAENTPLOT127</t>
  </si>
  <si>
    <t>314049</t>
  </si>
  <si>
    <t>187690</t>
  </si>
  <si>
    <t>PUNBJBSCOMPETLAD</t>
  </si>
  <si>
    <t>314081</t>
  </si>
  <si>
    <t>Petlad, Gujarat</t>
  </si>
  <si>
    <t>177514</t>
  </si>
  <si>
    <t>PUNB38370253</t>
  </si>
  <si>
    <t>314092</t>
  </si>
  <si>
    <t>Jaunpur, Uttar Pradesh</t>
  </si>
  <si>
    <t>188769</t>
  </si>
  <si>
    <t>PUNB38370282</t>
  </si>
  <si>
    <t>314104</t>
  </si>
  <si>
    <t>177274</t>
  </si>
  <si>
    <t>PUNB38370259</t>
  </si>
  <si>
    <t>314116</t>
  </si>
  <si>
    <t>177272</t>
  </si>
  <si>
    <t>PUNB38370257</t>
  </si>
  <si>
    <t>314143</t>
  </si>
  <si>
    <t>Varanasi, Uttar Pradesh</t>
  </si>
  <si>
    <t>177268</t>
  </si>
  <si>
    <t>PUNB38370266</t>
  </si>
  <si>
    <t>314183</t>
  </si>
  <si>
    <t>177269</t>
  </si>
  <si>
    <t>PUNBABA9626838</t>
  </si>
  <si>
    <t>314198</t>
  </si>
  <si>
    <t>254640</t>
  </si>
  <si>
    <t>PUNB38370295</t>
  </si>
  <si>
    <t>314207</t>
  </si>
  <si>
    <t>177277</t>
  </si>
  <si>
    <t>PUNB38370008</t>
  </si>
  <si>
    <t>314218</t>
  </si>
  <si>
    <t>Chopan, Uttar Pradesh</t>
  </si>
  <si>
    <t>188909</t>
  </si>
  <si>
    <t>PUNB38370298</t>
  </si>
  <si>
    <t>314223</t>
  </si>
  <si>
    <t>188900</t>
  </si>
  <si>
    <t>PUNB5WQ49738764</t>
  </si>
  <si>
    <t>314234</t>
  </si>
  <si>
    <t>Sir Gobardhan, Uttar Pradesh</t>
  </si>
  <si>
    <t>187741</t>
  </si>
  <si>
    <t>PUNB5NB58150612</t>
  </si>
  <si>
    <t>314246</t>
  </si>
  <si>
    <t>Machhlishahr, Uttar Pradesh</t>
  </si>
  <si>
    <t>254106</t>
  </si>
  <si>
    <t>PUNBZB362007846</t>
  </si>
  <si>
    <t>314255</t>
  </si>
  <si>
    <t>Lerhupur, Uttar Pradesh</t>
  </si>
  <si>
    <t>270618</t>
  </si>
  <si>
    <t>PUNBEE352874895</t>
  </si>
  <si>
    <t>314262</t>
  </si>
  <si>
    <t>Chandauli, Uttar Pradesh</t>
  </si>
  <si>
    <t>270677</t>
  </si>
  <si>
    <t>PUNB161510MUKESH</t>
  </si>
  <si>
    <t>314290</t>
  </si>
  <si>
    <t>Mainpuri, Uttar Pradesh</t>
  </si>
  <si>
    <t>179872</t>
  </si>
  <si>
    <t>PUNB155610MOALKAIF</t>
  </si>
  <si>
    <t>314299</t>
  </si>
  <si>
    <t>Etawah, Uttar Pradesh</t>
  </si>
  <si>
    <t>233334</t>
  </si>
  <si>
    <t>PUNB177910VINEET</t>
  </si>
  <si>
    <t>314314</t>
  </si>
  <si>
    <t>Auraiya, Uttar Pradesh</t>
  </si>
  <si>
    <t>179825</t>
  </si>
  <si>
    <t>PUNB835212033</t>
  </si>
  <si>
    <t>314315</t>
  </si>
  <si>
    <t>176715</t>
  </si>
  <si>
    <t>PUNB2UN61229569</t>
  </si>
  <si>
    <t>314365</t>
  </si>
  <si>
    <t>Nuapada, Odisha</t>
  </si>
  <si>
    <t>282329</t>
  </si>
  <si>
    <t>PUNB04210002</t>
  </si>
  <si>
    <t>314401</t>
  </si>
  <si>
    <t>174323</t>
  </si>
  <si>
    <t>PUNBHBGMADDUR</t>
  </si>
  <si>
    <t>314419</t>
  </si>
  <si>
    <t>189423</t>
  </si>
  <si>
    <t>PUNB105810RD</t>
  </si>
  <si>
    <t>314454</t>
  </si>
  <si>
    <t>191214</t>
  </si>
  <si>
    <t>PUNBB</t>
  </si>
  <si>
    <t>314486</t>
  </si>
  <si>
    <t>287349</t>
  </si>
  <si>
    <t>PUNBABA40440239</t>
  </si>
  <si>
    <t>314522</t>
  </si>
  <si>
    <t>Karimpur, West Bengal</t>
  </si>
  <si>
    <t>171834</t>
  </si>
  <si>
    <t>PUNBABA40358153</t>
  </si>
  <si>
    <t>314524</t>
  </si>
  <si>
    <t>Matiari, West Bengal</t>
  </si>
  <si>
    <t>172079</t>
  </si>
  <si>
    <t>PUNBU42201277001</t>
  </si>
  <si>
    <t>314525</t>
  </si>
  <si>
    <t>Mira, West Bengal</t>
  </si>
  <si>
    <t>176365</t>
  </si>
  <si>
    <t>PUNBU57866264001</t>
  </si>
  <si>
    <t>314526</t>
  </si>
  <si>
    <t>Bagula, West Bengal</t>
  </si>
  <si>
    <t>187460</t>
  </si>
  <si>
    <t>PUNBABA40423980</t>
  </si>
  <si>
    <t>314528</t>
  </si>
  <si>
    <t>Bamanpukur, West Bengal</t>
  </si>
  <si>
    <t>176195</t>
  </si>
  <si>
    <t>PUNBU15620340001</t>
  </si>
  <si>
    <t>314529</t>
  </si>
  <si>
    <t>176125</t>
  </si>
  <si>
    <t>PUNBABA40460016001</t>
  </si>
  <si>
    <t>314530</t>
  </si>
  <si>
    <t>255368</t>
  </si>
  <si>
    <t>PUNBABA40484915</t>
  </si>
  <si>
    <t>314532</t>
  </si>
  <si>
    <t>265516</t>
  </si>
  <si>
    <t>PUNB0872646</t>
  </si>
  <si>
    <t>312086</t>
  </si>
  <si>
    <t>Sambhal, Uttar Pradesh</t>
  </si>
  <si>
    <t>279972</t>
  </si>
  <si>
    <t>PUNBSW062702</t>
  </si>
  <si>
    <t>312099</t>
  </si>
  <si>
    <t>232187</t>
  </si>
  <si>
    <t>PUNBU12405116</t>
  </si>
  <si>
    <t>314535</t>
  </si>
  <si>
    <t>258016</t>
  </si>
  <si>
    <t>PUNBABA40382470</t>
  </si>
  <si>
    <t>314537</t>
  </si>
  <si>
    <t>219775</t>
  </si>
  <si>
    <t>PUNB0RBIL2502</t>
  </si>
  <si>
    <t>314735</t>
  </si>
  <si>
    <t>Jahanabad, Uttar Pradesh</t>
  </si>
  <si>
    <t>214946</t>
  </si>
  <si>
    <t>PUNBNEELKANTH03</t>
  </si>
  <si>
    <t>314779</t>
  </si>
  <si>
    <t>Parwanoo, Himachal Pradesh</t>
  </si>
  <si>
    <t>181455</t>
  </si>
  <si>
    <t>PUNBBWNAJOYRICE</t>
  </si>
  <si>
    <t>314807</t>
  </si>
  <si>
    <t>Burdwan, West Bengal</t>
  </si>
  <si>
    <t>275126</t>
  </si>
  <si>
    <t>PUNBBWN1208211</t>
  </si>
  <si>
    <t>314834</t>
  </si>
  <si>
    <t>Budbud, West Bengal</t>
  </si>
  <si>
    <t>200659</t>
  </si>
  <si>
    <t>PUNBABA40403510</t>
  </si>
  <si>
    <t>314866</t>
  </si>
  <si>
    <t>Yupia, Arunachal Pradesh</t>
  </si>
  <si>
    <t>176308</t>
  </si>
  <si>
    <t>PUNBNOORALAM</t>
  </si>
  <si>
    <t>314873</t>
  </si>
  <si>
    <t>Dhatrigram, West Bengal</t>
  </si>
  <si>
    <t>267711</t>
  </si>
  <si>
    <t>PUNB2407319413</t>
  </si>
  <si>
    <t>314887</t>
  </si>
  <si>
    <t>177816</t>
  </si>
  <si>
    <t>PUNBOYC10067496</t>
  </si>
  <si>
    <t>314913</t>
  </si>
  <si>
    <t>214223</t>
  </si>
  <si>
    <t>PUNB8312R34192188</t>
  </si>
  <si>
    <t>314917</t>
  </si>
  <si>
    <t>Sirhind Fatehgarh Sahib, Punjab</t>
  </si>
  <si>
    <t>284926</t>
  </si>
  <si>
    <t>PUNB01CUG023478</t>
  </si>
  <si>
    <t>314924</t>
  </si>
  <si>
    <t>Padrauna, Uttar Pradesh</t>
  </si>
  <si>
    <t>189772</t>
  </si>
  <si>
    <t>PUNBTRIVANI01</t>
  </si>
  <si>
    <t>314945</t>
  </si>
  <si>
    <t>259031</t>
  </si>
  <si>
    <t>PUNB543800000324</t>
  </si>
  <si>
    <t>315013</t>
  </si>
  <si>
    <t>174027</t>
  </si>
  <si>
    <t>PUNBG3A48446322</t>
  </si>
  <si>
    <t>315021</t>
  </si>
  <si>
    <t>248503</t>
  </si>
  <si>
    <t>PUNBABA40460312</t>
  </si>
  <si>
    <t>315024</t>
  </si>
  <si>
    <t>177860</t>
  </si>
  <si>
    <t>PUNBABA37753616</t>
  </si>
  <si>
    <t>315048</t>
  </si>
  <si>
    <t>177771</t>
  </si>
  <si>
    <t>PUNBBWNMANAS</t>
  </si>
  <si>
    <t>315049</t>
  </si>
  <si>
    <t>177826</t>
  </si>
  <si>
    <t>PUNB34F9542836</t>
  </si>
  <si>
    <t>315054</t>
  </si>
  <si>
    <t>177836</t>
  </si>
  <si>
    <t>PUNB2W355665045</t>
  </si>
  <si>
    <t>315059</t>
  </si>
  <si>
    <t>177781</t>
  </si>
  <si>
    <t>PUNBBWN01032168</t>
  </si>
  <si>
    <t>315061</t>
  </si>
  <si>
    <t>184236</t>
  </si>
  <si>
    <t>PUNBBWNMONOWAR</t>
  </si>
  <si>
    <t>315068</t>
  </si>
  <si>
    <t>177829</t>
  </si>
  <si>
    <t>PUNBABA40345277</t>
  </si>
  <si>
    <t>315078</t>
  </si>
  <si>
    <t>Alipur, West Bengal</t>
  </si>
  <si>
    <t>177872</t>
  </si>
  <si>
    <t>PUNB0RANJITKR919</t>
  </si>
  <si>
    <t>315130</t>
  </si>
  <si>
    <t>Rajauli, Bihar</t>
  </si>
  <si>
    <t>190254</t>
  </si>
  <si>
    <t>PUNB80N54338628</t>
  </si>
  <si>
    <t>315147</t>
  </si>
  <si>
    <t>219280</t>
  </si>
  <si>
    <t>CBIN3098331</t>
  </si>
  <si>
    <t>315185</t>
  </si>
  <si>
    <t>Kapurthala, Punjab</t>
  </si>
  <si>
    <t>257852</t>
  </si>
  <si>
    <t>PUNB5IG9695531</t>
  </si>
  <si>
    <t>315191</t>
  </si>
  <si>
    <t>177861</t>
  </si>
  <si>
    <t>CBIN3098341</t>
  </si>
  <si>
    <t>315193</t>
  </si>
  <si>
    <t>272332</t>
  </si>
  <si>
    <t>CBIN3089331</t>
  </si>
  <si>
    <t>315196</t>
  </si>
  <si>
    <t>257879</t>
  </si>
  <si>
    <t>CBIN3098304</t>
  </si>
  <si>
    <t>315204</t>
  </si>
  <si>
    <t>Hoshiarpur, Punjab</t>
  </si>
  <si>
    <t>187401</t>
  </si>
  <si>
    <t>CBIN3098328</t>
  </si>
  <si>
    <t>315212</t>
  </si>
  <si>
    <t>Maur, Punjab</t>
  </si>
  <si>
    <t>253966</t>
  </si>
  <si>
    <t>PUNBEZ259043682</t>
  </si>
  <si>
    <t>315310</t>
  </si>
  <si>
    <t>226970</t>
  </si>
  <si>
    <t>PUNB0NC1327</t>
  </si>
  <si>
    <t>315316</t>
  </si>
  <si>
    <t>287406</t>
  </si>
  <si>
    <t>PUNB1R958946390</t>
  </si>
  <si>
    <t>315359</t>
  </si>
  <si>
    <t>230794</t>
  </si>
  <si>
    <t>PUNB04016002179</t>
  </si>
  <si>
    <t>315360</t>
  </si>
  <si>
    <t>225404</t>
  </si>
  <si>
    <t>SBIN0BANDARU</t>
  </si>
  <si>
    <t>315406</t>
  </si>
  <si>
    <t>Bapulapadu, Andhra Pradesh</t>
  </si>
  <si>
    <t>261999</t>
  </si>
  <si>
    <t>SBINPULIDIND</t>
  </si>
  <si>
    <t>315459</t>
  </si>
  <si>
    <t>Tanuku, Andhra Pradesh</t>
  </si>
  <si>
    <t>286319</t>
  </si>
  <si>
    <t>PUNB0NAYAN</t>
  </si>
  <si>
    <t>315472</t>
  </si>
  <si>
    <t>Padra, Gujarat</t>
  </si>
  <si>
    <t>263709</t>
  </si>
  <si>
    <t>PUNBP0A27547579</t>
  </si>
  <si>
    <t>312665</t>
  </si>
  <si>
    <t>267165</t>
  </si>
  <si>
    <t>PUNB0KHIVARAM</t>
  </si>
  <si>
    <t>315474</t>
  </si>
  <si>
    <t>Andada, Gujarat</t>
  </si>
  <si>
    <t>236777</t>
  </si>
  <si>
    <t>PUNB0DHANANJAY</t>
  </si>
  <si>
    <t>315476</t>
  </si>
  <si>
    <t>231583</t>
  </si>
  <si>
    <t>PUNB0U44239365</t>
  </si>
  <si>
    <t>315511</t>
  </si>
  <si>
    <t>Bishnupur, Manipur</t>
  </si>
  <si>
    <t>179569</t>
  </si>
  <si>
    <t>PUNBBAHJOI3</t>
  </si>
  <si>
    <t>315519</t>
  </si>
  <si>
    <t>Bahjoi, Uttar Pradesh</t>
  </si>
  <si>
    <t>287537</t>
  </si>
  <si>
    <t>PUNB832513112025</t>
  </si>
  <si>
    <t>315520</t>
  </si>
  <si>
    <t>263263</t>
  </si>
  <si>
    <t>PUNBNABINAGAR3</t>
  </si>
  <si>
    <t>315522</t>
  </si>
  <si>
    <t>287540</t>
  </si>
  <si>
    <t>PUNB0U66104868</t>
  </si>
  <si>
    <t>315540</t>
  </si>
  <si>
    <t>Imphal, Manipur</t>
  </si>
  <si>
    <t>179574</t>
  </si>
  <si>
    <t>PUNB0BPA010995</t>
  </si>
  <si>
    <t>315548</t>
  </si>
  <si>
    <t>Lilong, Manipur</t>
  </si>
  <si>
    <t>246184</t>
  </si>
  <si>
    <t>PUNB0U40304315</t>
  </si>
  <si>
    <t>315552</t>
  </si>
  <si>
    <t>Aizawl, Mizoram</t>
  </si>
  <si>
    <t>179536</t>
  </si>
  <si>
    <t>PUNB0U40239274</t>
  </si>
  <si>
    <t>315559</t>
  </si>
  <si>
    <t>270679</t>
  </si>
  <si>
    <t>PUNBBABURAM</t>
  </si>
  <si>
    <t>315568</t>
  </si>
  <si>
    <t>Bijnor, Uttar Pradesh</t>
  </si>
  <si>
    <t>174667</t>
  </si>
  <si>
    <t>PUNBTTC61471636</t>
  </si>
  <si>
    <t>315574</t>
  </si>
  <si>
    <t>Jalalabad Bijnor, Uttar Pradesh</t>
  </si>
  <si>
    <t>282531</t>
  </si>
  <si>
    <t>PUNB94G61924248</t>
  </si>
  <si>
    <t>315584</t>
  </si>
  <si>
    <t>282530</t>
  </si>
  <si>
    <t>PUNBLALITCHANDANI</t>
  </si>
  <si>
    <t>315725</t>
  </si>
  <si>
    <t>Porbandar, Gujarat</t>
  </si>
  <si>
    <t>248464</t>
  </si>
  <si>
    <t>PUNBMAYURJINARAMANI</t>
  </si>
  <si>
    <t>315726</t>
  </si>
  <si>
    <t>Junagadh, Gujarat</t>
  </si>
  <si>
    <t>200932</t>
  </si>
  <si>
    <t>PUNBSUBRATAS24PGS</t>
  </si>
  <si>
    <t>315819</t>
  </si>
  <si>
    <t>269586</t>
  </si>
  <si>
    <t>PUNBAMIT</t>
  </si>
  <si>
    <t>315892</t>
  </si>
  <si>
    <t>175611</t>
  </si>
  <si>
    <t>PUNBANILKUMAR</t>
  </si>
  <si>
    <t>315895</t>
  </si>
  <si>
    <t>175608</t>
  </si>
  <si>
    <t>PUNBAQEEL</t>
  </si>
  <si>
    <t>315902</t>
  </si>
  <si>
    <t>Chandpur, Uttar Pradesh</t>
  </si>
  <si>
    <t>174681</t>
  </si>
  <si>
    <t>PUNBAQEELAHMAD</t>
  </si>
  <si>
    <t>315929</t>
  </si>
  <si>
    <t>174670</t>
  </si>
  <si>
    <t>PUNB826620210268</t>
  </si>
  <si>
    <t>316085</t>
  </si>
  <si>
    <t>178645</t>
  </si>
  <si>
    <t>PUNB826620210480</t>
  </si>
  <si>
    <t>316146</t>
  </si>
  <si>
    <t>175828</t>
  </si>
  <si>
    <t>PUNB826620210417</t>
  </si>
  <si>
    <t>316153</t>
  </si>
  <si>
    <t>178637</t>
  </si>
  <si>
    <t>PUNB04C1064589801</t>
  </si>
  <si>
    <t>316177</t>
  </si>
  <si>
    <t>221654</t>
  </si>
  <si>
    <t>PUNBS24PGNRABIUL</t>
  </si>
  <si>
    <t>316180</t>
  </si>
  <si>
    <t>287654</t>
  </si>
  <si>
    <t>PUNB3P850847783</t>
  </si>
  <si>
    <t>316194</t>
  </si>
  <si>
    <t>240486</t>
  </si>
  <si>
    <t>PUNBS24PGNMAAKALI</t>
  </si>
  <si>
    <t>316197</t>
  </si>
  <si>
    <t>Jaynagar Mazilpur, West Bengal</t>
  </si>
  <si>
    <t>287621</t>
  </si>
  <si>
    <t>PUNBS24PGNLKENTERPRISE</t>
  </si>
  <si>
    <t>316200</t>
  </si>
  <si>
    <t>Bhangar Raghunathpur, West Bengal</t>
  </si>
  <si>
    <t>287616</t>
  </si>
  <si>
    <t>PUNBS24PGNMONDALBUILDER</t>
  </si>
  <si>
    <t>316209</t>
  </si>
  <si>
    <t>287600</t>
  </si>
  <si>
    <t>PUNBABA477527</t>
  </si>
  <si>
    <t>316234</t>
  </si>
  <si>
    <t>268054</t>
  </si>
  <si>
    <t>PUNBABA40453970</t>
  </si>
  <si>
    <t>316240</t>
  </si>
  <si>
    <t>278797</t>
  </si>
  <si>
    <t>PUNBS24PGNSREEDURGA</t>
  </si>
  <si>
    <t>316280</t>
  </si>
  <si>
    <t>KAKDWIP, West Bengal</t>
  </si>
  <si>
    <t>287737</t>
  </si>
  <si>
    <t>PUNBSITARAM</t>
  </si>
  <si>
    <t>316384</t>
  </si>
  <si>
    <t>Arki, Himachal Pradesh</t>
  </si>
  <si>
    <t>208290</t>
  </si>
  <si>
    <t>PUNB03O37758435</t>
  </si>
  <si>
    <t>316419</t>
  </si>
  <si>
    <t>Gorakhpur, Uttar Pradesh</t>
  </si>
  <si>
    <t>221182</t>
  </si>
  <si>
    <t>PUNB01O37758435</t>
  </si>
  <si>
    <t>316429</t>
  </si>
  <si>
    <t>221174</t>
  </si>
  <si>
    <t>PUNB0O37758435</t>
  </si>
  <si>
    <t>316435</t>
  </si>
  <si>
    <t>221170</t>
  </si>
  <si>
    <t>PUNBOBCMOTIBAGH3</t>
  </si>
  <si>
    <t>316437</t>
  </si>
  <si>
    <t>184263</t>
  </si>
  <si>
    <t>PUNB7FE79256271</t>
  </si>
  <si>
    <t>316446</t>
  </si>
  <si>
    <t>263898</t>
  </si>
  <si>
    <t>PUNBS24PGNBISHNU</t>
  </si>
  <si>
    <t>316454</t>
  </si>
  <si>
    <t>191369</t>
  </si>
  <si>
    <t>PUNB1Y355802531</t>
  </si>
  <si>
    <t>316458</t>
  </si>
  <si>
    <t>Koyra, West Bengal</t>
  </si>
  <si>
    <t>256937</t>
  </si>
  <si>
    <t>PUNBS24PGNMAHIBUR</t>
  </si>
  <si>
    <t>316472</t>
  </si>
  <si>
    <t>228937</t>
  </si>
  <si>
    <t>PUNBKHURJAMAIN3101</t>
  </si>
  <si>
    <t>316476</t>
  </si>
  <si>
    <t>255168</t>
  </si>
  <si>
    <t>PUNBABA40459287</t>
  </si>
  <si>
    <t>316477</t>
  </si>
  <si>
    <t>Ajodhyanagar, West Bengal</t>
  </si>
  <si>
    <t>263361</t>
  </si>
  <si>
    <t>PUNB04016002025</t>
  </si>
  <si>
    <t>316478</t>
  </si>
  <si>
    <t>Kaptanganj, Uttar Pradesh</t>
  </si>
  <si>
    <t>174333</t>
  </si>
  <si>
    <t>PUNB00827200001636</t>
  </si>
  <si>
    <t>316497</t>
  </si>
  <si>
    <t>Ramkola, Uttar Pradesh</t>
  </si>
  <si>
    <t>280116</t>
  </si>
  <si>
    <t>PUNBZQB10002080</t>
  </si>
  <si>
    <t>316607</t>
  </si>
  <si>
    <t>IIE Kashipur, Uttarakhand</t>
  </si>
  <si>
    <t>202155</t>
  </si>
  <si>
    <t>PUNB4461112</t>
  </si>
  <si>
    <t>316608</t>
  </si>
  <si>
    <t>Khatima, Uttarakhand</t>
  </si>
  <si>
    <t>185131</t>
  </si>
  <si>
    <t>PUNB4461113</t>
  </si>
  <si>
    <t>316613</t>
  </si>
  <si>
    <t>185143</t>
  </si>
  <si>
    <t>PUNB8295000235</t>
  </si>
  <si>
    <t>316626</t>
  </si>
  <si>
    <t>171897</t>
  </si>
  <si>
    <t>PUNB6750167</t>
  </si>
  <si>
    <t>316632</t>
  </si>
  <si>
    <t>Dharchula, Uttarakhand</t>
  </si>
  <si>
    <t>176398</t>
  </si>
  <si>
    <t>PUNBYESHPAL</t>
  </si>
  <si>
    <t>316642</t>
  </si>
  <si>
    <t>Sohari, Himachal Pradesh</t>
  </si>
  <si>
    <t>256957</t>
  </si>
  <si>
    <t>PUNB1BO56064459</t>
  </si>
  <si>
    <t>316713</t>
  </si>
  <si>
    <t>Madhubani, Bihar</t>
  </si>
  <si>
    <t>277164</t>
  </si>
  <si>
    <t>PUNB2WY60908069</t>
  </si>
  <si>
    <t>316722</t>
  </si>
  <si>
    <t>Padri, Bihar</t>
  </si>
  <si>
    <t>276033</t>
  </si>
  <si>
    <t>PUNB82950012</t>
  </si>
  <si>
    <t>316725</t>
  </si>
  <si>
    <t>176877</t>
  </si>
  <si>
    <t>PUNB8DL60120728</t>
  </si>
  <si>
    <t>316726</t>
  </si>
  <si>
    <t>Darbhanga, Bihar</t>
  </si>
  <si>
    <t>213046</t>
  </si>
  <si>
    <t>PUNBZHB25317227</t>
  </si>
  <si>
    <t>316739</t>
  </si>
  <si>
    <t>212821</t>
  </si>
  <si>
    <t>PUNB829500P33</t>
  </si>
  <si>
    <t>316744</t>
  </si>
  <si>
    <t>Ghoh, Punjab</t>
  </si>
  <si>
    <t>177750</t>
  </si>
  <si>
    <t>PUNB62297712001</t>
  </si>
  <si>
    <t>316771</t>
  </si>
  <si>
    <t>Bansberia, West Bengal</t>
  </si>
  <si>
    <t>183357</t>
  </si>
  <si>
    <t>PUNBDVV00476901</t>
  </si>
  <si>
    <t>316774</t>
  </si>
  <si>
    <t>Champdani, West Bengal</t>
  </si>
  <si>
    <t>253358</t>
  </si>
  <si>
    <t>PUNB35146908301</t>
  </si>
  <si>
    <t>316779</t>
  </si>
  <si>
    <t>Chandannagar, West Bengal</t>
  </si>
  <si>
    <t>183186</t>
  </si>
  <si>
    <t>PUNB08753245001</t>
  </si>
  <si>
    <t>316785</t>
  </si>
  <si>
    <t>Konnagar, West Bengal</t>
  </si>
  <si>
    <t>183436</t>
  </si>
  <si>
    <t>PUNB44260153001</t>
  </si>
  <si>
    <t>316792</t>
  </si>
  <si>
    <t>181542</t>
  </si>
  <si>
    <t>PUNB63826550001</t>
  </si>
  <si>
    <t>316796</t>
  </si>
  <si>
    <t>183553</t>
  </si>
  <si>
    <t>PUNBABA37801047</t>
  </si>
  <si>
    <t>316801</t>
  </si>
  <si>
    <t>287775</t>
  </si>
  <si>
    <t>PUNB73198503001</t>
  </si>
  <si>
    <t>316808</t>
  </si>
  <si>
    <t>Dharmapur, West Bengal</t>
  </si>
  <si>
    <t>185803</t>
  </si>
  <si>
    <t>PUNB24788587001</t>
  </si>
  <si>
    <t>316814</t>
  </si>
  <si>
    <t>246428</t>
  </si>
  <si>
    <t>PUNBTAPOVANAGRO3</t>
  </si>
  <si>
    <t>316823</t>
  </si>
  <si>
    <t>Khambhalia, Gujarat</t>
  </si>
  <si>
    <t>186176</t>
  </si>
  <si>
    <t>PUNBU05452151008</t>
  </si>
  <si>
    <t>316835</t>
  </si>
  <si>
    <t>271887</t>
  </si>
  <si>
    <t>PUNB592166650001</t>
  </si>
  <si>
    <t>316837</t>
  </si>
  <si>
    <t>181835</t>
  </si>
  <si>
    <t>PUNB1B559107694</t>
  </si>
  <si>
    <t>316842</t>
  </si>
  <si>
    <t>287569</t>
  </si>
  <si>
    <t>PUNBTAPOVANAGRO4</t>
  </si>
  <si>
    <t>316846</t>
  </si>
  <si>
    <t>186198</t>
  </si>
  <si>
    <t>PUNB829500P13</t>
  </si>
  <si>
    <t>316853</t>
  </si>
  <si>
    <t>Dhariwal, Punjab</t>
  </si>
  <si>
    <t>177120</t>
  </si>
  <si>
    <t>PUNB65095393001</t>
  </si>
  <si>
    <t>316865</t>
  </si>
  <si>
    <t>Champadanga/Tarkeshwar, West Bengal</t>
  </si>
  <si>
    <t>182204</t>
  </si>
  <si>
    <t>PUNBA3151147484</t>
  </si>
  <si>
    <t>316866</t>
  </si>
  <si>
    <t>Jamnagar, Gujarat</t>
  </si>
  <si>
    <t>173556</t>
  </si>
  <si>
    <t>PUNB829500P9</t>
  </si>
  <si>
    <t>316875</t>
  </si>
  <si>
    <t>175893</t>
  </si>
  <si>
    <t>PUNB72511260001</t>
  </si>
  <si>
    <t>316879</t>
  </si>
  <si>
    <t>Dankuni, West Bengal</t>
  </si>
  <si>
    <t>183484</t>
  </si>
  <si>
    <t>PUNB00633516001</t>
  </si>
  <si>
    <t>316885</t>
  </si>
  <si>
    <t>183328</t>
  </si>
  <si>
    <t>PUNB14561348001</t>
  </si>
  <si>
    <t>316891</t>
  </si>
  <si>
    <t>Tarakeswar, West Bengal</t>
  </si>
  <si>
    <t>179968</t>
  </si>
  <si>
    <t>PUNB33570269001</t>
  </si>
  <si>
    <t>316896</t>
  </si>
  <si>
    <t>Raghunathpur Hooghly, West Bengal</t>
  </si>
  <si>
    <t>263474</t>
  </si>
  <si>
    <t>PUNB59289951001</t>
  </si>
  <si>
    <t>316903</t>
  </si>
  <si>
    <t>183455</t>
  </si>
  <si>
    <t>PUNB05210959001</t>
  </si>
  <si>
    <t>316919</t>
  </si>
  <si>
    <t>Balarambati, West Bengal</t>
  </si>
  <si>
    <t>232643</t>
  </si>
  <si>
    <t>PUNB11646255002</t>
  </si>
  <si>
    <t>316921</t>
  </si>
  <si>
    <t>Hugli Chinsurah, West Bengal</t>
  </si>
  <si>
    <t>186855</t>
  </si>
  <si>
    <t>PUNB52437381001</t>
  </si>
  <si>
    <t>316924</t>
  </si>
  <si>
    <t>Baidyabati, West Bengal</t>
  </si>
  <si>
    <t>181738</t>
  </si>
  <si>
    <t>PUNB48630289001</t>
  </si>
  <si>
    <t>316933</t>
  </si>
  <si>
    <t>Serampore, West Bengal</t>
  </si>
  <si>
    <t>226541</t>
  </si>
  <si>
    <t>PUNB24150275001</t>
  </si>
  <si>
    <t>316937</t>
  </si>
  <si>
    <t>263480</t>
  </si>
  <si>
    <t>PUNB72631164001</t>
  </si>
  <si>
    <t>316939</t>
  </si>
  <si>
    <t>263484</t>
  </si>
  <si>
    <t>PUNB50331193001</t>
  </si>
  <si>
    <t>316942</t>
  </si>
  <si>
    <t>180309</t>
  </si>
  <si>
    <t>PUNB63835803001</t>
  </si>
  <si>
    <t>316943</t>
  </si>
  <si>
    <t>183366</t>
  </si>
  <si>
    <t>PUNB28396468001</t>
  </si>
  <si>
    <t>316944</t>
  </si>
  <si>
    <t>215879</t>
  </si>
  <si>
    <t>PUNB64026241001</t>
  </si>
  <si>
    <t>316964</t>
  </si>
  <si>
    <t>182122</t>
  </si>
  <si>
    <t>PUNB51829752001</t>
  </si>
  <si>
    <t>316971</t>
  </si>
  <si>
    <t>182523</t>
  </si>
  <si>
    <t>PUNB40920347001</t>
  </si>
  <si>
    <t>316975</t>
  </si>
  <si>
    <t>279375</t>
  </si>
  <si>
    <t>PUNBETC00728001</t>
  </si>
  <si>
    <t>316979</t>
  </si>
  <si>
    <t>263492</t>
  </si>
  <si>
    <t>PUNB56041750001</t>
  </si>
  <si>
    <t>316983</t>
  </si>
  <si>
    <t>182106</t>
  </si>
  <si>
    <t>PUNBAYQ01232101</t>
  </si>
  <si>
    <t>316986</t>
  </si>
  <si>
    <t>Baksa, West Bengal</t>
  </si>
  <si>
    <t>268492</t>
  </si>
  <si>
    <t>PUNB12166066001</t>
  </si>
  <si>
    <t>316990</t>
  </si>
  <si>
    <t>263485</t>
  </si>
  <si>
    <t>PUNBABA40447443</t>
  </si>
  <si>
    <t>314770</t>
  </si>
  <si>
    <t>Memari, West Bengal</t>
  </si>
  <si>
    <t>219997</t>
  </si>
  <si>
    <t>PUNB13807951001</t>
  </si>
  <si>
    <t>316992</t>
  </si>
  <si>
    <t>254891</t>
  </si>
  <si>
    <t>PUNB71886116001</t>
  </si>
  <si>
    <t>316995</t>
  </si>
  <si>
    <t>246400</t>
  </si>
  <si>
    <t>PUNB40080274001</t>
  </si>
  <si>
    <t>316997</t>
  </si>
  <si>
    <t>Dakshin Rajyadharpur, West Bengal</t>
  </si>
  <si>
    <t>268487</t>
  </si>
  <si>
    <t>PUNB50928953001</t>
  </si>
  <si>
    <t>317004</t>
  </si>
  <si>
    <t>268510</t>
  </si>
  <si>
    <t>PUNB0717599</t>
  </si>
  <si>
    <t>317104</t>
  </si>
  <si>
    <t>Sitarganj, Uttarakhand</t>
  </si>
  <si>
    <t>179393</t>
  </si>
  <si>
    <t>PUNB0700155</t>
  </si>
  <si>
    <t>317113</t>
  </si>
  <si>
    <t>Bazpur, Uttarakhand</t>
  </si>
  <si>
    <t>179414</t>
  </si>
  <si>
    <t>PUNB453487</t>
  </si>
  <si>
    <t>317119</t>
  </si>
  <si>
    <t>175511</t>
  </si>
  <si>
    <t>PUNB446140</t>
  </si>
  <si>
    <t>317124</t>
  </si>
  <si>
    <t>176400</t>
  </si>
  <si>
    <t>PUNB3832045</t>
  </si>
  <si>
    <t>317137</t>
  </si>
  <si>
    <t>ESIPL Sitarganj, Uttarakhand</t>
  </si>
  <si>
    <t>233097</t>
  </si>
  <si>
    <t>PUNB4453197</t>
  </si>
  <si>
    <t>317139</t>
  </si>
  <si>
    <t>Bandia, Uttarakhand</t>
  </si>
  <si>
    <t>185556</t>
  </si>
  <si>
    <t>PUNB03801001</t>
  </si>
  <si>
    <t>317142</t>
  </si>
  <si>
    <t>Adawal, Chhattisgarh</t>
  </si>
  <si>
    <t>255196</t>
  </si>
  <si>
    <t>PUNB019663</t>
  </si>
  <si>
    <t>317146</t>
  </si>
  <si>
    <t>186042</t>
  </si>
  <si>
    <t>PUNB651902097</t>
  </si>
  <si>
    <t>317469</t>
  </si>
  <si>
    <t>284380</t>
  </si>
  <si>
    <t>PUNB8303246</t>
  </si>
  <si>
    <t>317611</t>
  </si>
  <si>
    <t>211980</t>
  </si>
  <si>
    <t>PUNB03801002</t>
  </si>
  <si>
    <t>317698</t>
  </si>
  <si>
    <t>258758</t>
  </si>
  <si>
    <t>PUNBABA47413484</t>
  </si>
  <si>
    <t>317706</t>
  </si>
  <si>
    <t>Bhilai, Chhattisgarh</t>
  </si>
  <si>
    <t>263986</t>
  </si>
  <si>
    <t>PUNB164010</t>
  </si>
  <si>
    <t>317715</t>
  </si>
  <si>
    <t>251224</t>
  </si>
  <si>
    <t>PUNBFCC10652924</t>
  </si>
  <si>
    <t>317721</t>
  </si>
  <si>
    <t>Banarsi, Chhattisgarh</t>
  </si>
  <si>
    <t>271700</t>
  </si>
  <si>
    <t>PUNBABA40479591</t>
  </si>
  <si>
    <t>317732</t>
  </si>
  <si>
    <t>264200</t>
  </si>
  <si>
    <t>PUNB465100202402</t>
  </si>
  <si>
    <t>317797</t>
  </si>
  <si>
    <t>Dispur, Assam</t>
  </si>
  <si>
    <t>183939</t>
  </si>
  <si>
    <t>PUNB1681102201</t>
  </si>
  <si>
    <t>317913</t>
  </si>
  <si>
    <t>Faridpur, Uttar Pradesh</t>
  </si>
  <si>
    <t>185899</t>
  </si>
  <si>
    <t>PUNB0871798</t>
  </si>
  <si>
    <t>318005</t>
  </si>
  <si>
    <t>Kandharpur, Uttar Pradesh</t>
  </si>
  <si>
    <t>257857</t>
  </si>
  <si>
    <t>PUNB01873NC2284</t>
  </si>
  <si>
    <t>318008</t>
  </si>
  <si>
    <t>Shahjahanpur, Uttar Pradesh</t>
  </si>
  <si>
    <t>266892</t>
  </si>
  <si>
    <t>PUNB0018702102</t>
  </si>
  <si>
    <t>318015</t>
  </si>
  <si>
    <t>261401</t>
  </si>
  <si>
    <t>PUNBSW151908</t>
  </si>
  <si>
    <t>318248</t>
  </si>
  <si>
    <t>191092</t>
  </si>
  <si>
    <t>PUNB171910DT</t>
  </si>
  <si>
    <t>318293</t>
  </si>
  <si>
    <t>Iffco Census Village, Uttar Pradesh</t>
  </si>
  <si>
    <t>288180</t>
  </si>
  <si>
    <t>PUNB038050000033</t>
  </si>
  <si>
    <t>318330</t>
  </si>
  <si>
    <t>Hamirpur, Himachal Pradesh</t>
  </si>
  <si>
    <t>179591</t>
  </si>
  <si>
    <t>PUNB82010022342</t>
  </si>
  <si>
    <t>302965</t>
  </si>
  <si>
    <t>Mandsaur, Madhya Pradesh</t>
  </si>
  <si>
    <t>269914</t>
  </si>
  <si>
    <t>PUNBFranklinraj</t>
  </si>
  <si>
    <t>306166</t>
  </si>
  <si>
    <t>Neyyattinkara, Kerala</t>
  </si>
  <si>
    <t>260980</t>
  </si>
  <si>
    <t>PUNBAHA54394404</t>
  </si>
  <si>
    <t>306191</t>
  </si>
  <si>
    <t>Alappuzha, Kerala</t>
  </si>
  <si>
    <t>176432</t>
  </si>
  <si>
    <t>PUNBABA40400547</t>
  </si>
  <si>
    <t>306708</t>
  </si>
  <si>
    <t>Killannur, Kerala</t>
  </si>
  <si>
    <t>178490</t>
  </si>
  <si>
    <t>PUNBPZA10277485</t>
  </si>
  <si>
    <t>306884</t>
  </si>
  <si>
    <t>Thrissur, Kerala</t>
  </si>
  <si>
    <t>200259</t>
  </si>
  <si>
    <t>PUNBADC10287200</t>
  </si>
  <si>
    <t>306887</t>
  </si>
  <si>
    <t>178385</t>
  </si>
  <si>
    <t>PUNBABA37730046</t>
  </si>
  <si>
    <t>306899</t>
  </si>
  <si>
    <t>Kasargod, Kerala</t>
  </si>
  <si>
    <t>178406</t>
  </si>
  <si>
    <t>PUNBABA37924043</t>
  </si>
  <si>
    <t>307411</t>
  </si>
  <si>
    <t>Alangad, Kerala</t>
  </si>
  <si>
    <t>178330</t>
  </si>
  <si>
    <t>PUNBSOURAMANOJ</t>
  </si>
  <si>
    <t>308483</t>
  </si>
  <si>
    <t>256907</t>
  </si>
  <si>
    <t>PUNBABA47875215</t>
  </si>
  <si>
    <t>308639</t>
  </si>
  <si>
    <t>Chalakudy, Kerala</t>
  </si>
  <si>
    <t>178387</t>
  </si>
  <si>
    <t>PUNBABA38203226</t>
  </si>
  <si>
    <t>309576</t>
  </si>
  <si>
    <t>213557</t>
  </si>
  <si>
    <t>PUNBABA38169132</t>
  </si>
  <si>
    <t>310047</t>
  </si>
  <si>
    <t>Kanhangad, Kerala</t>
  </si>
  <si>
    <t>229646</t>
  </si>
  <si>
    <t>PUNBABA38203227</t>
  </si>
  <si>
    <t>310065</t>
  </si>
  <si>
    <t>229657</t>
  </si>
  <si>
    <t>PUNB2LP23583400</t>
  </si>
  <si>
    <t>310092</t>
  </si>
  <si>
    <t>173756</t>
  </si>
  <si>
    <t>PUNBBYA28640625</t>
  </si>
  <si>
    <t>310097</t>
  </si>
  <si>
    <t>178346</t>
  </si>
  <si>
    <t>PUNB23W9456219</t>
  </si>
  <si>
    <t>310116</t>
  </si>
  <si>
    <t>254667</t>
  </si>
  <si>
    <t>PUNB09K10326461</t>
  </si>
  <si>
    <t>310119</t>
  </si>
  <si>
    <t>Thodupuzha, Kerala</t>
  </si>
  <si>
    <t>282452</t>
  </si>
  <si>
    <t>PUNBSURESH8651</t>
  </si>
  <si>
    <t>310131</t>
  </si>
  <si>
    <t>Parasuvaikkal, Kerala</t>
  </si>
  <si>
    <t>174535</t>
  </si>
  <si>
    <t>PUNBLPC62527086</t>
  </si>
  <si>
    <t>310145</t>
  </si>
  <si>
    <t>KOZHENCHERRY, Kerala</t>
  </si>
  <si>
    <t>272746</t>
  </si>
  <si>
    <t>PUNB4HE9703833</t>
  </si>
  <si>
    <t>310174</t>
  </si>
  <si>
    <t>Kalamassery, Kerala</t>
  </si>
  <si>
    <t>178353</t>
  </si>
  <si>
    <t>PUNBUXB27887210</t>
  </si>
  <si>
    <t>310392</t>
  </si>
  <si>
    <t>176775</t>
  </si>
  <si>
    <t>PUNBRCB27882343</t>
  </si>
  <si>
    <t>310582</t>
  </si>
  <si>
    <t>Malayinkeezhu, Kerala</t>
  </si>
  <si>
    <t>189780</t>
  </si>
  <si>
    <t>PUNBCS8269024</t>
  </si>
  <si>
    <t>310840</t>
  </si>
  <si>
    <t>Kozhikode, Kerala</t>
  </si>
  <si>
    <t>186978</t>
  </si>
  <si>
    <t>PUNB9425306</t>
  </si>
  <si>
    <t>310912</t>
  </si>
  <si>
    <t>179447</t>
  </si>
  <si>
    <t>PUNBW3625PROWAY</t>
  </si>
  <si>
    <t>310922</t>
  </si>
  <si>
    <t>251286</t>
  </si>
  <si>
    <t>PUNB82010022093</t>
  </si>
  <si>
    <t>310991</t>
  </si>
  <si>
    <t>Harda, Madhya Pradesh</t>
  </si>
  <si>
    <t>177345</t>
  </si>
  <si>
    <t>MAHBSAIDRESSES</t>
  </si>
  <si>
    <t>311079</t>
  </si>
  <si>
    <t>Loha, Maharashtra</t>
  </si>
  <si>
    <t>171151</t>
  </si>
  <si>
    <t>PUNB82010022044</t>
  </si>
  <si>
    <t>311253</t>
  </si>
  <si>
    <t>271021</t>
  </si>
  <si>
    <t>MAHBVENKATESH01</t>
  </si>
  <si>
    <t>311466</t>
  </si>
  <si>
    <t>171152</t>
  </si>
  <si>
    <t>PUNBCS8269011</t>
  </si>
  <si>
    <t>311591</t>
  </si>
  <si>
    <t>Nanmanda, Kerala</t>
  </si>
  <si>
    <t>186691</t>
  </si>
  <si>
    <t>PUNB5CH64141643</t>
  </si>
  <si>
    <t>311669</t>
  </si>
  <si>
    <t>Irimbiliyam, Kerala</t>
  </si>
  <si>
    <t>235527</t>
  </si>
  <si>
    <t>PUNBCS826920254</t>
  </si>
  <si>
    <t>311688</t>
  </si>
  <si>
    <t>Kadachira, Kerala</t>
  </si>
  <si>
    <t>234085</t>
  </si>
  <si>
    <t>PUNB202144</t>
  </si>
  <si>
    <t>311719</t>
  </si>
  <si>
    <t>Koyilandi, Kerala</t>
  </si>
  <si>
    <t>176001</t>
  </si>
  <si>
    <t>MAHBMAHESHVASTRA01MAHB</t>
  </si>
  <si>
    <t>311986</t>
  </si>
  <si>
    <t>Ahmadpur, Maharashtra</t>
  </si>
  <si>
    <t>286882</t>
  </si>
  <si>
    <t>PUNBLUA26128929</t>
  </si>
  <si>
    <t>311992</t>
  </si>
  <si>
    <t>New Mahe, Kerala</t>
  </si>
  <si>
    <t>237176</t>
  </si>
  <si>
    <t>PUNBPHB26090110</t>
  </si>
  <si>
    <t>312053</t>
  </si>
  <si>
    <t>178359</t>
  </si>
  <si>
    <t>PUNBADC9598739</t>
  </si>
  <si>
    <t>312074</t>
  </si>
  <si>
    <t>Kaniyarkode, Kerala</t>
  </si>
  <si>
    <t>178438</t>
  </si>
  <si>
    <t>PUNBABA40330967</t>
  </si>
  <si>
    <t>313809</t>
  </si>
  <si>
    <t>Kochi, Kerala</t>
  </si>
  <si>
    <t>266371</t>
  </si>
  <si>
    <t>CBIN3958114269</t>
  </si>
  <si>
    <t>303336</t>
  </si>
  <si>
    <t>149161</t>
  </si>
  <si>
    <t>CBIN8400304392</t>
  </si>
  <si>
    <t>303492</t>
  </si>
  <si>
    <t>Pimpri Chinchwad, Maharashtra</t>
  </si>
  <si>
    <t>284523</t>
  </si>
  <si>
    <t>PUNB4C849211813</t>
  </si>
  <si>
    <t>313147</t>
  </si>
  <si>
    <t>191389</t>
  </si>
  <si>
    <t>CBIN8040502175</t>
  </si>
  <si>
    <t>313529</t>
  </si>
  <si>
    <t>245304</t>
  </si>
  <si>
    <t>CBIN8527577516</t>
  </si>
  <si>
    <t>313538</t>
  </si>
  <si>
    <t>245290</t>
  </si>
  <si>
    <t>CBIN6152936120</t>
  </si>
  <si>
    <t>313544</t>
  </si>
  <si>
    <t>Khed City, Maharashtra</t>
  </si>
  <si>
    <t>190429</t>
  </si>
  <si>
    <t>CBIN8245420654</t>
  </si>
  <si>
    <t>313549</t>
  </si>
  <si>
    <t>Daund, Maharashtra</t>
  </si>
  <si>
    <t>190411</t>
  </si>
  <si>
    <t>CBIN8072364057</t>
  </si>
  <si>
    <t>313615</t>
  </si>
  <si>
    <t>188269</t>
  </si>
  <si>
    <t>PUNBSATYAMAKANI</t>
  </si>
  <si>
    <t>318869</t>
  </si>
  <si>
    <t>237443</t>
  </si>
  <si>
    <t>PUNBMOHDKASIM</t>
  </si>
  <si>
    <t>318877</t>
  </si>
  <si>
    <t>252186</t>
  </si>
  <si>
    <t>PUNBR10519294</t>
  </si>
  <si>
    <t>305291</t>
  </si>
  <si>
    <t>Kangra, Himachal Pradesh</t>
  </si>
  <si>
    <t>284587</t>
  </si>
  <si>
    <t>IDIB50518066202</t>
  </si>
  <si>
    <t>308803</t>
  </si>
  <si>
    <t>223869</t>
  </si>
  <si>
    <t>PUNB9198VIVEKSUBRAMAN</t>
  </si>
  <si>
    <t>308908</t>
  </si>
  <si>
    <t>261821</t>
  </si>
  <si>
    <t>PUNB83250194</t>
  </si>
  <si>
    <t>309065</t>
  </si>
  <si>
    <t>203091</t>
  </si>
  <si>
    <t>PUNB9198PRAMODSHINDE</t>
  </si>
  <si>
    <t>309202</t>
  </si>
  <si>
    <t>264557</t>
  </si>
  <si>
    <t>PUNB9198PINTUYADAV</t>
  </si>
  <si>
    <t>309208</t>
  </si>
  <si>
    <t>271958</t>
  </si>
  <si>
    <t>PUNB83250412021</t>
  </si>
  <si>
    <t>309218</t>
  </si>
  <si>
    <t>185262</t>
  </si>
  <si>
    <t>PUNB82820245</t>
  </si>
  <si>
    <t>309233</t>
  </si>
  <si>
    <t>178232</t>
  </si>
  <si>
    <t>PUNB9198bhagwansonkamble</t>
  </si>
  <si>
    <t>309242</t>
  </si>
  <si>
    <t>279246</t>
  </si>
  <si>
    <t>PUNB83250245</t>
  </si>
  <si>
    <t>309256</t>
  </si>
  <si>
    <t>214507</t>
  </si>
  <si>
    <t>PUNB83250257</t>
  </si>
  <si>
    <t>309277</t>
  </si>
  <si>
    <t>182255</t>
  </si>
  <si>
    <t>PUNB9198anwernabi</t>
  </si>
  <si>
    <t>309304</t>
  </si>
  <si>
    <t>278819</t>
  </si>
  <si>
    <t>PUNB832512032026</t>
  </si>
  <si>
    <t>309337</t>
  </si>
  <si>
    <t>280037</t>
  </si>
  <si>
    <t>PUNB83250167</t>
  </si>
  <si>
    <t>309870</t>
  </si>
  <si>
    <t>179555</t>
  </si>
  <si>
    <t>PUNB9198vaishalithorat</t>
  </si>
  <si>
    <t>309972</t>
  </si>
  <si>
    <t>286502</t>
  </si>
  <si>
    <t>PUNB9198sunilgurnani</t>
  </si>
  <si>
    <t>309973</t>
  </si>
  <si>
    <t>286507</t>
  </si>
  <si>
    <t>PUNB9198vinodtupe</t>
  </si>
  <si>
    <t>309974</t>
  </si>
  <si>
    <t>286520</t>
  </si>
  <si>
    <t>PUNB9198tulsiramnaik</t>
  </si>
  <si>
    <t>309975</t>
  </si>
  <si>
    <t>286529</t>
  </si>
  <si>
    <t>PUNB2UZ56156540</t>
  </si>
  <si>
    <t>310466</t>
  </si>
  <si>
    <t>246423</t>
  </si>
  <si>
    <t>PUNB054810ATMA</t>
  </si>
  <si>
    <t>310483</t>
  </si>
  <si>
    <t>Shahkot, Punjab</t>
  </si>
  <si>
    <t>175520</t>
  </si>
  <si>
    <t>PUNB035800POONAM</t>
  </si>
  <si>
    <t>310502</t>
  </si>
  <si>
    <t>Nakodar, Punjab</t>
  </si>
  <si>
    <t>175541</t>
  </si>
  <si>
    <t>PUNBATB63366456</t>
  </si>
  <si>
    <t>310509</t>
  </si>
  <si>
    <t>254818</t>
  </si>
  <si>
    <t>PUNBRKI14</t>
  </si>
  <si>
    <t>310825</t>
  </si>
  <si>
    <t>264982</t>
  </si>
  <si>
    <t>PUNB0BQA008857</t>
  </si>
  <si>
    <t>311022</t>
  </si>
  <si>
    <t>Thiruvarur, Tamil Nadu</t>
  </si>
  <si>
    <t>198253</t>
  </si>
  <si>
    <t>PUNB0TA4901740</t>
  </si>
  <si>
    <t>311039</t>
  </si>
  <si>
    <t>174962</t>
  </si>
  <si>
    <t>PUNBJAIMATA</t>
  </si>
  <si>
    <t>311121</t>
  </si>
  <si>
    <t>Agra, Uttar Pradesh</t>
  </si>
  <si>
    <t>278514</t>
  </si>
  <si>
    <t>PUNB0RATAN1</t>
  </si>
  <si>
    <t>311125</t>
  </si>
  <si>
    <t>231920</t>
  </si>
  <si>
    <t>PUNB0SANTOSH</t>
  </si>
  <si>
    <t>311171</t>
  </si>
  <si>
    <t>220478</t>
  </si>
  <si>
    <t>PUNB0SHIVKRISHNACHIKORI</t>
  </si>
  <si>
    <t>311180</t>
  </si>
  <si>
    <t>231921</t>
  </si>
  <si>
    <t>PUNB0FAKIRTHAKUR</t>
  </si>
  <si>
    <t>311259</t>
  </si>
  <si>
    <t>Supaul, Bihar</t>
  </si>
  <si>
    <t>188856</t>
  </si>
  <si>
    <t>PUNB0PRABALHOUSE</t>
  </si>
  <si>
    <t>311442</t>
  </si>
  <si>
    <t>231916</t>
  </si>
  <si>
    <t>PUNB0JIBHYA</t>
  </si>
  <si>
    <t>311444</t>
  </si>
  <si>
    <t>231877</t>
  </si>
  <si>
    <t>PUNB0HATHRASFOOD02</t>
  </si>
  <si>
    <t>312005</t>
  </si>
  <si>
    <t>Garhi Tamana, Uttar Pradesh</t>
  </si>
  <si>
    <t>231917</t>
  </si>
  <si>
    <t>PUNB0HATHRASFOOD03</t>
  </si>
  <si>
    <t>312012</t>
  </si>
  <si>
    <t>231918</t>
  </si>
  <si>
    <t>PUNB0SATISHCHANDSHARMA</t>
  </si>
  <si>
    <t>312105</t>
  </si>
  <si>
    <t>212599</t>
  </si>
  <si>
    <t>PUNB9198ILIYAS</t>
  </si>
  <si>
    <t>312413</t>
  </si>
  <si>
    <t>286475</t>
  </si>
  <si>
    <t>PUNBYCA98749070</t>
  </si>
  <si>
    <t>313254</t>
  </si>
  <si>
    <t>Cuddalore, Tamil Nadu</t>
  </si>
  <si>
    <t>287135</t>
  </si>
  <si>
    <t>PUNBNEERAJ</t>
  </si>
  <si>
    <t>313874</t>
  </si>
  <si>
    <t>287160</t>
  </si>
  <si>
    <t>PUNBQKA27450045</t>
  </si>
  <si>
    <t>314174</t>
  </si>
  <si>
    <t>174691</t>
  </si>
  <si>
    <t>PUNBQKA27450045A</t>
  </si>
  <si>
    <t>314180</t>
  </si>
  <si>
    <t>174992</t>
  </si>
  <si>
    <t>PUNB0U57676021</t>
  </si>
  <si>
    <t>315535</t>
  </si>
  <si>
    <t>270675</t>
  </si>
  <si>
    <t>PUNBMXB54443491</t>
  </si>
  <si>
    <t>315709</t>
  </si>
  <si>
    <t>185090</t>
  </si>
  <si>
    <t>CNRB41017740000668</t>
  </si>
  <si>
    <t>298983</t>
  </si>
  <si>
    <t>Kandalloor, Kerala</t>
  </si>
  <si>
    <t>23-06-2026 10:30</t>
  </si>
  <si>
    <t>279154</t>
  </si>
  <si>
    <t>CNRB304729890</t>
  </si>
  <si>
    <t>306719</t>
  </si>
  <si>
    <t>Arsikere, Karnataka</t>
  </si>
  <si>
    <t>251826</t>
  </si>
  <si>
    <t>CNRB160001773691</t>
  </si>
  <si>
    <t>307738</t>
  </si>
  <si>
    <t>Puttur, Karnataka</t>
  </si>
  <si>
    <t>270017</t>
  </si>
  <si>
    <t>CNRB76123150</t>
  </si>
  <si>
    <t>307814</t>
  </si>
  <si>
    <t>239570</t>
  </si>
  <si>
    <t>CNRB1986619000011</t>
  </si>
  <si>
    <t>308085</t>
  </si>
  <si>
    <t>264990</t>
  </si>
  <si>
    <t>CNRB246788851</t>
  </si>
  <si>
    <t>308153</t>
  </si>
  <si>
    <t>204222</t>
  </si>
  <si>
    <t>CNRB212853283</t>
  </si>
  <si>
    <t>308184</t>
  </si>
  <si>
    <t>Badagabettu No 80, Karnataka</t>
  </si>
  <si>
    <t>203369</t>
  </si>
  <si>
    <t>CNRB160000162393</t>
  </si>
  <si>
    <t>308209</t>
  </si>
  <si>
    <t>Mulki, Karnataka</t>
  </si>
  <si>
    <t>257909</t>
  </si>
  <si>
    <t>CNRB246824404</t>
  </si>
  <si>
    <t>308233</t>
  </si>
  <si>
    <t>218798</t>
  </si>
  <si>
    <t>CNRBJAGADISHLR</t>
  </si>
  <si>
    <t>309355</t>
  </si>
  <si>
    <t>267738</t>
  </si>
  <si>
    <t>CNRBAR</t>
  </si>
  <si>
    <t>309699</t>
  </si>
  <si>
    <t>247626</t>
  </si>
  <si>
    <t>CNRB730822</t>
  </si>
  <si>
    <t>310142</t>
  </si>
  <si>
    <t>Mysuru, Karnataka</t>
  </si>
  <si>
    <t>207517</t>
  </si>
  <si>
    <t>CNRB18219340000012</t>
  </si>
  <si>
    <t>310213</t>
  </si>
  <si>
    <t>Mudgal, Karnataka</t>
  </si>
  <si>
    <t>279536</t>
  </si>
  <si>
    <t>CNRB18219970000024</t>
  </si>
  <si>
    <t>310254</t>
  </si>
  <si>
    <t>254545</t>
  </si>
  <si>
    <t>CNRB249451533</t>
  </si>
  <si>
    <t>310449</t>
  </si>
  <si>
    <t>Devadurga, Karnataka</t>
  </si>
  <si>
    <t>214764</t>
  </si>
  <si>
    <t>CNRB2493724601</t>
  </si>
  <si>
    <t>310473</t>
  </si>
  <si>
    <t>260609</t>
  </si>
  <si>
    <t>CNRB254034515</t>
  </si>
  <si>
    <t>310663</t>
  </si>
  <si>
    <t>Munirabad Project Area, Karnataka</t>
  </si>
  <si>
    <t>214778</t>
  </si>
  <si>
    <t>CNRB302436011</t>
  </si>
  <si>
    <t>310838</t>
  </si>
  <si>
    <t>Aluva, Kerala</t>
  </si>
  <si>
    <t>256524</t>
  </si>
  <si>
    <t>CNRB101467072</t>
  </si>
  <si>
    <t>310853</t>
  </si>
  <si>
    <t>Angamaly, Kerala</t>
  </si>
  <si>
    <t>248635</t>
  </si>
  <si>
    <t>CNRB317669132</t>
  </si>
  <si>
    <t>310992</t>
  </si>
  <si>
    <t>Piravam, Kerala</t>
  </si>
  <si>
    <t>279163</t>
  </si>
  <si>
    <t>CNRBARAVINDAKSHAN</t>
  </si>
  <si>
    <t>311062</t>
  </si>
  <si>
    <t>Kureekkad, Kerala</t>
  </si>
  <si>
    <t>277501</t>
  </si>
  <si>
    <t>CNRB121523292S</t>
  </si>
  <si>
    <t>311084</t>
  </si>
  <si>
    <t>Koothattukulam, Kerala</t>
  </si>
  <si>
    <t>256612</t>
  </si>
  <si>
    <t>CNRB0860619030524</t>
  </si>
  <si>
    <t>311115</t>
  </si>
  <si>
    <t>Chingoli, Kerala</t>
  </si>
  <si>
    <t>248775</t>
  </si>
  <si>
    <t>CNRB96083958</t>
  </si>
  <si>
    <t>311130</t>
  </si>
  <si>
    <t>Munnuru, Karnataka</t>
  </si>
  <si>
    <t>204758</t>
  </si>
  <si>
    <t>CNRBMLRRO061</t>
  </si>
  <si>
    <t>311133</t>
  </si>
  <si>
    <t>239983</t>
  </si>
  <si>
    <t>CNRB248219647</t>
  </si>
  <si>
    <t>311136</t>
  </si>
  <si>
    <t>Mangaluru, Karnataka</t>
  </si>
  <si>
    <t>259255</t>
  </si>
  <si>
    <t>CNRB10935099502</t>
  </si>
  <si>
    <t>311139</t>
  </si>
  <si>
    <t>248515</t>
  </si>
  <si>
    <t>CNRB256379682</t>
  </si>
  <si>
    <t>311190</t>
  </si>
  <si>
    <t>Amballur, Kerala</t>
  </si>
  <si>
    <t>275250</t>
  </si>
  <si>
    <t>CNRB256644090</t>
  </si>
  <si>
    <t>311208</t>
  </si>
  <si>
    <t>275254</t>
  </si>
  <si>
    <t>CNRB306930727</t>
  </si>
  <si>
    <t>311256</t>
  </si>
  <si>
    <t>Kottakal, Kerala</t>
  </si>
  <si>
    <t>248774</t>
  </si>
  <si>
    <t>CNRB84835145Z</t>
  </si>
  <si>
    <t>311264</t>
  </si>
  <si>
    <t>Chelakkara, Kerala</t>
  </si>
  <si>
    <t>206247</t>
  </si>
  <si>
    <t>CNRB38670396A</t>
  </si>
  <si>
    <t>311280</t>
  </si>
  <si>
    <t>205464</t>
  </si>
  <si>
    <t>CNRB127542804</t>
  </si>
  <si>
    <t>311290</t>
  </si>
  <si>
    <t>Nattakam, Kerala</t>
  </si>
  <si>
    <t>263738</t>
  </si>
  <si>
    <t>CNRB79630770B</t>
  </si>
  <si>
    <t>311308</t>
  </si>
  <si>
    <t>197980</t>
  </si>
  <si>
    <t>CNRB79630770C</t>
  </si>
  <si>
    <t>311348</t>
  </si>
  <si>
    <t>197985</t>
  </si>
  <si>
    <t>CNRB79263505A</t>
  </si>
  <si>
    <t>311359</t>
  </si>
  <si>
    <t>205840</t>
  </si>
  <si>
    <t>CNRB208245859A</t>
  </si>
  <si>
    <t>311427</t>
  </si>
  <si>
    <t>Kedamangalam, Kerala</t>
  </si>
  <si>
    <t>205376</t>
  </si>
  <si>
    <t>CNRB208245859C</t>
  </si>
  <si>
    <t>311454</t>
  </si>
  <si>
    <t>205417</t>
  </si>
  <si>
    <t>CNRB317324661</t>
  </si>
  <si>
    <t>311587</t>
  </si>
  <si>
    <t>Edathala, Kerala</t>
  </si>
  <si>
    <t>275923</t>
  </si>
  <si>
    <t>CNRB301540242</t>
  </si>
  <si>
    <t>311589</t>
  </si>
  <si>
    <t>Chiramanangad, Kerala</t>
  </si>
  <si>
    <t>275242</t>
  </si>
  <si>
    <t>CNRB112656064A</t>
  </si>
  <si>
    <t>311590</t>
  </si>
  <si>
    <t>199602</t>
  </si>
  <si>
    <t>CNRB46507910001641</t>
  </si>
  <si>
    <t>311592</t>
  </si>
  <si>
    <t>248769</t>
  </si>
  <si>
    <t>CNRB304105158</t>
  </si>
  <si>
    <t>311593</t>
  </si>
  <si>
    <t>Kayamkulam, Kerala</t>
  </si>
  <si>
    <t>282858</t>
  </si>
  <si>
    <t>CNRBPALGO</t>
  </si>
  <si>
    <t>311594</t>
  </si>
  <si>
    <t>Padiyur, Kerala</t>
  </si>
  <si>
    <t>248772</t>
  </si>
  <si>
    <t>CNRB106027627A</t>
  </si>
  <si>
    <t>311871</t>
  </si>
  <si>
    <t>Guruvayur, Kerala</t>
  </si>
  <si>
    <t>259522</t>
  </si>
  <si>
    <t>CNRB106027627B</t>
  </si>
  <si>
    <t>311876</t>
  </si>
  <si>
    <t>259528</t>
  </si>
  <si>
    <t>CNRB7970058</t>
  </si>
  <si>
    <t>312093</t>
  </si>
  <si>
    <t>Adat, Kerala</t>
  </si>
  <si>
    <t>262138</t>
  </si>
  <si>
    <t>CNRB88119948</t>
  </si>
  <si>
    <t>312122</t>
  </si>
  <si>
    <t>272196</t>
  </si>
  <si>
    <t>CNRB111755073</t>
  </si>
  <si>
    <t>312133</t>
  </si>
  <si>
    <t>Koovappady, Kerala</t>
  </si>
  <si>
    <t>248541</t>
  </si>
  <si>
    <t>CNRB315228273</t>
  </si>
  <si>
    <t>312153</t>
  </si>
  <si>
    <t>Ala, Kerala</t>
  </si>
  <si>
    <t>279233</t>
  </si>
  <si>
    <t>CNRB302424557</t>
  </si>
  <si>
    <t>312260</t>
  </si>
  <si>
    <t>248770</t>
  </si>
  <si>
    <t>CNRB108578258</t>
  </si>
  <si>
    <t>312261</t>
  </si>
  <si>
    <t>248768</t>
  </si>
  <si>
    <t>CNRBshamnaah</t>
  </si>
  <si>
    <t>312262</t>
  </si>
  <si>
    <t>Edakkazhiyur, Kerala</t>
  </si>
  <si>
    <t>253564</t>
  </si>
  <si>
    <t>PUNBDINESHISAAC</t>
  </si>
  <si>
    <t>310259</t>
  </si>
  <si>
    <t>170974</t>
  </si>
  <si>
    <t>CNRB98854741A</t>
  </si>
  <si>
    <t>312263</t>
  </si>
  <si>
    <t>Pathanamthitta, Kerala</t>
  </si>
  <si>
    <t>191900</t>
  </si>
  <si>
    <t>CNRB311081341</t>
  </si>
  <si>
    <t>312296</t>
  </si>
  <si>
    <t>Idukki Township, Kerala</t>
  </si>
  <si>
    <t>258599</t>
  </si>
  <si>
    <t>CNRB238336026</t>
  </si>
  <si>
    <t>313048</t>
  </si>
  <si>
    <t>Vellore, Tamil Nadu</t>
  </si>
  <si>
    <t>244461</t>
  </si>
  <si>
    <t>CNRBMURKOT01</t>
  </si>
  <si>
    <t>313168</t>
  </si>
  <si>
    <t>249801</t>
  </si>
  <si>
    <t>CNRB69385857</t>
  </si>
  <si>
    <t>313451</t>
  </si>
  <si>
    <t>244559</t>
  </si>
  <si>
    <t>CNRB300267956</t>
  </si>
  <si>
    <t>313453</t>
  </si>
  <si>
    <t>253521</t>
  </si>
  <si>
    <t>CNRB309890388</t>
  </si>
  <si>
    <t>313477</t>
  </si>
  <si>
    <t>244215</t>
  </si>
  <si>
    <t>CNRB126304736</t>
  </si>
  <si>
    <t>313483</t>
  </si>
  <si>
    <t>255348</t>
  </si>
  <si>
    <t>CNRBYAMUNA</t>
  </si>
  <si>
    <t>313488</t>
  </si>
  <si>
    <t>Puthuvype, Kerala</t>
  </si>
  <si>
    <t>279235</t>
  </si>
  <si>
    <t>CNRB102788797</t>
  </si>
  <si>
    <t>313497</t>
  </si>
  <si>
    <t>Chengam, Tamil Nadu</t>
  </si>
  <si>
    <t>265945</t>
  </si>
  <si>
    <t>CNRB300487390</t>
  </si>
  <si>
    <t>313508</t>
  </si>
  <si>
    <t>252623</t>
  </si>
  <si>
    <t>CNRB85950505</t>
  </si>
  <si>
    <t>313513</t>
  </si>
  <si>
    <t>Hosur, Tamil Nadu</t>
  </si>
  <si>
    <t>255364</t>
  </si>
  <si>
    <t>CNRB313287125</t>
  </si>
  <si>
    <t>313614</t>
  </si>
  <si>
    <t>258801</t>
  </si>
  <si>
    <t>PUNBQ6A10356836</t>
  </si>
  <si>
    <t>311606</t>
  </si>
  <si>
    <t>Hingoli, Maharashtra</t>
  </si>
  <si>
    <t>23-06-2026 11:16</t>
  </si>
  <si>
    <t>23-06-2026 16:16</t>
  </si>
  <si>
    <t>187038</t>
  </si>
  <si>
    <t>CNRB231455397</t>
  </si>
  <si>
    <t>300409</t>
  </si>
  <si>
    <t>Mudigere, Karnataka</t>
  </si>
  <si>
    <t>284714</t>
  </si>
  <si>
    <t>CNRB314310315</t>
  </si>
  <si>
    <t>313617</t>
  </si>
  <si>
    <t>275436</t>
  </si>
  <si>
    <t>CNRB109792412</t>
  </si>
  <si>
    <t>313621</t>
  </si>
  <si>
    <t>Nandivaram Guduvancheri, Tamil Nadu</t>
  </si>
  <si>
    <t>253039</t>
  </si>
  <si>
    <t>CNRBARYANWILLIAMS</t>
  </si>
  <si>
    <t>313624</t>
  </si>
  <si>
    <t>253551</t>
  </si>
  <si>
    <t>CNRBZIYA</t>
  </si>
  <si>
    <t>313676</t>
  </si>
  <si>
    <t>Alur, Kerala</t>
  </si>
  <si>
    <t>279294</t>
  </si>
  <si>
    <t>CNRBDIGITAL2</t>
  </si>
  <si>
    <t>313968</t>
  </si>
  <si>
    <t>244690</t>
  </si>
  <si>
    <t>CNRB241465829</t>
  </si>
  <si>
    <t>313974</t>
  </si>
  <si>
    <t>275222</t>
  </si>
  <si>
    <t>CNRBSEAMEN1</t>
  </si>
  <si>
    <t>314129</t>
  </si>
  <si>
    <t>272527</t>
  </si>
  <si>
    <t>CNRBRINSHAD</t>
  </si>
  <si>
    <t>314169</t>
  </si>
  <si>
    <t>279194</t>
  </si>
  <si>
    <t>CNRB1140651012646</t>
  </si>
  <si>
    <t>314176</t>
  </si>
  <si>
    <t>Vaikom, Kerala</t>
  </si>
  <si>
    <t>279275</t>
  </si>
  <si>
    <t>CNRBPRAJNA</t>
  </si>
  <si>
    <t>314195</t>
  </si>
  <si>
    <t>272494</t>
  </si>
  <si>
    <t>CNRB43589740000118</t>
  </si>
  <si>
    <t>314203</t>
  </si>
  <si>
    <t>Kottayam, Kerala</t>
  </si>
  <si>
    <t>244689</t>
  </si>
  <si>
    <t>UBINAHMSUR6625A</t>
  </si>
  <si>
    <t>312164</t>
  </si>
  <si>
    <t>24-06-2026 00:00</t>
  </si>
  <si>
    <t>190970</t>
  </si>
  <si>
    <t>Active</t>
  </si>
  <si>
    <t>CNRB44077741016</t>
  </si>
  <si>
    <t>306922</t>
  </si>
  <si>
    <t>Edacheri, Kerala</t>
  </si>
  <si>
    <t>243193</t>
  </si>
  <si>
    <t>CNRB241114751</t>
  </si>
  <si>
    <t>306934</t>
  </si>
  <si>
    <t>Kunnummal, Kerala</t>
  </si>
  <si>
    <t>243883</t>
  </si>
  <si>
    <t>CNRB24197681</t>
  </si>
  <si>
    <t>307017</t>
  </si>
  <si>
    <t>Eramala, Kerala</t>
  </si>
  <si>
    <t>240301</t>
  </si>
  <si>
    <t>CNRB83517775</t>
  </si>
  <si>
    <t>307038</t>
  </si>
  <si>
    <t>Eravattur, Kerala</t>
  </si>
  <si>
    <t>253380</t>
  </si>
  <si>
    <t>CNRB315153143</t>
  </si>
  <si>
    <t>307046</t>
  </si>
  <si>
    <t>Ayancheri, Kerala</t>
  </si>
  <si>
    <t>244753</t>
  </si>
  <si>
    <t>CNRB79529080</t>
  </si>
  <si>
    <t>308542</t>
  </si>
  <si>
    <t>Keezhariyur, Kerala</t>
  </si>
  <si>
    <t>261359</t>
  </si>
  <si>
    <t>SBIN200005564011</t>
  </si>
  <si>
    <t>303925</t>
  </si>
  <si>
    <t>Arasinakunte, Karnataka</t>
  </si>
  <si>
    <t>24-06-2026 13:00</t>
  </si>
  <si>
    <t>261510</t>
  </si>
  <si>
    <t>IDIBCHAPKC01</t>
  </si>
  <si>
    <t>310238</t>
  </si>
  <si>
    <t>Changanacherry, Kerala</t>
  </si>
  <si>
    <t>24-06-2026 15:00</t>
  </si>
  <si>
    <t>275139</t>
  </si>
  <si>
    <t>IDIB50340885084</t>
  </si>
  <si>
    <t>298515</t>
  </si>
  <si>
    <t>284423</t>
  </si>
  <si>
    <t>IDIB6869314653</t>
  </si>
  <si>
    <t>299704</t>
  </si>
  <si>
    <t>284325</t>
  </si>
  <si>
    <t>IDIB7717565796</t>
  </si>
  <si>
    <t>299711</t>
  </si>
  <si>
    <t>284334</t>
  </si>
  <si>
    <t>IDIB7887296361</t>
  </si>
  <si>
    <t>304187</t>
  </si>
  <si>
    <t>285362</t>
  </si>
  <si>
    <t>IDIB7636883368</t>
  </si>
  <si>
    <t>304194</t>
  </si>
  <si>
    <t>285361</t>
  </si>
  <si>
    <t>IDIB50399046981</t>
  </si>
  <si>
    <t>304796</t>
  </si>
  <si>
    <t>Giridih, Jharkhand</t>
  </si>
  <si>
    <t>285658</t>
  </si>
  <si>
    <t>SBIN41918771080</t>
  </si>
  <si>
    <t>305396</t>
  </si>
  <si>
    <t>285391</t>
  </si>
  <si>
    <t>IDIB4124BJSC03</t>
  </si>
  <si>
    <t>305916</t>
  </si>
  <si>
    <t>Jaswantnagar, Uttar Pradesh</t>
  </si>
  <si>
    <t>235205</t>
  </si>
  <si>
    <t>IDIB4124BJSC04</t>
  </si>
  <si>
    <t>305928</t>
  </si>
  <si>
    <t>285903</t>
  </si>
  <si>
    <t>IDIB6126KCS01</t>
  </si>
  <si>
    <t>306015</t>
  </si>
  <si>
    <t>285060</t>
  </si>
  <si>
    <t>IDIB06707367599J</t>
  </si>
  <si>
    <t>306358</t>
  </si>
  <si>
    <t>268194</t>
  </si>
  <si>
    <t>IDIB006707367599</t>
  </si>
  <si>
    <t>306361</t>
  </si>
  <si>
    <t>Industrial Park Nemam, Andhra Pradesh</t>
  </si>
  <si>
    <t>268337</t>
  </si>
  <si>
    <t>IDIB06707367599C</t>
  </si>
  <si>
    <t>306373</t>
  </si>
  <si>
    <t>Kakinada, Andhra Pradesh</t>
  </si>
  <si>
    <t>268357</t>
  </si>
  <si>
    <t>IDIB06707367599D</t>
  </si>
  <si>
    <t>306375</t>
  </si>
  <si>
    <t>268359</t>
  </si>
  <si>
    <t>IDIB06707367599E</t>
  </si>
  <si>
    <t>306382</t>
  </si>
  <si>
    <t>268362</t>
  </si>
  <si>
    <t>IDIB06707367599F</t>
  </si>
  <si>
    <t>306384</t>
  </si>
  <si>
    <t>268363</t>
  </si>
  <si>
    <t>IDIB06707367599G</t>
  </si>
  <si>
    <t>306388</t>
  </si>
  <si>
    <t>268366</t>
  </si>
  <si>
    <t>IDIB06707367599H</t>
  </si>
  <si>
    <t>306395</t>
  </si>
  <si>
    <t>268718</t>
  </si>
  <si>
    <t>IDIB06707367599I</t>
  </si>
  <si>
    <t>306403</t>
  </si>
  <si>
    <t>272106</t>
  </si>
  <si>
    <t>IDIB06707367599K</t>
  </si>
  <si>
    <t>306408</t>
  </si>
  <si>
    <t>272115</t>
  </si>
  <si>
    <t>IDIB06707367599L</t>
  </si>
  <si>
    <t>306409</t>
  </si>
  <si>
    <t>272136</t>
  </si>
  <si>
    <t>IDIB006507594018</t>
  </si>
  <si>
    <t>306900</t>
  </si>
  <si>
    <t>267477</t>
  </si>
  <si>
    <t>IDIB06507594018A</t>
  </si>
  <si>
    <t>306903</t>
  </si>
  <si>
    <t>267479</t>
  </si>
  <si>
    <t>IDIB06507594018B</t>
  </si>
  <si>
    <t>306908</t>
  </si>
  <si>
    <t>Samalkot, Andhra Pradesh</t>
  </si>
  <si>
    <t>267259</t>
  </si>
  <si>
    <t>IDIB06507594018C</t>
  </si>
  <si>
    <t>306912</t>
  </si>
  <si>
    <t>267262</t>
  </si>
  <si>
    <t>IDIB06507594018D</t>
  </si>
  <si>
    <t>306918</t>
  </si>
  <si>
    <t>267264</t>
  </si>
  <si>
    <t>IDIB06507594018E</t>
  </si>
  <si>
    <t>306928</t>
  </si>
  <si>
    <t>267265</t>
  </si>
  <si>
    <t>IDIB06507594018F</t>
  </si>
  <si>
    <t>306935</t>
  </si>
  <si>
    <t>267268</t>
  </si>
  <si>
    <t>IDIB06507594018G</t>
  </si>
  <si>
    <t>306942</t>
  </si>
  <si>
    <t>267271</t>
  </si>
  <si>
    <t>IDIB06507594018H</t>
  </si>
  <si>
    <t>306947</t>
  </si>
  <si>
    <t>267278</t>
  </si>
  <si>
    <t>IDIB06507594018I</t>
  </si>
  <si>
    <t>306957</t>
  </si>
  <si>
    <t>267279</t>
  </si>
  <si>
    <t>IDIB06507594018J</t>
  </si>
  <si>
    <t>306961</t>
  </si>
  <si>
    <t>267281</t>
  </si>
  <si>
    <t>IDIB06507594018K</t>
  </si>
  <si>
    <t>306965</t>
  </si>
  <si>
    <t>267283</t>
  </si>
  <si>
    <t>IDIB06507594018L</t>
  </si>
  <si>
    <t>306969</t>
  </si>
  <si>
    <t>267284</t>
  </si>
  <si>
    <t>IDIB06507594018M</t>
  </si>
  <si>
    <t>306972</t>
  </si>
  <si>
    <t>267286</t>
  </si>
  <si>
    <t>IDIB06507594018N</t>
  </si>
  <si>
    <t>306973</t>
  </si>
  <si>
    <t>267475</t>
  </si>
  <si>
    <t>IDIBKALJIS01</t>
  </si>
  <si>
    <t>308379</t>
  </si>
  <si>
    <t>247709</t>
  </si>
  <si>
    <t>IDIBA58850017790407</t>
  </si>
  <si>
    <t>310150</t>
  </si>
  <si>
    <t>286580</t>
  </si>
  <si>
    <t>IDIB5959DHARAM01</t>
  </si>
  <si>
    <t>310451</t>
  </si>
  <si>
    <t>39679</t>
  </si>
  <si>
    <t>IDIB5959JASWANT2</t>
  </si>
  <si>
    <t>310468</t>
  </si>
  <si>
    <t>23237</t>
  </si>
  <si>
    <t>IDIB5959HARI01</t>
  </si>
  <si>
    <t>310488</t>
  </si>
  <si>
    <t>44943</t>
  </si>
  <si>
    <t>IDIB7615524777A</t>
  </si>
  <si>
    <t>310919</t>
  </si>
  <si>
    <t>Kollam, Kerala</t>
  </si>
  <si>
    <t>251125</t>
  </si>
  <si>
    <t>IDIB7615524777B</t>
  </si>
  <si>
    <t>310927</t>
  </si>
  <si>
    <t>251130</t>
  </si>
  <si>
    <t>IDIBMLAD01</t>
  </si>
  <si>
    <t>311064</t>
  </si>
  <si>
    <t>97417</t>
  </si>
  <si>
    <t>IDIB30179196982</t>
  </si>
  <si>
    <t>311069</t>
  </si>
  <si>
    <t>266275</t>
  </si>
  <si>
    <t>IDIB3216934220</t>
  </si>
  <si>
    <t>311088</t>
  </si>
  <si>
    <t>284153</t>
  </si>
  <si>
    <t>IDIBMNJJ01</t>
  </si>
  <si>
    <t>311094</t>
  </si>
  <si>
    <t>Manor, Maharashtra</t>
  </si>
  <si>
    <t>101048</t>
  </si>
  <si>
    <t>IDIBDIMK01</t>
  </si>
  <si>
    <t>311103</t>
  </si>
  <si>
    <t>24606</t>
  </si>
  <si>
    <t>IDIBYGKAL001</t>
  </si>
  <si>
    <t>311117</t>
  </si>
  <si>
    <t>66279</t>
  </si>
  <si>
    <t>IDIBDR01</t>
  </si>
  <si>
    <t>311187</t>
  </si>
  <si>
    <t>Boisar, Maharashtra</t>
  </si>
  <si>
    <t>90779</t>
  </si>
  <si>
    <t>IDIBJWAD01</t>
  </si>
  <si>
    <t>311194</t>
  </si>
  <si>
    <t>98281</t>
  </si>
  <si>
    <t>IDIBKEPM001</t>
  </si>
  <si>
    <t>311202</t>
  </si>
  <si>
    <t>44959</t>
  </si>
  <si>
    <t>IDIBBEHO01</t>
  </si>
  <si>
    <t>311225</t>
  </si>
  <si>
    <t>211861</t>
  </si>
  <si>
    <t>IDIBKESK01</t>
  </si>
  <si>
    <t>311241</t>
  </si>
  <si>
    <t>49284</t>
  </si>
  <si>
    <t>IDIBVASS01</t>
  </si>
  <si>
    <t>311313</t>
  </si>
  <si>
    <t>260990</t>
  </si>
  <si>
    <t>CBIN1993TAMBSASIB01</t>
  </si>
  <si>
    <t>311531</t>
  </si>
  <si>
    <t>253558</t>
  </si>
  <si>
    <t>IDIB7185949706</t>
  </si>
  <si>
    <t>311548</t>
  </si>
  <si>
    <t>100656</t>
  </si>
  <si>
    <t>IDIB50291736454</t>
  </si>
  <si>
    <t>311551</t>
  </si>
  <si>
    <t>42850</t>
  </si>
  <si>
    <t>IDIBA528SARVESHKAL01</t>
  </si>
  <si>
    <t>311634</t>
  </si>
  <si>
    <t>226120</t>
  </si>
  <si>
    <t>IDIBA528MUKES</t>
  </si>
  <si>
    <t>311646</t>
  </si>
  <si>
    <t>50157</t>
  </si>
  <si>
    <t>IDIBA528VIPINSH</t>
  </si>
  <si>
    <t>311655</t>
  </si>
  <si>
    <t>34025</t>
  </si>
  <si>
    <t>IDIBA528RANISHAR</t>
  </si>
  <si>
    <t>311664</t>
  </si>
  <si>
    <t>73760</t>
  </si>
  <si>
    <t>IDIB6430984570</t>
  </si>
  <si>
    <t>312967</t>
  </si>
  <si>
    <t>Bargur, Tamil Nadu</t>
  </si>
  <si>
    <t>286555</t>
  </si>
  <si>
    <t>IDIB50365183043</t>
  </si>
  <si>
    <t>313425</t>
  </si>
  <si>
    <t>256090</t>
  </si>
  <si>
    <t>SBIN200038610807</t>
  </si>
  <si>
    <t>313716</t>
  </si>
  <si>
    <t>245560</t>
  </si>
  <si>
    <t>SBIN200050229564</t>
  </si>
  <si>
    <t>313719</t>
  </si>
  <si>
    <t>64155</t>
  </si>
  <si>
    <t>SBIN0200001375626</t>
  </si>
  <si>
    <t>315551</t>
  </si>
  <si>
    <t>245993</t>
  </si>
  <si>
    <t>SBINNATARAJAN</t>
  </si>
  <si>
    <t>315560</t>
  </si>
  <si>
    <t>285008</t>
  </si>
  <si>
    <t>IDIB6732285015</t>
  </si>
  <si>
    <t>317253</t>
  </si>
  <si>
    <t>Sankarankoil, Tamil Nadu</t>
  </si>
  <si>
    <t>285575</t>
  </si>
  <si>
    <t>IDIB03320994031</t>
  </si>
  <si>
    <t>301662</t>
  </si>
  <si>
    <t>Jalna, Maharashtra</t>
  </si>
  <si>
    <t>261797</t>
  </si>
  <si>
    <t>IDIB30012144516</t>
  </si>
  <si>
    <t>302764</t>
  </si>
  <si>
    <t>Suzabad, Uttar Pradesh</t>
  </si>
  <si>
    <t>50664</t>
  </si>
  <si>
    <t>IDIB6856901349</t>
  </si>
  <si>
    <t>303361</t>
  </si>
  <si>
    <t>Senthamangalam, Tamil Nadu</t>
  </si>
  <si>
    <t>285388</t>
  </si>
  <si>
    <t>IDIB30404761226</t>
  </si>
  <si>
    <t>303505</t>
  </si>
  <si>
    <t>285330</t>
  </si>
  <si>
    <t>IDIB30404761226A</t>
  </si>
  <si>
    <t>303513</t>
  </si>
  <si>
    <t>285334</t>
  </si>
  <si>
    <t>IDIB30406971796</t>
  </si>
  <si>
    <t>303516</t>
  </si>
  <si>
    <t>285337</t>
  </si>
  <si>
    <t>IDIB06040605165</t>
  </si>
  <si>
    <t>303524</t>
  </si>
  <si>
    <t>Karur, Tamil Nadu</t>
  </si>
  <si>
    <t>285434</t>
  </si>
  <si>
    <t>IDIB30243662668</t>
  </si>
  <si>
    <t>303546</t>
  </si>
  <si>
    <t>285341</t>
  </si>
  <si>
    <t>IDIB30302514046</t>
  </si>
  <si>
    <t>303570</t>
  </si>
  <si>
    <t>Ankleshwar, Gujarat</t>
  </si>
  <si>
    <t>285347</t>
  </si>
  <si>
    <t>IDIB30431616878</t>
  </si>
  <si>
    <t>303604</t>
  </si>
  <si>
    <t>285349</t>
  </si>
  <si>
    <t>IDIB3284481392</t>
  </si>
  <si>
    <t>303623</t>
  </si>
  <si>
    <t>285352</t>
  </si>
  <si>
    <t>IDIB000182</t>
  </si>
  <si>
    <t>308991</t>
  </si>
  <si>
    <t>Jalgaon, Maharashtra</t>
  </si>
  <si>
    <t>15761</t>
  </si>
  <si>
    <t>CNRB4095261000020</t>
  </si>
  <si>
    <t>309457</t>
  </si>
  <si>
    <t>199123</t>
  </si>
  <si>
    <t>IDIB0JYOTI</t>
  </si>
  <si>
    <t>309721</t>
  </si>
  <si>
    <t>286517</t>
  </si>
  <si>
    <t>IDIB30424952558</t>
  </si>
  <si>
    <t>309722</t>
  </si>
  <si>
    <t>243060</t>
  </si>
  <si>
    <t>IDIB30516792939</t>
  </si>
  <si>
    <t>309744</t>
  </si>
  <si>
    <t>257577</t>
  </si>
  <si>
    <t>IDIB30570677932</t>
  </si>
  <si>
    <t>309811</t>
  </si>
  <si>
    <t>256391</t>
  </si>
  <si>
    <t>IDIB0211689807</t>
  </si>
  <si>
    <t>310586</t>
  </si>
  <si>
    <t>66975</t>
  </si>
  <si>
    <t>IDIB0211689815</t>
  </si>
  <si>
    <t>310590</t>
  </si>
  <si>
    <t>59272</t>
  </si>
  <si>
    <t>IDIB0211689829</t>
  </si>
  <si>
    <t>310593</t>
  </si>
  <si>
    <t>124873</t>
  </si>
  <si>
    <t>IDIB0211689817</t>
  </si>
  <si>
    <t>310599</t>
  </si>
  <si>
    <t>21722</t>
  </si>
  <si>
    <t>IDIB50014475966</t>
  </si>
  <si>
    <t>311330</t>
  </si>
  <si>
    <t>58656</t>
  </si>
  <si>
    <t>IDIB30403857556</t>
  </si>
  <si>
    <t>311595</t>
  </si>
  <si>
    <t>265935</t>
  </si>
  <si>
    <t>IDIB7359681571A</t>
  </si>
  <si>
    <t>316025</t>
  </si>
  <si>
    <t>226568</t>
  </si>
  <si>
    <t>IDIB7837901141</t>
  </si>
  <si>
    <t>316027</t>
  </si>
  <si>
    <t>277546</t>
  </si>
  <si>
    <t>IDIB7823686833</t>
  </si>
  <si>
    <t>316033</t>
  </si>
  <si>
    <t>268441</t>
  </si>
  <si>
    <t>IDIB7007204190</t>
  </si>
  <si>
    <t>316381</t>
  </si>
  <si>
    <t>Hanwada, Telangana</t>
  </si>
  <si>
    <t>287749</t>
  </si>
  <si>
    <t>IDIB3319527173</t>
  </si>
  <si>
    <t>317752</t>
  </si>
  <si>
    <t>Palsana, Gujarat</t>
  </si>
  <si>
    <t>267773</t>
  </si>
  <si>
    <t>IDIB11760399461</t>
  </si>
  <si>
    <t>317755</t>
  </si>
  <si>
    <t>267747</t>
  </si>
  <si>
    <t>IDIB3245979630</t>
  </si>
  <si>
    <t>317757</t>
  </si>
  <si>
    <t>257073</t>
  </si>
  <si>
    <t>IDIB3282760795</t>
  </si>
  <si>
    <t>317758</t>
  </si>
  <si>
    <t>257079</t>
  </si>
  <si>
    <t>IDIB006529483552</t>
  </si>
  <si>
    <t>307549</t>
  </si>
  <si>
    <t>Nidadavole, Andhra Pradesh</t>
  </si>
  <si>
    <t>24-06-2026 18:00</t>
  </si>
  <si>
    <t>278478</t>
  </si>
  <si>
    <t>CNRBPRASA</t>
  </si>
  <si>
    <t>308490</t>
  </si>
  <si>
    <t>24-06-2026 10:30</t>
  </si>
  <si>
    <t>24-06-2026 11:30</t>
  </si>
  <si>
    <t>280736</t>
  </si>
  <si>
    <t>CNRBVINAYS</t>
  </si>
  <si>
    <t>308507</t>
  </si>
  <si>
    <t>247609</t>
  </si>
  <si>
    <t>CNRBJINTESH</t>
  </si>
  <si>
    <t>309232</t>
  </si>
  <si>
    <t>280457</t>
  </si>
  <si>
    <t>CNRB13190R2</t>
  </si>
  <si>
    <t>309294</t>
  </si>
  <si>
    <t>277866</t>
  </si>
  <si>
    <t>CNRB13190R1</t>
  </si>
  <si>
    <t>309303</t>
  </si>
  <si>
    <t>277863</t>
  </si>
  <si>
    <t>CNRB313123045A</t>
  </si>
  <si>
    <t>309352</t>
  </si>
  <si>
    <t>Chittoor, Andhra Pradesh</t>
  </si>
  <si>
    <t>265442</t>
  </si>
  <si>
    <t>CNRB313123045</t>
  </si>
  <si>
    <t>309361</t>
  </si>
  <si>
    <t>Gudiyatham, Tamil Nadu</t>
  </si>
  <si>
    <t>244482</t>
  </si>
  <si>
    <t>CNRB306626015</t>
  </si>
  <si>
    <t>309371</t>
  </si>
  <si>
    <t>278780</t>
  </si>
  <si>
    <t>CNRB250267329</t>
  </si>
  <si>
    <t>309375</t>
  </si>
  <si>
    <t>276467</t>
  </si>
  <si>
    <t>CNRB118395762</t>
  </si>
  <si>
    <t>309382</t>
  </si>
  <si>
    <t>282556</t>
  </si>
  <si>
    <t>CNRB24435562301</t>
  </si>
  <si>
    <t>309396</t>
  </si>
  <si>
    <t>276517</t>
  </si>
  <si>
    <t>CNRB24435562302</t>
  </si>
  <si>
    <t>309407</t>
  </si>
  <si>
    <t>276521</t>
  </si>
  <si>
    <t>CNRB1122</t>
  </si>
  <si>
    <t>309422</t>
  </si>
  <si>
    <t>216256</t>
  </si>
  <si>
    <t>CNRB1220315</t>
  </si>
  <si>
    <t>309440</t>
  </si>
  <si>
    <t>219803</t>
  </si>
  <si>
    <t>CNRB3153</t>
  </si>
  <si>
    <t>309697</t>
  </si>
  <si>
    <t>216274</t>
  </si>
  <si>
    <t>CNRB1534</t>
  </si>
  <si>
    <t>309704</t>
  </si>
  <si>
    <t>216277</t>
  </si>
  <si>
    <t>CNRB25856148A</t>
  </si>
  <si>
    <t>310983</t>
  </si>
  <si>
    <t>203573</t>
  </si>
  <si>
    <t>CNRB1523619017804</t>
  </si>
  <si>
    <t>311174</t>
  </si>
  <si>
    <t>248732</t>
  </si>
  <si>
    <t>CNRB2491662000010</t>
  </si>
  <si>
    <t>311184</t>
  </si>
  <si>
    <t>252557</t>
  </si>
  <si>
    <t>CNRBShabeer</t>
  </si>
  <si>
    <t>311197</t>
  </si>
  <si>
    <t>Manakkody, Kerala</t>
  </si>
  <si>
    <t>248728</t>
  </si>
  <si>
    <t>CNRB80945067</t>
  </si>
  <si>
    <t>312541</t>
  </si>
  <si>
    <t>Ranipet, Tamil Nadu</t>
  </si>
  <si>
    <t>203489</t>
  </si>
  <si>
    <t>CNRB108821345RAINBOWTIMBE</t>
  </si>
  <si>
    <t>302842</t>
  </si>
  <si>
    <t>SIDCO Industrial Estate Periyanesalur, Tamil Nadu</t>
  </si>
  <si>
    <t>284851</t>
  </si>
  <si>
    <t>CNRBARM0192</t>
  </si>
  <si>
    <t>306680</t>
  </si>
  <si>
    <t>191681</t>
  </si>
  <si>
    <t>CNRB01067</t>
  </si>
  <si>
    <t>307716</t>
  </si>
  <si>
    <t>Honavar, Karnataka</t>
  </si>
  <si>
    <t>277973</t>
  </si>
  <si>
    <t>CNRBAJITNARRAPAFLATE1</t>
  </si>
  <si>
    <t>307938</t>
  </si>
  <si>
    <t>265338</t>
  </si>
  <si>
    <t>CNRBFLATNO101</t>
  </si>
  <si>
    <t>307945</t>
  </si>
  <si>
    <t>Matheran, Maharashtra</t>
  </si>
  <si>
    <t>248301</t>
  </si>
  <si>
    <t>CNRB03122025</t>
  </si>
  <si>
    <t>307954</t>
  </si>
  <si>
    <t>266098</t>
  </si>
  <si>
    <t>CNRBARM01071</t>
  </si>
  <si>
    <t>307966</t>
  </si>
  <si>
    <t>Alok City, Dadra &amp; Nagar Haveli &amp; Daman &amp; Diu</t>
  </si>
  <si>
    <t>199781</t>
  </si>
  <si>
    <t>CNRB05122025</t>
  </si>
  <si>
    <t>307971</t>
  </si>
  <si>
    <t>266530</t>
  </si>
  <si>
    <t>CNRBARM76161653001</t>
  </si>
  <si>
    <t>308131</t>
  </si>
  <si>
    <t>257527</t>
  </si>
  <si>
    <t>MAHB152AUR</t>
  </si>
  <si>
    <t>313495</t>
  </si>
  <si>
    <t>172226</t>
  </si>
  <si>
    <t>CNRBSUNILKUMAR</t>
  </si>
  <si>
    <t>308367</t>
  </si>
  <si>
    <t>Jaspur, Uttarakhand</t>
  </si>
  <si>
    <t>270140</t>
  </si>
  <si>
    <t>CNRBSUNEETA</t>
  </si>
  <si>
    <t>308372</t>
  </si>
  <si>
    <t>262386</t>
  </si>
  <si>
    <t>CNRBSHYAMSAUN</t>
  </si>
  <si>
    <t>308486</t>
  </si>
  <si>
    <t>Pithoragarh, Uttarakhand</t>
  </si>
  <si>
    <t>272463</t>
  </si>
  <si>
    <t>CNRBSAVITRI</t>
  </si>
  <si>
    <t>308548</t>
  </si>
  <si>
    <t>264120</t>
  </si>
  <si>
    <t>MAHBKOLCHC1</t>
  </si>
  <si>
    <t>307346</t>
  </si>
  <si>
    <t>Madhavnagar, Maharashtra</t>
  </si>
  <si>
    <t>24-06-2026 14:00</t>
  </si>
  <si>
    <t>286047</t>
  </si>
  <si>
    <t>MAHBKOLCHC5</t>
  </si>
  <si>
    <t>307841</t>
  </si>
  <si>
    <t>286168</t>
  </si>
  <si>
    <t>MAHBKOLCHC9</t>
  </si>
  <si>
    <t>307845</t>
  </si>
  <si>
    <t>286179</t>
  </si>
  <si>
    <t>MAHBKOLCHC8</t>
  </si>
  <si>
    <t>307847</t>
  </si>
  <si>
    <t>286178</t>
  </si>
  <si>
    <t>MAHBKOLCHC6</t>
  </si>
  <si>
    <t>309373</t>
  </si>
  <si>
    <t>286172</t>
  </si>
  <si>
    <t>IOBAMKCTRADERS0022</t>
  </si>
  <si>
    <t>317460</t>
  </si>
  <si>
    <t>Choudwar, Odisha</t>
  </si>
  <si>
    <t>261663</t>
  </si>
  <si>
    <t>IOBAMUSA1434</t>
  </si>
  <si>
    <t>317659</t>
  </si>
  <si>
    <t>Nayagarh, Odisha</t>
  </si>
  <si>
    <t>286890</t>
  </si>
  <si>
    <t>IOBABHAGABATI0832</t>
  </si>
  <si>
    <t>318087</t>
  </si>
  <si>
    <t>Baleswar, Odisha</t>
  </si>
  <si>
    <t>286896</t>
  </si>
  <si>
    <t>IOBABADSHAH2630</t>
  </si>
  <si>
    <t>318110</t>
  </si>
  <si>
    <t>Jajpur, Odisha</t>
  </si>
  <si>
    <t>280947</t>
  </si>
  <si>
    <t>IOBASANDHYARANI1676</t>
  </si>
  <si>
    <t>318342</t>
  </si>
  <si>
    <t>Pipili, Odisha</t>
  </si>
  <si>
    <t>288131</t>
  </si>
  <si>
    <t>IOBASURENDRASEN0022</t>
  </si>
  <si>
    <t>318344</t>
  </si>
  <si>
    <t>Cuttack, Odisha</t>
  </si>
  <si>
    <t>288140</t>
  </si>
  <si>
    <t>IOBABHARATJENA0964</t>
  </si>
  <si>
    <t>318356</t>
  </si>
  <si>
    <t>Bhadrak, Odisha</t>
  </si>
  <si>
    <t>288148</t>
  </si>
  <si>
    <t>IDIBMGDHANARAJAS03</t>
  </si>
  <si>
    <t>141900</t>
  </si>
  <si>
    <t>Chelamattom, Kerala</t>
  </si>
  <si>
    <t>245919</t>
  </si>
  <si>
    <t>IDIB3305131039</t>
  </si>
  <si>
    <t>302353</t>
  </si>
  <si>
    <t>Samastipur, Bihar</t>
  </si>
  <si>
    <t>285148</t>
  </si>
  <si>
    <t>IDIB96011805261</t>
  </si>
  <si>
    <t>302539</t>
  </si>
  <si>
    <t>285177</t>
  </si>
  <si>
    <t>IDIB96011805262</t>
  </si>
  <si>
    <t>302556</t>
  </si>
  <si>
    <t>285179</t>
  </si>
  <si>
    <t>MAHBavaaneeshkv</t>
  </si>
  <si>
    <t>307686</t>
  </si>
  <si>
    <t>Perumbavoor, Kerala</t>
  </si>
  <si>
    <t>286249</t>
  </si>
  <si>
    <t>IDIBALAVEE01</t>
  </si>
  <si>
    <t>308352</t>
  </si>
  <si>
    <t>184824</t>
  </si>
  <si>
    <t>IDIBALASUD001</t>
  </si>
  <si>
    <t>308358</t>
  </si>
  <si>
    <t>251000</t>
  </si>
  <si>
    <t>IDIBALAPRI001</t>
  </si>
  <si>
    <t>308361</t>
  </si>
  <si>
    <t>277631</t>
  </si>
  <si>
    <t>IDIBALAMEE01</t>
  </si>
  <si>
    <t>308384</t>
  </si>
  <si>
    <t>AMBALAPPUZHA, Kerala</t>
  </si>
  <si>
    <t>277617</t>
  </si>
  <si>
    <t>IDIB96012910254</t>
  </si>
  <si>
    <t>308482</t>
  </si>
  <si>
    <t>258048</t>
  </si>
  <si>
    <t>IDIB96012910252</t>
  </si>
  <si>
    <t>308543</t>
  </si>
  <si>
    <t>258052</t>
  </si>
  <si>
    <t>IDIB96012608003</t>
  </si>
  <si>
    <t>308564</t>
  </si>
  <si>
    <t>Himmatnagar, Gujarat</t>
  </si>
  <si>
    <t>254258</t>
  </si>
  <si>
    <t>IDIB96011707002</t>
  </si>
  <si>
    <t>309942</t>
  </si>
  <si>
    <t>246558</t>
  </si>
  <si>
    <t>IDIB960102022606</t>
  </si>
  <si>
    <t>309944</t>
  </si>
  <si>
    <t>275010</t>
  </si>
  <si>
    <t>IDIB960102022605</t>
  </si>
  <si>
    <t>309946</t>
  </si>
  <si>
    <t>274974</t>
  </si>
  <si>
    <t>IDIB960102022604</t>
  </si>
  <si>
    <t>309948</t>
  </si>
  <si>
    <t>Nadiad, Gujarat</t>
  </si>
  <si>
    <t>275002</t>
  </si>
  <si>
    <t>IDIBMGMOHDLIYK02</t>
  </si>
  <si>
    <t>309998</t>
  </si>
  <si>
    <t>Akathiyoor, Kerala</t>
  </si>
  <si>
    <t>217042</t>
  </si>
  <si>
    <t>IDIBMGNASIDAK01</t>
  </si>
  <si>
    <t>310005</t>
  </si>
  <si>
    <t>AYOOR, Kerala</t>
  </si>
  <si>
    <t>273699</t>
  </si>
  <si>
    <t>IDIBMGSURESHKB03</t>
  </si>
  <si>
    <t>310010</t>
  </si>
  <si>
    <t>Kakkanad, Kerala</t>
  </si>
  <si>
    <t>235089</t>
  </si>
  <si>
    <t>IOBA0000044003</t>
  </si>
  <si>
    <t>310068</t>
  </si>
  <si>
    <t>Mayiladuthurai, Tamil Nadu</t>
  </si>
  <si>
    <t>121430</t>
  </si>
  <si>
    <t>IOBA0001361001</t>
  </si>
  <si>
    <t>310072</t>
  </si>
  <si>
    <t>Kumbakonam, Tamil Nadu</t>
  </si>
  <si>
    <t>124742</t>
  </si>
  <si>
    <t>IOBA1423SIVASANKARI</t>
  </si>
  <si>
    <t>310585</t>
  </si>
  <si>
    <t>251649</t>
  </si>
  <si>
    <t>IOBA1423GSWATHIPRIYA</t>
  </si>
  <si>
    <t>310589</t>
  </si>
  <si>
    <t>251651</t>
  </si>
  <si>
    <t>IOBA1423RAGHUR</t>
  </si>
  <si>
    <t>310596</t>
  </si>
  <si>
    <t>251650</t>
  </si>
  <si>
    <t>IOBA0048NAGARAJAN</t>
  </si>
  <si>
    <t>310606</t>
  </si>
  <si>
    <t>251642</t>
  </si>
  <si>
    <t>IOBA0048RANGARAJAN</t>
  </si>
  <si>
    <t>310618</t>
  </si>
  <si>
    <t>251641</t>
  </si>
  <si>
    <t>IOBA0571ARYAN</t>
  </si>
  <si>
    <t>310623</t>
  </si>
  <si>
    <t>251627</t>
  </si>
  <si>
    <t>IOBA0571SARAVANAN</t>
  </si>
  <si>
    <t>310631</t>
  </si>
  <si>
    <t>251628</t>
  </si>
  <si>
    <t>IOBA0183SASIK</t>
  </si>
  <si>
    <t>310681</t>
  </si>
  <si>
    <t>Mahindra World City, Tamil Nadu</t>
  </si>
  <si>
    <t>266214</t>
  </si>
  <si>
    <t>IOBA0522PANAKAM</t>
  </si>
  <si>
    <t>310685</t>
  </si>
  <si>
    <t>264813</t>
  </si>
  <si>
    <t>IOBA0075KKROK</t>
  </si>
  <si>
    <t>310690</t>
  </si>
  <si>
    <t>242359</t>
  </si>
  <si>
    <t>IOBA0075SABTASAGAR1</t>
  </si>
  <si>
    <t>310695</t>
  </si>
  <si>
    <t>Kelambakkam, Tamil Nadu</t>
  </si>
  <si>
    <t>251636</t>
  </si>
  <si>
    <t>IOBA0075SABTASAGAR2</t>
  </si>
  <si>
    <t>310697</t>
  </si>
  <si>
    <t>251637</t>
  </si>
  <si>
    <t>IOBA0075SRINATHR</t>
  </si>
  <si>
    <t>310702</t>
  </si>
  <si>
    <t>251635</t>
  </si>
  <si>
    <t>IOBA1172SURIYAP</t>
  </si>
  <si>
    <t>310705</t>
  </si>
  <si>
    <t>254511</t>
  </si>
  <si>
    <t>IOBA0109DIVYAV</t>
  </si>
  <si>
    <t>310708</t>
  </si>
  <si>
    <t>237402</t>
  </si>
  <si>
    <t>IOBA0098NATARAJAN</t>
  </si>
  <si>
    <t>310712</t>
  </si>
  <si>
    <t>283118</t>
  </si>
  <si>
    <t>IOBA0479VINAYAKC</t>
  </si>
  <si>
    <t>310714</t>
  </si>
  <si>
    <t>274616</t>
  </si>
  <si>
    <t>IOBA0479VINAYAKE</t>
  </si>
  <si>
    <t>310715</t>
  </si>
  <si>
    <t>274622</t>
  </si>
  <si>
    <t>IOBA0479VINAYAKF</t>
  </si>
  <si>
    <t>310717</t>
  </si>
  <si>
    <t>274620</t>
  </si>
  <si>
    <t>IOBA0479VINAYAKG</t>
  </si>
  <si>
    <t>310718</t>
  </si>
  <si>
    <t>274625</t>
  </si>
  <si>
    <t>IDIB960110032602</t>
  </si>
  <si>
    <t>310746</t>
  </si>
  <si>
    <t>286677</t>
  </si>
  <si>
    <t>IDIB960110032601</t>
  </si>
  <si>
    <t>310747</t>
  </si>
  <si>
    <t>286678</t>
  </si>
  <si>
    <t>IDIB30254480357</t>
  </si>
  <si>
    <t>311618</t>
  </si>
  <si>
    <t>Mushalpur, Assam</t>
  </si>
  <si>
    <t>273671</t>
  </si>
  <si>
    <t>IOBA3049MANISHA</t>
  </si>
  <si>
    <t>314687</t>
  </si>
  <si>
    <t>Nashik, Maharashtra</t>
  </si>
  <si>
    <t>104212</t>
  </si>
  <si>
    <t>IOBA2584SWARWAR</t>
  </si>
  <si>
    <t>314709</t>
  </si>
  <si>
    <t>207993</t>
  </si>
  <si>
    <t>IOBA2584CHAYA</t>
  </si>
  <si>
    <t>314733</t>
  </si>
  <si>
    <t>207990</t>
  </si>
  <si>
    <t>IOBA3058NKF01</t>
  </si>
  <si>
    <t>314741</t>
  </si>
  <si>
    <t>Kolhapur, Maharashtra</t>
  </si>
  <si>
    <t>67991</t>
  </si>
  <si>
    <t>IOBA0776NEWYASH2</t>
  </si>
  <si>
    <t>314765</t>
  </si>
  <si>
    <t>118720</t>
  </si>
  <si>
    <t>IOBA0776NEWYASH1</t>
  </si>
  <si>
    <t>314778</t>
  </si>
  <si>
    <t>113956</t>
  </si>
  <si>
    <t>IDIB000611I012</t>
  </si>
  <si>
    <t>308970</t>
  </si>
  <si>
    <t>232399</t>
  </si>
  <si>
    <t>IDIB000612I012</t>
  </si>
  <si>
    <t>308974</t>
  </si>
  <si>
    <t>232421</t>
  </si>
  <si>
    <t>IDIBLUK0206A604</t>
  </si>
  <si>
    <t>315280</t>
  </si>
  <si>
    <t>287492</t>
  </si>
  <si>
    <t>IDIB3957183512</t>
  </si>
  <si>
    <t>296247</t>
  </si>
  <si>
    <t>Bahraich, Uttar Pradesh</t>
  </si>
  <si>
    <t>284226</t>
  </si>
  <si>
    <t>IDIB3957183511</t>
  </si>
  <si>
    <t>296261</t>
  </si>
  <si>
    <t>284223</t>
  </si>
  <si>
    <t>IDIB6637458806</t>
  </si>
  <si>
    <t>297442</t>
  </si>
  <si>
    <t>Ambala, Haryana</t>
  </si>
  <si>
    <t>64683</t>
  </si>
  <si>
    <t>IDIB50132471853</t>
  </si>
  <si>
    <t>297520</t>
  </si>
  <si>
    <t>Karnal, Haryana</t>
  </si>
  <si>
    <t>284338</t>
  </si>
  <si>
    <t>IDIB21546168592</t>
  </si>
  <si>
    <t>301317</t>
  </si>
  <si>
    <t>284903</t>
  </si>
  <si>
    <t>SBIN001295384</t>
  </si>
  <si>
    <t>301629</t>
  </si>
  <si>
    <t>284574</t>
  </si>
  <si>
    <t>IDIB50323346860</t>
  </si>
  <si>
    <t>301859</t>
  </si>
  <si>
    <t>254682</t>
  </si>
  <si>
    <t>IDIB7385046774A</t>
  </si>
  <si>
    <t>301863</t>
  </si>
  <si>
    <t>284925</t>
  </si>
  <si>
    <t>IDIB7593850462</t>
  </si>
  <si>
    <t>301881</t>
  </si>
  <si>
    <t>Baduria, West Bengal</t>
  </si>
  <si>
    <t>276800</t>
  </si>
  <si>
    <t>IDIB50446345797</t>
  </si>
  <si>
    <t>301892</t>
  </si>
  <si>
    <t>169859</t>
  </si>
  <si>
    <t>IDIB50439349111</t>
  </si>
  <si>
    <t>302432</t>
  </si>
  <si>
    <t>Bira, West Bengal</t>
  </si>
  <si>
    <t>119585</t>
  </si>
  <si>
    <t>IDIB21850385075</t>
  </si>
  <si>
    <t>302456</t>
  </si>
  <si>
    <t>Helencha, West Bengal</t>
  </si>
  <si>
    <t>276751</t>
  </si>
  <si>
    <t>SBIN038309087834</t>
  </si>
  <si>
    <t>302583</t>
  </si>
  <si>
    <t>Vijayawada, Andhra Pradesh</t>
  </si>
  <si>
    <t>264801</t>
  </si>
  <si>
    <t>IDIB7808466893</t>
  </si>
  <si>
    <t>302936</t>
  </si>
  <si>
    <t>Lakshminarayanapuram, Tamil Nadu</t>
  </si>
  <si>
    <t>285302</t>
  </si>
  <si>
    <t>SBINSENTHURAN</t>
  </si>
  <si>
    <t>303769</t>
  </si>
  <si>
    <t>285144</t>
  </si>
  <si>
    <t>SBIN10204JPCOMP2</t>
  </si>
  <si>
    <t>303773</t>
  </si>
  <si>
    <t>Edaganasalai, Tamil Nadu</t>
  </si>
  <si>
    <t>285232</t>
  </si>
  <si>
    <t>SBIN10204JPCOMP</t>
  </si>
  <si>
    <t>303776</t>
  </si>
  <si>
    <t>Salem, Tamil Nadu</t>
  </si>
  <si>
    <t>285220</t>
  </si>
  <si>
    <t>PUNB001502203</t>
  </si>
  <si>
    <t>304589</t>
  </si>
  <si>
    <t>Bhagatdih, Jharkhand</t>
  </si>
  <si>
    <t>213047</t>
  </si>
  <si>
    <t>SBIN27789122667000</t>
  </si>
  <si>
    <t>304876</t>
  </si>
  <si>
    <t>285579</t>
  </si>
  <si>
    <t>IDIB6440743010</t>
  </si>
  <si>
    <t>304888</t>
  </si>
  <si>
    <t>285668</t>
  </si>
  <si>
    <t>SBIN78263333826</t>
  </si>
  <si>
    <t>305086</t>
  </si>
  <si>
    <t>282661</t>
  </si>
  <si>
    <t>SBIN78407749493</t>
  </si>
  <si>
    <t>305090</t>
  </si>
  <si>
    <t>279015</t>
  </si>
  <si>
    <t>SBIN78373769834</t>
  </si>
  <si>
    <t>305093</t>
  </si>
  <si>
    <t>279025</t>
  </si>
  <si>
    <t>SBIN78169560074</t>
  </si>
  <si>
    <t>305315</t>
  </si>
  <si>
    <t>Ongole, Andhra Pradesh</t>
  </si>
  <si>
    <t>276747</t>
  </si>
  <si>
    <t>SBIN78559947310</t>
  </si>
  <si>
    <t>305319</t>
  </si>
  <si>
    <t>281331</t>
  </si>
  <si>
    <t>SBIN200021788206</t>
  </si>
  <si>
    <t>305337</t>
  </si>
  <si>
    <t>Nellore, Andhra Pradesh</t>
  </si>
  <si>
    <t>218460</t>
  </si>
  <si>
    <t>IOBA0193S03</t>
  </si>
  <si>
    <t>305619</t>
  </si>
  <si>
    <t>284989</t>
  </si>
  <si>
    <t>SBIN400028083467</t>
  </si>
  <si>
    <t>305734</t>
  </si>
  <si>
    <t>89801</t>
  </si>
  <si>
    <t>IDIB30465464289</t>
  </si>
  <si>
    <t>306224</t>
  </si>
  <si>
    <t>285979</t>
  </si>
  <si>
    <t>IDIB30491378647</t>
  </si>
  <si>
    <t>306228</t>
  </si>
  <si>
    <t>285962</t>
  </si>
  <si>
    <t>SBIN400612775391</t>
  </si>
  <si>
    <t>306563</t>
  </si>
  <si>
    <t>227528</t>
  </si>
  <si>
    <t>SBIN400009572493</t>
  </si>
  <si>
    <t>306565</t>
  </si>
  <si>
    <t>227530</t>
  </si>
  <si>
    <t>SBIN400003940671</t>
  </si>
  <si>
    <t>306699</t>
  </si>
  <si>
    <t>1496</t>
  </si>
  <si>
    <t>SBIN400003936846</t>
  </si>
  <si>
    <t>306702</t>
  </si>
  <si>
    <t>1518</t>
  </si>
  <si>
    <t>SBINPOOLAKOMALATHA</t>
  </si>
  <si>
    <t>306729</t>
  </si>
  <si>
    <t>Ananthapuramu, Andhra Pradesh</t>
  </si>
  <si>
    <t>285855</t>
  </si>
  <si>
    <t>SBIN400002276065</t>
  </si>
  <si>
    <t>306783</t>
  </si>
  <si>
    <t>264364</t>
  </si>
  <si>
    <t>CNRBAMBMANTOSH</t>
  </si>
  <si>
    <t>306817</t>
  </si>
  <si>
    <t>Ambassa, Tripura</t>
  </si>
  <si>
    <t>187251</t>
  </si>
  <si>
    <t>CNRBLUNG03</t>
  </si>
  <si>
    <t>306930</t>
  </si>
  <si>
    <t>Lunglei, Mizoram</t>
  </si>
  <si>
    <t>171242</t>
  </si>
  <si>
    <t>SBIN90920797622</t>
  </si>
  <si>
    <t>307117</t>
  </si>
  <si>
    <t>237699</t>
  </si>
  <si>
    <t>SBIN90919675223</t>
  </si>
  <si>
    <t>307141</t>
  </si>
  <si>
    <t>237881</t>
  </si>
  <si>
    <t>SBIN200050092454</t>
  </si>
  <si>
    <t>307463</t>
  </si>
  <si>
    <t>Madavoor, Kerala</t>
  </si>
  <si>
    <t>239020</t>
  </si>
  <si>
    <t>SBIN20016057598</t>
  </si>
  <si>
    <t>307479</t>
  </si>
  <si>
    <t>130323</t>
  </si>
  <si>
    <t>SBIN200021172044</t>
  </si>
  <si>
    <t>307491</t>
  </si>
  <si>
    <t>223036</t>
  </si>
  <si>
    <t>IDIB6558770562</t>
  </si>
  <si>
    <t>307511</t>
  </si>
  <si>
    <t>38792</t>
  </si>
  <si>
    <t>IDIB1000183401A</t>
  </si>
  <si>
    <t>307694</t>
  </si>
  <si>
    <t>Mettupalayam, Tamil Nadu</t>
  </si>
  <si>
    <t>182050</t>
  </si>
  <si>
    <t>SBIN10204SUDHA</t>
  </si>
  <si>
    <t>307795</t>
  </si>
  <si>
    <t>Erode, Tamil Nadu</t>
  </si>
  <si>
    <t>250131</t>
  </si>
  <si>
    <t>IDIBK80550199503</t>
  </si>
  <si>
    <t>308322</t>
  </si>
  <si>
    <t>Chengalam South, Kerala</t>
  </si>
  <si>
    <t>212765</t>
  </si>
  <si>
    <t>IDIBEKMKRIS01</t>
  </si>
  <si>
    <t>308338</t>
  </si>
  <si>
    <t>Kanayannur, Kerala</t>
  </si>
  <si>
    <t>279547</t>
  </si>
  <si>
    <t>IDIBKK80550470789</t>
  </si>
  <si>
    <t>308375</t>
  </si>
  <si>
    <t>Puthuppally, Kerala</t>
  </si>
  <si>
    <t>212755</t>
  </si>
  <si>
    <t>SBIN10204JAYARANI</t>
  </si>
  <si>
    <t>308464</t>
  </si>
  <si>
    <t>Vellode, Tamil Nadu</t>
  </si>
  <si>
    <t>252269</t>
  </si>
  <si>
    <t>IDIBPRANJALI</t>
  </si>
  <si>
    <t>308831</t>
  </si>
  <si>
    <t>215730</t>
  </si>
  <si>
    <t>SBIN40008504458</t>
  </si>
  <si>
    <t>309038</t>
  </si>
  <si>
    <t>259174</t>
  </si>
  <si>
    <t>SBIN10204MURALIPM</t>
  </si>
  <si>
    <t>309089</t>
  </si>
  <si>
    <t>Coimbatore, Tamil Nadu</t>
  </si>
  <si>
    <t>285616</t>
  </si>
  <si>
    <t>SBIN10204JOSEPHINE</t>
  </si>
  <si>
    <t>309094</t>
  </si>
  <si>
    <t>Chettipalayam, Tamil Nadu</t>
  </si>
  <si>
    <t>285609</t>
  </si>
  <si>
    <t>IDIBGULBANO</t>
  </si>
  <si>
    <t>309180</t>
  </si>
  <si>
    <t>273317</t>
  </si>
  <si>
    <t>IDIBKAILASHPAWAR</t>
  </si>
  <si>
    <t>309181</t>
  </si>
  <si>
    <t>278151</t>
  </si>
  <si>
    <t>IDIBMAHESHVISHWAKARMA</t>
  </si>
  <si>
    <t>309182</t>
  </si>
  <si>
    <t>269374</t>
  </si>
  <si>
    <t>IDIBVIVEKPINGALE</t>
  </si>
  <si>
    <t>309185</t>
  </si>
  <si>
    <t>273330</t>
  </si>
  <si>
    <t>SBIN040127587257</t>
  </si>
  <si>
    <t>309216</t>
  </si>
  <si>
    <t>264707</t>
  </si>
  <si>
    <t>SBIN78527460868</t>
  </si>
  <si>
    <t>309264</t>
  </si>
  <si>
    <t>263299</t>
  </si>
  <si>
    <t>SBIN200039686161</t>
  </si>
  <si>
    <t>309901</t>
  </si>
  <si>
    <t>285952</t>
  </si>
  <si>
    <t>IDIBCOCSEB01</t>
  </si>
  <si>
    <t>310191</t>
  </si>
  <si>
    <t>286595</t>
  </si>
  <si>
    <t>IDIBCOCANG01</t>
  </si>
  <si>
    <t>310212</t>
  </si>
  <si>
    <t>286597</t>
  </si>
  <si>
    <t>SBIN200013239854</t>
  </si>
  <si>
    <t>310544</t>
  </si>
  <si>
    <t>Keshod, Gujarat</t>
  </si>
  <si>
    <t>227786</t>
  </si>
  <si>
    <t>SBIN200016351479</t>
  </si>
  <si>
    <t>310553</t>
  </si>
  <si>
    <t>227814</t>
  </si>
  <si>
    <t>SBIN200016351630</t>
  </si>
  <si>
    <t>310561</t>
  </si>
  <si>
    <t>227800</t>
  </si>
  <si>
    <t>SBINSRINIVASA460</t>
  </si>
  <si>
    <t>310642</t>
  </si>
  <si>
    <t>286649</t>
  </si>
  <si>
    <t>SBINANNAPURNA1788</t>
  </si>
  <si>
    <t>310713</t>
  </si>
  <si>
    <t>286634</t>
  </si>
  <si>
    <t>SBINKOLAKAKINADA</t>
  </si>
  <si>
    <t>310721</t>
  </si>
  <si>
    <t>266964</t>
  </si>
  <si>
    <t>SBIN78398941944</t>
  </si>
  <si>
    <t>310906</t>
  </si>
  <si>
    <t>268521</t>
  </si>
  <si>
    <t>SBIN78538527527</t>
  </si>
  <si>
    <t>310909</t>
  </si>
  <si>
    <t>282282</t>
  </si>
  <si>
    <t>CBIN199330072401</t>
  </si>
  <si>
    <t>311379</t>
  </si>
  <si>
    <t>Sriperumbudur, Tamil Nadu</t>
  </si>
  <si>
    <t>170497</t>
  </si>
  <si>
    <t>CBIN1993TAMBDJISSAC01</t>
  </si>
  <si>
    <t>311498</t>
  </si>
  <si>
    <t>Pudupakkam, Tamil Nadu</t>
  </si>
  <si>
    <t>253208</t>
  </si>
  <si>
    <t>CBIN1993TAMBMUTHUK01</t>
  </si>
  <si>
    <t>311510</t>
  </si>
  <si>
    <t>253209</t>
  </si>
  <si>
    <t>CBIN199325112401</t>
  </si>
  <si>
    <t>311514</t>
  </si>
  <si>
    <t>214839</t>
  </si>
  <si>
    <t>CBIN199326112401</t>
  </si>
  <si>
    <t>311535</t>
  </si>
  <si>
    <t>214850</t>
  </si>
  <si>
    <t>IDIBGKPKHA6757</t>
  </si>
  <si>
    <t>315464</t>
  </si>
  <si>
    <t>Khalilabad, Uttar Pradesh</t>
  </si>
  <si>
    <t>287461</t>
  </si>
  <si>
    <t>IDIB50265164704</t>
  </si>
  <si>
    <t>294883</t>
  </si>
  <si>
    <t>Satna, Madhya Pradesh</t>
  </si>
  <si>
    <t>284014</t>
  </si>
  <si>
    <t>IDIB6608028934</t>
  </si>
  <si>
    <t>301062</t>
  </si>
  <si>
    <t>284876</t>
  </si>
  <si>
    <t>IDIB30138216987</t>
  </si>
  <si>
    <t>301162</t>
  </si>
  <si>
    <t>Chengala, Kerala</t>
  </si>
  <si>
    <t>284880</t>
  </si>
  <si>
    <t>IDIBKANHRIDYA01</t>
  </si>
  <si>
    <t>301258</t>
  </si>
  <si>
    <t>Kurumathur, Kerala</t>
  </si>
  <si>
    <t>239657</t>
  </si>
  <si>
    <t>IDIBKANHRIDYA02</t>
  </si>
  <si>
    <t>301266</t>
  </si>
  <si>
    <t>239659</t>
  </si>
  <si>
    <t>IDIB3264766686</t>
  </si>
  <si>
    <t>301834</t>
  </si>
  <si>
    <t>Manjeri, Kerala</t>
  </si>
  <si>
    <t>285006</t>
  </si>
  <si>
    <t>IDIB3248348002</t>
  </si>
  <si>
    <t>303637</t>
  </si>
  <si>
    <t>285448</t>
  </si>
  <si>
    <t>IDIB30575979621</t>
  </si>
  <si>
    <t>304866</t>
  </si>
  <si>
    <t>285720</t>
  </si>
  <si>
    <t>IDIB30430391738</t>
  </si>
  <si>
    <t>305386</t>
  </si>
  <si>
    <t>Hindaun City Industrial Area, Rajasthan</t>
  </si>
  <si>
    <t>285776</t>
  </si>
  <si>
    <t>IDIB6677543579</t>
  </si>
  <si>
    <t>305716</t>
  </si>
  <si>
    <t>243341</t>
  </si>
  <si>
    <t>IDIB7848662201S</t>
  </si>
  <si>
    <t>306019</t>
  </si>
  <si>
    <t>Patnagarh, Odisha</t>
  </si>
  <si>
    <t>275983</t>
  </si>
  <si>
    <t>IDIB20399272108</t>
  </si>
  <si>
    <t>307026</t>
  </si>
  <si>
    <t>Eklahare, Maharashtra</t>
  </si>
  <si>
    <t>282054</t>
  </si>
  <si>
    <t>IDIB3325667395</t>
  </si>
  <si>
    <t>307031</t>
  </si>
  <si>
    <t>207664</t>
  </si>
  <si>
    <t>IDIB50343248032</t>
  </si>
  <si>
    <t>307034</t>
  </si>
  <si>
    <t>Deolali, Maharashtra</t>
  </si>
  <si>
    <t>67152</t>
  </si>
  <si>
    <t>IDIB30190558972</t>
  </si>
  <si>
    <t>307063</t>
  </si>
  <si>
    <t>Chakdaha, West Bengal</t>
  </si>
  <si>
    <t>286140</t>
  </si>
  <si>
    <t>IDIB7467936549</t>
  </si>
  <si>
    <t>308023</t>
  </si>
  <si>
    <t>Dehu, Maharashtra</t>
  </si>
  <si>
    <t>231623</t>
  </si>
  <si>
    <t>IDIB3205831895</t>
  </si>
  <si>
    <t>308072</t>
  </si>
  <si>
    <t>282058</t>
  </si>
  <si>
    <t>IDIB61659485562</t>
  </si>
  <si>
    <t>309190</t>
  </si>
  <si>
    <t>Pallathur, Tamil Nadu</t>
  </si>
  <si>
    <t>268333</t>
  </si>
  <si>
    <t>IDIB7521982494</t>
  </si>
  <si>
    <t>309327</t>
  </si>
  <si>
    <t>255518</t>
  </si>
  <si>
    <t>IDIB6580131776</t>
  </si>
  <si>
    <t>309342</t>
  </si>
  <si>
    <t>Vuyyuru, Andhra Pradesh</t>
  </si>
  <si>
    <t>264494</t>
  </si>
  <si>
    <t>IDIB50356695915</t>
  </si>
  <si>
    <t>309662</t>
  </si>
  <si>
    <t>Harsul Nashik, Maharashtra</t>
  </si>
  <si>
    <t>108087</t>
  </si>
  <si>
    <t>IDIBSAMIND03</t>
  </si>
  <si>
    <t>309864</t>
  </si>
  <si>
    <t>183606</t>
  </si>
  <si>
    <t>IDIB000TRISHALA</t>
  </si>
  <si>
    <t>309873</t>
  </si>
  <si>
    <t>183927</t>
  </si>
  <si>
    <t>IDIBREGAL01</t>
  </si>
  <si>
    <t>309879</t>
  </si>
  <si>
    <t>237793</t>
  </si>
  <si>
    <t>IDIBREGAL02</t>
  </si>
  <si>
    <t>309882</t>
  </si>
  <si>
    <t>237798</t>
  </si>
  <si>
    <t>IDIB000HIRA</t>
  </si>
  <si>
    <t>309885</t>
  </si>
  <si>
    <t>221307</t>
  </si>
  <si>
    <t>IDIB000SEEMA</t>
  </si>
  <si>
    <t>309891</t>
  </si>
  <si>
    <t>221303</t>
  </si>
  <si>
    <t>IDIBSITARA</t>
  </si>
  <si>
    <t>309900</t>
  </si>
  <si>
    <t>252741</t>
  </si>
  <si>
    <t>IDIBIDIB327269983</t>
  </si>
  <si>
    <t>310868</t>
  </si>
  <si>
    <t>202639</t>
  </si>
  <si>
    <t>IDIB30281250092</t>
  </si>
  <si>
    <t>311602</t>
  </si>
  <si>
    <t>32536</t>
  </si>
  <si>
    <t>IDIB7465097616</t>
  </si>
  <si>
    <t>311613</t>
  </si>
  <si>
    <t>Bhimram, West Bengal</t>
  </si>
  <si>
    <t>267124</t>
  </si>
  <si>
    <t>IDIB30613912623</t>
  </si>
  <si>
    <t>311625</t>
  </si>
  <si>
    <t>261335</t>
  </si>
  <si>
    <t>IDIB58001104522</t>
  </si>
  <si>
    <t>312015</t>
  </si>
  <si>
    <t>75615</t>
  </si>
  <si>
    <t>SBIN001295390</t>
  </si>
  <si>
    <t>312332</t>
  </si>
  <si>
    <t>283827</t>
  </si>
  <si>
    <t>BKID00026092025006</t>
  </si>
  <si>
    <t>314145</t>
  </si>
  <si>
    <t>Rajamahendravaram, Andhra Pradesh</t>
  </si>
  <si>
    <t>257261</t>
  </si>
  <si>
    <t>IDIB30570093413</t>
  </si>
  <si>
    <t>316215</t>
  </si>
  <si>
    <t>Bayyanpur 207, Haryana</t>
  </si>
  <si>
    <t>286075</t>
  </si>
  <si>
    <t>BKIDTVM8525VIJAYAN</t>
  </si>
  <si>
    <t>316236</t>
  </si>
  <si>
    <t>Attingal, Kerala</t>
  </si>
  <si>
    <t>276274</t>
  </si>
  <si>
    <t>BKIDTVMAJITHKUMAR</t>
  </si>
  <si>
    <t>316257</t>
  </si>
  <si>
    <t>Nedumangad, Kerala</t>
  </si>
  <si>
    <t>252724</t>
  </si>
  <si>
    <t>BKIDTVMSOORAJNS</t>
  </si>
  <si>
    <t>316263</t>
  </si>
  <si>
    <t>Kozhenchery, Kerala</t>
  </si>
  <si>
    <t>252764</t>
  </si>
  <si>
    <t>BKIDTVMSWATHISH</t>
  </si>
  <si>
    <t>316272</t>
  </si>
  <si>
    <t>201483</t>
  </si>
  <si>
    <t>BKIDTVMMINI</t>
  </si>
  <si>
    <t>316301</t>
  </si>
  <si>
    <t>115104</t>
  </si>
  <si>
    <t>BKIDTVMARUNPKAMMATH</t>
  </si>
  <si>
    <t>316350</t>
  </si>
  <si>
    <t>227154</t>
  </si>
  <si>
    <t>IDIB6703102831</t>
  </si>
  <si>
    <t>317009</t>
  </si>
  <si>
    <t>Kalambe T Thane, Maharashtra</t>
  </si>
  <si>
    <t>261030</t>
  </si>
  <si>
    <t>CBINKUR01</t>
  </si>
  <si>
    <t>299928</t>
  </si>
  <si>
    <t>Muktainagar, Maharashtra</t>
  </si>
  <si>
    <t>284575</t>
  </si>
  <si>
    <t>CBINKUR02</t>
  </si>
  <si>
    <t>299973</t>
  </si>
  <si>
    <t>Malkapur, Maharashtra</t>
  </si>
  <si>
    <t>284585</t>
  </si>
  <si>
    <t>CBINKHI01</t>
  </si>
  <si>
    <t>299983</t>
  </si>
  <si>
    <t>Raver, Maharashtra</t>
  </si>
  <si>
    <t>284608</t>
  </si>
  <si>
    <t>CBINCHA01</t>
  </si>
  <si>
    <t>310567</t>
  </si>
  <si>
    <t>Chalisgaon, Maharashtra</t>
  </si>
  <si>
    <t>267825</t>
  </si>
  <si>
    <t>IOBASIDHIGANESHMETAL</t>
  </si>
  <si>
    <t>318105</t>
  </si>
  <si>
    <t>Paradeep, Odisha</t>
  </si>
  <si>
    <t>280957</t>
  </si>
  <si>
    <t>CNRB366582800001981</t>
  </si>
  <si>
    <t>298478</t>
  </si>
  <si>
    <t>DARISI, Andhra Pradesh</t>
  </si>
  <si>
    <t>274047</t>
  </si>
  <si>
    <t>CNRB1042256000001</t>
  </si>
  <si>
    <t>299825</t>
  </si>
  <si>
    <t>Vythiri, Kerala</t>
  </si>
  <si>
    <t>212110</t>
  </si>
  <si>
    <t>CNRB1042256000001A</t>
  </si>
  <si>
    <t>299832</t>
  </si>
  <si>
    <t>212122</t>
  </si>
  <si>
    <t>CNRB3799JAGAN</t>
  </si>
  <si>
    <t>301208</t>
  </si>
  <si>
    <t>Arakonam, Tamil Nadu</t>
  </si>
  <si>
    <t>284909</t>
  </si>
  <si>
    <t>CNRB102042300</t>
  </si>
  <si>
    <t>302674</t>
  </si>
  <si>
    <t>254976</t>
  </si>
  <si>
    <t>CNRB615494815</t>
  </si>
  <si>
    <t>307744</t>
  </si>
  <si>
    <t>K Madapur, Tamil Nadu</t>
  </si>
  <si>
    <t>250228</t>
  </si>
  <si>
    <t>CNRB46745450HL</t>
  </si>
  <si>
    <t>307759</t>
  </si>
  <si>
    <t>Ooty, Tamil Nadu</t>
  </si>
  <si>
    <t>245846</t>
  </si>
  <si>
    <t>CNRB318205697</t>
  </si>
  <si>
    <t>307959</t>
  </si>
  <si>
    <t>Wanaparthy, Telangana</t>
  </si>
  <si>
    <t>250788</t>
  </si>
  <si>
    <t>CNRBHYDNOR39</t>
  </si>
  <si>
    <t>308016</t>
  </si>
  <si>
    <t>240886</t>
  </si>
  <si>
    <t>CNRB164</t>
  </si>
  <si>
    <t>308333</t>
  </si>
  <si>
    <t>Chengannur, Kerala</t>
  </si>
  <si>
    <t>206620</t>
  </si>
  <si>
    <t>CNRB36777510001037</t>
  </si>
  <si>
    <t>308987</t>
  </si>
  <si>
    <t>246677</t>
  </si>
  <si>
    <t>CNRBVSSKINDUSTRIES</t>
  </si>
  <si>
    <t>308992</t>
  </si>
  <si>
    <t>200185</t>
  </si>
  <si>
    <t>CNRB36658280000357</t>
  </si>
  <si>
    <t>308998</t>
  </si>
  <si>
    <t>Industrial Area Nagarajupalle, Andhra Pradesh</t>
  </si>
  <si>
    <t>246665</t>
  </si>
  <si>
    <t>CNRB320469762</t>
  </si>
  <si>
    <t>309073</t>
  </si>
  <si>
    <t>Nizamabad, Telangana</t>
  </si>
  <si>
    <t>279798</t>
  </si>
  <si>
    <t>CNRB308717973</t>
  </si>
  <si>
    <t>309413</t>
  </si>
  <si>
    <t>Chelannur, Kerala</t>
  </si>
  <si>
    <t>282224</t>
  </si>
  <si>
    <t>CNRB110682075</t>
  </si>
  <si>
    <t>309428</t>
  </si>
  <si>
    <t>247540</t>
  </si>
  <si>
    <t>CNRB68544180</t>
  </si>
  <si>
    <t>309438</t>
  </si>
  <si>
    <t>240210</t>
  </si>
  <si>
    <t>CNRB3085939362</t>
  </si>
  <si>
    <t>310195</t>
  </si>
  <si>
    <t>Khammam, Telangana</t>
  </si>
  <si>
    <t>286300</t>
  </si>
  <si>
    <t>CNRB3085939363</t>
  </si>
  <si>
    <t>310200</t>
  </si>
  <si>
    <t>286483</t>
  </si>
  <si>
    <t>CNRB2530070</t>
  </si>
  <si>
    <t>311199</t>
  </si>
  <si>
    <t>Secunderabad, Telangana</t>
  </si>
  <si>
    <t>240954</t>
  </si>
  <si>
    <t>CNRB93592558</t>
  </si>
  <si>
    <t>311210</t>
  </si>
  <si>
    <t>251364</t>
  </si>
  <si>
    <t>CNRB00323419683</t>
  </si>
  <si>
    <t>311230</t>
  </si>
  <si>
    <t>286298</t>
  </si>
  <si>
    <t>CNRB107925585</t>
  </si>
  <si>
    <t>312937</t>
  </si>
  <si>
    <t>256359</t>
  </si>
  <si>
    <t>CNRB12276066501</t>
  </si>
  <si>
    <t>312938</t>
  </si>
  <si>
    <t>Vadakkumthala, Kerala</t>
  </si>
  <si>
    <t>271993</t>
  </si>
  <si>
    <t>CNRB109689156</t>
  </si>
  <si>
    <t>313258</t>
  </si>
  <si>
    <t>PATHANAPURAM, Kerala</t>
  </si>
  <si>
    <t>252123</t>
  </si>
  <si>
    <t>CNRB80152755</t>
  </si>
  <si>
    <t>313274</t>
  </si>
  <si>
    <t>Adichanalloor, Kerala</t>
  </si>
  <si>
    <t>269039</t>
  </si>
  <si>
    <t>CNRB7055001601</t>
  </si>
  <si>
    <t>313812</t>
  </si>
  <si>
    <t>280697</t>
  </si>
  <si>
    <t>CNRB31397752401</t>
  </si>
  <si>
    <t>313817</t>
  </si>
  <si>
    <t>Punalur, Kerala</t>
  </si>
  <si>
    <t>280202</t>
  </si>
  <si>
    <t>CNRB82148805</t>
  </si>
  <si>
    <t>313827</t>
  </si>
  <si>
    <t>243086</t>
  </si>
  <si>
    <t>CNRB97017791</t>
  </si>
  <si>
    <t>313830</t>
  </si>
  <si>
    <t>Kottarakkara, Kerala</t>
  </si>
  <si>
    <t>241010</t>
  </si>
  <si>
    <t>CNRB5795203</t>
  </si>
  <si>
    <t>313831</t>
  </si>
  <si>
    <t>Adoor, Kerala</t>
  </si>
  <si>
    <t>243118</t>
  </si>
  <si>
    <t>CNRB2318619019654</t>
  </si>
  <si>
    <t>313837</t>
  </si>
  <si>
    <t>Thiruvalla, Kerala</t>
  </si>
  <si>
    <t>243107</t>
  </si>
  <si>
    <t>CNRB25700312501</t>
  </si>
  <si>
    <t>313863</t>
  </si>
  <si>
    <t>RODUVILA, Kerala</t>
  </si>
  <si>
    <t>282905</t>
  </si>
  <si>
    <t>CNRB1061426550</t>
  </si>
  <si>
    <t>313869</t>
  </si>
  <si>
    <t>243099</t>
  </si>
  <si>
    <t>CNRB24767890401</t>
  </si>
  <si>
    <t>313890</t>
  </si>
  <si>
    <t>Kallelibhagom, Kerala</t>
  </si>
  <si>
    <t>256389</t>
  </si>
  <si>
    <t>CNRB257606208</t>
  </si>
  <si>
    <t>313894</t>
  </si>
  <si>
    <t>Adinad, Kerala</t>
  </si>
  <si>
    <t>243102</t>
  </si>
  <si>
    <t>CNRB40941246</t>
  </si>
  <si>
    <t>314165</t>
  </si>
  <si>
    <t>260490</t>
  </si>
  <si>
    <t>CNRB70929082</t>
  </si>
  <si>
    <t>314188</t>
  </si>
  <si>
    <t>269051</t>
  </si>
  <si>
    <t>CNRB114046688</t>
  </si>
  <si>
    <t>315058</t>
  </si>
  <si>
    <t>256394</t>
  </si>
  <si>
    <t>CNRB12050326801</t>
  </si>
  <si>
    <t>315097</t>
  </si>
  <si>
    <t>Konnithazham Village, Kerala</t>
  </si>
  <si>
    <t>280650</t>
  </si>
  <si>
    <t>CNRB111921390</t>
  </si>
  <si>
    <t>315145</t>
  </si>
  <si>
    <t>243019</t>
  </si>
  <si>
    <t>CNRB4669261000003</t>
  </si>
  <si>
    <t>315172</t>
  </si>
  <si>
    <t>243087</t>
  </si>
  <si>
    <t>CNRB97290876</t>
  </si>
  <si>
    <t>315334</t>
  </si>
  <si>
    <t>243119</t>
  </si>
  <si>
    <t>CNRB100106225</t>
  </si>
  <si>
    <t>315347</t>
  </si>
  <si>
    <t>243038</t>
  </si>
  <si>
    <t>CNRB104091215</t>
  </si>
  <si>
    <t>315356</t>
  </si>
  <si>
    <t>243129</t>
  </si>
  <si>
    <t>CNRB247980923</t>
  </si>
  <si>
    <t>315364</t>
  </si>
  <si>
    <t>241001</t>
  </si>
  <si>
    <t>CNRB1100135140</t>
  </si>
  <si>
    <t>315374</t>
  </si>
  <si>
    <t>243022</t>
  </si>
  <si>
    <t>CNRB57341698</t>
  </si>
  <si>
    <t>315390</t>
  </si>
  <si>
    <t>Nedumpana, Kerala</t>
  </si>
  <si>
    <t>264210</t>
  </si>
  <si>
    <t>CNRB318968181</t>
  </si>
  <si>
    <t>307868</t>
  </si>
  <si>
    <t>Chitapur, Karnataka</t>
  </si>
  <si>
    <t>24-06-2026 13:30</t>
  </si>
  <si>
    <t>279289</t>
  </si>
  <si>
    <t>CNRB5192619000001</t>
  </si>
  <si>
    <t>309160</t>
  </si>
  <si>
    <t>250324</t>
  </si>
  <si>
    <t>CNRB5727619000006</t>
  </si>
  <si>
    <t>309167</t>
  </si>
  <si>
    <t>199364</t>
  </si>
  <si>
    <t>CNRB160001909020</t>
  </si>
  <si>
    <t>309172</t>
  </si>
  <si>
    <t>278556</t>
  </si>
  <si>
    <t>CNRB5192619000012</t>
  </si>
  <si>
    <t>309176</t>
  </si>
  <si>
    <t>224338</t>
  </si>
  <si>
    <t>CNRB5192630000001</t>
  </si>
  <si>
    <t>309184</t>
  </si>
  <si>
    <t>250355</t>
  </si>
  <si>
    <t>CNRB1984619001080</t>
  </si>
  <si>
    <t>309261</t>
  </si>
  <si>
    <t>205401</t>
  </si>
  <si>
    <t>CNRB217824576</t>
  </si>
  <si>
    <t>309273</t>
  </si>
  <si>
    <t>Rishra, West Bengal</t>
  </si>
  <si>
    <t>229433</t>
  </si>
  <si>
    <t>CNRB5192271000010</t>
  </si>
  <si>
    <t>309285</t>
  </si>
  <si>
    <t>203031</t>
  </si>
  <si>
    <t>CNRB2938895000047</t>
  </si>
  <si>
    <t>309305</t>
  </si>
  <si>
    <t>Erashal, West Bengal</t>
  </si>
  <si>
    <t>265690</t>
  </si>
  <si>
    <t>CNRB106702233</t>
  </si>
  <si>
    <t>309323</t>
  </si>
  <si>
    <t>202495</t>
  </si>
  <si>
    <t>CNRB5192840000162</t>
  </si>
  <si>
    <t>309341</t>
  </si>
  <si>
    <t>191265</t>
  </si>
  <si>
    <t>CNRB5192261000005</t>
  </si>
  <si>
    <t>309365</t>
  </si>
  <si>
    <t>202507</t>
  </si>
  <si>
    <t>CNRB5171271000009</t>
  </si>
  <si>
    <t>309379</t>
  </si>
  <si>
    <t>Barjora, West Bengal</t>
  </si>
  <si>
    <t>224343</t>
  </si>
  <si>
    <t>CNRB4095619000080</t>
  </si>
  <si>
    <t>309398</t>
  </si>
  <si>
    <t>280572</t>
  </si>
  <si>
    <t>CNRB160000410165</t>
  </si>
  <si>
    <t>309424</t>
  </si>
  <si>
    <t>282621</t>
  </si>
  <si>
    <t>CNRB300019457</t>
  </si>
  <si>
    <t>309439</t>
  </si>
  <si>
    <t>202467</t>
  </si>
  <si>
    <t>CNRB5192261000016</t>
  </si>
  <si>
    <t>309466</t>
  </si>
  <si>
    <t>204842</t>
  </si>
  <si>
    <t>CNRB5192840000140</t>
  </si>
  <si>
    <t>309912</t>
  </si>
  <si>
    <t>224385</t>
  </si>
  <si>
    <t>CNRB125004032803</t>
  </si>
  <si>
    <t>309921</t>
  </si>
  <si>
    <t>272680</t>
  </si>
  <si>
    <t>CNRB160001272450</t>
  </si>
  <si>
    <t>309928</t>
  </si>
  <si>
    <t>250019</t>
  </si>
  <si>
    <t>CNRB5192619000011</t>
  </si>
  <si>
    <t>309929</t>
  </si>
  <si>
    <t>250053</t>
  </si>
  <si>
    <t>CNRB3403895000029</t>
  </si>
  <si>
    <t>309932</t>
  </si>
  <si>
    <t>225636</t>
  </si>
  <si>
    <t>CNRB2938895000043</t>
  </si>
  <si>
    <t>309935</t>
  </si>
  <si>
    <t>Haldia, West Bengal</t>
  </si>
  <si>
    <t>202444</t>
  </si>
  <si>
    <t>CNRB3714651000024</t>
  </si>
  <si>
    <t>309936</t>
  </si>
  <si>
    <t>199353</t>
  </si>
  <si>
    <t>CNRB3403619000024</t>
  </si>
  <si>
    <t>309938</t>
  </si>
  <si>
    <t>250006</t>
  </si>
  <si>
    <t>CNRB1718256010272</t>
  </si>
  <si>
    <t>309939</t>
  </si>
  <si>
    <t>199102</t>
  </si>
  <si>
    <t>CNRB101409874</t>
  </si>
  <si>
    <t>281390</t>
  </si>
  <si>
    <t>239263</t>
  </si>
  <si>
    <t>CNRB84519879</t>
  </si>
  <si>
    <t>307551</t>
  </si>
  <si>
    <t>258335</t>
  </si>
  <si>
    <t>CNRB113693176</t>
  </si>
  <si>
    <t>307563</t>
  </si>
  <si>
    <t>239245</t>
  </si>
  <si>
    <t>CNRB52107385</t>
  </si>
  <si>
    <t>307589</t>
  </si>
  <si>
    <t>Dhule, Maharashtra</t>
  </si>
  <si>
    <t>275786</t>
  </si>
  <si>
    <t>CNRB302901897</t>
  </si>
  <si>
    <t>307594</t>
  </si>
  <si>
    <t>263439</t>
  </si>
  <si>
    <t>CNRB118342517</t>
  </si>
  <si>
    <t>307743</t>
  </si>
  <si>
    <t>239370</t>
  </si>
  <si>
    <t>CNRB257803543</t>
  </si>
  <si>
    <t>307749</t>
  </si>
  <si>
    <t>239360</t>
  </si>
  <si>
    <t>CNRB111388168</t>
  </si>
  <si>
    <t>307756</t>
  </si>
  <si>
    <t>Paud, Maharashtra</t>
  </si>
  <si>
    <t>239261</t>
  </si>
  <si>
    <t>CNRB8356049</t>
  </si>
  <si>
    <t>307767</t>
  </si>
  <si>
    <t>239318</t>
  </si>
  <si>
    <t>CNRB501</t>
  </si>
  <si>
    <t>307770</t>
  </si>
  <si>
    <t>Indapur, Maharashtra</t>
  </si>
  <si>
    <t>191701</t>
  </si>
  <si>
    <t>CNRB307972465</t>
  </si>
  <si>
    <t>307781</t>
  </si>
  <si>
    <t>239272</t>
  </si>
  <si>
    <t>CNRB109061400</t>
  </si>
  <si>
    <t>307821</t>
  </si>
  <si>
    <t>239264</t>
  </si>
  <si>
    <t>CNRB113701415</t>
  </si>
  <si>
    <t>307830</t>
  </si>
  <si>
    <t>280790</t>
  </si>
  <si>
    <t>CNRB113701415A</t>
  </si>
  <si>
    <t>307867</t>
  </si>
  <si>
    <t>280792</t>
  </si>
  <si>
    <t>CNRB127460622</t>
  </si>
  <si>
    <t>307873</t>
  </si>
  <si>
    <t>Loni Kalbhor, Maharashtra</t>
  </si>
  <si>
    <t>239262</t>
  </si>
  <si>
    <t>CNRB220235488</t>
  </si>
  <si>
    <t>307893</t>
  </si>
  <si>
    <t>239240</t>
  </si>
  <si>
    <t>CNRB318864235</t>
  </si>
  <si>
    <t>307899</t>
  </si>
  <si>
    <t>263445</t>
  </si>
  <si>
    <t>CNRB100141707</t>
  </si>
  <si>
    <t>307903</t>
  </si>
  <si>
    <t>Ozar, Maharashtra</t>
  </si>
  <si>
    <t>239382</t>
  </si>
  <si>
    <t>CNRB112204174</t>
  </si>
  <si>
    <t>307916</t>
  </si>
  <si>
    <t>Gadhinglaj, Maharashtra</t>
  </si>
  <si>
    <t>275797</t>
  </si>
  <si>
    <t>CNRB316441135</t>
  </si>
  <si>
    <t>307948</t>
  </si>
  <si>
    <t>242968</t>
  </si>
  <si>
    <t>CNRB3164411351</t>
  </si>
  <si>
    <t>307956</t>
  </si>
  <si>
    <t>242971</t>
  </si>
  <si>
    <t>CNRB308423015</t>
  </si>
  <si>
    <t>308018</t>
  </si>
  <si>
    <t>263442</t>
  </si>
  <si>
    <t>CNRB84778288d</t>
  </si>
  <si>
    <t>308038</t>
  </si>
  <si>
    <t>252445</t>
  </si>
  <si>
    <t>CNRB123983508</t>
  </si>
  <si>
    <t>308125</t>
  </si>
  <si>
    <t>Nandurbar, Maharashtra</t>
  </si>
  <si>
    <t>267132</t>
  </si>
  <si>
    <t>CNRB160000631857</t>
  </si>
  <si>
    <t>308140</t>
  </si>
  <si>
    <t>239290</t>
  </si>
  <si>
    <t>CNRB324228419</t>
  </si>
  <si>
    <t>308159</t>
  </si>
  <si>
    <t>Karad, Maharashtra</t>
  </si>
  <si>
    <t>275968</t>
  </si>
  <si>
    <t>CNRB113149116</t>
  </si>
  <si>
    <t>308190</t>
  </si>
  <si>
    <t>Ghoti, Maharashtra</t>
  </si>
  <si>
    <t>274077</t>
  </si>
  <si>
    <t>CNRB307203601</t>
  </si>
  <si>
    <t>308202</t>
  </si>
  <si>
    <t>274112</t>
  </si>
  <si>
    <t>CNRB305732778</t>
  </si>
  <si>
    <t>308220</t>
  </si>
  <si>
    <t>243677</t>
  </si>
  <si>
    <t>CNRB112077650</t>
  </si>
  <si>
    <t>308227</t>
  </si>
  <si>
    <t>239365</t>
  </si>
  <si>
    <t>CNRB106725040</t>
  </si>
  <si>
    <t>308249</t>
  </si>
  <si>
    <t>239362</t>
  </si>
  <si>
    <t>CNRB8356065</t>
  </si>
  <si>
    <t>308458</t>
  </si>
  <si>
    <t>239323</t>
  </si>
  <si>
    <t>CNRB123755833</t>
  </si>
  <si>
    <t>308460</t>
  </si>
  <si>
    <t>274932</t>
  </si>
  <si>
    <t>CNRB324513919</t>
  </si>
  <si>
    <t>308463</t>
  </si>
  <si>
    <t>274085</t>
  </si>
  <si>
    <t>CNRB223647193</t>
  </si>
  <si>
    <t>308469</t>
  </si>
  <si>
    <t>239271</t>
  </si>
  <si>
    <t>CNRB259699871</t>
  </si>
  <si>
    <t>308492</t>
  </si>
  <si>
    <t>274062</t>
  </si>
  <si>
    <t>CNRB324725059</t>
  </si>
  <si>
    <t>308503</t>
  </si>
  <si>
    <t>274072</t>
  </si>
  <si>
    <t>CNRB250701662001</t>
  </si>
  <si>
    <t>308647</t>
  </si>
  <si>
    <t>Nagapattinam, Tamil Nadu</t>
  </si>
  <si>
    <t>245639</t>
  </si>
  <si>
    <t>CNRB120310013001</t>
  </si>
  <si>
    <t>308732</t>
  </si>
  <si>
    <t>Adaikkakuzhi, Tamil Nadu</t>
  </si>
  <si>
    <t>286371</t>
  </si>
  <si>
    <t>CNRB314394496</t>
  </si>
  <si>
    <t>308746</t>
  </si>
  <si>
    <t>Shenkottai, Tamil Nadu</t>
  </si>
  <si>
    <t>249247</t>
  </si>
  <si>
    <t>CNRB81152115</t>
  </si>
  <si>
    <t>308845</t>
  </si>
  <si>
    <t>Shrigonda, Maharashtra</t>
  </si>
  <si>
    <t>274169</t>
  </si>
  <si>
    <t>CNRB81152115B</t>
  </si>
  <si>
    <t>308907</t>
  </si>
  <si>
    <t>274184</t>
  </si>
  <si>
    <t>CNRB226781097001</t>
  </si>
  <si>
    <t>309107</t>
  </si>
  <si>
    <t>Karaikal, Puducherry</t>
  </si>
  <si>
    <t>249585</t>
  </si>
  <si>
    <t>CNRB0901256010391001</t>
  </si>
  <si>
    <t>309122</t>
  </si>
  <si>
    <t>248408</t>
  </si>
  <si>
    <t>CNRB79525085</t>
  </si>
  <si>
    <t>309459</t>
  </si>
  <si>
    <t>284139</t>
  </si>
  <si>
    <t>CNRB32241001227008</t>
  </si>
  <si>
    <t>309828</t>
  </si>
  <si>
    <t>Alanganallur, Tamil Nadu</t>
  </si>
  <si>
    <t>265543</t>
  </si>
  <si>
    <t>CNRB32241001227006</t>
  </si>
  <si>
    <t>309903</t>
  </si>
  <si>
    <t>265550</t>
  </si>
  <si>
    <t>CNRB107911131</t>
  </si>
  <si>
    <t>310816</t>
  </si>
  <si>
    <t>Panpoli, Tamil Nadu</t>
  </si>
  <si>
    <t>283587</t>
  </si>
  <si>
    <t>CNRB85479027</t>
  </si>
  <si>
    <t>310817</t>
  </si>
  <si>
    <t>269659</t>
  </si>
  <si>
    <t>CNRB118656068001</t>
  </si>
  <si>
    <t>310818</t>
  </si>
  <si>
    <t>Melagaram, Tamil Nadu</t>
  </si>
  <si>
    <t>270046</t>
  </si>
  <si>
    <t>CNRB322410012</t>
  </si>
  <si>
    <t>316149</t>
  </si>
  <si>
    <t>Thirumangalam, Tamil Nadu</t>
  </si>
  <si>
    <t>287457</t>
  </si>
  <si>
    <t>CNRBMEENAXIJOSHI</t>
  </si>
  <si>
    <t>309392</t>
  </si>
  <si>
    <t>270008</t>
  </si>
  <si>
    <t>CNRBRADHIKANIRWAL</t>
  </si>
  <si>
    <t>309482</t>
  </si>
  <si>
    <t>Manwath, Maharashtra</t>
  </si>
  <si>
    <t>202973</t>
  </si>
  <si>
    <t>CNRBSACHINSATPUTE</t>
  </si>
  <si>
    <t>309728</t>
  </si>
  <si>
    <t>206027</t>
  </si>
  <si>
    <t>CNRBDEEP</t>
  </si>
  <si>
    <t>310002</t>
  </si>
  <si>
    <t>Indore, Madhya Pradesh</t>
  </si>
  <si>
    <t>198340</t>
  </si>
  <si>
    <t>CNRB313664830F</t>
  </si>
  <si>
    <t>310008</t>
  </si>
  <si>
    <t>Pipri, Madhya Pradesh</t>
  </si>
  <si>
    <t>240646</t>
  </si>
  <si>
    <t>CNRB313664830G</t>
  </si>
  <si>
    <t>310025</t>
  </si>
  <si>
    <t>Maheshwar, Madhya Pradesh</t>
  </si>
  <si>
    <t>240647</t>
  </si>
  <si>
    <t>CNRBUBALECOLLECTION</t>
  </si>
  <si>
    <t>310074</t>
  </si>
  <si>
    <t>229249</t>
  </si>
  <si>
    <t>CNRBMEENASALVE</t>
  </si>
  <si>
    <t>310107</t>
  </si>
  <si>
    <t>202933</t>
  </si>
  <si>
    <t>CNRBDHANANJAYTALUKDAR</t>
  </si>
  <si>
    <t>310130</t>
  </si>
  <si>
    <t>229487</t>
  </si>
  <si>
    <t>CNRBDATTMANDAP</t>
  </si>
  <si>
    <t>310161</t>
  </si>
  <si>
    <t>252243</t>
  </si>
  <si>
    <t>CNRBAVINASHCHIKHALE</t>
  </si>
  <si>
    <t>310400</t>
  </si>
  <si>
    <t>AURIC City, Maharashtra</t>
  </si>
  <si>
    <t>234194</t>
  </si>
  <si>
    <t>CNRBDAGDULAL</t>
  </si>
  <si>
    <t>310426</t>
  </si>
  <si>
    <t>Dharashiv, Maharashtra</t>
  </si>
  <si>
    <t>204960</t>
  </si>
  <si>
    <t>CNRBJAYKISANTRADERS</t>
  </si>
  <si>
    <t>310504</t>
  </si>
  <si>
    <t>Ghansawangi, Maharashtra</t>
  </si>
  <si>
    <t>229550</t>
  </si>
  <si>
    <t>CNRB3912630000018</t>
  </si>
  <si>
    <t>311326</t>
  </si>
  <si>
    <t>190441</t>
  </si>
  <si>
    <t>CNRB3912619000026</t>
  </si>
  <si>
    <t>311339</t>
  </si>
  <si>
    <t>199728</t>
  </si>
  <si>
    <t>CNRB160001909586</t>
  </si>
  <si>
    <t>311351</t>
  </si>
  <si>
    <t>238314</t>
  </si>
  <si>
    <t>CNRB54641250000534</t>
  </si>
  <si>
    <t>311357</t>
  </si>
  <si>
    <t>190322</t>
  </si>
  <si>
    <t>CNRB29060102</t>
  </si>
  <si>
    <t>311402</t>
  </si>
  <si>
    <t>272932</t>
  </si>
  <si>
    <t>CNRB2843630000002</t>
  </si>
  <si>
    <t>311405</t>
  </si>
  <si>
    <t>190095</t>
  </si>
  <si>
    <t>CNRB311550861</t>
  </si>
  <si>
    <t>311408</t>
  </si>
  <si>
    <t>254411</t>
  </si>
  <si>
    <t>CNRB54699330000048</t>
  </si>
  <si>
    <t>311420</t>
  </si>
  <si>
    <t>228158</t>
  </si>
  <si>
    <t>CNRB1563285000018</t>
  </si>
  <si>
    <t>311431</t>
  </si>
  <si>
    <t>Vada, Maharashtra</t>
  </si>
  <si>
    <t>198733</t>
  </si>
  <si>
    <t>CNRB321076417</t>
  </si>
  <si>
    <t>311464</t>
  </si>
  <si>
    <t>277260</t>
  </si>
  <si>
    <t>CNRB3912630000011</t>
  </si>
  <si>
    <t>311474</t>
  </si>
  <si>
    <t>228157</t>
  </si>
  <si>
    <t>CNRB50329730000064</t>
  </si>
  <si>
    <t>311492</t>
  </si>
  <si>
    <t>190262</t>
  </si>
  <si>
    <t>CNRB118845541</t>
  </si>
  <si>
    <t>311497</t>
  </si>
  <si>
    <t>247979</t>
  </si>
  <si>
    <t>CNRB323905913</t>
  </si>
  <si>
    <t>311507</t>
  </si>
  <si>
    <t>282407</t>
  </si>
  <si>
    <t>CNRBRASEEKA</t>
  </si>
  <si>
    <t>311517</t>
  </si>
  <si>
    <t>230534</t>
  </si>
  <si>
    <t>CNRB2663630000008</t>
  </si>
  <si>
    <t>311521</t>
  </si>
  <si>
    <t>238358</t>
  </si>
  <si>
    <t>SBIN20176001</t>
  </si>
  <si>
    <t>303302</t>
  </si>
  <si>
    <t>Suryapet, Telangana</t>
  </si>
  <si>
    <t>282317</t>
  </si>
  <si>
    <t>SBIN0920256</t>
  </si>
  <si>
    <t>303070</t>
  </si>
  <si>
    <t>254438</t>
  </si>
  <si>
    <t>CRGB13977071762421</t>
  </si>
  <si>
    <t>303512</t>
  </si>
  <si>
    <t>Chhattisgarh Rajya Gramin Bank</t>
  </si>
  <si>
    <t>276514</t>
  </si>
  <si>
    <t>CRGB14177067973197</t>
  </si>
  <si>
    <t>303517</t>
  </si>
  <si>
    <t>276512</t>
  </si>
  <si>
    <t>CRGB10877071993016</t>
  </si>
  <si>
    <t>303540</t>
  </si>
  <si>
    <t>276492</t>
  </si>
  <si>
    <t>CRGB13977068146418</t>
  </si>
  <si>
    <t>303554</t>
  </si>
  <si>
    <t>275900</t>
  </si>
  <si>
    <t>CRGB13977070949737</t>
  </si>
  <si>
    <t>303567</t>
  </si>
  <si>
    <t>275868</t>
  </si>
  <si>
    <t>PUNBbbnBREW</t>
  </si>
  <si>
    <t>313958</t>
  </si>
  <si>
    <t>Ganjam, Odisha</t>
  </si>
  <si>
    <t>287249</t>
  </si>
  <si>
    <t>UBINEKLKLM3611</t>
  </si>
  <si>
    <t>302469</t>
  </si>
  <si>
    <t>285109</t>
  </si>
  <si>
    <t>UBINEKLKLM6780</t>
  </si>
  <si>
    <t>302474</t>
  </si>
  <si>
    <t>285092</t>
  </si>
  <si>
    <t>UBINEKLKLM9208</t>
  </si>
  <si>
    <t>302479</t>
  </si>
  <si>
    <t>Mayyanad, Kerala</t>
  </si>
  <si>
    <t>285111</t>
  </si>
  <si>
    <t>UBINEKLKLM2882</t>
  </si>
  <si>
    <t>302483</t>
  </si>
  <si>
    <t>KULANADA, Kerala</t>
  </si>
  <si>
    <t>285112</t>
  </si>
  <si>
    <t>UBINEKLKLM9126</t>
  </si>
  <si>
    <t>302488</t>
  </si>
  <si>
    <t>285120</t>
  </si>
  <si>
    <t>UBINEKLKLM8036</t>
  </si>
  <si>
    <t>302492</t>
  </si>
  <si>
    <t>Cheppad, Kerala</t>
  </si>
  <si>
    <t>285132</t>
  </si>
  <si>
    <t>UBINEKLKLM2282</t>
  </si>
  <si>
    <t>302496</t>
  </si>
  <si>
    <t>Mavelikkara, Kerala</t>
  </si>
  <si>
    <t>285140</t>
  </si>
  <si>
    <t>UBINPUNNAB0515</t>
  </si>
  <si>
    <t>303433</t>
  </si>
  <si>
    <t>214597</t>
  </si>
  <si>
    <t>UBINVJWONG2921</t>
  </si>
  <si>
    <t>303983</t>
  </si>
  <si>
    <t>218546</t>
  </si>
  <si>
    <t>UBINHYDKOTA9740</t>
  </si>
  <si>
    <t>304205</t>
  </si>
  <si>
    <t>285392</t>
  </si>
  <si>
    <t>UBINHYDKOTB9740</t>
  </si>
  <si>
    <t>304212</t>
  </si>
  <si>
    <t>285414</t>
  </si>
  <si>
    <t>UBIN619894557</t>
  </si>
  <si>
    <t>304743</t>
  </si>
  <si>
    <t>285566</t>
  </si>
  <si>
    <t>UBIN620027723</t>
  </si>
  <si>
    <t>304757</t>
  </si>
  <si>
    <t>285563</t>
  </si>
  <si>
    <t>UBIN619821832</t>
  </si>
  <si>
    <t>304767</t>
  </si>
  <si>
    <t>285560</t>
  </si>
  <si>
    <t>UBIN619990924</t>
  </si>
  <si>
    <t>304772</t>
  </si>
  <si>
    <t>285533</t>
  </si>
  <si>
    <t>UBINHYDKRM6230</t>
  </si>
  <si>
    <t>305048</t>
  </si>
  <si>
    <t>Mancherial, Telangana</t>
  </si>
  <si>
    <t>274270</t>
  </si>
  <si>
    <t>UBINHYDKRM6230A</t>
  </si>
  <si>
    <t>305200</t>
  </si>
  <si>
    <t>285764</t>
  </si>
  <si>
    <t>UBINAHMSUR7858A</t>
  </si>
  <si>
    <t>305393</t>
  </si>
  <si>
    <t>285371</t>
  </si>
  <si>
    <t>UBINAHMSUR7858B</t>
  </si>
  <si>
    <t>305404</t>
  </si>
  <si>
    <t>285372</t>
  </si>
  <si>
    <t>UBINAHMSUR7858C</t>
  </si>
  <si>
    <t>305414</t>
  </si>
  <si>
    <t>285373</t>
  </si>
  <si>
    <t>UBINAHMSUR7858F</t>
  </si>
  <si>
    <t>305423</t>
  </si>
  <si>
    <t>23007</t>
  </si>
  <si>
    <t>UBINMLRBEL5788</t>
  </si>
  <si>
    <t>305550</t>
  </si>
  <si>
    <t>Nipani, Karnataka</t>
  </si>
  <si>
    <t>285797</t>
  </si>
  <si>
    <t>UBINAHMSUR4854</t>
  </si>
  <si>
    <t>306422</t>
  </si>
  <si>
    <t>219374</t>
  </si>
  <si>
    <t>UBINAHMSUR4483</t>
  </si>
  <si>
    <t>306471</t>
  </si>
  <si>
    <t>Dungra, Dadra &amp; Nagar Haveli &amp; Daman &amp; Diu</t>
  </si>
  <si>
    <t>285916</t>
  </si>
  <si>
    <t>UBINAHMSUR4984</t>
  </si>
  <si>
    <t>306473</t>
  </si>
  <si>
    <t>Vyara, Gujarat</t>
  </si>
  <si>
    <t>286022</t>
  </si>
  <si>
    <t>UBINVSKARB3532</t>
  </si>
  <si>
    <t>306575</t>
  </si>
  <si>
    <t>Yeleswaram, Andhra Pradesh</t>
  </si>
  <si>
    <t>276568</t>
  </si>
  <si>
    <t>UBINVSKETA9933</t>
  </si>
  <si>
    <t>306585</t>
  </si>
  <si>
    <t>Amalapuram, Andhra Pradesh</t>
  </si>
  <si>
    <t>221081</t>
  </si>
  <si>
    <t>UBINAHMJUN9403B</t>
  </si>
  <si>
    <t>307428</t>
  </si>
  <si>
    <t>Katpar, Gujarat</t>
  </si>
  <si>
    <t>285343</t>
  </si>
  <si>
    <t>UBINEKLTHR0378</t>
  </si>
  <si>
    <t>307458</t>
  </si>
  <si>
    <t>Kalady, Kerala</t>
  </si>
  <si>
    <t>272144</t>
  </si>
  <si>
    <t>UBINEKLTHR5241</t>
  </si>
  <si>
    <t>307464</t>
  </si>
  <si>
    <t>265961</t>
  </si>
  <si>
    <t>UBINMLRTHR6600</t>
  </si>
  <si>
    <t>307470</t>
  </si>
  <si>
    <t>237313</t>
  </si>
  <si>
    <t>UBINEKLTHR0752</t>
  </si>
  <si>
    <t>307477</t>
  </si>
  <si>
    <t>241922</t>
  </si>
  <si>
    <t>UBINMLRTHR0645</t>
  </si>
  <si>
    <t>307484</t>
  </si>
  <si>
    <t>82380</t>
  </si>
  <si>
    <t>UBINMLRTHR1623</t>
  </si>
  <si>
    <t>307490</t>
  </si>
  <si>
    <t>Talikkulam, Kerala</t>
  </si>
  <si>
    <t>114752</t>
  </si>
  <si>
    <t>UBINMLRTHR3560</t>
  </si>
  <si>
    <t>307496</t>
  </si>
  <si>
    <t>Madayikonam, Kerala</t>
  </si>
  <si>
    <t>224304</t>
  </si>
  <si>
    <t>UBINEKLTHR1444</t>
  </si>
  <si>
    <t>307516</t>
  </si>
  <si>
    <t>276229</t>
  </si>
  <si>
    <t>UBINMLRTHR8354</t>
  </si>
  <si>
    <t>307524</t>
  </si>
  <si>
    <t>93409</t>
  </si>
  <si>
    <t>UBINEKLTHR0558</t>
  </si>
  <si>
    <t>307530</t>
  </si>
  <si>
    <t>Chengamanad, Kerala</t>
  </si>
  <si>
    <t>276015</t>
  </si>
  <si>
    <t>UBINAHMJUN0501</t>
  </si>
  <si>
    <t>308160</t>
  </si>
  <si>
    <t>45561</t>
  </si>
  <si>
    <t>UBINAHMJUN0257</t>
  </si>
  <si>
    <t>308166</t>
  </si>
  <si>
    <t>283317</t>
  </si>
  <si>
    <t>UBINbhojab2111</t>
  </si>
  <si>
    <t>308175</t>
  </si>
  <si>
    <t>286306</t>
  </si>
  <si>
    <t>UBINAHMJUN7064</t>
  </si>
  <si>
    <t>308183</t>
  </si>
  <si>
    <t>283300</t>
  </si>
  <si>
    <t>UBINAHMJUN7064B</t>
  </si>
  <si>
    <t>308188</t>
  </si>
  <si>
    <t>283303</t>
  </si>
  <si>
    <t>UBINAHMJUN6459</t>
  </si>
  <si>
    <t>308199</t>
  </si>
  <si>
    <t>286023</t>
  </si>
  <si>
    <t>UBINAHMSAB5057</t>
  </si>
  <si>
    <t>308208</t>
  </si>
  <si>
    <t>266978</t>
  </si>
  <si>
    <t>UBINAHMSAB1385A</t>
  </si>
  <si>
    <t>308221</t>
  </si>
  <si>
    <t>Amboli, Gujarat</t>
  </si>
  <si>
    <t>281071</t>
  </si>
  <si>
    <t>UBINAHMSAB1385B</t>
  </si>
  <si>
    <t>308231</t>
  </si>
  <si>
    <t>281077</t>
  </si>
  <si>
    <t>UBINAHMSAB4342</t>
  </si>
  <si>
    <t>308236</t>
  </si>
  <si>
    <t>269254</t>
  </si>
  <si>
    <t>UBINMUMARB97403</t>
  </si>
  <si>
    <t>308523</t>
  </si>
  <si>
    <t>286345</t>
  </si>
  <si>
    <t>UBINMUMARB8745</t>
  </si>
  <si>
    <t>308537</t>
  </si>
  <si>
    <t>122777</t>
  </si>
  <si>
    <t>UBINMUMARB1632</t>
  </si>
  <si>
    <t>308544</t>
  </si>
  <si>
    <t>242938</t>
  </si>
  <si>
    <t>UBINMUMARB2121</t>
  </si>
  <si>
    <t>308549</t>
  </si>
  <si>
    <t>242937</t>
  </si>
  <si>
    <t>UBINMUMARB4850</t>
  </si>
  <si>
    <t>308556</t>
  </si>
  <si>
    <t>242936</t>
  </si>
  <si>
    <t>UBINMUMARB9757A</t>
  </si>
  <si>
    <t>308660</t>
  </si>
  <si>
    <t>Umbergaon, Gujarat</t>
  </si>
  <si>
    <t>274743</t>
  </si>
  <si>
    <t>UBINMRTDEH0390</t>
  </si>
  <si>
    <t>308933</t>
  </si>
  <si>
    <t>Pauri, Uttarakhand</t>
  </si>
  <si>
    <t>284774</t>
  </si>
  <si>
    <t>UBINVRNPGA1764A</t>
  </si>
  <si>
    <t>309095</t>
  </si>
  <si>
    <t>213391</t>
  </si>
  <si>
    <t>UBINBHOIAB9624A</t>
  </si>
  <si>
    <t>309528</t>
  </si>
  <si>
    <t>Kantaphod, Madhya Pradesh</t>
  </si>
  <si>
    <t>236629</t>
  </si>
  <si>
    <t>UBINBHOIAB9280A</t>
  </si>
  <si>
    <t>309535</t>
  </si>
  <si>
    <t>Bhikangaon, Madhya Pradesh</t>
  </si>
  <si>
    <t>115937</t>
  </si>
  <si>
    <t>UBINMUMARB8933</t>
  </si>
  <si>
    <t>309583</t>
  </si>
  <si>
    <t>272480</t>
  </si>
  <si>
    <t>UBINMUMARB4468C</t>
  </si>
  <si>
    <t>309590</t>
  </si>
  <si>
    <t>21873</t>
  </si>
  <si>
    <t>UBINVSKKND4069</t>
  </si>
  <si>
    <t>309618</t>
  </si>
  <si>
    <t>Chodavaram, Andhra Pradesh</t>
  </si>
  <si>
    <t>275535</t>
  </si>
  <si>
    <t>UBINBHOIAB6306</t>
  </si>
  <si>
    <t>309666</t>
  </si>
  <si>
    <t>107073</t>
  </si>
  <si>
    <t>UBINBHOIAB5050</t>
  </si>
  <si>
    <t>309675</t>
  </si>
  <si>
    <t>Sendhwa, Madhya Pradesh</t>
  </si>
  <si>
    <t>208307</t>
  </si>
  <si>
    <t>UBINBHOIAB8136A</t>
  </si>
  <si>
    <t>309694</t>
  </si>
  <si>
    <t>124220</t>
  </si>
  <si>
    <t>UBINEKLTHR9571</t>
  </si>
  <si>
    <t>309996</t>
  </si>
  <si>
    <t>286518</t>
  </si>
  <si>
    <t>UBINEKLTHR4709</t>
  </si>
  <si>
    <t>310001</t>
  </si>
  <si>
    <t>286444</t>
  </si>
  <si>
    <t>UBINEKLTHR9396</t>
  </si>
  <si>
    <t>310007</t>
  </si>
  <si>
    <t>286450</t>
  </si>
  <si>
    <t>UBINEKLTHR4674</t>
  </si>
  <si>
    <t>310014</t>
  </si>
  <si>
    <t>Mannarkad, Kerala</t>
  </si>
  <si>
    <t>286455</t>
  </si>
  <si>
    <t>UBINEKLTHR5570</t>
  </si>
  <si>
    <t>310017</t>
  </si>
  <si>
    <t>Mullassery, Kerala</t>
  </si>
  <si>
    <t>286473</t>
  </si>
  <si>
    <t>UBINEKLTHR0954</t>
  </si>
  <si>
    <t>310019</t>
  </si>
  <si>
    <t>286464</t>
  </si>
  <si>
    <t>UBINPUNARB8536A</t>
  </si>
  <si>
    <t>310021</t>
  </si>
  <si>
    <t>259778</t>
  </si>
  <si>
    <t>UBINPUNARB8536C</t>
  </si>
  <si>
    <t>310022</t>
  </si>
  <si>
    <t>259780</t>
  </si>
  <si>
    <t>UBINEKLTHR7439</t>
  </si>
  <si>
    <t>310024</t>
  </si>
  <si>
    <t>Karumalloor, Kerala</t>
  </si>
  <si>
    <t>286493</t>
  </si>
  <si>
    <t>UBINPUNARB8536D</t>
  </si>
  <si>
    <t>310026</t>
  </si>
  <si>
    <t>259781</t>
  </si>
  <si>
    <t>UBINPUNARB8536E</t>
  </si>
  <si>
    <t>310028</t>
  </si>
  <si>
    <t>259782</t>
  </si>
  <si>
    <t>UBINPUNARB8536F</t>
  </si>
  <si>
    <t>310031</t>
  </si>
  <si>
    <t>259783</t>
  </si>
  <si>
    <t>UBINPUNARB8536G</t>
  </si>
  <si>
    <t>310035</t>
  </si>
  <si>
    <t>259784</t>
  </si>
  <si>
    <t>UBINPUNARB8536H</t>
  </si>
  <si>
    <t>310037</t>
  </si>
  <si>
    <t>259785</t>
  </si>
  <si>
    <t>UBINPUNARB8536I</t>
  </si>
  <si>
    <t>310041</t>
  </si>
  <si>
    <t>259786</t>
  </si>
  <si>
    <t>UBINPUNARB8536J</t>
  </si>
  <si>
    <t>310046</t>
  </si>
  <si>
    <t>259787</t>
  </si>
  <si>
    <t>UBINPUNARB8536K</t>
  </si>
  <si>
    <t>310049</t>
  </si>
  <si>
    <t>259788</t>
  </si>
  <si>
    <t>UBINPUNARB8536M</t>
  </si>
  <si>
    <t>310056</t>
  </si>
  <si>
    <t>259790</t>
  </si>
  <si>
    <t>UBINPUNARB8536N</t>
  </si>
  <si>
    <t>310060</t>
  </si>
  <si>
    <t>259791</t>
  </si>
  <si>
    <t>UBINPUNARB8536Q</t>
  </si>
  <si>
    <t>310063</t>
  </si>
  <si>
    <t>259794</t>
  </si>
  <si>
    <t>UBINPUNARB8536R</t>
  </si>
  <si>
    <t>310064</t>
  </si>
  <si>
    <t>259795</t>
  </si>
  <si>
    <t>UBINPUNARB8536S</t>
  </si>
  <si>
    <t>310066</t>
  </si>
  <si>
    <t>259796</t>
  </si>
  <si>
    <t>UBINPUNARB0371G</t>
  </si>
  <si>
    <t>310138</t>
  </si>
  <si>
    <t>274054</t>
  </si>
  <si>
    <t>UBINPUNARB0156</t>
  </si>
  <si>
    <t>310160</t>
  </si>
  <si>
    <t>271697</t>
  </si>
  <si>
    <t>UBINPUNARB6331A</t>
  </si>
  <si>
    <t>310168</t>
  </si>
  <si>
    <t>216541</t>
  </si>
  <si>
    <t>UBINPUNARB6331B</t>
  </si>
  <si>
    <t>310173</t>
  </si>
  <si>
    <t>216542</t>
  </si>
  <si>
    <t>UBINHYDKOT4695</t>
  </si>
  <si>
    <t>310207</t>
  </si>
  <si>
    <t>258816</t>
  </si>
  <si>
    <t>UBINPUNARB4281</t>
  </si>
  <si>
    <t>310291</t>
  </si>
  <si>
    <t>52260</t>
  </si>
  <si>
    <t>UBINPUNARB1359</t>
  </si>
  <si>
    <t>310300</t>
  </si>
  <si>
    <t>272083</t>
  </si>
  <si>
    <t>UBINPUNARB2423</t>
  </si>
  <si>
    <t>310312</t>
  </si>
  <si>
    <t>267668</t>
  </si>
  <si>
    <t>UBINPUNARB2816</t>
  </si>
  <si>
    <t>310327</t>
  </si>
  <si>
    <t>267663</t>
  </si>
  <si>
    <t>UBINPUNPUE9873</t>
  </si>
  <si>
    <t>310334</t>
  </si>
  <si>
    <t>100189</t>
  </si>
  <si>
    <t>UBINPUNARB4962</t>
  </si>
  <si>
    <t>310341</t>
  </si>
  <si>
    <t>226447</t>
  </si>
  <si>
    <t>UBINCHEMAB7891B</t>
  </si>
  <si>
    <t>310402</t>
  </si>
  <si>
    <t>Anaiyur, Tamil Nadu</t>
  </si>
  <si>
    <t>80649</t>
  </si>
  <si>
    <t>UBINCHEMAB7891A</t>
  </si>
  <si>
    <t>310413</t>
  </si>
  <si>
    <t>80648</t>
  </si>
  <si>
    <t>UBINCHEMAB9342</t>
  </si>
  <si>
    <t>310443</t>
  </si>
  <si>
    <t>105298</t>
  </si>
  <si>
    <t>UBINCHEMAB8054</t>
  </si>
  <si>
    <t>310478</t>
  </si>
  <si>
    <t>Sivakasi, Tamil Nadu</t>
  </si>
  <si>
    <t>204592</t>
  </si>
  <si>
    <t>UBINCOITNV3885</t>
  </si>
  <si>
    <t>310500</t>
  </si>
  <si>
    <t>Ambasamudram, Tamil Nadu</t>
  </si>
  <si>
    <t>266554</t>
  </si>
  <si>
    <t>UBINCOITNV3628</t>
  </si>
  <si>
    <t>310512</t>
  </si>
  <si>
    <t>Rosalpatti, Tamil Nadu</t>
  </si>
  <si>
    <t>280300</t>
  </si>
  <si>
    <t>UBINCHECHN6584</t>
  </si>
  <si>
    <t>310857</t>
  </si>
  <si>
    <t>Tiruttani, Tamil Nadu</t>
  </si>
  <si>
    <t>50636</t>
  </si>
  <si>
    <t>UBINCHECHN7052</t>
  </si>
  <si>
    <t>310879</t>
  </si>
  <si>
    <t>SIDCO Industrial Estate Chengarai, Tamil Nadu</t>
  </si>
  <si>
    <t>59474</t>
  </si>
  <si>
    <t>UBINLUCMFN5659</t>
  </si>
  <si>
    <t>311052</t>
  </si>
  <si>
    <t>216249</t>
  </si>
  <si>
    <t>UBINLUCHLD2769</t>
  </si>
  <si>
    <t>311055</t>
  </si>
  <si>
    <t>100073</t>
  </si>
  <si>
    <t>UBINMRTDAB0864</t>
  </si>
  <si>
    <t>311061</t>
  </si>
  <si>
    <t>Muzaffarnagar, Uttar Pradesh</t>
  </si>
  <si>
    <t>268474</t>
  </si>
  <si>
    <t>UBINMRTDAB9854</t>
  </si>
  <si>
    <t>311071</t>
  </si>
  <si>
    <t>268476</t>
  </si>
  <si>
    <t>UBINMRTDAB4361</t>
  </si>
  <si>
    <t>311073</t>
  </si>
  <si>
    <t>272247</t>
  </si>
  <si>
    <t>UBINMRTDAB3185</t>
  </si>
  <si>
    <t>311077</t>
  </si>
  <si>
    <t>272252</t>
  </si>
  <si>
    <t>UBINMRTDAB4743A</t>
  </si>
  <si>
    <t>311090</t>
  </si>
  <si>
    <t>276606</t>
  </si>
  <si>
    <t>UBINMRTDAB4743B</t>
  </si>
  <si>
    <t>311095</t>
  </si>
  <si>
    <t>276611</t>
  </si>
  <si>
    <t>UBINMUMARB38129</t>
  </si>
  <si>
    <t>311340</t>
  </si>
  <si>
    <t>272482</t>
  </si>
  <si>
    <t>UBINMUMARB2441</t>
  </si>
  <si>
    <t>311352</t>
  </si>
  <si>
    <t>272481</t>
  </si>
  <si>
    <t>UBINPUNARB0325</t>
  </si>
  <si>
    <t>311378</t>
  </si>
  <si>
    <t>211959</t>
  </si>
  <si>
    <t>UBINPUNARB9813A</t>
  </si>
  <si>
    <t>311385</t>
  </si>
  <si>
    <t>274143</t>
  </si>
  <si>
    <t>UBINPUNARB8753</t>
  </si>
  <si>
    <t>311391</t>
  </si>
  <si>
    <t>269881</t>
  </si>
  <si>
    <t>UBINAHMSAB7347</t>
  </si>
  <si>
    <t>311398</t>
  </si>
  <si>
    <t>286304</t>
  </si>
  <si>
    <t>UBINAHMSAB4181</t>
  </si>
  <si>
    <t>311403</t>
  </si>
  <si>
    <t>286312</t>
  </si>
  <si>
    <t>UBINCHECHN3363</t>
  </si>
  <si>
    <t>311487</t>
  </si>
  <si>
    <t>Kakkalur, Tamil Nadu</t>
  </si>
  <si>
    <t>286794</t>
  </si>
  <si>
    <t>UBINPUNKLH1200</t>
  </si>
  <si>
    <t>311605</t>
  </si>
  <si>
    <t>Kudal, Maharashtra</t>
  </si>
  <si>
    <t>216260</t>
  </si>
  <si>
    <t>UBINVSKELR5255</t>
  </si>
  <si>
    <t>311707</t>
  </si>
  <si>
    <t>9952</t>
  </si>
  <si>
    <t>UBINVSKELR0939</t>
  </si>
  <si>
    <t>311711</t>
  </si>
  <si>
    <t>Nallajerla, Andhra Pradesh</t>
  </si>
  <si>
    <t>118945</t>
  </si>
  <si>
    <t>UBINMUMADH4202</t>
  </si>
  <si>
    <t>311713</t>
  </si>
  <si>
    <t>286840</t>
  </si>
  <si>
    <t>UBINBHOBHS3599</t>
  </si>
  <si>
    <t>311716</t>
  </si>
  <si>
    <t>Industrial Area Muhasa, Madhya Pradesh</t>
  </si>
  <si>
    <t>252579</t>
  </si>
  <si>
    <t>UBINCHEMAB7847</t>
  </si>
  <si>
    <t>311717</t>
  </si>
  <si>
    <t>48530</t>
  </si>
  <si>
    <t>UBINBHOBHS5411</t>
  </si>
  <si>
    <t>311723</t>
  </si>
  <si>
    <t>Plastic Park Tamot, Madhya Pradesh</t>
  </si>
  <si>
    <t>22576</t>
  </si>
  <si>
    <t>UBINVSKELR1837</t>
  </si>
  <si>
    <t>311726</t>
  </si>
  <si>
    <t>27080</t>
  </si>
  <si>
    <t>UBINBHOBHS5911</t>
  </si>
  <si>
    <t>311736</t>
  </si>
  <si>
    <t>Industrial Area Kiratpur, Madhya Pradesh</t>
  </si>
  <si>
    <t>103364</t>
  </si>
  <si>
    <t>UBINMUMADH7398</t>
  </si>
  <si>
    <t>311741</t>
  </si>
  <si>
    <t>211804</t>
  </si>
  <si>
    <t>UBINVJWELR8377</t>
  </si>
  <si>
    <t>311744</t>
  </si>
  <si>
    <t>Gavaravaram, Andhra Pradesh</t>
  </si>
  <si>
    <t>245853</t>
  </si>
  <si>
    <t>UBINBHOIND1390</t>
  </si>
  <si>
    <t>311747</t>
  </si>
  <si>
    <t>277388</t>
  </si>
  <si>
    <t>UBINCHEMAB7944</t>
  </si>
  <si>
    <t>311749</t>
  </si>
  <si>
    <t>204581</t>
  </si>
  <si>
    <t>UBINMUMADH7920</t>
  </si>
  <si>
    <t>311754</t>
  </si>
  <si>
    <t>118061</t>
  </si>
  <si>
    <t>UBINCHETNV7880</t>
  </si>
  <si>
    <t>311758</t>
  </si>
  <si>
    <t>Amathur, Tamil Nadu</t>
  </si>
  <si>
    <t>218889</t>
  </si>
  <si>
    <t>UBINBHOIND0590</t>
  </si>
  <si>
    <t>311761</t>
  </si>
  <si>
    <t>120066</t>
  </si>
  <si>
    <t>UBINBHOIND9999</t>
  </si>
  <si>
    <t>311769</t>
  </si>
  <si>
    <t>272119</t>
  </si>
  <si>
    <t>UBINCOITNV9823</t>
  </si>
  <si>
    <t>311773</t>
  </si>
  <si>
    <t>280303</t>
  </si>
  <si>
    <t>UBINVSKELR7650</t>
  </si>
  <si>
    <t>311776</t>
  </si>
  <si>
    <t>63406</t>
  </si>
  <si>
    <t>UBINPUNNAB1120</t>
  </si>
  <si>
    <t>311778</t>
  </si>
  <si>
    <t>Hinganghat, Maharashtra</t>
  </si>
  <si>
    <t>255339</t>
  </si>
  <si>
    <t>UBINPUNNAB6473</t>
  </si>
  <si>
    <t>311783</t>
  </si>
  <si>
    <t>261799</t>
  </si>
  <si>
    <t>UBINBHOBHS2242</t>
  </si>
  <si>
    <t>311786</t>
  </si>
  <si>
    <t>Chhindwara, Madhya Pradesh</t>
  </si>
  <si>
    <t>105333</t>
  </si>
  <si>
    <t>UBINBLRMYS4552A</t>
  </si>
  <si>
    <t>311791</t>
  </si>
  <si>
    <t>277706</t>
  </si>
  <si>
    <t>UBINBLRMYS6594</t>
  </si>
  <si>
    <t>311800</t>
  </si>
  <si>
    <t>Kanakapura, Karnataka</t>
  </si>
  <si>
    <t>275248</t>
  </si>
  <si>
    <t>UBINBLRMYS2993</t>
  </si>
  <si>
    <t>311808</t>
  </si>
  <si>
    <t>Channapatna, Karnataka</t>
  </si>
  <si>
    <t>275236</t>
  </si>
  <si>
    <t>UBINBLRMYS4957</t>
  </si>
  <si>
    <t>311817</t>
  </si>
  <si>
    <t>115965</t>
  </si>
  <si>
    <t>UBINCOITNV9701</t>
  </si>
  <si>
    <t>311821</t>
  </si>
  <si>
    <t>280287</t>
  </si>
  <si>
    <t>UBINBLRMYS3986</t>
  </si>
  <si>
    <t>311824</t>
  </si>
  <si>
    <t>275554</t>
  </si>
  <si>
    <t>UBINVRNGOR4530</t>
  </si>
  <si>
    <t>311826</t>
  </si>
  <si>
    <t>Maharajganj, Uttar Pradesh</t>
  </si>
  <si>
    <t>119131</t>
  </si>
  <si>
    <t>UBINBLRMYS7632</t>
  </si>
  <si>
    <t>311830</t>
  </si>
  <si>
    <t>Chamarajanagar, Karnataka</t>
  </si>
  <si>
    <t>80643</t>
  </si>
  <si>
    <t>UBINBLRMYS9449</t>
  </si>
  <si>
    <t>311837</t>
  </si>
  <si>
    <t>Maddur, Karnataka</t>
  </si>
  <si>
    <t>53549</t>
  </si>
  <si>
    <t>UBINPUNNAB7197</t>
  </si>
  <si>
    <t>311840</t>
  </si>
  <si>
    <t>Warthi, Maharashtra</t>
  </si>
  <si>
    <t>268066</t>
  </si>
  <si>
    <t>UBINVRNGOR9562</t>
  </si>
  <si>
    <t>311843</t>
  </si>
  <si>
    <t>171496</t>
  </si>
  <si>
    <t>UBINBLRMYS4777</t>
  </si>
  <si>
    <t>311846</t>
  </si>
  <si>
    <t>85520</t>
  </si>
  <si>
    <t>UBINPUNNAB8096B</t>
  </si>
  <si>
    <t>311848</t>
  </si>
  <si>
    <t>261809</t>
  </si>
  <si>
    <t>UBINPUNNAB2816</t>
  </si>
  <si>
    <t>311853</t>
  </si>
  <si>
    <t>187197</t>
  </si>
  <si>
    <t>UBINPUNNAB8626</t>
  </si>
  <si>
    <t>311856</t>
  </si>
  <si>
    <t>Upleta, Gujarat</t>
  </si>
  <si>
    <t>255342</t>
  </si>
  <si>
    <t>UBINBLRMYS1336</t>
  </si>
  <si>
    <t>311857</t>
  </si>
  <si>
    <t>269420</t>
  </si>
  <si>
    <t>UBINBLRMYS4956</t>
  </si>
  <si>
    <t>311860</t>
  </si>
  <si>
    <t>Ramanagara, Karnataka</t>
  </si>
  <si>
    <t>122298</t>
  </si>
  <si>
    <t>UBINBLRMYS0980</t>
  </si>
  <si>
    <t>311866</t>
  </si>
  <si>
    <t>115959</t>
  </si>
  <si>
    <t>UBINVRNGOR3030</t>
  </si>
  <si>
    <t>311868</t>
  </si>
  <si>
    <t>20971</t>
  </si>
  <si>
    <t>UBINVRNGOR4579</t>
  </si>
  <si>
    <t>311870</t>
  </si>
  <si>
    <t>102808</t>
  </si>
  <si>
    <t>UBINCOITNV7785</t>
  </si>
  <si>
    <t>311954</t>
  </si>
  <si>
    <t>241286</t>
  </si>
  <si>
    <t>UBINCHEMAD2670</t>
  </si>
  <si>
    <t>311983</t>
  </si>
  <si>
    <t>Periapattinam, Tamil Nadu</t>
  </si>
  <si>
    <t>86205</t>
  </si>
  <si>
    <t>UBINMUMTHN2724</t>
  </si>
  <si>
    <t>311988</t>
  </si>
  <si>
    <t>96370</t>
  </si>
  <si>
    <t>UBINPUNKLH5298</t>
  </si>
  <si>
    <t>312004</t>
  </si>
  <si>
    <t>Sindhudurg Nagari, Maharashtra</t>
  </si>
  <si>
    <t>21533</t>
  </si>
  <si>
    <t>UBINPUNKLH6311A</t>
  </si>
  <si>
    <t>312011</t>
  </si>
  <si>
    <t>Devgad, Maharashtra</t>
  </si>
  <si>
    <t>267382</t>
  </si>
  <si>
    <t>UBINPUNKLH6311B</t>
  </si>
  <si>
    <t>312035</t>
  </si>
  <si>
    <t>Ratnagiri, Maharashtra</t>
  </si>
  <si>
    <t>267385</t>
  </si>
  <si>
    <t>UBINPUNKLH8342</t>
  </si>
  <si>
    <t>312046</t>
  </si>
  <si>
    <t>267380</t>
  </si>
  <si>
    <t>UBINPUNKLH1502</t>
  </si>
  <si>
    <t>312051</t>
  </si>
  <si>
    <t>Vengurla, Maharashtra</t>
  </si>
  <si>
    <t>271789</t>
  </si>
  <si>
    <t>UBINPUNKLH8391</t>
  </si>
  <si>
    <t>312062</t>
  </si>
  <si>
    <t>271786</t>
  </si>
  <si>
    <t>UBINPUNKLH12986</t>
  </si>
  <si>
    <t>312078</t>
  </si>
  <si>
    <t>271787</t>
  </si>
  <si>
    <t>UBINPUNKLH0950</t>
  </si>
  <si>
    <t>312083</t>
  </si>
  <si>
    <t>258695</t>
  </si>
  <si>
    <t>UBINPUNKLH8838</t>
  </si>
  <si>
    <t>312089</t>
  </si>
  <si>
    <t>Guhagar, Maharashtra</t>
  </si>
  <si>
    <t>19778</t>
  </si>
  <si>
    <t>UBINPUNKLH2563</t>
  </si>
  <si>
    <t>312094</t>
  </si>
  <si>
    <t>Chiplun, Maharashtra</t>
  </si>
  <si>
    <t>51126</t>
  </si>
  <si>
    <t>UBINAHMSUR5493</t>
  </si>
  <si>
    <t>312121</t>
  </si>
  <si>
    <t>67471</t>
  </si>
  <si>
    <t>UBINMUMTHN0205</t>
  </si>
  <si>
    <t>312126</t>
  </si>
  <si>
    <t>21366</t>
  </si>
  <si>
    <t>UBINAHMSUR7275</t>
  </si>
  <si>
    <t>312135</t>
  </si>
  <si>
    <t>Olpad, Gujarat</t>
  </si>
  <si>
    <t>4267</t>
  </si>
  <si>
    <t>UBINAHMSUR6865</t>
  </si>
  <si>
    <t>312139</t>
  </si>
  <si>
    <t>171998</t>
  </si>
  <si>
    <t>UBINAHMSUR1213</t>
  </si>
  <si>
    <t>312143</t>
  </si>
  <si>
    <t>55447</t>
  </si>
  <si>
    <t>UBINAHMSUR9929</t>
  </si>
  <si>
    <t>312157</t>
  </si>
  <si>
    <t>190969</t>
  </si>
  <si>
    <t>UBINAHMSUR6248</t>
  </si>
  <si>
    <t>312161</t>
  </si>
  <si>
    <t>44605</t>
  </si>
  <si>
    <t>UBINAHMSUR3081</t>
  </si>
  <si>
    <t>312167</t>
  </si>
  <si>
    <t>60364</t>
  </si>
  <si>
    <t>UBINAHMSUR8069</t>
  </si>
  <si>
    <t>312171</t>
  </si>
  <si>
    <t>282000</t>
  </si>
  <si>
    <t>UBINAHMSUR6307</t>
  </si>
  <si>
    <t>312175</t>
  </si>
  <si>
    <t>245292</t>
  </si>
  <si>
    <t>UBINVSKVSK5760</t>
  </si>
  <si>
    <t>312181</t>
  </si>
  <si>
    <t>59997</t>
  </si>
  <si>
    <t>UBINVSKVSK8144</t>
  </si>
  <si>
    <t>312192</t>
  </si>
  <si>
    <t>191549</t>
  </si>
  <si>
    <t>UBINBLRBLS4774</t>
  </si>
  <si>
    <t>312271</t>
  </si>
  <si>
    <t>266645</t>
  </si>
  <si>
    <t>UBINDELDLN4588</t>
  </si>
  <si>
    <t>312278</t>
  </si>
  <si>
    <t>275715</t>
  </si>
  <si>
    <t>UBINPUNPUE3573</t>
  </si>
  <si>
    <t>312279</t>
  </si>
  <si>
    <t>284099</t>
  </si>
  <si>
    <t>UBINDELDLN4586</t>
  </si>
  <si>
    <t>312282</t>
  </si>
  <si>
    <t>276436</t>
  </si>
  <si>
    <t>UBINDELDLN5072</t>
  </si>
  <si>
    <t>312286</t>
  </si>
  <si>
    <t>275727</t>
  </si>
  <si>
    <t>UBINPUNPUE8301</t>
  </si>
  <si>
    <t>312288</t>
  </si>
  <si>
    <t>100177</t>
  </si>
  <si>
    <t>UBINDELDLN9017</t>
  </si>
  <si>
    <t>312291</t>
  </si>
  <si>
    <t>281009</t>
  </si>
  <si>
    <t>UBINPUNPUE7841</t>
  </si>
  <si>
    <t>312293</t>
  </si>
  <si>
    <t>283667</t>
  </si>
  <si>
    <t>UBINPUNPUE3469</t>
  </si>
  <si>
    <t>312301</t>
  </si>
  <si>
    <t>Satara, Maharashtra</t>
  </si>
  <si>
    <t>232468</t>
  </si>
  <si>
    <t>UBINPUNPUE2674</t>
  </si>
  <si>
    <t>312318</t>
  </si>
  <si>
    <t>103525</t>
  </si>
  <si>
    <t>UBINBLRBLS0192</t>
  </si>
  <si>
    <t>312334</t>
  </si>
  <si>
    <t>284803</t>
  </si>
  <si>
    <t>UBINBLRBLS2402</t>
  </si>
  <si>
    <t>312342</t>
  </si>
  <si>
    <t>284799</t>
  </si>
  <si>
    <t>UBINBLRBLS2395</t>
  </si>
  <si>
    <t>312348</t>
  </si>
  <si>
    <t>284781</t>
  </si>
  <si>
    <t>UBINBLRBLS2956</t>
  </si>
  <si>
    <t>312366</t>
  </si>
  <si>
    <t>118106</t>
  </si>
  <si>
    <t>UBINMLRMLR5740</t>
  </si>
  <si>
    <t>312493</t>
  </si>
  <si>
    <t>11758</t>
  </si>
  <si>
    <t>UBINMLRMLR1229</t>
  </si>
  <si>
    <t>312501</t>
  </si>
  <si>
    <t>45572</t>
  </si>
  <si>
    <t>UBINLUCARB3743</t>
  </si>
  <si>
    <t>312574</t>
  </si>
  <si>
    <t>Chhibramau, Uttar Pradesh</t>
  </si>
  <si>
    <t>273791</t>
  </si>
  <si>
    <t>UBINLUCARB1081</t>
  </si>
  <si>
    <t>312734</t>
  </si>
  <si>
    <t>Barabanki, Uttar Pradesh</t>
  </si>
  <si>
    <t>280631</t>
  </si>
  <si>
    <t>UBINLUCARB2449A</t>
  </si>
  <si>
    <t>312749</t>
  </si>
  <si>
    <t>278109</t>
  </si>
  <si>
    <t>UBINLUCARB2449B</t>
  </si>
  <si>
    <t>312756</t>
  </si>
  <si>
    <t>278110</t>
  </si>
  <si>
    <t>UBINLUCARB2449C</t>
  </si>
  <si>
    <t>312759</t>
  </si>
  <si>
    <t>278113</t>
  </si>
  <si>
    <t>UBINLUCARB0917A</t>
  </si>
  <si>
    <t>312769</t>
  </si>
  <si>
    <t>263746</t>
  </si>
  <si>
    <t>UBINLUCARB8719</t>
  </si>
  <si>
    <t>312806</t>
  </si>
  <si>
    <t>275395</t>
  </si>
  <si>
    <t>UBINLUCARB5573</t>
  </si>
  <si>
    <t>312815</t>
  </si>
  <si>
    <t>275400</t>
  </si>
  <si>
    <t>UBINEKLKLM6532</t>
  </si>
  <si>
    <t>313078</t>
  </si>
  <si>
    <t>Chavara, Kerala</t>
  </si>
  <si>
    <t>251305</t>
  </si>
  <si>
    <t>UBINKOLKOG7250</t>
  </si>
  <si>
    <t>313081</t>
  </si>
  <si>
    <t>258934</t>
  </si>
  <si>
    <t>UBINMLRKLM0601</t>
  </si>
  <si>
    <t>313086</t>
  </si>
  <si>
    <t>83494</t>
  </si>
  <si>
    <t>UBINKOLKOG0051</t>
  </si>
  <si>
    <t>313091</t>
  </si>
  <si>
    <t>258933</t>
  </si>
  <si>
    <t>UBINEKLKLM7822</t>
  </si>
  <si>
    <t>313095</t>
  </si>
  <si>
    <t>245206</t>
  </si>
  <si>
    <t>UBINKOLKOG2359</t>
  </si>
  <si>
    <t>313162</t>
  </si>
  <si>
    <t>23552</t>
  </si>
  <si>
    <t>UBINKOLKOG6683</t>
  </si>
  <si>
    <t>313173</t>
  </si>
  <si>
    <t>190954</t>
  </si>
  <si>
    <t>UBINMLRUDU5074</t>
  </si>
  <si>
    <t>313196</t>
  </si>
  <si>
    <t>Sirsi, Karnataka</t>
  </si>
  <si>
    <t>281544</t>
  </si>
  <si>
    <t>UBINPUNARB3417</t>
  </si>
  <si>
    <t>313250</t>
  </si>
  <si>
    <t>75320</t>
  </si>
  <si>
    <t>UBINPUNARB6240A</t>
  </si>
  <si>
    <t>313255</t>
  </si>
  <si>
    <t>213749</t>
  </si>
  <si>
    <t>UBINPUNARB6240B</t>
  </si>
  <si>
    <t>313264</t>
  </si>
  <si>
    <t>213750</t>
  </si>
  <si>
    <t>UBINPUNARB0601</t>
  </si>
  <si>
    <t>313276</t>
  </si>
  <si>
    <t>271698</t>
  </si>
  <si>
    <t>UBINKOLKOG1324</t>
  </si>
  <si>
    <t>313290</t>
  </si>
  <si>
    <t>275320</t>
  </si>
  <si>
    <t>UBINKOLKOG0474</t>
  </si>
  <si>
    <t>313298</t>
  </si>
  <si>
    <t>53050</t>
  </si>
  <si>
    <t>UBINKOLKOG3291</t>
  </si>
  <si>
    <t>313305</t>
  </si>
  <si>
    <t>258936</t>
  </si>
  <si>
    <t>UBINVSKARB8165E</t>
  </si>
  <si>
    <t>313401</t>
  </si>
  <si>
    <t>Chebrolu, Andhra Pradesh</t>
  </si>
  <si>
    <t>254394</t>
  </si>
  <si>
    <t>UBINVSKARB8165F</t>
  </si>
  <si>
    <t>313405</t>
  </si>
  <si>
    <t>254443</t>
  </si>
  <si>
    <t>UBINVSKARB8165G</t>
  </si>
  <si>
    <t>313408</t>
  </si>
  <si>
    <t>254446</t>
  </si>
  <si>
    <t>UBINBLRBLN2601C</t>
  </si>
  <si>
    <t>313587</t>
  </si>
  <si>
    <t>Gudur, Andhra Pradesh</t>
  </si>
  <si>
    <t>280066</t>
  </si>
  <si>
    <t>UBINLUCARB4428</t>
  </si>
  <si>
    <t>313625</t>
  </si>
  <si>
    <t>Shahabad, Uttar Pradesh</t>
  </si>
  <si>
    <t>287196</t>
  </si>
  <si>
    <t>UBINBLRBLE4751</t>
  </si>
  <si>
    <t>313627</t>
  </si>
  <si>
    <t>235871</t>
  </si>
  <si>
    <t>UBINMUMMUS0028</t>
  </si>
  <si>
    <t>313658</t>
  </si>
  <si>
    <t>219197</t>
  </si>
  <si>
    <t>UBINMUMMUS2059</t>
  </si>
  <si>
    <t>313669</t>
  </si>
  <si>
    <t>Mira Bhayandar, Maharashtra</t>
  </si>
  <si>
    <t>277523</t>
  </si>
  <si>
    <t>UBINMUMMUS1422</t>
  </si>
  <si>
    <t>313680</t>
  </si>
  <si>
    <t>285501</t>
  </si>
  <si>
    <t>UBINBLRBLE6477</t>
  </si>
  <si>
    <t>313847</t>
  </si>
  <si>
    <t>258931</t>
  </si>
  <si>
    <t>UBINHYDSAF6085</t>
  </si>
  <si>
    <t>313852</t>
  </si>
  <si>
    <t>285367</t>
  </si>
  <si>
    <t>UBINBLRBLE59925</t>
  </si>
  <si>
    <t>313872</t>
  </si>
  <si>
    <t>Robertsonpet, Karnataka</t>
  </si>
  <si>
    <t>277155</t>
  </si>
  <si>
    <t>UBINBLRBLE5962</t>
  </si>
  <si>
    <t>313878</t>
  </si>
  <si>
    <t>Bethamangala, Karnataka</t>
  </si>
  <si>
    <t>248029</t>
  </si>
  <si>
    <t>UBINBLRBLE1288</t>
  </si>
  <si>
    <t>313880</t>
  </si>
  <si>
    <t>202982</t>
  </si>
  <si>
    <t>UBINHYDSAF1023</t>
  </si>
  <si>
    <t>313901</t>
  </si>
  <si>
    <t>284193</t>
  </si>
  <si>
    <t>UBINMUMMUS5121</t>
  </si>
  <si>
    <t>313995</t>
  </si>
  <si>
    <t>235315</t>
  </si>
  <si>
    <t>UBINCHDCAB2111D</t>
  </si>
  <si>
    <t>314009</t>
  </si>
  <si>
    <t>281224</t>
  </si>
  <si>
    <t>UBINMUMMUS3379A</t>
  </si>
  <si>
    <t>314034</t>
  </si>
  <si>
    <t>272795</t>
  </si>
  <si>
    <t>UBINMUMMUS3379B</t>
  </si>
  <si>
    <t>314044</t>
  </si>
  <si>
    <t>272796</t>
  </si>
  <si>
    <t>UBINCHDCAB2111C</t>
  </si>
  <si>
    <t>314074</t>
  </si>
  <si>
    <t>281225</t>
  </si>
  <si>
    <t>UBINBHOJAR3294</t>
  </si>
  <si>
    <t>314079</t>
  </si>
  <si>
    <t>Guna, Madhya Pradesh</t>
  </si>
  <si>
    <t>230029</t>
  </si>
  <si>
    <t>UBINBHOJAR8760A</t>
  </si>
  <si>
    <t>314089</t>
  </si>
  <si>
    <t>Sidhi, Madhya Pradesh</t>
  </si>
  <si>
    <t>235010</t>
  </si>
  <si>
    <t>UBINCHDCAB2111B</t>
  </si>
  <si>
    <t>314096</t>
  </si>
  <si>
    <t>281226</t>
  </si>
  <si>
    <t>UBINBHOGWA3370A</t>
  </si>
  <si>
    <t>314110</t>
  </si>
  <si>
    <t>85161</t>
  </si>
  <si>
    <t>UBINBHOGWA3370C</t>
  </si>
  <si>
    <t>314118</t>
  </si>
  <si>
    <t>38457</t>
  </si>
  <si>
    <t>UBINBHOJAR3890B</t>
  </si>
  <si>
    <t>314127</t>
  </si>
  <si>
    <t>Gadarwara, Madhya Pradesh</t>
  </si>
  <si>
    <t>106504</t>
  </si>
  <si>
    <t>UBINBHOJAR5361</t>
  </si>
  <si>
    <t>314137</t>
  </si>
  <si>
    <t>230030</t>
  </si>
  <si>
    <t>UBINBHOJAR2860</t>
  </si>
  <si>
    <t>314157</t>
  </si>
  <si>
    <t>235013</t>
  </si>
  <si>
    <t>UBINBLRBLE3669</t>
  </si>
  <si>
    <t>314193</t>
  </si>
  <si>
    <t>206157</t>
  </si>
  <si>
    <t>UBINEKLKTM9793</t>
  </si>
  <si>
    <t>314228</t>
  </si>
  <si>
    <t>MELUKAVU, Kerala</t>
  </si>
  <si>
    <t>287304</t>
  </si>
  <si>
    <t>UBINVSKARB8014</t>
  </si>
  <si>
    <t>314232</t>
  </si>
  <si>
    <t>Vizianagaram, Andhra Pradesh</t>
  </si>
  <si>
    <t>93003</t>
  </si>
  <si>
    <t>UBINCHESLM8820</t>
  </si>
  <si>
    <t>314318</t>
  </si>
  <si>
    <t>126104</t>
  </si>
  <si>
    <t>UBINCHESLM8960</t>
  </si>
  <si>
    <t>314323</t>
  </si>
  <si>
    <t>104748</t>
  </si>
  <si>
    <t>UBINCHESLM8009</t>
  </si>
  <si>
    <t>314328</t>
  </si>
  <si>
    <t>Velagoundampatti, Tamil Nadu</t>
  </si>
  <si>
    <t>112252</t>
  </si>
  <si>
    <t>UBINBLRBLE2354</t>
  </si>
  <si>
    <t>314375</t>
  </si>
  <si>
    <t>282146</t>
  </si>
  <si>
    <t>UBINBLRBLE2631</t>
  </si>
  <si>
    <t>314379</t>
  </si>
  <si>
    <t>206158</t>
  </si>
  <si>
    <t>UBINBLRBLE8723</t>
  </si>
  <si>
    <t>314383</t>
  </si>
  <si>
    <t>206159</t>
  </si>
  <si>
    <t>UBINBLRBLE4526</t>
  </si>
  <si>
    <t>314391</t>
  </si>
  <si>
    <t>272671</t>
  </si>
  <si>
    <t>UBINBLRBLE1195</t>
  </si>
  <si>
    <t>314406</t>
  </si>
  <si>
    <t>277133</t>
  </si>
  <si>
    <t>UBINBLRBLE6184</t>
  </si>
  <si>
    <t>314411</t>
  </si>
  <si>
    <t>272669</t>
  </si>
  <si>
    <t>UBINBLRBLE7611</t>
  </si>
  <si>
    <t>314417</t>
  </si>
  <si>
    <t>60667</t>
  </si>
  <si>
    <t>UBINBHOJAR5386B</t>
  </si>
  <si>
    <t>314464</t>
  </si>
  <si>
    <t>220938</t>
  </si>
  <si>
    <t>UBINBHOJAR5386A</t>
  </si>
  <si>
    <t>314493</t>
  </si>
  <si>
    <t>220937</t>
  </si>
  <si>
    <t>UBINBHOJAR5386C</t>
  </si>
  <si>
    <t>314499</t>
  </si>
  <si>
    <t>247942</t>
  </si>
  <si>
    <t>UBINmumarb2467a</t>
  </si>
  <si>
    <t>314625</t>
  </si>
  <si>
    <t>281193</t>
  </si>
  <si>
    <t>UBINMUMMUS1575</t>
  </si>
  <si>
    <t>314648</t>
  </si>
  <si>
    <t>246507</t>
  </si>
  <si>
    <t>UBINMUMARB1741</t>
  </si>
  <si>
    <t>314653</t>
  </si>
  <si>
    <t>35486</t>
  </si>
  <si>
    <t>UBINMUMARB8183</t>
  </si>
  <si>
    <t>314658</t>
  </si>
  <si>
    <t>216854</t>
  </si>
  <si>
    <t>UBINMUMARB2473</t>
  </si>
  <si>
    <t>314669</t>
  </si>
  <si>
    <t>272485</t>
  </si>
  <si>
    <t>UBINMUMVSH7661</t>
  </si>
  <si>
    <t>314684</t>
  </si>
  <si>
    <t>100921</t>
  </si>
  <si>
    <t>UBINPUNNAS7278B</t>
  </si>
  <si>
    <t>314851</t>
  </si>
  <si>
    <t>236289</t>
  </si>
  <si>
    <t>UBINPUNNAS7278A</t>
  </si>
  <si>
    <t>314856</t>
  </si>
  <si>
    <t>236287</t>
  </si>
  <si>
    <t>UBINPUNNAS6039</t>
  </si>
  <si>
    <t>314867</t>
  </si>
  <si>
    <t>Additional Dindori MIDC, Maharashtra</t>
  </si>
  <si>
    <t>277151</t>
  </si>
  <si>
    <t>UBINPUNNAS2176A</t>
  </si>
  <si>
    <t>314877</t>
  </si>
  <si>
    <t>277177</t>
  </si>
  <si>
    <t>UBINPUNNAS2314</t>
  </si>
  <si>
    <t>314888</t>
  </si>
  <si>
    <t>259295</t>
  </si>
  <si>
    <t>UBINPUNNAS5443</t>
  </si>
  <si>
    <t>314893</t>
  </si>
  <si>
    <t>269029</t>
  </si>
  <si>
    <t>UBINPUNNAS9993</t>
  </si>
  <si>
    <t>314899</t>
  </si>
  <si>
    <t>149</t>
  </si>
  <si>
    <t>UBINPUNNAS4813</t>
  </si>
  <si>
    <t>314908</t>
  </si>
  <si>
    <t>269019</t>
  </si>
  <si>
    <t>UBINPUNNAS4914</t>
  </si>
  <si>
    <t>314914</t>
  </si>
  <si>
    <t>216216</t>
  </si>
  <si>
    <t>UBINPUNNAS1276</t>
  </si>
  <si>
    <t>314920</t>
  </si>
  <si>
    <t>269018</t>
  </si>
  <si>
    <t>UBINPUNNAS3648</t>
  </si>
  <si>
    <t>314928</t>
  </si>
  <si>
    <t>127554</t>
  </si>
  <si>
    <t>UBINPUNNAS3939A</t>
  </si>
  <si>
    <t>314931</t>
  </si>
  <si>
    <t>Malegaon, Maharashtra</t>
  </si>
  <si>
    <t>246006</t>
  </si>
  <si>
    <t>UBINPUNNAS5865</t>
  </si>
  <si>
    <t>314936</t>
  </si>
  <si>
    <t>Yeola, Maharashtra</t>
  </si>
  <si>
    <t>277160</t>
  </si>
  <si>
    <t>UBINPUNNAS3712</t>
  </si>
  <si>
    <t>314944</t>
  </si>
  <si>
    <t>269017</t>
  </si>
  <si>
    <t>UBINPUNNAS0852</t>
  </si>
  <si>
    <t>314950</t>
  </si>
  <si>
    <t>14124</t>
  </si>
  <si>
    <t>UBINPUNNAS0978</t>
  </si>
  <si>
    <t>314957</t>
  </si>
  <si>
    <t>216219</t>
  </si>
  <si>
    <t>UBINPUNNAS0978A</t>
  </si>
  <si>
    <t>314960</t>
  </si>
  <si>
    <t>272034</t>
  </si>
  <si>
    <t>UBINMUMARB6173</t>
  </si>
  <si>
    <t>314989</t>
  </si>
  <si>
    <t>287430</t>
  </si>
  <si>
    <t>UBINPUNNAS6068</t>
  </si>
  <si>
    <t>314992</t>
  </si>
  <si>
    <t>Satana, Maharashtra</t>
  </si>
  <si>
    <t>280858</t>
  </si>
  <si>
    <t>UBINPUNNAS9839</t>
  </si>
  <si>
    <t>314998</t>
  </si>
  <si>
    <t>280854</t>
  </si>
  <si>
    <t>UBINVSKARB1378</t>
  </si>
  <si>
    <t>314999</t>
  </si>
  <si>
    <t>268876</t>
  </si>
  <si>
    <t>UBINPUNNAS2347</t>
  </si>
  <si>
    <t>315002</t>
  </si>
  <si>
    <t>283447</t>
  </si>
  <si>
    <t>UBINPUNNAS5326</t>
  </si>
  <si>
    <t>315004</t>
  </si>
  <si>
    <t>269015</t>
  </si>
  <si>
    <t>UBINPUNNAS60639</t>
  </si>
  <si>
    <t>315006</t>
  </si>
  <si>
    <t>269020</t>
  </si>
  <si>
    <t>UBINPUNNAS2680</t>
  </si>
  <si>
    <t>315008</t>
  </si>
  <si>
    <t>236290</t>
  </si>
  <si>
    <t>UBINPUNNAS8149</t>
  </si>
  <si>
    <t>315010</t>
  </si>
  <si>
    <t>Yawal, Maharashtra</t>
  </si>
  <si>
    <t>30401</t>
  </si>
  <si>
    <t>UBINPUNNAS3450</t>
  </si>
  <si>
    <t>315014</t>
  </si>
  <si>
    <t>277231</t>
  </si>
  <si>
    <t>UBINPUNNAS4244</t>
  </si>
  <si>
    <t>315019</t>
  </si>
  <si>
    <t>277196</t>
  </si>
  <si>
    <t>UBINPUNNAS0205</t>
  </si>
  <si>
    <t>315028</t>
  </si>
  <si>
    <t>269025</t>
  </si>
  <si>
    <t>UBINPUNNAS2117</t>
  </si>
  <si>
    <t>315030</t>
  </si>
  <si>
    <t>108945</t>
  </si>
  <si>
    <t>UBINVJWVJW4023</t>
  </si>
  <si>
    <t>315032</t>
  </si>
  <si>
    <t>120000</t>
  </si>
  <si>
    <t>UBINPUNNAS0182</t>
  </si>
  <si>
    <t>315037</t>
  </si>
  <si>
    <t>74633</t>
  </si>
  <si>
    <t>UBINPUNNAS8762</t>
  </si>
  <si>
    <t>315045</t>
  </si>
  <si>
    <t>261357</t>
  </si>
  <si>
    <t>UBINVJWVJW8954</t>
  </si>
  <si>
    <t>315046</t>
  </si>
  <si>
    <t>120241</t>
  </si>
  <si>
    <t>UBINVJWVJW1704</t>
  </si>
  <si>
    <t>315052</t>
  </si>
  <si>
    <t>278526</t>
  </si>
  <si>
    <t>UBINVJWVJW1394</t>
  </si>
  <si>
    <t>315057</t>
  </si>
  <si>
    <t>Kankipadu, Andhra Pradesh</t>
  </si>
  <si>
    <t>43073</t>
  </si>
  <si>
    <t>UBINPUNNAS0607</t>
  </si>
  <si>
    <t>315062</t>
  </si>
  <si>
    <t>277200</t>
  </si>
  <si>
    <t>UBINVJWVJW6097</t>
  </si>
  <si>
    <t>315065</t>
  </si>
  <si>
    <t>276476</t>
  </si>
  <si>
    <t>UBINPUNNAS4566</t>
  </si>
  <si>
    <t>315067</t>
  </si>
  <si>
    <t>274419</t>
  </si>
  <si>
    <t>UBINVJWVJW6205</t>
  </si>
  <si>
    <t>315070</t>
  </si>
  <si>
    <t>104679</t>
  </si>
  <si>
    <t>UBINPUNNAS5222</t>
  </si>
  <si>
    <t>315072</t>
  </si>
  <si>
    <t>287315</t>
  </si>
  <si>
    <t>UBINVJWVJW2055</t>
  </si>
  <si>
    <t>315074</t>
  </si>
  <si>
    <t>104457</t>
  </si>
  <si>
    <t>CNRB97478840A</t>
  </si>
  <si>
    <t>314208</t>
  </si>
  <si>
    <t>192004</t>
  </si>
  <si>
    <t>UBINPUNNAS8114</t>
  </si>
  <si>
    <t>315082</t>
  </si>
  <si>
    <t>287321</t>
  </si>
  <si>
    <t>UBINVJWVJW4866</t>
  </si>
  <si>
    <t>315085</t>
  </si>
  <si>
    <t>282724</t>
  </si>
  <si>
    <t>UBINVJWVJW5400</t>
  </si>
  <si>
    <t>315089</t>
  </si>
  <si>
    <t>282731</t>
  </si>
  <si>
    <t>UBINVJWVJW8021</t>
  </si>
  <si>
    <t>315094</t>
  </si>
  <si>
    <t>Vissannapet, Andhra Pradesh</t>
  </si>
  <si>
    <t>258429</t>
  </si>
  <si>
    <t>UBINPUNNAS7429A</t>
  </si>
  <si>
    <t>315095</t>
  </si>
  <si>
    <t>Bhusawal, Maharashtra</t>
  </si>
  <si>
    <t>227321</t>
  </si>
  <si>
    <t>UBINPUNNAS7429B</t>
  </si>
  <si>
    <t>315103</t>
  </si>
  <si>
    <t>227322</t>
  </si>
  <si>
    <t>UBINPUNNAS9642A</t>
  </si>
  <si>
    <t>315106</t>
  </si>
  <si>
    <t>287335</t>
  </si>
  <si>
    <t>UBINPUNNAS9642B</t>
  </si>
  <si>
    <t>315109</t>
  </si>
  <si>
    <t>287338</t>
  </si>
  <si>
    <t>UBINPUNNAS9642C</t>
  </si>
  <si>
    <t>315113</t>
  </si>
  <si>
    <t>287342</t>
  </si>
  <si>
    <t>UBINPUNNAS9642D</t>
  </si>
  <si>
    <t>315118</t>
  </si>
  <si>
    <t>287362</t>
  </si>
  <si>
    <t>UBINMUMARB2467B</t>
  </si>
  <si>
    <t>315151</t>
  </si>
  <si>
    <t>281197</t>
  </si>
  <si>
    <t>UBINLUCARB6555</t>
  </si>
  <si>
    <t>315168</t>
  </si>
  <si>
    <t>268242</t>
  </si>
  <si>
    <t>UBINCHDBAT1228A</t>
  </si>
  <si>
    <t>315180</t>
  </si>
  <si>
    <t>98650</t>
  </si>
  <si>
    <t>UBINCHDBAT1228B</t>
  </si>
  <si>
    <t>315183</t>
  </si>
  <si>
    <t>98653</t>
  </si>
  <si>
    <t>UBINLUCARB0023</t>
  </si>
  <si>
    <t>315194</t>
  </si>
  <si>
    <t>273803</t>
  </si>
  <si>
    <t>UBINVRNGOR0741D</t>
  </si>
  <si>
    <t>315200</t>
  </si>
  <si>
    <t>GIDA Gorakhpur, Uttar Pradesh</t>
  </si>
  <si>
    <t>281294</t>
  </si>
  <si>
    <t>UBINVRNGOR0741C</t>
  </si>
  <si>
    <t>315206</t>
  </si>
  <si>
    <t>281295</t>
  </si>
  <si>
    <t>UBINLUCAGR8315</t>
  </si>
  <si>
    <t>315220</t>
  </si>
  <si>
    <t>53351</t>
  </si>
  <si>
    <t>UBINLUCAGR2317</t>
  </si>
  <si>
    <t>315268</t>
  </si>
  <si>
    <t>198401</t>
  </si>
  <si>
    <t>UBINLUCAGR8062</t>
  </si>
  <si>
    <t>315275</t>
  </si>
  <si>
    <t>191212</t>
  </si>
  <si>
    <t>UBINMRTAGR2865</t>
  </si>
  <si>
    <t>315281</t>
  </si>
  <si>
    <t>256827</t>
  </si>
  <si>
    <t>UBINLUCAGR8184</t>
  </si>
  <si>
    <t>315287</t>
  </si>
  <si>
    <t>205829</t>
  </si>
  <si>
    <t>UBINLUCAGR5021</t>
  </si>
  <si>
    <t>315295</t>
  </si>
  <si>
    <t>12428</t>
  </si>
  <si>
    <t>UBINMRTAGR08739</t>
  </si>
  <si>
    <t>315301</t>
  </si>
  <si>
    <t>269873</t>
  </si>
  <si>
    <t>UBINMRTAGR9533</t>
  </si>
  <si>
    <t>315312</t>
  </si>
  <si>
    <t>269294</t>
  </si>
  <si>
    <t>UBINMRTAGR8195</t>
  </si>
  <si>
    <t>315329</t>
  </si>
  <si>
    <t>272460</t>
  </si>
  <si>
    <t>UBINMRTAGR6895</t>
  </si>
  <si>
    <t>315335</t>
  </si>
  <si>
    <t>256828</t>
  </si>
  <si>
    <t>UBINMRTAGR1190</t>
  </si>
  <si>
    <t>315355</t>
  </si>
  <si>
    <t>272452</t>
  </si>
  <si>
    <t>UBINLUCAGR6033</t>
  </si>
  <si>
    <t>315363</t>
  </si>
  <si>
    <t>69778</t>
  </si>
  <si>
    <t>UBINVJWGNT96229</t>
  </si>
  <si>
    <t>315367</t>
  </si>
  <si>
    <t>287509</t>
  </si>
  <si>
    <t>UBINLUCAGR3958</t>
  </si>
  <si>
    <t>315368</t>
  </si>
  <si>
    <t>84918</t>
  </si>
  <si>
    <t>UBINAHMRAJ6610</t>
  </si>
  <si>
    <t>315498</t>
  </si>
  <si>
    <t>Morbi, Gujarat</t>
  </si>
  <si>
    <t>273475</t>
  </si>
  <si>
    <t>UBINVJWGNT1141</t>
  </si>
  <si>
    <t>315528</t>
  </si>
  <si>
    <t>287500</t>
  </si>
  <si>
    <t>UBINLUCAGR2975</t>
  </si>
  <si>
    <t>315538</t>
  </si>
  <si>
    <t>119687</t>
  </si>
  <si>
    <t>UBINVJWGNT1557</t>
  </si>
  <si>
    <t>315592</t>
  </si>
  <si>
    <t>279418</t>
  </si>
  <si>
    <t>UBINCOICAR2396C</t>
  </si>
  <si>
    <t>315611</t>
  </si>
  <si>
    <t>Tiruppur, Tamil Nadu</t>
  </si>
  <si>
    <t>281529</t>
  </si>
  <si>
    <t>UBINAHMSUR7984</t>
  </si>
  <si>
    <t>315682</t>
  </si>
  <si>
    <t>78687</t>
  </si>
  <si>
    <t>UBINAHMSUR2587</t>
  </si>
  <si>
    <t>315736</t>
  </si>
  <si>
    <t>94624</t>
  </si>
  <si>
    <t>UBINBLRBLE9186</t>
  </si>
  <si>
    <t>315739</t>
  </si>
  <si>
    <t>287198</t>
  </si>
  <si>
    <t>UBINHYDWGL2810</t>
  </si>
  <si>
    <t>315744</t>
  </si>
  <si>
    <t>Ghanpur, Telangana</t>
  </si>
  <si>
    <t>270452</t>
  </si>
  <si>
    <t>UBINBLRBLE3078A</t>
  </si>
  <si>
    <t>315751</t>
  </si>
  <si>
    <t>Mulbagal, Karnataka</t>
  </si>
  <si>
    <t>236895</t>
  </si>
  <si>
    <t>UBINHYDWGL8333</t>
  </si>
  <si>
    <t>315756</t>
  </si>
  <si>
    <t>Kamalapuram Karimnagar District, Telangana</t>
  </si>
  <si>
    <t>272990</t>
  </si>
  <si>
    <t>UBINBLRBLE3078B</t>
  </si>
  <si>
    <t>315761</t>
  </si>
  <si>
    <t>236905</t>
  </si>
  <si>
    <t>UBINCOICAR3904</t>
  </si>
  <si>
    <t>315796</t>
  </si>
  <si>
    <t>Valparai, Tamil Nadu</t>
  </si>
  <si>
    <t>286278</t>
  </si>
  <si>
    <t>UBINBLRBLE5896</t>
  </si>
  <si>
    <t>315821</t>
  </si>
  <si>
    <t>249987</t>
  </si>
  <si>
    <t>UBINAHMBRD4633B</t>
  </si>
  <si>
    <t>316066</t>
  </si>
  <si>
    <t>69638</t>
  </si>
  <si>
    <t>UBINAHMBRD4633C</t>
  </si>
  <si>
    <t>316072</t>
  </si>
  <si>
    <t>29326</t>
  </si>
  <si>
    <t>UBINAHMBRD4633D</t>
  </si>
  <si>
    <t>316093</t>
  </si>
  <si>
    <t>66102</t>
  </si>
  <si>
    <t>UBINAHMBRD4633E</t>
  </si>
  <si>
    <t>316097</t>
  </si>
  <si>
    <t>48474</t>
  </si>
  <si>
    <t>UBINAHMBRD4633F</t>
  </si>
  <si>
    <t>316105</t>
  </si>
  <si>
    <t>66207</t>
  </si>
  <si>
    <t>UBINAHMBRD3496</t>
  </si>
  <si>
    <t>316108</t>
  </si>
  <si>
    <t>GIDC Halol 2, Gujarat</t>
  </si>
  <si>
    <t>249634</t>
  </si>
  <si>
    <t>UBINAHMBRD3985</t>
  </si>
  <si>
    <t>316112</t>
  </si>
  <si>
    <t>249631</t>
  </si>
  <si>
    <t>UBINTPTKNL4218</t>
  </si>
  <si>
    <t>316298</t>
  </si>
  <si>
    <t>Kurnool, Andhra Pradesh</t>
  </si>
  <si>
    <t>265027</t>
  </si>
  <si>
    <t>UBINTPTKNL7826</t>
  </si>
  <si>
    <t>316304</t>
  </si>
  <si>
    <t>Nandyal, Andhra Pradesh</t>
  </si>
  <si>
    <t>285390</t>
  </si>
  <si>
    <t>UBINTPTKNL2911</t>
  </si>
  <si>
    <t>316309</t>
  </si>
  <si>
    <t>276031</t>
  </si>
  <si>
    <t>UBINKOLARB5005A</t>
  </si>
  <si>
    <t>316368</t>
  </si>
  <si>
    <t>Argari, West Bengal</t>
  </si>
  <si>
    <t>202691</t>
  </si>
  <si>
    <t>UBINKOLARB5005B</t>
  </si>
  <si>
    <t>316372</t>
  </si>
  <si>
    <t>202702</t>
  </si>
  <si>
    <t>UBINKOLARB5005C</t>
  </si>
  <si>
    <t>316375</t>
  </si>
  <si>
    <t>202705</t>
  </si>
  <si>
    <t>UBINKOLARB4442</t>
  </si>
  <si>
    <t>316380</t>
  </si>
  <si>
    <t>285285</t>
  </si>
  <si>
    <t>UBINKOLARB5612</t>
  </si>
  <si>
    <t>316386</t>
  </si>
  <si>
    <t>96199</t>
  </si>
  <si>
    <t>UBINKOLARB8924</t>
  </si>
  <si>
    <t>316389</t>
  </si>
  <si>
    <t>Barrackpore, West Bengal</t>
  </si>
  <si>
    <t>272513</t>
  </si>
  <si>
    <t>UBINKOLARB7025</t>
  </si>
  <si>
    <t>316401</t>
  </si>
  <si>
    <t>276308</t>
  </si>
  <si>
    <t>UBINVJWARB9942</t>
  </si>
  <si>
    <t>316405</t>
  </si>
  <si>
    <t>Machilipatnam, Andhra Pradesh</t>
  </si>
  <si>
    <t>287748</t>
  </si>
  <si>
    <t>UBINKOLARB2510</t>
  </si>
  <si>
    <t>316426</t>
  </si>
  <si>
    <t>252456</t>
  </si>
  <si>
    <t>UBINAHMBRD7977</t>
  </si>
  <si>
    <t>316438</t>
  </si>
  <si>
    <t>33816</t>
  </si>
  <si>
    <t>UBINKOLKOM8340</t>
  </si>
  <si>
    <t>316459</t>
  </si>
  <si>
    <t>18696</t>
  </si>
  <si>
    <t>UBINKOLARB8495C</t>
  </si>
  <si>
    <t>316465</t>
  </si>
  <si>
    <t>191724</t>
  </si>
  <si>
    <t>UBINKOLARB8495D</t>
  </si>
  <si>
    <t>316475</t>
  </si>
  <si>
    <t>191726</t>
  </si>
  <si>
    <t>UBINKOLARB5975A</t>
  </si>
  <si>
    <t>316482</t>
  </si>
  <si>
    <t>82673</t>
  </si>
  <si>
    <t>UBINKOLARB5891</t>
  </si>
  <si>
    <t>316483</t>
  </si>
  <si>
    <t>272514</t>
  </si>
  <si>
    <t>UBINEKLTRI6756</t>
  </si>
  <si>
    <t>316496</t>
  </si>
  <si>
    <t>287762</t>
  </si>
  <si>
    <t>UBINKOLARB4781B</t>
  </si>
  <si>
    <t>316505</t>
  </si>
  <si>
    <t>208008</t>
  </si>
  <si>
    <t>UBINKOLARB94500</t>
  </si>
  <si>
    <t>316508</t>
  </si>
  <si>
    <t>111912</t>
  </si>
  <si>
    <t>UBINCHETRP2999</t>
  </si>
  <si>
    <t>316519</t>
  </si>
  <si>
    <t>59977</t>
  </si>
  <si>
    <t>UBINKOLARB7616A</t>
  </si>
  <si>
    <t>316562</t>
  </si>
  <si>
    <t>251436</t>
  </si>
  <si>
    <t>UBINKOLARB7616B</t>
  </si>
  <si>
    <t>316563</t>
  </si>
  <si>
    <t>251438</t>
  </si>
  <si>
    <t>UBINKOLARB7616C</t>
  </si>
  <si>
    <t>316566</t>
  </si>
  <si>
    <t>251439</t>
  </si>
  <si>
    <t>UBINKOLARB4787</t>
  </si>
  <si>
    <t>316572</t>
  </si>
  <si>
    <t>253261</t>
  </si>
  <si>
    <t>UBINKOLARB2244</t>
  </si>
  <si>
    <t>316575</t>
  </si>
  <si>
    <t>126095</t>
  </si>
  <si>
    <t>UBINKOLARB0449</t>
  </si>
  <si>
    <t>316577</t>
  </si>
  <si>
    <t>69455</t>
  </si>
  <si>
    <t>UBINKOLARB0366</t>
  </si>
  <si>
    <t>316592</t>
  </si>
  <si>
    <t>Bowali, West Bengal</t>
  </si>
  <si>
    <t>7652</t>
  </si>
  <si>
    <t>UBINMUMVSH1507</t>
  </si>
  <si>
    <t>316603</t>
  </si>
  <si>
    <t>279374</t>
  </si>
  <si>
    <t>UBINMUMVSH4427</t>
  </si>
  <si>
    <t>316610</t>
  </si>
  <si>
    <t>279369</t>
  </si>
  <si>
    <t>UBINMUMVSH4280</t>
  </si>
  <si>
    <t>316615</t>
  </si>
  <si>
    <t>279359</t>
  </si>
  <si>
    <t>UBINMUMVSH4769</t>
  </si>
  <si>
    <t>316620</t>
  </si>
  <si>
    <t>279357</t>
  </si>
  <si>
    <t>UBINMUMVSH4779A</t>
  </si>
  <si>
    <t>316630</t>
  </si>
  <si>
    <t>279350</t>
  </si>
  <si>
    <t>UBINMUMVSH0264A</t>
  </si>
  <si>
    <t>316641</t>
  </si>
  <si>
    <t>263928</t>
  </si>
  <si>
    <t>UBINMUMVSH9694</t>
  </si>
  <si>
    <t>316646</t>
  </si>
  <si>
    <t>263926</t>
  </si>
  <si>
    <t>UBINMUMVSH5257</t>
  </si>
  <si>
    <t>316652</t>
  </si>
  <si>
    <t>263919</t>
  </si>
  <si>
    <t>UBINMUMVSH2406</t>
  </si>
  <si>
    <t>316662</t>
  </si>
  <si>
    <t>259527</t>
  </si>
  <si>
    <t>UBINMUMVSH4674</t>
  </si>
  <si>
    <t>316667</t>
  </si>
  <si>
    <t>259525</t>
  </si>
  <si>
    <t>UBINMUMVSH5384</t>
  </si>
  <si>
    <t>316671</t>
  </si>
  <si>
    <t>254297</t>
  </si>
  <si>
    <t>UBINMUMVSH0922</t>
  </si>
  <si>
    <t>316674</t>
  </si>
  <si>
    <t>247547</t>
  </si>
  <si>
    <t>UBINMUMVSH9012</t>
  </si>
  <si>
    <t>316681</t>
  </si>
  <si>
    <t>53998</t>
  </si>
  <si>
    <t>UBINMUMVSH5057</t>
  </si>
  <si>
    <t>316688</t>
  </si>
  <si>
    <t>86495</t>
  </si>
  <si>
    <t>UBINHYDSAF2128</t>
  </si>
  <si>
    <t>316697</t>
  </si>
  <si>
    <t>284272</t>
  </si>
  <si>
    <t>UBINVSKVZN0606</t>
  </si>
  <si>
    <t>316795</t>
  </si>
  <si>
    <t>287817</t>
  </si>
  <si>
    <t>UBINMRTMRT8248</t>
  </si>
  <si>
    <t>316805</t>
  </si>
  <si>
    <t>264927</t>
  </si>
  <si>
    <t>UBINMRTMRT3914</t>
  </si>
  <si>
    <t>316813</t>
  </si>
  <si>
    <t>264928</t>
  </si>
  <si>
    <t>UBINMRTMRT1975</t>
  </si>
  <si>
    <t>316831</t>
  </si>
  <si>
    <t>276860</t>
  </si>
  <si>
    <t>UBINMRTMRT9565</t>
  </si>
  <si>
    <t>316847</t>
  </si>
  <si>
    <t>276862</t>
  </si>
  <si>
    <t>UBINMRTMRT3220</t>
  </si>
  <si>
    <t>316857</t>
  </si>
  <si>
    <t>Shikarpur, Uttar Pradesh</t>
  </si>
  <si>
    <t>279637</t>
  </si>
  <si>
    <t>UBINLUCMRT5927</t>
  </si>
  <si>
    <t>316897</t>
  </si>
  <si>
    <t>82894</t>
  </si>
  <si>
    <t>UBINMRTMRT6297</t>
  </si>
  <si>
    <t>316914</t>
  </si>
  <si>
    <t>253682</t>
  </si>
  <si>
    <t>UBINMRTMRT3217</t>
  </si>
  <si>
    <t>316922</t>
  </si>
  <si>
    <t>253680</t>
  </si>
  <si>
    <t>UBINLUCMRT0855</t>
  </si>
  <si>
    <t>316938</t>
  </si>
  <si>
    <t>Moradabad, Uttar Pradesh</t>
  </si>
  <si>
    <t>81556</t>
  </si>
  <si>
    <t>UBINLUCMRT5138</t>
  </si>
  <si>
    <t>316954</t>
  </si>
  <si>
    <t>81838</t>
  </si>
  <si>
    <t>UBINAHMAHM7749</t>
  </si>
  <si>
    <t>316960</t>
  </si>
  <si>
    <t>251417</t>
  </si>
  <si>
    <t>UBINAHMAHM2745</t>
  </si>
  <si>
    <t>316969</t>
  </si>
  <si>
    <t>122417</t>
  </si>
  <si>
    <t>UBINAHMAHM3346</t>
  </si>
  <si>
    <t>316978</t>
  </si>
  <si>
    <t>243719</t>
  </si>
  <si>
    <t>UBINKOLARB2493</t>
  </si>
  <si>
    <t>317011</t>
  </si>
  <si>
    <t>111908</t>
  </si>
  <si>
    <t>CNRB41047740001771</t>
  </si>
  <si>
    <t>314211</t>
  </si>
  <si>
    <t>279153</t>
  </si>
  <si>
    <t>UBINBHUCTA6233</t>
  </si>
  <si>
    <t>317019</t>
  </si>
  <si>
    <t>Rourkela, Odisha</t>
  </si>
  <si>
    <t>287859</t>
  </si>
  <si>
    <t>UBINBHUCTA4220</t>
  </si>
  <si>
    <t>317023</t>
  </si>
  <si>
    <t>Berhampur, Odisha</t>
  </si>
  <si>
    <t>287862</t>
  </si>
  <si>
    <t>UBINvskskl9345</t>
  </si>
  <si>
    <t>317040</t>
  </si>
  <si>
    <t>Rajam, Andhra Pradesh</t>
  </si>
  <si>
    <t>283211</t>
  </si>
  <si>
    <t>UBINVSKSKL4294</t>
  </si>
  <si>
    <t>317048</t>
  </si>
  <si>
    <t>208556</t>
  </si>
  <si>
    <t>UBINVSKSKL9735</t>
  </si>
  <si>
    <t>317052</t>
  </si>
  <si>
    <t>283219</t>
  </si>
  <si>
    <t>UBINVSKSKL3526</t>
  </si>
  <si>
    <t>317059</t>
  </si>
  <si>
    <t>277354</t>
  </si>
  <si>
    <t>UBINVSKSKL0254</t>
  </si>
  <si>
    <t>317063</t>
  </si>
  <si>
    <t>Ichchapuram, Andhra Pradesh</t>
  </si>
  <si>
    <t>219679</t>
  </si>
  <si>
    <t>UBINVJWVJW6532</t>
  </si>
  <si>
    <t>317068</t>
  </si>
  <si>
    <t>239771</t>
  </si>
  <si>
    <t>UBINVSKSKL3841</t>
  </si>
  <si>
    <t>317083</t>
  </si>
  <si>
    <t>125354</t>
  </si>
  <si>
    <t>UBINMUMVSH4280A</t>
  </si>
  <si>
    <t>317086</t>
  </si>
  <si>
    <t>287806</t>
  </si>
  <si>
    <t>UBINMUMVSH8788</t>
  </si>
  <si>
    <t>317096</t>
  </si>
  <si>
    <t>Free Trade Warehousing Zone, Maharashtra</t>
  </si>
  <si>
    <t>287804</t>
  </si>
  <si>
    <t>UBINBHOJAR1414</t>
  </si>
  <si>
    <t>317131</t>
  </si>
  <si>
    <t>Food Cluster Barodi, Madhya Pradesh</t>
  </si>
  <si>
    <t>287350</t>
  </si>
  <si>
    <t>UBINVJWVJW7752</t>
  </si>
  <si>
    <t>317162</t>
  </si>
  <si>
    <t>Nandigama, Andhra Pradesh</t>
  </si>
  <si>
    <t>287907</t>
  </si>
  <si>
    <t>UBIN0HYDNIZ2326E</t>
  </si>
  <si>
    <t>317177</t>
  </si>
  <si>
    <t>287683</t>
  </si>
  <si>
    <t>UBIN0HYDNIZ2326D</t>
  </si>
  <si>
    <t>317184</t>
  </si>
  <si>
    <t>287682</t>
  </si>
  <si>
    <t>UBINHYDNIZ2326C</t>
  </si>
  <si>
    <t>317190</t>
  </si>
  <si>
    <t>287534</t>
  </si>
  <si>
    <t>UBINHYDNIZ2326B</t>
  </si>
  <si>
    <t>317239</t>
  </si>
  <si>
    <t>287515</t>
  </si>
  <si>
    <t>UBINCOITRP6664</t>
  </si>
  <si>
    <t>317349</t>
  </si>
  <si>
    <t>Thalakudi, Tamil Nadu</t>
  </si>
  <si>
    <t>261453</t>
  </si>
  <si>
    <t>UBINVRNAZM1627</t>
  </si>
  <si>
    <t>317351</t>
  </si>
  <si>
    <t>Azamgarh, Uttar Pradesh</t>
  </si>
  <si>
    <t>236468</t>
  </si>
  <si>
    <t>UBINCHETRP1080</t>
  </si>
  <si>
    <t>317356</t>
  </si>
  <si>
    <t>Thanjavur, Tamil Nadu</t>
  </si>
  <si>
    <t>83655</t>
  </si>
  <si>
    <t>UBINVRNAZM6286</t>
  </si>
  <si>
    <t>317357</t>
  </si>
  <si>
    <t>270405</t>
  </si>
  <si>
    <t>UBINCOITRP1072</t>
  </si>
  <si>
    <t>317360</t>
  </si>
  <si>
    <t>272917</t>
  </si>
  <si>
    <t>UBINVRNAZM2266</t>
  </si>
  <si>
    <t>317363</t>
  </si>
  <si>
    <t>246208</t>
  </si>
  <si>
    <t>UBINCHETRP5335</t>
  </si>
  <si>
    <t>317365</t>
  </si>
  <si>
    <t>Perambalur, Tamil Nadu</t>
  </si>
  <si>
    <t>86620</t>
  </si>
  <si>
    <t>UBINCOITRP3924</t>
  </si>
  <si>
    <t>317373</t>
  </si>
  <si>
    <t>270648</t>
  </si>
  <si>
    <t>UBINEKLTRI9430</t>
  </si>
  <si>
    <t>317437</t>
  </si>
  <si>
    <t>287887</t>
  </si>
  <si>
    <t>UBINKOLDUR6735</t>
  </si>
  <si>
    <t>317442</t>
  </si>
  <si>
    <t>250304</t>
  </si>
  <si>
    <t>UBINKOLDUR22577</t>
  </si>
  <si>
    <t>317447</t>
  </si>
  <si>
    <t>213915</t>
  </si>
  <si>
    <t>UBINEKLTRI0212</t>
  </si>
  <si>
    <t>317475</t>
  </si>
  <si>
    <t>KOTTOOR, Kerala</t>
  </si>
  <si>
    <t>287911</t>
  </si>
  <si>
    <t>UBINKOLDUR4427</t>
  </si>
  <si>
    <t>317482</t>
  </si>
  <si>
    <t>213916</t>
  </si>
  <si>
    <t>UBINEKLTRI3114</t>
  </si>
  <si>
    <t>317486</t>
  </si>
  <si>
    <t>Karakulam, Kerala</t>
  </si>
  <si>
    <t>287895</t>
  </si>
  <si>
    <t>UBINKOLDUR6647</t>
  </si>
  <si>
    <t>317489</t>
  </si>
  <si>
    <t>212178</t>
  </si>
  <si>
    <t>UBINEKLTRI9866</t>
  </si>
  <si>
    <t>317493</t>
  </si>
  <si>
    <t>287915</t>
  </si>
  <si>
    <t>UBINDELARB8999</t>
  </si>
  <si>
    <t>317494</t>
  </si>
  <si>
    <t>Sikri Industrial Area, Haryana</t>
  </si>
  <si>
    <t>286776</t>
  </si>
  <si>
    <t>UBINCOITRP3210</t>
  </si>
  <si>
    <t>317589</t>
  </si>
  <si>
    <t>Pattukkottai, Tamil Nadu</t>
  </si>
  <si>
    <t>287099</t>
  </si>
  <si>
    <t>UBINCOITRP5296</t>
  </si>
  <si>
    <t>317597</t>
  </si>
  <si>
    <t>Koradacheri, Tamil Nadu</t>
  </si>
  <si>
    <t>287092</t>
  </si>
  <si>
    <t>UBINRANBHA8781</t>
  </si>
  <si>
    <t>317599</t>
  </si>
  <si>
    <t>276746</t>
  </si>
  <si>
    <t>UBINRANPTA1686</t>
  </si>
  <si>
    <t>317604</t>
  </si>
  <si>
    <t>223718</t>
  </si>
  <si>
    <t>UBINCOITRP8177</t>
  </si>
  <si>
    <t>317606</t>
  </si>
  <si>
    <t>Kulathur, Tamil Nadu</t>
  </si>
  <si>
    <t>287087</t>
  </si>
  <si>
    <t>UBINRANPTA1855B</t>
  </si>
  <si>
    <t>317607</t>
  </si>
  <si>
    <t>Biharsharif, Bihar</t>
  </si>
  <si>
    <t>109145</t>
  </si>
  <si>
    <t>UBINRANPTA1855D</t>
  </si>
  <si>
    <t>317612</t>
  </si>
  <si>
    <t>109155</t>
  </si>
  <si>
    <t>UBINCOITRP0916</t>
  </si>
  <si>
    <t>317630</t>
  </si>
  <si>
    <t>286858</t>
  </si>
  <si>
    <t>UBINBHORAI1713A</t>
  </si>
  <si>
    <t>317648</t>
  </si>
  <si>
    <t>255480</t>
  </si>
  <si>
    <t>UBINCOITRP9658</t>
  </si>
  <si>
    <t>317726</t>
  </si>
  <si>
    <t>287042</t>
  </si>
  <si>
    <t>UBINAHMRAB5860B</t>
  </si>
  <si>
    <t>317905</t>
  </si>
  <si>
    <t>267605</t>
  </si>
  <si>
    <t>UBINMUMMUS6191</t>
  </si>
  <si>
    <t>317938</t>
  </si>
  <si>
    <t>287286</t>
  </si>
  <si>
    <t>UBINMUMMUS3349</t>
  </si>
  <si>
    <t>317957</t>
  </si>
  <si>
    <t>287380</t>
  </si>
  <si>
    <t>UBINVSKARB9646D</t>
  </si>
  <si>
    <t>318021</t>
  </si>
  <si>
    <t>98003</t>
  </si>
  <si>
    <t>UBINMLREKA2314B</t>
  </si>
  <si>
    <t>318048</t>
  </si>
  <si>
    <t>215746</t>
  </si>
  <si>
    <t>UBINBLRARB2221</t>
  </si>
  <si>
    <t>318059</t>
  </si>
  <si>
    <t>271049</t>
  </si>
  <si>
    <t>UBINVRNPGA9261</t>
  </si>
  <si>
    <t>318106</t>
  </si>
  <si>
    <t>Ajhuwa, Uttar Pradesh</t>
  </si>
  <si>
    <t>287832</t>
  </si>
  <si>
    <t>UBINPUNPGW3309</t>
  </si>
  <si>
    <t>318141</t>
  </si>
  <si>
    <t>Aamby Valley, Maharashtra</t>
  </si>
  <si>
    <t>283498</t>
  </si>
  <si>
    <t>UBINPUNPUW5011</t>
  </si>
  <si>
    <t>318144</t>
  </si>
  <si>
    <t>283509</t>
  </si>
  <si>
    <t>UBINPUNPUW3645</t>
  </si>
  <si>
    <t>318148</t>
  </si>
  <si>
    <t>283515</t>
  </si>
  <si>
    <t>UBINPUNE0314</t>
  </si>
  <si>
    <t>318149</t>
  </si>
  <si>
    <t>285467</t>
  </si>
  <si>
    <t>UBINVJWGNT2998</t>
  </si>
  <si>
    <t>318182</t>
  </si>
  <si>
    <t>256639</t>
  </si>
  <si>
    <t>UBINBLRARB2179</t>
  </si>
  <si>
    <t>318197</t>
  </si>
  <si>
    <t>271048</t>
  </si>
  <si>
    <t>UBINBLRARB0225</t>
  </si>
  <si>
    <t>318206</t>
  </si>
  <si>
    <t>272559</t>
  </si>
  <si>
    <t>UBINBLRARB7897</t>
  </si>
  <si>
    <t>318216</t>
  </si>
  <si>
    <t>278373</t>
  </si>
  <si>
    <t>UBINBLRARB3742</t>
  </si>
  <si>
    <t>318232</t>
  </si>
  <si>
    <t>60560</t>
  </si>
  <si>
    <t>UBINCHECHS4690</t>
  </si>
  <si>
    <t>318245</t>
  </si>
  <si>
    <t>266839</t>
  </si>
  <si>
    <t>UBINCHECHS5450</t>
  </si>
  <si>
    <t>318252</t>
  </si>
  <si>
    <t>Maduranthakam, Tamil Nadu</t>
  </si>
  <si>
    <t>75003</t>
  </si>
  <si>
    <t>UBINCHECHS4604A</t>
  </si>
  <si>
    <t>318263</t>
  </si>
  <si>
    <t>221072</t>
  </si>
  <si>
    <t>UBINCHECHS4604B</t>
  </si>
  <si>
    <t>318278</t>
  </si>
  <si>
    <t>221073</t>
  </si>
  <si>
    <t>UBINCHECHS0886A</t>
  </si>
  <si>
    <t>318288</t>
  </si>
  <si>
    <t>234894</t>
  </si>
  <si>
    <t>UBINCHECHW2616</t>
  </si>
  <si>
    <t>318371</t>
  </si>
  <si>
    <t>272305</t>
  </si>
  <si>
    <t>UBINCHECHW4919</t>
  </si>
  <si>
    <t>318374</t>
  </si>
  <si>
    <t>281245</t>
  </si>
  <si>
    <t>UBINMRTMFN4722</t>
  </si>
  <si>
    <t>318391</t>
  </si>
  <si>
    <t>Khatauli, Uttar Pradesh</t>
  </si>
  <si>
    <t>274847</t>
  </si>
  <si>
    <t>UBINMRTMFN3337</t>
  </si>
  <si>
    <t>318394</t>
  </si>
  <si>
    <t>Baraut, Uttar Pradesh</t>
  </si>
  <si>
    <t>272819</t>
  </si>
  <si>
    <t>UBINBLRKLB6695</t>
  </si>
  <si>
    <t>318404</t>
  </si>
  <si>
    <t>Vijayapura, Karnataka</t>
  </si>
  <si>
    <t>99526</t>
  </si>
  <si>
    <t>UBINBLRKLB5895</t>
  </si>
  <si>
    <t>318405</t>
  </si>
  <si>
    <t>Bidar, Karnataka</t>
  </si>
  <si>
    <t>285339</t>
  </si>
  <si>
    <t>UBINBLRKLB5895A</t>
  </si>
  <si>
    <t>318406</t>
  </si>
  <si>
    <t>285350</t>
  </si>
  <si>
    <t>UBINBLRKLB5654</t>
  </si>
  <si>
    <t>318407</t>
  </si>
  <si>
    <t>288216</t>
  </si>
  <si>
    <t>UBINMRTDEH6787</t>
  </si>
  <si>
    <t>308994</t>
  </si>
  <si>
    <t>Srinagar, Uttarakhand</t>
  </si>
  <si>
    <t>24-06-2026 12:01</t>
  </si>
  <si>
    <t>24-06-2026 17:01</t>
  </si>
  <si>
    <t>286403</t>
  </si>
  <si>
    <t>CNRBVIJAYAERODE</t>
  </si>
  <si>
    <t>306158</t>
  </si>
  <si>
    <t>Nambiyur, Tamil Nadu</t>
  </si>
  <si>
    <t>243504</t>
  </si>
  <si>
    <t>CNRB83008031</t>
  </si>
  <si>
    <t>306165</t>
  </si>
  <si>
    <t>253982</t>
  </si>
  <si>
    <t>CNRB100917606</t>
  </si>
  <si>
    <t>306640</t>
  </si>
  <si>
    <t>241408</t>
  </si>
  <si>
    <t>CNRB107907966</t>
  </si>
  <si>
    <t>306649</t>
  </si>
  <si>
    <t>278641</t>
  </si>
  <si>
    <t>CNRB308069449</t>
  </si>
  <si>
    <t>306674</t>
  </si>
  <si>
    <t>Konganapuram, Tamil Nadu</t>
  </si>
  <si>
    <t>274690</t>
  </si>
  <si>
    <t>CNRB0117301662</t>
  </si>
  <si>
    <t>306683</t>
  </si>
  <si>
    <t>247880</t>
  </si>
  <si>
    <t>CNRBMATHESWARISALEM</t>
  </si>
  <si>
    <t>306698</t>
  </si>
  <si>
    <t>243815</t>
  </si>
  <si>
    <t>CNRB108087337</t>
  </si>
  <si>
    <t>306728</t>
  </si>
  <si>
    <t>241404</t>
  </si>
  <si>
    <t>CNRB122785675</t>
  </si>
  <si>
    <t>306739</t>
  </si>
  <si>
    <t>274692</t>
  </si>
  <si>
    <t>CNRB117080562</t>
  </si>
  <si>
    <t>306791</t>
  </si>
  <si>
    <t>Omalur, Tamil Nadu</t>
  </si>
  <si>
    <t>241419</t>
  </si>
  <si>
    <t>CNRB121789569</t>
  </si>
  <si>
    <t>306793</t>
  </si>
  <si>
    <t>Gangavalli, Tamil Nadu</t>
  </si>
  <si>
    <t>247378</t>
  </si>
  <si>
    <t>CNRB0122285410</t>
  </si>
  <si>
    <t>306798</t>
  </si>
  <si>
    <t>Dusi, Tamil Nadu</t>
  </si>
  <si>
    <t>252416</t>
  </si>
  <si>
    <t>CNRB122358877</t>
  </si>
  <si>
    <t>306822</t>
  </si>
  <si>
    <t>Karuppur, Tamil Nadu</t>
  </si>
  <si>
    <t>241409</t>
  </si>
  <si>
    <t>CNRB119721339</t>
  </si>
  <si>
    <t>306832</t>
  </si>
  <si>
    <t>Attur, Tamil Nadu</t>
  </si>
  <si>
    <t>241418</t>
  </si>
  <si>
    <t>CNRB118823717</t>
  </si>
  <si>
    <t>306838</t>
  </si>
  <si>
    <t>241395</t>
  </si>
  <si>
    <t>CNRBSUDHA</t>
  </si>
  <si>
    <t>306844</t>
  </si>
  <si>
    <t>273192</t>
  </si>
  <si>
    <t>CNRB115148804</t>
  </si>
  <si>
    <t>306867</t>
  </si>
  <si>
    <t>241396</t>
  </si>
  <si>
    <t>CNRB109974304</t>
  </si>
  <si>
    <t>306891</t>
  </si>
  <si>
    <t>241402</t>
  </si>
  <si>
    <t>CNRB117278338</t>
  </si>
  <si>
    <t>306898</t>
  </si>
  <si>
    <t>Kallakurichi, Tamil Nadu</t>
  </si>
  <si>
    <t>274685</t>
  </si>
  <si>
    <t>CNRB103216248</t>
  </si>
  <si>
    <t>306905</t>
  </si>
  <si>
    <t>274696</t>
  </si>
  <si>
    <t>CNRB119895508</t>
  </si>
  <si>
    <t>306913</t>
  </si>
  <si>
    <t>241399</t>
  </si>
  <si>
    <t>CNRB122655817</t>
  </si>
  <si>
    <t>306921</t>
  </si>
  <si>
    <t>274681</t>
  </si>
  <si>
    <t>CNRB241698797</t>
  </si>
  <si>
    <t>306933</t>
  </si>
  <si>
    <t>274678</t>
  </si>
  <si>
    <t>CNRBSAKTHIVELSALEM</t>
  </si>
  <si>
    <t>306943</t>
  </si>
  <si>
    <t>244955</t>
  </si>
  <si>
    <t>CNRB120641181</t>
  </si>
  <si>
    <t>306955</t>
  </si>
  <si>
    <t>274687</t>
  </si>
  <si>
    <t>CNRBMKRSHOUSE</t>
  </si>
  <si>
    <t>306960</t>
  </si>
  <si>
    <t>PN Patti, Tamil Nadu</t>
  </si>
  <si>
    <t>278891</t>
  </si>
  <si>
    <t>CNRBKAVITHANKL</t>
  </si>
  <si>
    <t>307097</t>
  </si>
  <si>
    <t>Chithode, Tamil Nadu</t>
  </si>
  <si>
    <t>273190</t>
  </si>
  <si>
    <t>CNRBRENUGAKARUR</t>
  </si>
  <si>
    <t>307098</t>
  </si>
  <si>
    <t>251739</t>
  </si>
  <si>
    <t>CNRBKCSTEXNKL</t>
  </si>
  <si>
    <t>307102</t>
  </si>
  <si>
    <t>276976</t>
  </si>
  <si>
    <t>CNRBPORKODINKL</t>
  </si>
  <si>
    <t>307104</t>
  </si>
  <si>
    <t>267129</t>
  </si>
  <si>
    <t>CNRB111593802</t>
  </si>
  <si>
    <t>307105</t>
  </si>
  <si>
    <t>Edappadi, Tamil Nadu</t>
  </si>
  <si>
    <t>241406</t>
  </si>
  <si>
    <t>CNRBRKMETALNKL</t>
  </si>
  <si>
    <t>307107</t>
  </si>
  <si>
    <t>263794</t>
  </si>
  <si>
    <t>CNRB120304300</t>
  </si>
  <si>
    <t>307109</t>
  </si>
  <si>
    <t>274695</t>
  </si>
  <si>
    <t>CNRBARSHIKANKL</t>
  </si>
  <si>
    <t>307118</t>
  </si>
  <si>
    <t>269807</t>
  </si>
  <si>
    <t>CNRBDHARSINITRADERS</t>
  </si>
  <si>
    <t>307123</t>
  </si>
  <si>
    <t>280838</t>
  </si>
  <si>
    <t>CNRBRAJARAMNKL</t>
  </si>
  <si>
    <t>307126</t>
  </si>
  <si>
    <t>Labbaikudikadu, Tamil Nadu</t>
  </si>
  <si>
    <t>243907</t>
  </si>
  <si>
    <t>CNRB112209581</t>
  </si>
  <si>
    <t>307131</t>
  </si>
  <si>
    <t>Keeripatti, Tamil Nadu</t>
  </si>
  <si>
    <t>274689</t>
  </si>
  <si>
    <t>CNRB122181835</t>
  </si>
  <si>
    <t>307137</t>
  </si>
  <si>
    <t>Mettur, Tamil Nadu</t>
  </si>
  <si>
    <t>241410</t>
  </si>
  <si>
    <t>CNRB115324672</t>
  </si>
  <si>
    <t>307140</t>
  </si>
  <si>
    <t>241429</t>
  </si>
  <si>
    <t>CNRB120523356</t>
  </si>
  <si>
    <t>307145</t>
  </si>
  <si>
    <t>Dasanaickenpatti, Tamil Nadu</t>
  </si>
  <si>
    <t>275750</t>
  </si>
  <si>
    <t>CNRBVIJAYANKL</t>
  </si>
  <si>
    <t>307158</t>
  </si>
  <si>
    <t>Tiruchengode, Tamil Nadu</t>
  </si>
  <si>
    <t>269816</t>
  </si>
  <si>
    <t>CNRB76144956</t>
  </si>
  <si>
    <t>307217</t>
  </si>
  <si>
    <t>274683</t>
  </si>
  <si>
    <t>CNRB110328335</t>
  </si>
  <si>
    <t>307234</t>
  </si>
  <si>
    <t>246937</t>
  </si>
  <si>
    <t>CNRB123582220</t>
  </si>
  <si>
    <t>307251</t>
  </si>
  <si>
    <t>241407</t>
  </si>
  <si>
    <t>CNRB112570971</t>
  </si>
  <si>
    <t>307258</t>
  </si>
  <si>
    <t>274682</t>
  </si>
  <si>
    <t>CNRBPOOSAIRAJA</t>
  </si>
  <si>
    <t>307467</t>
  </si>
  <si>
    <t>Elathur, Tamil Nadu</t>
  </si>
  <si>
    <t>282983</t>
  </si>
  <si>
    <t>CNRB116743392</t>
  </si>
  <si>
    <t>307472</t>
  </si>
  <si>
    <t>275728</t>
  </si>
  <si>
    <t>CNRB112778867</t>
  </si>
  <si>
    <t>308216</t>
  </si>
  <si>
    <t>274763</t>
  </si>
  <si>
    <t>CNRBGANESANTRICHY</t>
  </si>
  <si>
    <t>308235</t>
  </si>
  <si>
    <t>Andanallur, Tamil Nadu</t>
  </si>
  <si>
    <t>243866</t>
  </si>
  <si>
    <t>CNRB78975940</t>
  </si>
  <si>
    <t>308247</t>
  </si>
  <si>
    <t>Karambakkudi, Tamil Nadu</t>
  </si>
  <si>
    <t>243421</t>
  </si>
  <si>
    <t>CNRBRAJASEKAR</t>
  </si>
  <si>
    <t>308260</t>
  </si>
  <si>
    <t>240682</t>
  </si>
  <si>
    <t>CNRB091413452</t>
  </si>
  <si>
    <t>308276</t>
  </si>
  <si>
    <t>269528</t>
  </si>
  <si>
    <t>CNRB112795594</t>
  </si>
  <si>
    <t>308283</t>
  </si>
  <si>
    <t>Navalpattu, Tamil Nadu</t>
  </si>
  <si>
    <t>269536</t>
  </si>
  <si>
    <t>CNRB313602442</t>
  </si>
  <si>
    <t>308292</t>
  </si>
  <si>
    <t>274762</t>
  </si>
  <si>
    <t>CNRB115</t>
  </si>
  <si>
    <t>308300</t>
  </si>
  <si>
    <t>185705</t>
  </si>
  <si>
    <t>CNRBAVVAIPROP1</t>
  </si>
  <si>
    <t>309220</t>
  </si>
  <si>
    <t>Marakkanam, Tamil Nadu</t>
  </si>
  <si>
    <t>243871</t>
  </si>
  <si>
    <t>CNRB204102912</t>
  </si>
  <si>
    <t>307553</t>
  </si>
  <si>
    <t>24-06-2026 14:30</t>
  </si>
  <si>
    <t>200693</t>
  </si>
  <si>
    <t>CNRB113371705</t>
  </si>
  <si>
    <t>307592</t>
  </si>
  <si>
    <t>Sinnar, Maharashtra</t>
  </si>
  <si>
    <t>229822</t>
  </si>
  <si>
    <t>CNRB254927449</t>
  </si>
  <si>
    <t>307819</t>
  </si>
  <si>
    <t>206399</t>
  </si>
  <si>
    <t>CNRB520031696388</t>
  </si>
  <si>
    <t>307836</t>
  </si>
  <si>
    <t>262303</t>
  </si>
  <si>
    <t>CNRB4865661000001</t>
  </si>
  <si>
    <t>307884</t>
  </si>
  <si>
    <t>249956</t>
  </si>
  <si>
    <t>CNRB85238222</t>
  </si>
  <si>
    <t>307909</t>
  </si>
  <si>
    <t>Shirdi, Maharashtra</t>
  </si>
  <si>
    <t>228361</t>
  </si>
  <si>
    <t>CNRB112213996</t>
  </si>
  <si>
    <t>307930</t>
  </si>
  <si>
    <t>204934</t>
  </si>
  <si>
    <t>CNRB122143836001</t>
  </si>
  <si>
    <t>308473</t>
  </si>
  <si>
    <t>243075</t>
  </si>
  <si>
    <t>CNRB110614622</t>
  </si>
  <si>
    <t>309297</t>
  </si>
  <si>
    <t>Sira, Karnataka</t>
  </si>
  <si>
    <t>226770</t>
  </si>
  <si>
    <t>CNRB234898339</t>
  </si>
  <si>
    <t>309311</t>
  </si>
  <si>
    <t>Madhugiri, Karnataka</t>
  </si>
  <si>
    <t>203612</t>
  </si>
  <si>
    <t>CNRB60987800</t>
  </si>
  <si>
    <t>309405</t>
  </si>
  <si>
    <t>Huliyar, Karnataka</t>
  </si>
  <si>
    <t>273950</t>
  </si>
  <si>
    <t>CNRB61547497</t>
  </si>
  <si>
    <t>309421</t>
  </si>
  <si>
    <t>Tumakuru, Karnataka</t>
  </si>
  <si>
    <t>224783</t>
  </si>
  <si>
    <t>CNRB79181219</t>
  </si>
  <si>
    <t>302205</t>
  </si>
  <si>
    <t>283663</t>
  </si>
  <si>
    <t>CNRB117998523</t>
  </si>
  <si>
    <t>302280</t>
  </si>
  <si>
    <t>285116</t>
  </si>
  <si>
    <t>CNRB117998523A</t>
  </si>
  <si>
    <t>302284</t>
  </si>
  <si>
    <t>285122</t>
  </si>
  <si>
    <t>CNRB124933725001</t>
  </si>
  <si>
    <t>302642</t>
  </si>
  <si>
    <t>Adani Ports and Special Economic Zone, Gujarat</t>
  </si>
  <si>
    <t>285193</t>
  </si>
  <si>
    <t>CNRB311315323001</t>
  </si>
  <si>
    <t>302643</t>
  </si>
  <si>
    <t>285196</t>
  </si>
  <si>
    <t>CNRB261698506</t>
  </si>
  <si>
    <t>307740</t>
  </si>
  <si>
    <t>260835</t>
  </si>
  <si>
    <t>CNRB125575993C</t>
  </si>
  <si>
    <t>308457</t>
  </si>
  <si>
    <t>203183</t>
  </si>
  <si>
    <t>CNRB125575993A</t>
  </si>
  <si>
    <t>308700</t>
  </si>
  <si>
    <t>203168</t>
  </si>
  <si>
    <t>CNRB125575993B</t>
  </si>
  <si>
    <t>308788</t>
  </si>
  <si>
    <t>203171</t>
  </si>
  <si>
    <t>CNRB247076554</t>
  </si>
  <si>
    <t>309575</t>
  </si>
  <si>
    <t>247877</t>
  </si>
  <si>
    <t>CNRB212779593</t>
  </si>
  <si>
    <t>309631</t>
  </si>
  <si>
    <t>232185</t>
  </si>
  <si>
    <t>CNRB212779593B</t>
  </si>
  <si>
    <t>309638</t>
  </si>
  <si>
    <t>232195</t>
  </si>
  <si>
    <t>CNRB123235637B</t>
  </si>
  <si>
    <t>315036</t>
  </si>
  <si>
    <t>284117</t>
  </si>
  <si>
    <t>MAHBDIXITKOLKI</t>
  </si>
  <si>
    <t>307550</t>
  </si>
  <si>
    <t>276152</t>
  </si>
  <si>
    <t>MAHBJADHAVSHIRWAL</t>
  </si>
  <si>
    <t>307999</t>
  </si>
  <si>
    <t>Khandala MIDC, Maharashtra</t>
  </si>
  <si>
    <t>276158</t>
  </si>
  <si>
    <t>MAHBVAISHNAVIBHUINJ</t>
  </si>
  <si>
    <t>308013</t>
  </si>
  <si>
    <t>275294</t>
  </si>
  <si>
    <t>MAHBTAWARENAGTHANE</t>
  </si>
  <si>
    <t>308032</t>
  </si>
  <si>
    <t>275309</t>
  </si>
  <si>
    <t>MAHBBHANDARIPUSEGAON</t>
  </si>
  <si>
    <t>308041</t>
  </si>
  <si>
    <t>275596</t>
  </si>
  <si>
    <t>MAHBAVAGHADEKARVENAKA</t>
  </si>
  <si>
    <t>308054</t>
  </si>
  <si>
    <t>275803</t>
  </si>
  <si>
    <t>MAHBADAKEKARVENAKA</t>
  </si>
  <si>
    <t>308058</t>
  </si>
  <si>
    <t>275846</t>
  </si>
  <si>
    <t>MAHBCHOUDHARIKHANDALA</t>
  </si>
  <si>
    <t>308134</t>
  </si>
  <si>
    <t>Khandala Satara, Maharashtra</t>
  </si>
  <si>
    <t>275879</t>
  </si>
  <si>
    <t>MAHBNALAWADEGONDAWALEBK</t>
  </si>
  <si>
    <t>308141</t>
  </si>
  <si>
    <t>Vaduj, Maharashtra</t>
  </si>
  <si>
    <t>275897</t>
  </si>
  <si>
    <t>MAHBMANOJKUMARPHALTAN</t>
  </si>
  <si>
    <t>308150</t>
  </si>
  <si>
    <t>Kolki, Maharashtra</t>
  </si>
  <si>
    <t>275907</t>
  </si>
  <si>
    <t>MAHBKERKARTARALE</t>
  </si>
  <si>
    <t>308181</t>
  </si>
  <si>
    <t>275930</t>
  </si>
  <si>
    <t>MAHBPATILKARAD</t>
  </si>
  <si>
    <t>308186</t>
  </si>
  <si>
    <t>275931</t>
  </si>
  <si>
    <t>MAHB1675001</t>
  </si>
  <si>
    <t>308205</t>
  </si>
  <si>
    <t>276193</t>
  </si>
  <si>
    <t>MAHB0256001</t>
  </si>
  <si>
    <t>308213</t>
  </si>
  <si>
    <t>276215</t>
  </si>
  <si>
    <t>MAHB1942001</t>
  </si>
  <si>
    <t>308225</t>
  </si>
  <si>
    <t>276314</t>
  </si>
  <si>
    <t>MAHB1942002</t>
  </si>
  <si>
    <t>308244</t>
  </si>
  <si>
    <t>276326</t>
  </si>
  <si>
    <t>MAHB1942003</t>
  </si>
  <si>
    <t>308250</t>
  </si>
  <si>
    <t>276348</t>
  </si>
  <si>
    <t>UCBA18100510000458MKB</t>
  </si>
  <si>
    <t>310141</t>
  </si>
  <si>
    <t>UCO Bank</t>
  </si>
  <si>
    <t>276504</t>
  </si>
  <si>
    <t>SBIN0012953044</t>
  </si>
  <si>
    <t>295520</t>
  </si>
  <si>
    <t>284070</t>
  </si>
  <si>
    <t>BARB24062026</t>
  </si>
  <si>
    <t>318082</t>
  </si>
  <si>
    <t>Lalsot, Rajasthan</t>
  </si>
  <si>
    <t>286303</t>
  </si>
  <si>
    <t>BARB25850458</t>
  </si>
  <si>
    <t>301585</t>
  </si>
  <si>
    <t>213482</t>
  </si>
  <si>
    <t>BARB25850457</t>
  </si>
  <si>
    <t>301591</t>
  </si>
  <si>
    <t>213481</t>
  </si>
  <si>
    <t>BARBTIRUVA0002</t>
  </si>
  <si>
    <t>302783</t>
  </si>
  <si>
    <t>Kancheepuram, Tamil Nadu</t>
  </si>
  <si>
    <t>223182</t>
  </si>
  <si>
    <t>BARBVJABHIDHAN01</t>
  </si>
  <si>
    <t>314432</t>
  </si>
  <si>
    <t>287236</t>
  </si>
  <si>
    <t>BARB55242025SUYASH</t>
  </si>
  <si>
    <t>314656</t>
  </si>
  <si>
    <t>265841</t>
  </si>
  <si>
    <t>BARB600720250003</t>
  </si>
  <si>
    <t>316450</t>
  </si>
  <si>
    <t>222895</t>
  </si>
  <si>
    <t>BARB600720200067</t>
  </si>
  <si>
    <t>316457</t>
  </si>
  <si>
    <t>Bahadurpur, Uttar Pradesh</t>
  </si>
  <si>
    <t>3127</t>
  </si>
  <si>
    <t>BARB600720250014</t>
  </si>
  <si>
    <t>316467</t>
  </si>
  <si>
    <t>256713</t>
  </si>
  <si>
    <t>BARB28622024001</t>
  </si>
  <si>
    <t>316479</t>
  </si>
  <si>
    <t>Chakia, Uttar Pradesh</t>
  </si>
  <si>
    <t>257525</t>
  </si>
  <si>
    <t>BARBSURABHI</t>
  </si>
  <si>
    <t>316601</t>
  </si>
  <si>
    <t>260106</t>
  </si>
  <si>
    <t>CNRB321521275</t>
  </si>
  <si>
    <t>305777</t>
  </si>
  <si>
    <t>244719</t>
  </si>
  <si>
    <t>CNRB241979767</t>
  </si>
  <si>
    <t>305787</t>
  </si>
  <si>
    <t>204242</t>
  </si>
  <si>
    <t>CNRB117346990</t>
  </si>
  <si>
    <t>305827</t>
  </si>
  <si>
    <t>281343</t>
  </si>
  <si>
    <t>CNRB101657872</t>
  </si>
  <si>
    <t>299718</t>
  </si>
  <si>
    <t>25-06-2026 10:00</t>
  </si>
  <si>
    <t>275499</t>
  </si>
  <si>
    <t>CNRB321454180</t>
  </si>
  <si>
    <t>300848</t>
  </si>
  <si>
    <t>284850</t>
  </si>
  <si>
    <t>CNRB56450063</t>
  </si>
  <si>
    <t>308513</t>
  </si>
  <si>
    <t>Atholi, Kerala</t>
  </si>
  <si>
    <t>275496</t>
  </si>
  <si>
    <t>CNRB102263791G</t>
  </si>
  <si>
    <t>308526</t>
  </si>
  <si>
    <t>259923</t>
  </si>
  <si>
    <t>BKID4441003</t>
  </si>
  <si>
    <t>317102</t>
  </si>
  <si>
    <t>Motihari, Bihar</t>
  </si>
  <si>
    <t>25-06-2026 12:00</t>
  </si>
  <si>
    <t>287879</t>
  </si>
  <si>
    <t>CNRB320658949</t>
  </si>
  <si>
    <t>307739</t>
  </si>
  <si>
    <t>25-06-2026 13:00</t>
  </si>
  <si>
    <t>272856</t>
  </si>
  <si>
    <t>CNRB306711948</t>
  </si>
  <si>
    <t>307741</t>
  </si>
  <si>
    <t>249599</t>
  </si>
  <si>
    <t>CNRB258506644</t>
  </si>
  <si>
    <t>307762</t>
  </si>
  <si>
    <t>Joya, Uttar Pradesh</t>
  </si>
  <si>
    <t>264855</t>
  </si>
  <si>
    <t>CNRB255765840</t>
  </si>
  <si>
    <t>307772</t>
  </si>
  <si>
    <t>215928</t>
  </si>
  <si>
    <t>CNRB117147952</t>
  </si>
  <si>
    <t>307779</t>
  </si>
  <si>
    <t>240496</t>
  </si>
  <si>
    <t>CNRB104400786</t>
  </si>
  <si>
    <t>307793</t>
  </si>
  <si>
    <t>197849</t>
  </si>
  <si>
    <t>CNRB0018582258187803</t>
  </si>
  <si>
    <t>307810</t>
  </si>
  <si>
    <t>Hasanpur, Uttar Pradesh</t>
  </si>
  <si>
    <t>240406</t>
  </si>
  <si>
    <t>CNRB260171500</t>
  </si>
  <si>
    <t>307874</t>
  </si>
  <si>
    <t>265446</t>
  </si>
  <si>
    <t>CNRB323065576001</t>
  </si>
  <si>
    <t>307896</t>
  </si>
  <si>
    <t>270612</t>
  </si>
  <si>
    <t>CNRB311420048</t>
  </si>
  <si>
    <t>307908</t>
  </si>
  <si>
    <t>264875</t>
  </si>
  <si>
    <t>CNRB0SHASHANK0ENP</t>
  </si>
  <si>
    <t>307937</t>
  </si>
  <si>
    <t>Sultanpur, Uttar Pradesh</t>
  </si>
  <si>
    <t>240405</t>
  </si>
  <si>
    <t>CNRB3087701424</t>
  </si>
  <si>
    <t>307949</t>
  </si>
  <si>
    <t>265030</t>
  </si>
  <si>
    <t>CNRB3087701422</t>
  </si>
  <si>
    <t>307972</t>
  </si>
  <si>
    <t>265024</t>
  </si>
  <si>
    <t>CNRB3087701423</t>
  </si>
  <si>
    <t>307986</t>
  </si>
  <si>
    <t>265026</t>
  </si>
  <si>
    <t>CNRB117151950</t>
  </si>
  <si>
    <t>308043</t>
  </si>
  <si>
    <t>246363</t>
  </si>
  <si>
    <t>CNRB308387801</t>
  </si>
  <si>
    <t>308077</t>
  </si>
  <si>
    <t>282689</t>
  </si>
  <si>
    <t>CNRB112920568</t>
  </si>
  <si>
    <t>308082</t>
  </si>
  <si>
    <t>274930</t>
  </si>
  <si>
    <t>CNRBSAIWAREHOUSE</t>
  </si>
  <si>
    <t>308880</t>
  </si>
  <si>
    <t>Vaishali, Bihar</t>
  </si>
  <si>
    <t>25-06-2026 16:00</t>
  </si>
  <si>
    <t>274810</t>
  </si>
  <si>
    <t>CNRBJAMALASRAF</t>
  </si>
  <si>
    <t>309015</t>
  </si>
  <si>
    <t>Aurangabad, Bihar</t>
  </si>
  <si>
    <t>201159</t>
  </si>
  <si>
    <t>CNRBHARERAMSINGH</t>
  </si>
  <si>
    <t>309041</t>
  </si>
  <si>
    <t>Barauni, Bihar</t>
  </si>
  <si>
    <t>254385</t>
  </si>
  <si>
    <t>CNRBASHLOKENTERPRISES</t>
  </si>
  <si>
    <t>309061</t>
  </si>
  <si>
    <t>Buxar, Bihar</t>
  </si>
  <si>
    <t>269418</t>
  </si>
  <si>
    <t>CNRBASHOKKUMARANJALI</t>
  </si>
  <si>
    <t>309085</t>
  </si>
  <si>
    <t>244935</t>
  </si>
  <si>
    <t>CNRBKUNJMEGAMART</t>
  </si>
  <si>
    <t>310045</t>
  </si>
  <si>
    <t>Chapra, Bihar</t>
  </si>
  <si>
    <t>261490</t>
  </si>
  <si>
    <t>CBIN1993MYLANANDHA01</t>
  </si>
  <si>
    <t>313908</t>
  </si>
  <si>
    <t>260825</t>
  </si>
  <si>
    <t>IDIB6004239372</t>
  </si>
  <si>
    <t>314666</t>
  </si>
  <si>
    <t>96543</t>
  </si>
  <si>
    <t>IDIB6014505979</t>
  </si>
  <si>
    <t>314677</t>
  </si>
  <si>
    <t>60980</t>
  </si>
  <si>
    <t>IDIB7269020442</t>
  </si>
  <si>
    <t>314732</t>
  </si>
  <si>
    <t>Tiruvallur, Tamil Nadu</t>
  </si>
  <si>
    <t>115504</t>
  </si>
  <si>
    <t>IDIB7254415132</t>
  </si>
  <si>
    <t>314750</t>
  </si>
  <si>
    <t>281104</t>
  </si>
  <si>
    <t>IDIB7643287301</t>
  </si>
  <si>
    <t>314773</t>
  </si>
  <si>
    <t>260621</t>
  </si>
  <si>
    <t>IDIB7576357841</t>
  </si>
  <si>
    <t>314791</t>
  </si>
  <si>
    <t>198551</t>
  </si>
  <si>
    <t>IDIB6160384910</t>
  </si>
  <si>
    <t>314822</t>
  </si>
  <si>
    <t>12953</t>
  </si>
  <si>
    <t>IDIB6122248792</t>
  </si>
  <si>
    <t>314839</t>
  </si>
  <si>
    <t>220458</t>
  </si>
  <si>
    <t>BKID6811</t>
  </si>
  <si>
    <t>300430</t>
  </si>
  <si>
    <t>Haludpukhur, Jharkhand</t>
  </si>
  <si>
    <t>271955</t>
  </si>
  <si>
    <t>BKIDOMPRAKASHA</t>
  </si>
  <si>
    <t>300438</t>
  </si>
  <si>
    <t>Jamshedpur, Jharkhand</t>
  </si>
  <si>
    <t>262682</t>
  </si>
  <si>
    <t>BKIDOMENT</t>
  </si>
  <si>
    <t>302322</t>
  </si>
  <si>
    <t>257094</t>
  </si>
  <si>
    <t>BKID446675110000336</t>
  </si>
  <si>
    <t>304192</t>
  </si>
  <si>
    <t>285306</t>
  </si>
  <si>
    <t>BKID8777BRTP08</t>
  </si>
  <si>
    <t>311832</t>
  </si>
  <si>
    <t>192245</t>
  </si>
  <si>
    <t>BKIDAPARNAGHOSH</t>
  </si>
  <si>
    <t>312994</t>
  </si>
  <si>
    <t>280718</t>
  </si>
  <si>
    <t>SBIN6231761534720226</t>
  </si>
  <si>
    <t>313067</t>
  </si>
  <si>
    <t>Aland, Karnataka</t>
  </si>
  <si>
    <t>286849</t>
  </si>
  <si>
    <t>CNRB758739</t>
  </si>
  <si>
    <t>313097</t>
  </si>
  <si>
    <t>238069</t>
  </si>
  <si>
    <t>CNRB758732</t>
  </si>
  <si>
    <t>313139</t>
  </si>
  <si>
    <t>219066</t>
  </si>
  <si>
    <t>CNRB253314955</t>
  </si>
  <si>
    <t>313150</t>
  </si>
  <si>
    <t>244278</t>
  </si>
  <si>
    <t>CNRB758735</t>
  </si>
  <si>
    <t>313160</t>
  </si>
  <si>
    <t>228972</t>
  </si>
  <si>
    <t>CNRB758709</t>
  </si>
  <si>
    <t>313166</t>
  </si>
  <si>
    <t>187921</t>
  </si>
  <si>
    <t>CNRB758712</t>
  </si>
  <si>
    <t>313175</t>
  </si>
  <si>
    <t>187984</t>
  </si>
  <si>
    <t>CNRB758710</t>
  </si>
  <si>
    <t>313179</t>
  </si>
  <si>
    <t>187950</t>
  </si>
  <si>
    <t>CNRB758701</t>
  </si>
  <si>
    <t>313184</t>
  </si>
  <si>
    <t>171087</t>
  </si>
  <si>
    <t>CNRB758711</t>
  </si>
  <si>
    <t>313189</t>
  </si>
  <si>
    <t>187966</t>
  </si>
  <si>
    <t>BKIDHAIDER</t>
  </si>
  <si>
    <t>314024</t>
  </si>
  <si>
    <t>287267</t>
  </si>
  <si>
    <t>BKIDGH000005</t>
  </si>
  <si>
    <t>314309</t>
  </si>
  <si>
    <t>Hafiz Ganj, Uttar Pradesh</t>
  </si>
  <si>
    <t>287300</t>
  </si>
  <si>
    <t>BKIDGH000004</t>
  </si>
  <si>
    <t>314376</t>
  </si>
  <si>
    <t>Bisalpur, Uttar Pradesh</t>
  </si>
  <si>
    <t>287290</t>
  </si>
  <si>
    <t>BKIDGH000002</t>
  </si>
  <si>
    <t>314389</t>
  </si>
  <si>
    <t>287262</t>
  </si>
  <si>
    <t>BKIDGH000001</t>
  </si>
  <si>
    <t>315099</t>
  </si>
  <si>
    <t>286789</t>
  </si>
  <si>
    <t>BKIDGH000003</t>
  </si>
  <si>
    <t>315753</t>
  </si>
  <si>
    <t>Aurangabad Gadana, Uttar Pradesh</t>
  </si>
  <si>
    <t>287276</t>
  </si>
  <si>
    <t>IOBA201610138</t>
  </si>
  <si>
    <t>316070</t>
  </si>
  <si>
    <t>272654</t>
  </si>
  <si>
    <t>IOBA201610130</t>
  </si>
  <si>
    <t>316073</t>
  </si>
  <si>
    <t>253077</t>
  </si>
  <si>
    <t>IOBA201610135</t>
  </si>
  <si>
    <t>316074</t>
  </si>
  <si>
    <t>RANIGANJ, Bihar</t>
  </si>
  <si>
    <t>265087</t>
  </si>
  <si>
    <t>IOBA201610141</t>
  </si>
  <si>
    <t>316079</t>
  </si>
  <si>
    <t>Arrah, Bihar</t>
  </si>
  <si>
    <t>284015</t>
  </si>
  <si>
    <t>BKID512075110000003</t>
  </si>
  <si>
    <t>316129</t>
  </si>
  <si>
    <t>221349</t>
  </si>
  <si>
    <t>BKIDZOGUW014</t>
  </si>
  <si>
    <t>317030</t>
  </si>
  <si>
    <t>96128</t>
  </si>
  <si>
    <t>BKIDBUDDHADEBGHOSHAL</t>
  </si>
  <si>
    <t>317082</t>
  </si>
  <si>
    <t>Sainthia, West Bengal</t>
  </si>
  <si>
    <t>287882</t>
  </si>
  <si>
    <t>BKIDSUNILPAULJMR</t>
  </si>
  <si>
    <t>317087</t>
  </si>
  <si>
    <t>287663</t>
  </si>
  <si>
    <t>BKIDTAPASMUKHERJEEJMR</t>
  </si>
  <si>
    <t>317090</t>
  </si>
  <si>
    <t>287650</t>
  </si>
  <si>
    <t>BKIDMADHUSUDANDASDHT</t>
  </si>
  <si>
    <t>317097</t>
  </si>
  <si>
    <t>Kalna, West Bengal</t>
  </si>
  <si>
    <t>287623</t>
  </si>
  <si>
    <t>CNRB123205974</t>
  </si>
  <si>
    <t>317170</t>
  </si>
  <si>
    <t>250486</t>
  </si>
  <si>
    <t>CNRB211913492</t>
  </si>
  <si>
    <t>317747</t>
  </si>
  <si>
    <t>204321</t>
  </si>
  <si>
    <t>CNRB126623564</t>
  </si>
  <si>
    <t>317782</t>
  </si>
  <si>
    <t>Miyani GIDC, Gujarat</t>
  </si>
  <si>
    <t>250506</t>
  </si>
  <si>
    <t>CNRB123528927</t>
  </si>
  <si>
    <t>317795</t>
  </si>
  <si>
    <t>Mahendranagar, Gujarat</t>
  </si>
  <si>
    <t>261679</t>
  </si>
  <si>
    <t>BKID5798SHAM</t>
  </si>
  <si>
    <t>318217</t>
  </si>
  <si>
    <t>Sherghati, Bihar</t>
  </si>
  <si>
    <t>288166</t>
  </si>
  <si>
    <t>CBIN1894625bhadiyadra1</t>
  </si>
  <si>
    <t>315015</t>
  </si>
  <si>
    <t>25-06-2026 18:00</t>
  </si>
  <si>
    <t>284228</t>
  </si>
  <si>
    <t>IBKL21101</t>
  </si>
  <si>
    <t>301474</t>
  </si>
  <si>
    <t>25-06-2026 10:30</t>
  </si>
  <si>
    <t>25-06-2026 11:30</t>
  </si>
  <si>
    <t>284938</t>
  </si>
  <si>
    <t>CNRBINDUSEKHAR</t>
  </si>
  <si>
    <t>307790</t>
  </si>
  <si>
    <t>248596</t>
  </si>
  <si>
    <t>CNRBMANU</t>
  </si>
  <si>
    <t>307838</t>
  </si>
  <si>
    <t>248586</t>
  </si>
  <si>
    <t>CNRBRAJAPAMIDI</t>
  </si>
  <si>
    <t>308075</t>
  </si>
  <si>
    <t>248598</t>
  </si>
  <si>
    <t>CNRB1236002</t>
  </si>
  <si>
    <t>308189</t>
  </si>
  <si>
    <t>Gobichettipalayam, Tamil Nadu</t>
  </si>
  <si>
    <t>269898</t>
  </si>
  <si>
    <t>CNRBPRATHISTA</t>
  </si>
  <si>
    <t>308901</t>
  </si>
  <si>
    <t>284940</t>
  </si>
  <si>
    <t>CNRB11668</t>
  </si>
  <si>
    <t>309088</t>
  </si>
  <si>
    <t>204123</t>
  </si>
  <si>
    <t>CNRBVIJAYAKUMARRAVI</t>
  </si>
  <si>
    <t>309734</t>
  </si>
  <si>
    <t>272627</t>
  </si>
  <si>
    <t>CNRBSANT</t>
  </si>
  <si>
    <t>309804</t>
  </si>
  <si>
    <t>247617</t>
  </si>
  <si>
    <t>CNRBSUSHMITHAKASHI</t>
  </si>
  <si>
    <t>309812</t>
  </si>
  <si>
    <t>275249</t>
  </si>
  <si>
    <t>IBKL11413</t>
  </si>
  <si>
    <t>310143</t>
  </si>
  <si>
    <t>Kangayampalayam, Tamil Nadu</t>
  </si>
  <si>
    <t>246067</t>
  </si>
  <si>
    <t>CNRBARIFULLA</t>
  </si>
  <si>
    <t>310331</t>
  </si>
  <si>
    <t>249132</t>
  </si>
  <si>
    <t>CNRBGUNTEY01</t>
  </si>
  <si>
    <t>310777</t>
  </si>
  <si>
    <t>275978</t>
  </si>
  <si>
    <t>CNRBGUNTEY02</t>
  </si>
  <si>
    <t>310778</t>
  </si>
  <si>
    <t>275980</t>
  </si>
  <si>
    <t>CNRBSPTRADERS1</t>
  </si>
  <si>
    <t>310779</t>
  </si>
  <si>
    <t>Vilapakkam, Tamil Nadu</t>
  </si>
  <si>
    <t>265674</t>
  </si>
  <si>
    <t>CNRBSPTRADERS2</t>
  </si>
  <si>
    <t>310780</t>
  </si>
  <si>
    <t>265682</t>
  </si>
  <si>
    <t>CNRB250600603</t>
  </si>
  <si>
    <t>310781</t>
  </si>
  <si>
    <t>244233</t>
  </si>
  <si>
    <t>CNRB0416SELV</t>
  </si>
  <si>
    <t>310782</t>
  </si>
  <si>
    <t>275136</t>
  </si>
  <si>
    <t>CNRB311619988</t>
  </si>
  <si>
    <t>310783</t>
  </si>
  <si>
    <t>248342</t>
  </si>
  <si>
    <t>CNRB305334486</t>
  </si>
  <si>
    <t>310784</t>
  </si>
  <si>
    <t>Oragadam, Tamil Nadu</t>
  </si>
  <si>
    <t>244327</t>
  </si>
  <si>
    <t>CNRB308534923</t>
  </si>
  <si>
    <t>310785</t>
  </si>
  <si>
    <t>244328</t>
  </si>
  <si>
    <t>CNRB308534923001</t>
  </si>
  <si>
    <t>310786</t>
  </si>
  <si>
    <t>244338</t>
  </si>
  <si>
    <t>CNRB27052025</t>
  </si>
  <si>
    <t>310787</t>
  </si>
  <si>
    <t>Kambainallur, Tamil Nadu</t>
  </si>
  <si>
    <t>242853</t>
  </si>
  <si>
    <t>CNRB125442973</t>
  </si>
  <si>
    <t>310860</t>
  </si>
  <si>
    <t>Erattupetta, Kerala</t>
  </si>
  <si>
    <t>266598</t>
  </si>
  <si>
    <t>CNRB109568286C</t>
  </si>
  <si>
    <t>310883</t>
  </si>
  <si>
    <t>192326</t>
  </si>
  <si>
    <t>CNRB254277614001</t>
  </si>
  <si>
    <t>311033</t>
  </si>
  <si>
    <t>Bhimarayanagudi, Karnataka</t>
  </si>
  <si>
    <t>280470</t>
  </si>
  <si>
    <t>CNRB63377117B</t>
  </si>
  <si>
    <t>311038</t>
  </si>
  <si>
    <t>192305</t>
  </si>
  <si>
    <t>CNRB18269830000019</t>
  </si>
  <si>
    <t>311045</t>
  </si>
  <si>
    <t>254579</t>
  </si>
  <si>
    <t>CNRB227898974</t>
  </si>
  <si>
    <t>311056</t>
  </si>
  <si>
    <t>Shaktinagar, Karnataka</t>
  </si>
  <si>
    <t>214785</t>
  </si>
  <si>
    <t>CNRB164001549494</t>
  </si>
  <si>
    <t>311092</t>
  </si>
  <si>
    <t>Kattappana, Kerala</t>
  </si>
  <si>
    <t>248731</t>
  </si>
  <si>
    <t>CNRBNavas</t>
  </si>
  <si>
    <t>311154</t>
  </si>
  <si>
    <t>Kodungallur, Kerala</t>
  </si>
  <si>
    <t>247816</t>
  </si>
  <si>
    <t>CNRB85881651A</t>
  </si>
  <si>
    <t>311155</t>
  </si>
  <si>
    <t>198074</t>
  </si>
  <si>
    <t>CNRBRajeswary</t>
  </si>
  <si>
    <t>311164</t>
  </si>
  <si>
    <t>270741</t>
  </si>
  <si>
    <t>CNRB125005158966</t>
  </si>
  <si>
    <t>311211</t>
  </si>
  <si>
    <t>Raichur, Karnataka</t>
  </si>
  <si>
    <t>266311</t>
  </si>
  <si>
    <t>CNRB67514026C</t>
  </si>
  <si>
    <t>311226</t>
  </si>
  <si>
    <t>198214</t>
  </si>
  <si>
    <t>CNRB85305353001</t>
  </si>
  <si>
    <t>311347</t>
  </si>
  <si>
    <t>186883</t>
  </si>
  <si>
    <t>CNRB205217833</t>
  </si>
  <si>
    <t>311419</t>
  </si>
  <si>
    <t>191887</t>
  </si>
  <si>
    <t>CNRB85305353002</t>
  </si>
  <si>
    <t>311432</t>
  </si>
  <si>
    <t>186884</t>
  </si>
  <si>
    <t>CNRBB3FASHION</t>
  </si>
  <si>
    <t>311855</t>
  </si>
  <si>
    <t>Kallur Thekkummuri, Kerala</t>
  </si>
  <si>
    <t>271298</t>
  </si>
  <si>
    <t>CNRB0519619004857</t>
  </si>
  <si>
    <t>311863</t>
  </si>
  <si>
    <t>254280</t>
  </si>
  <si>
    <t>CNRB106024187A</t>
  </si>
  <si>
    <t>311917</t>
  </si>
  <si>
    <t>Karthikappally, Kerala</t>
  </si>
  <si>
    <t>197874</t>
  </si>
  <si>
    <t>CNRB92746173A</t>
  </si>
  <si>
    <t>312042</t>
  </si>
  <si>
    <t>199105</t>
  </si>
  <si>
    <t>CNRB0519619004511</t>
  </si>
  <si>
    <t>312159</t>
  </si>
  <si>
    <t>282405</t>
  </si>
  <si>
    <t>CNRB39550474</t>
  </si>
  <si>
    <t>312165</t>
  </si>
  <si>
    <t>257863</t>
  </si>
  <si>
    <t>CNRB104918797</t>
  </si>
  <si>
    <t>312205</t>
  </si>
  <si>
    <t>281159</t>
  </si>
  <si>
    <t>CNRBSURSTM01</t>
  </si>
  <si>
    <t>312213</t>
  </si>
  <si>
    <t>250458</t>
  </si>
  <si>
    <t>CNRB307926660</t>
  </si>
  <si>
    <t>312670</t>
  </si>
  <si>
    <t>Avalapalli, Tamil Nadu</t>
  </si>
  <si>
    <t>253545</t>
  </si>
  <si>
    <t>CNRB30792666001</t>
  </si>
  <si>
    <t>312685</t>
  </si>
  <si>
    <t>253580</t>
  </si>
  <si>
    <t>CNRB117455531</t>
  </si>
  <si>
    <t>312691</t>
  </si>
  <si>
    <t>Odugathur, Tamil Nadu</t>
  </si>
  <si>
    <t>255063</t>
  </si>
  <si>
    <t>CNRBARJTEN01</t>
  </si>
  <si>
    <t>312995</t>
  </si>
  <si>
    <t>Ananthapuram, Tamil Nadu</t>
  </si>
  <si>
    <t>249799</t>
  </si>
  <si>
    <t>CNRB310561165A</t>
  </si>
  <si>
    <t>312996</t>
  </si>
  <si>
    <t>Viluppuram, Tamil Nadu</t>
  </si>
  <si>
    <t>254468</t>
  </si>
  <si>
    <t>CNRB94728331</t>
  </si>
  <si>
    <t>312997</t>
  </si>
  <si>
    <t>Kodaikanal, Tamil Nadu</t>
  </si>
  <si>
    <t>278309</t>
  </si>
  <si>
    <t>CNRBJAYAENTOMR</t>
  </si>
  <si>
    <t>312998</t>
  </si>
  <si>
    <t>Alathur, Tamil Nadu</t>
  </si>
  <si>
    <t>276128</t>
  </si>
  <si>
    <t>CNRB906432561</t>
  </si>
  <si>
    <t>312999</t>
  </si>
  <si>
    <t>241367</t>
  </si>
  <si>
    <t>CNRB90643256</t>
  </si>
  <si>
    <t>313001</t>
  </si>
  <si>
    <t>241364</t>
  </si>
  <si>
    <t>CNRB247964523001</t>
  </si>
  <si>
    <t>313003</t>
  </si>
  <si>
    <t>SIDCO Industrial Estate, Tamil Nadu</t>
  </si>
  <si>
    <t>242866</t>
  </si>
  <si>
    <t>CNRB201379581</t>
  </si>
  <si>
    <t>313005</t>
  </si>
  <si>
    <t>280000</t>
  </si>
  <si>
    <t>CNRBMEENAKPH</t>
  </si>
  <si>
    <t>313006</t>
  </si>
  <si>
    <t>279861</t>
  </si>
  <si>
    <t>CNRB312632797</t>
  </si>
  <si>
    <t>313008</t>
  </si>
  <si>
    <t>276384</t>
  </si>
  <si>
    <t>CNRB313242623</t>
  </si>
  <si>
    <t>313009</t>
  </si>
  <si>
    <t>252795</t>
  </si>
  <si>
    <t>CNRB84448499</t>
  </si>
  <si>
    <t>313011</t>
  </si>
  <si>
    <t>265410</t>
  </si>
  <si>
    <t>CNRB300216001</t>
  </si>
  <si>
    <t>313012</t>
  </si>
  <si>
    <t>275705</t>
  </si>
  <si>
    <t>CNRB318184619</t>
  </si>
  <si>
    <t>313016</t>
  </si>
  <si>
    <t>252792</t>
  </si>
  <si>
    <t>CNRB303836599</t>
  </si>
  <si>
    <t>313017</t>
  </si>
  <si>
    <t>275165</t>
  </si>
  <si>
    <t>CNRB315157681</t>
  </si>
  <si>
    <t>313019</t>
  </si>
  <si>
    <t>262390</t>
  </si>
  <si>
    <t>CNRB95204036</t>
  </si>
  <si>
    <t>313020</t>
  </si>
  <si>
    <t>Chettithangal, Tamil Nadu</t>
  </si>
  <si>
    <t>265436</t>
  </si>
  <si>
    <t>CNRB246324990</t>
  </si>
  <si>
    <t>313021</t>
  </si>
  <si>
    <t>Sevur, Tamil Nadu</t>
  </si>
  <si>
    <t>265428</t>
  </si>
  <si>
    <t>CNRB81564860A</t>
  </si>
  <si>
    <t>313022</t>
  </si>
  <si>
    <t>Tiruvannamalai, Tamil Nadu</t>
  </si>
  <si>
    <t>281168</t>
  </si>
  <si>
    <t>CNRB81564860B</t>
  </si>
  <si>
    <t>313023</t>
  </si>
  <si>
    <t>281171</t>
  </si>
  <si>
    <t>CNRB310421217</t>
  </si>
  <si>
    <t>313025</t>
  </si>
  <si>
    <t>248349</t>
  </si>
  <si>
    <t>CNRB256746815</t>
  </si>
  <si>
    <t>313050</t>
  </si>
  <si>
    <t>Vadakkekara, Kerala</t>
  </si>
  <si>
    <t>279273</t>
  </si>
  <si>
    <t>CNRB24833051803</t>
  </si>
  <si>
    <t>313052</t>
  </si>
  <si>
    <t>258849</t>
  </si>
  <si>
    <t>CNRB24833051801</t>
  </si>
  <si>
    <t>313057</t>
  </si>
  <si>
    <t>258850</t>
  </si>
  <si>
    <t>CNRB126449872</t>
  </si>
  <si>
    <t>313066</t>
  </si>
  <si>
    <t>279274</t>
  </si>
  <si>
    <t>CNRB85673000</t>
  </si>
  <si>
    <t>313072</t>
  </si>
  <si>
    <t>273695</t>
  </si>
  <si>
    <t>CNRB305802386</t>
  </si>
  <si>
    <t>313083</t>
  </si>
  <si>
    <t>243820</t>
  </si>
  <si>
    <t>CNRB118274599A</t>
  </si>
  <si>
    <t>313090</t>
  </si>
  <si>
    <t>248339</t>
  </si>
  <si>
    <t>CNRBSatheeshSadanandan</t>
  </si>
  <si>
    <t>314144</t>
  </si>
  <si>
    <t>248942</t>
  </si>
  <si>
    <t>CNRBBAPANAMMA</t>
  </si>
  <si>
    <t>314946</t>
  </si>
  <si>
    <t>267996</t>
  </si>
  <si>
    <t>CNRBBHAGYAMMA</t>
  </si>
  <si>
    <t>315022</t>
  </si>
  <si>
    <t>267988</t>
  </si>
  <si>
    <t>CNRB25848045</t>
  </si>
  <si>
    <t>316020</t>
  </si>
  <si>
    <t>Edathirinji, Kerala</t>
  </si>
  <si>
    <t>287523</t>
  </si>
  <si>
    <t>CNRB312962887</t>
  </si>
  <si>
    <t>316255</t>
  </si>
  <si>
    <t>271302</t>
  </si>
  <si>
    <t>IOBAPANNNEER1</t>
  </si>
  <si>
    <t>303136</t>
  </si>
  <si>
    <t>285338</t>
  </si>
  <si>
    <t>IOBAPANNEER2</t>
  </si>
  <si>
    <t>303140</t>
  </si>
  <si>
    <t>285346</t>
  </si>
  <si>
    <t>IOBA1465003</t>
  </si>
  <si>
    <t>303979</t>
  </si>
  <si>
    <t>274550</t>
  </si>
  <si>
    <t>IOBA100401</t>
  </si>
  <si>
    <t>304002</t>
  </si>
  <si>
    <t>285292</t>
  </si>
  <si>
    <t>CNRB103636328</t>
  </si>
  <si>
    <t>310709</t>
  </si>
  <si>
    <t>25-06-2026 10:59</t>
  </si>
  <si>
    <t>279224</t>
  </si>
  <si>
    <t>CNRB321266002001</t>
  </si>
  <si>
    <t>311096</t>
  </si>
  <si>
    <t>284091</t>
  </si>
  <si>
    <t>CNRB00050790010</t>
  </si>
  <si>
    <t>311104</t>
  </si>
  <si>
    <t>261398</t>
  </si>
  <si>
    <t>CNRB28951010</t>
  </si>
  <si>
    <t>311120</t>
  </si>
  <si>
    <t>258946</t>
  </si>
  <si>
    <t>CNRB118943691</t>
  </si>
  <si>
    <t>311152</t>
  </si>
  <si>
    <t>258950</t>
  </si>
  <si>
    <t>CNRB0015006001</t>
  </si>
  <si>
    <t>311166</t>
  </si>
  <si>
    <t>249500</t>
  </si>
  <si>
    <t>CNRB0000154760002</t>
  </si>
  <si>
    <t>311192</t>
  </si>
  <si>
    <t>248555</t>
  </si>
  <si>
    <t>CNRB001546700011132</t>
  </si>
  <si>
    <t>311332</t>
  </si>
  <si>
    <t>245333</t>
  </si>
  <si>
    <t>CNRB000000024850001</t>
  </si>
  <si>
    <t>311338</t>
  </si>
  <si>
    <t>245331</t>
  </si>
  <si>
    <t>CNRB00000067270001</t>
  </si>
  <si>
    <t>311345</t>
  </si>
  <si>
    <t>245329</t>
  </si>
  <si>
    <t>CNRB00015467000115</t>
  </si>
  <si>
    <t>311354</t>
  </si>
  <si>
    <t>245320</t>
  </si>
  <si>
    <t>CNRB0015460001</t>
  </si>
  <si>
    <t>311355</t>
  </si>
  <si>
    <t>245306</t>
  </si>
  <si>
    <t>CNRB001547600100</t>
  </si>
  <si>
    <t>311362</t>
  </si>
  <si>
    <t>241829</t>
  </si>
  <si>
    <t>CNRB0015467634164841</t>
  </si>
  <si>
    <t>311367</t>
  </si>
  <si>
    <t>245301</t>
  </si>
  <si>
    <t>CNRB0000209152</t>
  </si>
  <si>
    <t>311386</t>
  </si>
  <si>
    <t>189925</t>
  </si>
  <si>
    <t>CNRB0000201</t>
  </si>
  <si>
    <t>311433</t>
  </si>
  <si>
    <t>Ambarnath, Maharashtra</t>
  </si>
  <si>
    <t>188036</t>
  </si>
  <si>
    <t>CNRB236059810</t>
  </si>
  <si>
    <t>311557</t>
  </si>
  <si>
    <t>286835</t>
  </si>
  <si>
    <t>CNRB217245117</t>
  </si>
  <si>
    <t>311559</t>
  </si>
  <si>
    <t>25-06-2026 17:01</t>
  </si>
  <si>
    <t>286833</t>
  </si>
  <si>
    <t>CNRB00154005</t>
  </si>
  <si>
    <t>311111</t>
  </si>
  <si>
    <t>25-06-2026 17:30</t>
  </si>
  <si>
    <t>266507</t>
  </si>
  <si>
    <t>CNRBSAHED</t>
  </si>
  <si>
    <t>300583</t>
  </si>
  <si>
    <t>Marancheri, Kerala</t>
  </si>
  <si>
    <t>279571</t>
  </si>
  <si>
    <t>CNRB3787001</t>
  </si>
  <si>
    <t>300589</t>
  </si>
  <si>
    <t>223659</t>
  </si>
  <si>
    <t>CNRBARROW</t>
  </si>
  <si>
    <t>302591</t>
  </si>
  <si>
    <t>285183</t>
  </si>
  <si>
    <t>CNRB00SHIVAM</t>
  </si>
  <si>
    <t>304599</t>
  </si>
  <si>
    <t>241328</t>
  </si>
  <si>
    <t>CNRBDONTHO03</t>
  </si>
  <si>
    <t>307652</t>
  </si>
  <si>
    <t>Pallipattu, Tamil Nadu</t>
  </si>
  <si>
    <t>240268</t>
  </si>
  <si>
    <t>CNRBMCB002</t>
  </si>
  <si>
    <t>307655</t>
  </si>
  <si>
    <t>262429</t>
  </si>
  <si>
    <t>CNRBHONNAMMAHOUSE</t>
  </si>
  <si>
    <t>307760</t>
  </si>
  <si>
    <t>244359</t>
  </si>
  <si>
    <t>CNRB96083472SRINI</t>
  </si>
  <si>
    <t>308504</t>
  </si>
  <si>
    <t>265090</t>
  </si>
  <si>
    <t>CNRB67517183LAKSHMIM</t>
  </si>
  <si>
    <t>308529</t>
  </si>
  <si>
    <t>242570</t>
  </si>
  <si>
    <t>CNRBCHERMAKANI</t>
  </si>
  <si>
    <t>308571</t>
  </si>
  <si>
    <t>279631</t>
  </si>
  <si>
    <t>CNRB305903807</t>
  </si>
  <si>
    <t>308607</t>
  </si>
  <si>
    <t>255541</t>
  </si>
  <si>
    <t>CNRB7901JSA</t>
  </si>
  <si>
    <t>308623</t>
  </si>
  <si>
    <t>262406</t>
  </si>
  <si>
    <t>CNRB108636599PAVI</t>
  </si>
  <si>
    <t>308638</t>
  </si>
  <si>
    <t>271203</t>
  </si>
  <si>
    <t>CNRB322617410UK</t>
  </si>
  <si>
    <t>308653</t>
  </si>
  <si>
    <t>257848</t>
  </si>
  <si>
    <t>CNRB97085215ANNAMALAI</t>
  </si>
  <si>
    <t>308662</t>
  </si>
  <si>
    <t>242561</t>
  </si>
  <si>
    <t>CNRB99441598GANESHKUMAR</t>
  </si>
  <si>
    <t>308673</t>
  </si>
  <si>
    <t>242563</t>
  </si>
  <si>
    <t>CNRB245659879PAR</t>
  </si>
  <si>
    <t>308684</t>
  </si>
  <si>
    <t>275700</t>
  </si>
  <si>
    <t>CNRBABDULNAZAR</t>
  </si>
  <si>
    <t>308689</t>
  </si>
  <si>
    <t>Avittathur, Kerala</t>
  </si>
  <si>
    <t>280215</t>
  </si>
  <si>
    <t>CNRB110301294NIVA</t>
  </si>
  <si>
    <t>308693</t>
  </si>
  <si>
    <t>265658</t>
  </si>
  <si>
    <t>CNRB123701253MAH</t>
  </si>
  <si>
    <t>308713</t>
  </si>
  <si>
    <t>Anupuram DAE Township, Tamil Nadu</t>
  </si>
  <si>
    <t>260428</t>
  </si>
  <si>
    <t>CNRBATHIRAPTHAMPI</t>
  </si>
  <si>
    <t>308718</t>
  </si>
  <si>
    <t>280187</t>
  </si>
  <si>
    <t>CNRB306894556</t>
  </si>
  <si>
    <t>308719</t>
  </si>
  <si>
    <t>255533</t>
  </si>
  <si>
    <t>CNRB103512341SREEHP</t>
  </si>
  <si>
    <t>308727</t>
  </si>
  <si>
    <t>271175</t>
  </si>
  <si>
    <t>CNRB33764769SKSMOHAMMED1</t>
  </si>
  <si>
    <t>308735</t>
  </si>
  <si>
    <t>250007</t>
  </si>
  <si>
    <t>CNRBAngel</t>
  </si>
  <si>
    <t>308736</t>
  </si>
  <si>
    <t>197737</t>
  </si>
  <si>
    <t>CNRB33764769SKSMOHAMMED2</t>
  </si>
  <si>
    <t>308743</t>
  </si>
  <si>
    <t>250008</t>
  </si>
  <si>
    <t>CNRB320303966MM1</t>
  </si>
  <si>
    <t>308942</t>
  </si>
  <si>
    <t>280112</t>
  </si>
  <si>
    <t>CNRB240644304VIJAYARANIV</t>
  </si>
  <si>
    <t>309017</t>
  </si>
  <si>
    <t>248088</t>
  </si>
  <si>
    <t>CNRB320303966MM2</t>
  </si>
  <si>
    <t>309020</t>
  </si>
  <si>
    <t>286382</t>
  </si>
  <si>
    <t>CNRB255174549OMSARAVANA</t>
  </si>
  <si>
    <t>309725</t>
  </si>
  <si>
    <t>242340</t>
  </si>
  <si>
    <t>CNRB2908</t>
  </si>
  <si>
    <t>309759</t>
  </si>
  <si>
    <t>235149</t>
  </si>
  <si>
    <t>CNRBarmb01124</t>
  </si>
  <si>
    <t>309871</t>
  </si>
  <si>
    <t>225121</t>
  </si>
  <si>
    <t>CNRBFLAT402</t>
  </si>
  <si>
    <t>309894</t>
  </si>
  <si>
    <t>247790</t>
  </si>
  <si>
    <t>CNRBFLAT1001</t>
  </si>
  <si>
    <t>309899</t>
  </si>
  <si>
    <t>253085</t>
  </si>
  <si>
    <t>CNRBJNANAVAHINI2</t>
  </si>
  <si>
    <t>309924</t>
  </si>
  <si>
    <t>Shivamogga, Karnataka</t>
  </si>
  <si>
    <t>270660</t>
  </si>
  <si>
    <t>CNRBANANDBHAT</t>
  </si>
  <si>
    <t>309931</t>
  </si>
  <si>
    <t>Barkur, Karnataka</t>
  </si>
  <si>
    <t>190399</t>
  </si>
  <si>
    <t>CNRBFLAT504</t>
  </si>
  <si>
    <t>310232</t>
  </si>
  <si>
    <t>253087</t>
  </si>
  <si>
    <t>CNRB0512202501</t>
  </si>
  <si>
    <t>310252</t>
  </si>
  <si>
    <t>266546</t>
  </si>
  <si>
    <t>CNRB081025</t>
  </si>
  <si>
    <t>310262</t>
  </si>
  <si>
    <t>258863</t>
  </si>
  <si>
    <t>CNRBAADIL220925</t>
  </si>
  <si>
    <t>310263</t>
  </si>
  <si>
    <t>256942</t>
  </si>
  <si>
    <t>CNRBARM061025</t>
  </si>
  <si>
    <t>310265</t>
  </si>
  <si>
    <t>258424</t>
  </si>
  <si>
    <t>CNRBLAWRENCE001</t>
  </si>
  <si>
    <t>310297</t>
  </si>
  <si>
    <t>Vasind, Maharashtra</t>
  </si>
  <si>
    <t>283964</t>
  </si>
  <si>
    <t>CNRBARM01103</t>
  </si>
  <si>
    <t>310301</t>
  </si>
  <si>
    <t>217052</t>
  </si>
  <si>
    <t>CNRBFLAT704</t>
  </si>
  <si>
    <t>310305</t>
  </si>
  <si>
    <t>247782</t>
  </si>
  <si>
    <t>CNRBFLAT304</t>
  </si>
  <si>
    <t>310311</t>
  </si>
  <si>
    <t>247952</t>
  </si>
  <si>
    <t>CNRBFLATNO401</t>
  </si>
  <si>
    <t>310318</t>
  </si>
  <si>
    <t>247951</t>
  </si>
  <si>
    <t>CNRB109645872GANGADHARAN</t>
  </si>
  <si>
    <t>310321</t>
  </si>
  <si>
    <t>Vikravandi, Tamil Nadu</t>
  </si>
  <si>
    <t>280552</t>
  </si>
  <si>
    <t>CNRBFLATNO204</t>
  </si>
  <si>
    <t>310330</t>
  </si>
  <si>
    <t>248691</t>
  </si>
  <si>
    <t>CNRBFLAT304NO</t>
  </si>
  <si>
    <t>310339</t>
  </si>
  <si>
    <t>248693</t>
  </si>
  <si>
    <t>CNRBFLA301</t>
  </si>
  <si>
    <t>310357</t>
  </si>
  <si>
    <t>257629</t>
  </si>
  <si>
    <t>CNRBFL301</t>
  </si>
  <si>
    <t>310364</t>
  </si>
  <si>
    <t>257673</t>
  </si>
  <si>
    <t>CNRB322412761</t>
  </si>
  <si>
    <t>310381</t>
  </si>
  <si>
    <t>279113</t>
  </si>
  <si>
    <t>CNRB306359410JAGANAT02</t>
  </si>
  <si>
    <t>310469</t>
  </si>
  <si>
    <t>Tittakudi, Tamil Nadu</t>
  </si>
  <si>
    <t>284032</t>
  </si>
  <si>
    <t>CNRBFLATD404</t>
  </si>
  <si>
    <t>310508</t>
  </si>
  <si>
    <t>254673</t>
  </si>
  <si>
    <t>CNRBFLATD405</t>
  </si>
  <si>
    <t>310523</t>
  </si>
  <si>
    <t>254684</t>
  </si>
  <si>
    <t>CNRB47090644SARAVANAN1</t>
  </si>
  <si>
    <t>310558</t>
  </si>
  <si>
    <t>271306</t>
  </si>
  <si>
    <t>CNRB2772171</t>
  </si>
  <si>
    <t>310741</t>
  </si>
  <si>
    <t>Shiggaon, Karnataka</t>
  </si>
  <si>
    <t>244692</t>
  </si>
  <si>
    <t>CNRB123431460SRISITHANAND</t>
  </si>
  <si>
    <t>310849</t>
  </si>
  <si>
    <t>Valavanur, Tamil Nadu</t>
  </si>
  <si>
    <t>247168</t>
  </si>
  <si>
    <t>CNRBSILSONALI</t>
  </si>
  <si>
    <t>311910</t>
  </si>
  <si>
    <t>245422</t>
  </si>
  <si>
    <t>CNRB415928529</t>
  </si>
  <si>
    <t>311960</t>
  </si>
  <si>
    <t>Kharupatia, Assam</t>
  </si>
  <si>
    <t>243276</t>
  </si>
  <si>
    <t>CNRB40362069</t>
  </si>
  <si>
    <t>311971</t>
  </si>
  <si>
    <t>Bankimnagar, Tripura</t>
  </si>
  <si>
    <t>255674</t>
  </si>
  <si>
    <t>CNRBASHLEYFARM</t>
  </si>
  <si>
    <t>313708</t>
  </si>
  <si>
    <t>280435</t>
  </si>
  <si>
    <t>CNRBRAMLA</t>
  </si>
  <si>
    <t>315091</t>
  </si>
  <si>
    <t>233094</t>
  </si>
  <si>
    <t>CNRB70185592</t>
  </si>
  <si>
    <t>316365</t>
  </si>
  <si>
    <t>Nagaon, Assam</t>
  </si>
  <si>
    <t>282127</t>
  </si>
  <si>
    <t>CNRBRAVINDERSURESH</t>
  </si>
  <si>
    <t>302298</t>
  </si>
  <si>
    <t>240714</t>
  </si>
  <si>
    <t>CNRBvivek</t>
  </si>
  <si>
    <t>302305</t>
  </si>
  <si>
    <t>240692</t>
  </si>
  <si>
    <t>CNRBMITTALENTERPRISES</t>
  </si>
  <si>
    <t>309845</t>
  </si>
  <si>
    <t>240630</t>
  </si>
  <si>
    <t>CNRB427103</t>
  </si>
  <si>
    <t>309856</t>
  </si>
  <si>
    <t>240608</t>
  </si>
  <si>
    <t>CNRB1865067</t>
  </si>
  <si>
    <t>309896</t>
  </si>
  <si>
    <t>240621</t>
  </si>
  <si>
    <t>CNRBDIAMONDPROCESS</t>
  </si>
  <si>
    <t>309908</t>
  </si>
  <si>
    <t>276779</t>
  </si>
  <si>
    <t>CNRBMANISHTAXTILE</t>
  </si>
  <si>
    <t>310034</t>
  </si>
  <si>
    <t>269971</t>
  </si>
  <si>
    <t>IOBA26052026VASENT</t>
  </si>
  <si>
    <t>310370</t>
  </si>
  <si>
    <t>283809</t>
  </si>
  <si>
    <t>CNRBSPCOMPUTER</t>
  </si>
  <si>
    <t>310597</t>
  </si>
  <si>
    <t>269960</t>
  </si>
  <si>
    <t>CNRBSAHANSARPAL</t>
  </si>
  <si>
    <t>310610</t>
  </si>
  <si>
    <t>263622</t>
  </si>
  <si>
    <t>CNRBPOOJAN</t>
  </si>
  <si>
    <t>310629</t>
  </si>
  <si>
    <t>279521</t>
  </si>
  <si>
    <t>CNRBCHAND</t>
  </si>
  <si>
    <t>310634</t>
  </si>
  <si>
    <t>Sewalkhas, Uttar Pradesh</t>
  </si>
  <si>
    <t>265704</t>
  </si>
  <si>
    <t>CNRBKBG</t>
  </si>
  <si>
    <t>311329</t>
  </si>
  <si>
    <t>Firozabad, Uttar Pradesh</t>
  </si>
  <si>
    <t>216801</t>
  </si>
  <si>
    <t>CNRBKBGP2</t>
  </si>
  <si>
    <t>311382</t>
  </si>
  <si>
    <t>216808</t>
  </si>
  <si>
    <t>PSIB0019Sh</t>
  </si>
  <si>
    <t>315949</t>
  </si>
  <si>
    <t>252663</t>
  </si>
  <si>
    <t>SBIN2026002</t>
  </si>
  <si>
    <t>300404</t>
  </si>
  <si>
    <t>25-06-2026 14:00</t>
  </si>
  <si>
    <t>284754</t>
  </si>
  <si>
    <t>SBIN2026003</t>
  </si>
  <si>
    <t>300513</t>
  </si>
  <si>
    <t>284785</t>
  </si>
  <si>
    <t>SBIN400035404429</t>
  </si>
  <si>
    <t>309060</t>
  </si>
  <si>
    <t>Bokajan, Assam</t>
  </si>
  <si>
    <t>36200</t>
  </si>
  <si>
    <t>SBIN200050030949</t>
  </si>
  <si>
    <t>309080</t>
  </si>
  <si>
    <t>231276</t>
  </si>
  <si>
    <t>IOBA2564YUNUS</t>
  </si>
  <si>
    <t>312480</t>
  </si>
  <si>
    <t>Madikeri, Karnataka</t>
  </si>
  <si>
    <t>270594</t>
  </si>
  <si>
    <t>IOBA3205MDRIYAZ</t>
  </si>
  <si>
    <t>312540</t>
  </si>
  <si>
    <t>260759</t>
  </si>
  <si>
    <t>IOBA1442GIRISHBHAT</t>
  </si>
  <si>
    <t>312548</t>
  </si>
  <si>
    <t>226764</t>
  </si>
  <si>
    <t>IOBA2593ISMAIL</t>
  </si>
  <si>
    <t>315233</t>
  </si>
  <si>
    <t>Sakleshpur, Karnataka</t>
  </si>
  <si>
    <t>206328</t>
  </si>
  <si>
    <t>BARBsubhnandan01</t>
  </si>
  <si>
    <t>301971</t>
  </si>
  <si>
    <t>Aonla, Uttar Pradesh</t>
  </si>
  <si>
    <t>25-06-2026 15:00</t>
  </si>
  <si>
    <t>285056</t>
  </si>
  <si>
    <t>CNRBTHOUBALNANDKISHOR</t>
  </si>
  <si>
    <t>306875</t>
  </si>
  <si>
    <t>262039</t>
  </si>
  <si>
    <t>SBIN200069112034</t>
  </si>
  <si>
    <t>308237</t>
  </si>
  <si>
    <t>231664</t>
  </si>
  <si>
    <t>PUNBSAMBSM03</t>
  </si>
  <si>
    <t>311691</t>
  </si>
  <si>
    <t>Ghatal, West Bengal</t>
  </si>
  <si>
    <t>276413</t>
  </si>
  <si>
    <t>PUNBSAMBSM04</t>
  </si>
  <si>
    <t>311706</t>
  </si>
  <si>
    <t>276421</t>
  </si>
  <si>
    <t>PUNBSAMBSM06</t>
  </si>
  <si>
    <t>311725</t>
  </si>
  <si>
    <t>276434</t>
  </si>
  <si>
    <t>PUNBSAMBSM09</t>
  </si>
  <si>
    <t>311797</t>
  </si>
  <si>
    <t>276473</t>
  </si>
  <si>
    <t>PUNBSAMBSM10A</t>
  </si>
  <si>
    <t>311804</t>
  </si>
  <si>
    <t>Barda, West Bengal</t>
  </si>
  <si>
    <t>276479</t>
  </si>
  <si>
    <t>PUNBSAMBSM10B</t>
  </si>
  <si>
    <t>311812</t>
  </si>
  <si>
    <t>276481</t>
  </si>
  <si>
    <t>PUNBSAMBSM11</t>
  </si>
  <si>
    <t>311819</t>
  </si>
  <si>
    <t>276515</t>
  </si>
  <si>
    <t>PUNBSAMBSM12</t>
  </si>
  <si>
    <t>311827</t>
  </si>
  <si>
    <t>276572</t>
  </si>
  <si>
    <t>PUNBSAMBSM13</t>
  </si>
  <si>
    <t>311835</t>
  </si>
  <si>
    <t>276590</t>
  </si>
  <si>
    <t>PUNBSAMBSM15</t>
  </si>
  <si>
    <t>311841</t>
  </si>
  <si>
    <t>276489</t>
  </si>
  <si>
    <t>PUNBSAMBSM16A</t>
  </si>
  <si>
    <t>311881</t>
  </si>
  <si>
    <t>276559</t>
  </si>
  <si>
    <t>PUNBSAMBSM16B</t>
  </si>
  <si>
    <t>311886</t>
  </si>
  <si>
    <t>277262</t>
  </si>
  <si>
    <t>PUNBSAMBSM17</t>
  </si>
  <si>
    <t>311892</t>
  </si>
  <si>
    <t>276311</t>
  </si>
  <si>
    <t>SBIN0021010</t>
  </si>
  <si>
    <t>313866</t>
  </si>
  <si>
    <t>283819</t>
  </si>
  <si>
    <t>IDIBHS3640</t>
  </si>
  <si>
    <t>302370</t>
  </si>
  <si>
    <t>Khanna, Punjab</t>
  </si>
  <si>
    <t>285106</t>
  </si>
  <si>
    <t>SBIN1105202603</t>
  </si>
  <si>
    <t>302446</t>
  </si>
  <si>
    <t>284412</t>
  </si>
  <si>
    <t>SBIN1105202601</t>
  </si>
  <si>
    <t>302457</t>
  </si>
  <si>
    <t>284394</t>
  </si>
  <si>
    <t>SBIN001016080005</t>
  </si>
  <si>
    <t>302538</t>
  </si>
  <si>
    <t>284614</t>
  </si>
  <si>
    <t>SBIN1105202602</t>
  </si>
  <si>
    <t>302657</t>
  </si>
  <si>
    <t>284402</t>
  </si>
  <si>
    <t>SBINROHIT</t>
  </si>
  <si>
    <t>303799</t>
  </si>
  <si>
    <t>Jaipur, Rajasthan</t>
  </si>
  <si>
    <t>285446</t>
  </si>
  <si>
    <t>SBIN200068967021</t>
  </si>
  <si>
    <t>304130</t>
  </si>
  <si>
    <t>Mangrol, Gujarat</t>
  </si>
  <si>
    <t>282536</t>
  </si>
  <si>
    <t>SBIN200033360051</t>
  </si>
  <si>
    <t>304147</t>
  </si>
  <si>
    <t>Bhavnagar, Gujarat</t>
  </si>
  <si>
    <t>282524</t>
  </si>
  <si>
    <t>SBIN39366640403</t>
  </si>
  <si>
    <t>306778</t>
  </si>
  <si>
    <t>Bhadreswar, West Bengal</t>
  </si>
  <si>
    <t>286081</t>
  </si>
  <si>
    <t>SBIN400011956437</t>
  </si>
  <si>
    <t>308407</t>
  </si>
  <si>
    <t>Gakulnagar, Tripura</t>
  </si>
  <si>
    <t>242471</t>
  </si>
  <si>
    <t>SBIN200015010108</t>
  </si>
  <si>
    <t>308888</t>
  </si>
  <si>
    <t>53169</t>
  </si>
  <si>
    <t>SBIN200026666913</t>
  </si>
  <si>
    <t>308954</t>
  </si>
  <si>
    <t>262378</t>
  </si>
  <si>
    <t>SBIN78416170675</t>
  </si>
  <si>
    <t>310194</t>
  </si>
  <si>
    <t>232756</t>
  </si>
  <si>
    <t>SBIN200014124078</t>
  </si>
  <si>
    <t>310208</t>
  </si>
  <si>
    <t>54984</t>
  </si>
  <si>
    <t>SBIN78529671764</t>
  </si>
  <si>
    <t>310214</t>
  </si>
  <si>
    <t>248003</t>
  </si>
  <si>
    <t>SBIN78528016933</t>
  </si>
  <si>
    <t>310219</t>
  </si>
  <si>
    <t>248008</t>
  </si>
  <si>
    <t>SBIN78648493692</t>
  </si>
  <si>
    <t>310268</t>
  </si>
  <si>
    <t>Garulia, West Bengal</t>
  </si>
  <si>
    <t>265566</t>
  </si>
  <si>
    <t>SBIN77758451042</t>
  </si>
  <si>
    <t>310269</t>
  </si>
  <si>
    <t>106628</t>
  </si>
  <si>
    <t>SBIN77768559500</t>
  </si>
  <si>
    <t>310273</t>
  </si>
  <si>
    <t>253909</t>
  </si>
  <si>
    <t>SBIN78354018620</t>
  </si>
  <si>
    <t>310274</t>
  </si>
  <si>
    <t>259486</t>
  </si>
  <si>
    <t>SBIN400013454975</t>
  </si>
  <si>
    <t>310292</t>
  </si>
  <si>
    <t>Joypul, West Bengal</t>
  </si>
  <si>
    <t>25206</t>
  </si>
  <si>
    <t>SBIN77810630746</t>
  </si>
  <si>
    <t>310296</t>
  </si>
  <si>
    <t>232708</t>
  </si>
  <si>
    <t>SBIN78559025725</t>
  </si>
  <si>
    <t>310307</t>
  </si>
  <si>
    <t>266706</t>
  </si>
  <si>
    <t>SBIN00000151965</t>
  </si>
  <si>
    <t>311140</t>
  </si>
  <si>
    <t>230636</t>
  </si>
  <si>
    <t>SBIN00001519678</t>
  </si>
  <si>
    <t>311157</t>
  </si>
  <si>
    <t>259918</t>
  </si>
  <si>
    <t>SBIN1519618</t>
  </si>
  <si>
    <t>311177</t>
  </si>
  <si>
    <t>206814</t>
  </si>
  <si>
    <t>SBIN1519629</t>
  </si>
  <si>
    <t>311722</t>
  </si>
  <si>
    <t>230581</t>
  </si>
  <si>
    <t>SBIN151196347</t>
  </si>
  <si>
    <t>311802</t>
  </si>
  <si>
    <t>231707</t>
  </si>
  <si>
    <t>SBIN15196202406</t>
  </si>
  <si>
    <t>311851</t>
  </si>
  <si>
    <t>214078</t>
  </si>
  <si>
    <t>SBIN15196351</t>
  </si>
  <si>
    <t>311859</t>
  </si>
  <si>
    <t>254087</t>
  </si>
  <si>
    <t>SBIN151960203150</t>
  </si>
  <si>
    <t>311867</t>
  </si>
  <si>
    <t>185567</t>
  </si>
  <si>
    <t>SBIN200024314947A</t>
  </si>
  <si>
    <t>312102</t>
  </si>
  <si>
    <t>276811</t>
  </si>
  <si>
    <t>SBIN78209673357</t>
  </si>
  <si>
    <t>312273</t>
  </si>
  <si>
    <t>66774</t>
  </si>
  <si>
    <t>SBIN400039176742</t>
  </si>
  <si>
    <t>312281</t>
  </si>
  <si>
    <t>268439</t>
  </si>
  <si>
    <t>SBIN400057429358</t>
  </si>
  <si>
    <t>312294</t>
  </si>
  <si>
    <t>260048</t>
  </si>
  <si>
    <t>SBIN200035807003</t>
  </si>
  <si>
    <t>312327</t>
  </si>
  <si>
    <t>216784</t>
  </si>
  <si>
    <t>BKID474975110000059</t>
  </si>
  <si>
    <t>312608</t>
  </si>
  <si>
    <t>254595</t>
  </si>
  <si>
    <t>CBIN199315042502</t>
  </si>
  <si>
    <t>313919</t>
  </si>
  <si>
    <t>237150</t>
  </si>
  <si>
    <t>CBIN70060107</t>
  </si>
  <si>
    <t>314746</t>
  </si>
  <si>
    <t>282308</t>
  </si>
  <si>
    <t>CBIN70060106</t>
  </si>
  <si>
    <t>314756</t>
  </si>
  <si>
    <t>280761</t>
  </si>
  <si>
    <t>PUNBWEB9753984</t>
  </si>
  <si>
    <t>315269</t>
  </si>
  <si>
    <t>171658</t>
  </si>
  <si>
    <t>PUNBWEB9507935</t>
  </si>
  <si>
    <t>315362</t>
  </si>
  <si>
    <t>171714</t>
  </si>
  <si>
    <t>PUNBZUBAIRENTERPRISES</t>
  </si>
  <si>
    <t>315385</t>
  </si>
  <si>
    <t>173571</t>
  </si>
  <si>
    <t>PUNB4VA55835714</t>
  </si>
  <si>
    <t>315396</t>
  </si>
  <si>
    <t>171642</t>
  </si>
  <si>
    <t>BKIDAGR187616345</t>
  </si>
  <si>
    <t>316970</t>
  </si>
  <si>
    <t>222817</t>
  </si>
  <si>
    <t>BKIDAGR162146038</t>
  </si>
  <si>
    <t>317081</t>
  </si>
  <si>
    <t>279073</t>
  </si>
  <si>
    <t>PUNB80751403</t>
  </si>
  <si>
    <t>317315</t>
  </si>
  <si>
    <t>Vasco Da Gama, Goa</t>
  </si>
  <si>
    <t>232017</t>
  </si>
  <si>
    <t>BKIDchd145</t>
  </si>
  <si>
    <t>299455</t>
  </si>
  <si>
    <t>261224</t>
  </si>
  <si>
    <t>BKIDchd134</t>
  </si>
  <si>
    <t>299470</t>
  </si>
  <si>
    <t>232449</t>
  </si>
  <si>
    <t>BKIDchd136</t>
  </si>
  <si>
    <t>299481</t>
  </si>
  <si>
    <t>234307</t>
  </si>
  <si>
    <t>BKIDchd113</t>
  </si>
  <si>
    <t>299490</t>
  </si>
  <si>
    <t>212259</t>
  </si>
  <si>
    <t>BKIDAMR25061</t>
  </si>
  <si>
    <t>302277</t>
  </si>
  <si>
    <t>285126</t>
  </si>
  <si>
    <t>BKID2920JHAWARFLAT</t>
  </si>
  <si>
    <t>302435</t>
  </si>
  <si>
    <t>252057</t>
  </si>
  <si>
    <t>BKID2920JAINAB</t>
  </si>
  <si>
    <t>302443</t>
  </si>
  <si>
    <t>232460</t>
  </si>
  <si>
    <t>BKID286</t>
  </si>
  <si>
    <t>302998</t>
  </si>
  <si>
    <t>Paddhari, Gujarat</t>
  </si>
  <si>
    <t>282708</t>
  </si>
  <si>
    <t>BKID0009437001</t>
  </si>
  <si>
    <t>303015</t>
  </si>
  <si>
    <t>283477</t>
  </si>
  <si>
    <t>BKID214</t>
  </si>
  <si>
    <t>303021</t>
  </si>
  <si>
    <t>247622</t>
  </si>
  <si>
    <t>BKID2920JAINAB02</t>
  </si>
  <si>
    <t>303053</t>
  </si>
  <si>
    <t>190301</t>
  </si>
  <si>
    <t>BKID2920JAINAB03</t>
  </si>
  <si>
    <t>303055</t>
  </si>
  <si>
    <t>190313</t>
  </si>
  <si>
    <t>BKID2920JAINAB04</t>
  </si>
  <si>
    <t>303057</t>
  </si>
  <si>
    <t>190319</t>
  </si>
  <si>
    <t>BKID2920SAIRAM01</t>
  </si>
  <si>
    <t>303063</t>
  </si>
  <si>
    <t>190415</t>
  </si>
  <si>
    <t>BKID2920SAIRAM02</t>
  </si>
  <si>
    <t>303067</t>
  </si>
  <si>
    <t>190428</t>
  </si>
  <si>
    <t>BKIDCHDARB40</t>
  </si>
  <si>
    <t>303071</t>
  </si>
  <si>
    <t>280905</t>
  </si>
  <si>
    <t>BKID2920SAIRAM03</t>
  </si>
  <si>
    <t>303073</t>
  </si>
  <si>
    <t>190432</t>
  </si>
  <si>
    <t>BKID147646735</t>
  </si>
  <si>
    <t>303080</t>
  </si>
  <si>
    <t>Mandi, Himachal Pradesh</t>
  </si>
  <si>
    <t>170651</t>
  </si>
  <si>
    <t>BKIDbkid180</t>
  </si>
  <si>
    <t>303093</t>
  </si>
  <si>
    <t>Rajkot, Gujarat</t>
  </si>
  <si>
    <t>225069</t>
  </si>
  <si>
    <t>BKID210</t>
  </si>
  <si>
    <t>303129</t>
  </si>
  <si>
    <t>246727</t>
  </si>
  <si>
    <t>BKID218</t>
  </si>
  <si>
    <t>303496</t>
  </si>
  <si>
    <t>253032</t>
  </si>
  <si>
    <t>BKID196705581</t>
  </si>
  <si>
    <t>304202</t>
  </si>
  <si>
    <t>285399</t>
  </si>
  <si>
    <t>BKID304745384</t>
  </si>
  <si>
    <t>304207</t>
  </si>
  <si>
    <t>285400</t>
  </si>
  <si>
    <t>BKID178720826</t>
  </si>
  <si>
    <t>304213</t>
  </si>
  <si>
    <t>285402</t>
  </si>
  <si>
    <t>BKID307633357</t>
  </si>
  <si>
    <t>304221</t>
  </si>
  <si>
    <t>285404</t>
  </si>
  <si>
    <t>BKID000571200002</t>
  </si>
  <si>
    <t>304223</t>
  </si>
  <si>
    <t>228459</t>
  </si>
  <si>
    <t>BKID000571200001</t>
  </si>
  <si>
    <t>304229</t>
  </si>
  <si>
    <t>223189</t>
  </si>
  <si>
    <t>BKID185137446</t>
  </si>
  <si>
    <t>304239</t>
  </si>
  <si>
    <t>285408</t>
  </si>
  <si>
    <t>BKID000860700013</t>
  </si>
  <si>
    <t>304247</t>
  </si>
  <si>
    <t>230931</t>
  </si>
  <si>
    <t>BKID000070508</t>
  </si>
  <si>
    <t>304491</t>
  </si>
  <si>
    <t>285395</t>
  </si>
  <si>
    <t>BKID305942001</t>
  </si>
  <si>
    <t>304211</t>
  </si>
  <si>
    <t>285401</t>
  </si>
  <si>
    <t>BKIDHINGSANCHETI</t>
  </si>
  <si>
    <t>304825</t>
  </si>
  <si>
    <t>282737</t>
  </si>
  <si>
    <t>BKIDRANSMP</t>
  </si>
  <si>
    <t>305618</t>
  </si>
  <si>
    <t>Meru, Jharkhand</t>
  </si>
  <si>
    <t>282560</t>
  </si>
  <si>
    <t>BKIDKOLARB089</t>
  </si>
  <si>
    <t>305635</t>
  </si>
  <si>
    <t>264094</t>
  </si>
  <si>
    <t>BKIDBHOPAL056</t>
  </si>
  <si>
    <t>306114</t>
  </si>
  <si>
    <t>250891</t>
  </si>
  <si>
    <t>BKIDBHOPAL057</t>
  </si>
  <si>
    <t>306119</t>
  </si>
  <si>
    <t>235489</t>
  </si>
  <si>
    <t>BKIDBHOPAL069</t>
  </si>
  <si>
    <t>306121</t>
  </si>
  <si>
    <t>244212</t>
  </si>
  <si>
    <t>BKIDBHOPAL408</t>
  </si>
  <si>
    <t>306126</t>
  </si>
  <si>
    <t>Narsinghpur, Madhya Pradesh</t>
  </si>
  <si>
    <t>262473</t>
  </si>
  <si>
    <t>BKIDBHOPAL062</t>
  </si>
  <si>
    <t>306129</t>
  </si>
  <si>
    <t>250888</t>
  </si>
  <si>
    <t>BKID2510202403</t>
  </si>
  <si>
    <t>306214</t>
  </si>
  <si>
    <t>Kendrapara, Odisha</t>
  </si>
  <si>
    <t>201155</t>
  </si>
  <si>
    <t>BKID555475110000013</t>
  </si>
  <si>
    <t>306350</t>
  </si>
  <si>
    <t>Banapur, Odisha</t>
  </si>
  <si>
    <t>286008</t>
  </si>
  <si>
    <t>BKID000000273</t>
  </si>
  <si>
    <t>306443</t>
  </si>
  <si>
    <t>285931</t>
  </si>
  <si>
    <t>BKIDRANBINO</t>
  </si>
  <si>
    <t>306539</t>
  </si>
  <si>
    <t>Bekobar, Jharkhand</t>
  </si>
  <si>
    <t>276653</t>
  </si>
  <si>
    <t>BKIDRANBHAGF</t>
  </si>
  <si>
    <t>306654</t>
  </si>
  <si>
    <t>286057</t>
  </si>
  <si>
    <t>BKID000000274</t>
  </si>
  <si>
    <t>306924</t>
  </si>
  <si>
    <t>285932</t>
  </si>
  <si>
    <t>BKID000000276</t>
  </si>
  <si>
    <t>306932</t>
  </si>
  <si>
    <t>285934</t>
  </si>
  <si>
    <t>BKID000000278</t>
  </si>
  <si>
    <t>307056</t>
  </si>
  <si>
    <t>Satwas, Madhya Pradesh</t>
  </si>
  <si>
    <t>285936</t>
  </si>
  <si>
    <t>BKIDJALNASHYMLAL1</t>
  </si>
  <si>
    <t>307225</t>
  </si>
  <si>
    <t>283350</t>
  </si>
  <si>
    <t>BKIDNASIKKRUSHNA1</t>
  </si>
  <si>
    <t>307241</t>
  </si>
  <si>
    <t>283329</t>
  </si>
  <si>
    <t>BKIDNASIKMOHAN1</t>
  </si>
  <si>
    <t>307254</t>
  </si>
  <si>
    <t>283344</t>
  </si>
  <si>
    <t>BKID000000275</t>
  </si>
  <si>
    <t>307417</t>
  </si>
  <si>
    <t>Kannod, Madhya Pradesh</t>
  </si>
  <si>
    <t>285933</t>
  </si>
  <si>
    <t>BKID20262708</t>
  </si>
  <si>
    <t>307904</t>
  </si>
  <si>
    <t>286138</t>
  </si>
  <si>
    <t>BKID20262707</t>
  </si>
  <si>
    <t>307926</t>
  </si>
  <si>
    <t>286135</t>
  </si>
  <si>
    <t>BKID20262706</t>
  </si>
  <si>
    <t>307931</t>
  </si>
  <si>
    <t>286124</t>
  </si>
  <si>
    <t>BKID20262705</t>
  </si>
  <si>
    <t>307957</t>
  </si>
  <si>
    <t>286112</t>
  </si>
  <si>
    <t>BKID20262704</t>
  </si>
  <si>
    <t>307968</t>
  </si>
  <si>
    <t>286097</t>
  </si>
  <si>
    <t>BKID20262703</t>
  </si>
  <si>
    <t>307987</t>
  </si>
  <si>
    <t>286089</t>
  </si>
  <si>
    <t>BKID94727511319</t>
  </si>
  <si>
    <t>308346</t>
  </si>
  <si>
    <t>Bilaspur, Chhattisgarh</t>
  </si>
  <si>
    <t>277420</t>
  </si>
  <si>
    <t>BKID93007511212</t>
  </si>
  <si>
    <t>308350</t>
  </si>
  <si>
    <t>277469</t>
  </si>
  <si>
    <t>BKIDchd003</t>
  </si>
  <si>
    <t>308491</t>
  </si>
  <si>
    <t>Fatehabad, Haryana</t>
  </si>
  <si>
    <t>183440</t>
  </si>
  <si>
    <t>BKIDCHDARB41</t>
  </si>
  <si>
    <t>308545</t>
  </si>
  <si>
    <t>Rupnagar, Punjab</t>
  </si>
  <si>
    <t>285322</t>
  </si>
  <si>
    <t>BKIDVJA27012501</t>
  </si>
  <si>
    <t>308780</t>
  </si>
  <si>
    <t>221490</t>
  </si>
  <si>
    <t>BKID447075110000058</t>
  </si>
  <si>
    <t>309130</t>
  </si>
  <si>
    <t>286427</t>
  </si>
  <si>
    <t>BKID463830110000019</t>
  </si>
  <si>
    <t>309136</t>
  </si>
  <si>
    <t>Kishanganj, Bihar</t>
  </si>
  <si>
    <t>286352</t>
  </si>
  <si>
    <t>BKID510630110000109</t>
  </si>
  <si>
    <t>309433</t>
  </si>
  <si>
    <t>Jagatsinghpur, Odisha</t>
  </si>
  <si>
    <t>273771</t>
  </si>
  <si>
    <t>BKID1410SARIKA</t>
  </si>
  <si>
    <t>309446</t>
  </si>
  <si>
    <t>Amboli, Maharashtra</t>
  </si>
  <si>
    <t>285242</t>
  </si>
  <si>
    <t>BKIDVJA2412202501</t>
  </si>
  <si>
    <t>309483</t>
  </si>
  <si>
    <t>266027</t>
  </si>
  <si>
    <t>BKID1466VINAYAK</t>
  </si>
  <si>
    <t>309601</t>
  </si>
  <si>
    <t>Kalmath, Maharashtra</t>
  </si>
  <si>
    <t>286241</t>
  </si>
  <si>
    <t>BKIDAGR303591022</t>
  </si>
  <si>
    <t>309688</t>
  </si>
  <si>
    <t>256698</t>
  </si>
  <si>
    <t>BKIDAGR155116540</t>
  </si>
  <si>
    <t>309708</t>
  </si>
  <si>
    <t>274366</t>
  </si>
  <si>
    <t>BKIDAGR179052776</t>
  </si>
  <si>
    <t>309746</t>
  </si>
  <si>
    <t>Mathura, Uttar Pradesh</t>
  </si>
  <si>
    <t>42644</t>
  </si>
  <si>
    <t>BKIDBHOPAL372</t>
  </si>
  <si>
    <t>309748</t>
  </si>
  <si>
    <t>285531</t>
  </si>
  <si>
    <t>BKIDBHOPAL390</t>
  </si>
  <si>
    <t>309758</t>
  </si>
  <si>
    <t>285528</t>
  </si>
  <si>
    <t>BKID1111202403</t>
  </si>
  <si>
    <t>309941</t>
  </si>
  <si>
    <t>Itamati, Odisha</t>
  </si>
  <si>
    <t>212490</t>
  </si>
  <si>
    <t>BKID513275110000109</t>
  </si>
  <si>
    <t>309945</t>
  </si>
  <si>
    <t>Jatani, Odisha</t>
  </si>
  <si>
    <t>284883</t>
  </si>
  <si>
    <t>BKID555375110000186</t>
  </si>
  <si>
    <t>309947</t>
  </si>
  <si>
    <t>262715</t>
  </si>
  <si>
    <t>BKIDVJA1002202602</t>
  </si>
  <si>
    <t>310217</t>
  </si>
  <si>
    <t>272496</t>
  </si>
  <si>
    <t>BKIDVJA1003202601</t>
  </si>
  <si>
    <t>310230</t>
  </si>
  <si>
    <t>Gajulamandhyam Industrial Area, Andhra Pradesh</t>
  </si>
  <si>
    <t>279308</t>
  </si>
  <si>
    <t>BKIDARBNCR00000147</t>
  </si>
  <si>
    <t>310322</t>
  </si>
  <si>
    <t>Bhiwani, Haryana</t>
  </si>
  <si>
    <t>280519</t>
  </si>
  <si>
    <t>BKIDNDZO2006202507</t>
  </si>
  <si>
    <t>310409</t>
  </si>
  <si>
    <t>246103</t>
  </si>
  <si>
    <t>BKIDNDZO0109202504</t>
  </si>
  <si>
    <t>310416</t>
  </si>
  <si>
    <t>257038</t>
  </si>
  <si>
    <t>BKIDZODHAR107A</t>
  </si>
  <si>
    <t>310939</t>
  </si>
  <si>
    <t>Palsud, Madhya Pradesh</t>
  </si>
  <si>
    <t>247035</t>
  </si>
  <si>
    <t>BKIDZODHAR103</t>
  </si>
  <si>
    <t>310946</t>
  </si>
  <si>
    <t>Badnawar, Madhya Pradesh</t>
  </si>
  <si>
    <t>188224</t>
  </si>
  <si>
    <t>BKID75051111</t>
  </si>
  <si>
    <t>311262</t>
  </si>
  <si>
    <t>Rudauli, Uttar Pradesh</t>
  </si>
  <si>
    <t>222764</t>
  </si>
  <si>
    <t>BKIDlud25112501</t>
  </si>
  <si>
    <t>311327</t>
  </si>
  <si>
    <t>260391</t>
  </si>
  <si>
    <t>BKIDlud25112502</t>
  </si>
  <si>
    <t>311336</t>
  </si>
  <si>
    <t>260394</t>
  </si>
  <si>
    <t>BKIDLD300702</t>
  </si>
  <si>
    <t>311346</t>
  </si>
  <si>
    <t>125292</t>
  </si>
  <si>
    <t>BKIDLD300703</t>
  </si>
  <si>
    <t>311353</t>
  </si>
  <si>
    <t>125293</t>
  </si>
  <si>
    <t>BKID000000075</t>
  </si>
  <si>
    <t>311569</t>
  </si>
  <si>
    <t>201614</t>
  </si>
  <si>
    <t>BKID000000198</t>
  </si>
  <si>
    <t>311570</t>
  </si>
  <si>
    <t>254185</t>
  </si>
  <si>
    <t>BKID000000231</t>
  </si>
  <si>
    <t>311571</t>
  </si>
  <si>
    <t>261862</t>
  </si>
  <si>
    <t>BKID000000072</t>
  </si>
  <si>
    <t>311572</t>
  </si>
  <si>
    <t>Hat Piplia, Madhya Pradesh</t>
  </si>
  <si>
    <t>201574</t>
  </si>
  <si>
    <t>BKID000000082</t>
  </si>
  <si>
    <t>311573</t>
  </si>
  <si>
    <t>211419</t>
  </si>
  <si>
    <t>BKIDFAGWANI</t>
  </si>
  <si>
    <t>311842</t>
  </si>
  <si>
    <t>277132</t>
  </si>
  <si>
    <t>BKIDAKHARE2</t>
  </si>
  <si>
    <t>311849</t>
  </si>
  <si>
    <t>Hindnagar, Maharashtra</t>
  </si>
  <si>
    <t>277180</t>
  </si>
  <si>
    <t>BKIDAKHARE1</t>
  </si>
  <si>
    <t>311854</t>
  </si>
  <si>
    <t>277174</t>
  </si>
  <si>
    <t>BKIDCBE27012505</t>
  </si>
  <si>
    <t>311865</t>
  </si>
  <si>
    <t>222050</t>
  </si>
  <si>
    <t>BKIDCBED24122501</t>
  </si>
  <si>
    <t>311879</t>
  </si>
  <si>
    <t>Komarapalayam Hitech Weaving Park, Tamil Nadu</t>
  </si>
  <si>
    <t>267882</t>
  </si>
  <si>
    <t>BKIDCBE25072502</t>
  </si>
  <si>
    <t>311893</t>
  </si>
  <si>
    <t>248584</t>
  </si>
  <si>
    <t>BKIDCBE25042501</t>
  </si>
  <si>
    <t>311895</t>
  </si>
  <si>
    <t>K Chettipalayam, Tamil Nadu</t>
  </si>
  <si>
    <t>238214</t>
  </si>
  <si>
    <t>BKIDKIRAN</t>
  </si>
  <si>
    <t>311896</t>
  </si>
  <si>
    <t>Hudkeshwar, Maharashtra</t>
  </si>
  <si>
    <t>273598</t>
  </si>
  <si>
    <t>BKIDCBE28012601</t>
  </si>
  <si>
    <t>311898</t>
  </si>
  <si>
    <t>Nallampatti, Tamil Nadu</t>
  </si>
  <si>
    <t>270885</t>
  </si>
  <si>
    <t>BKIDAWAIS</t>
  </si>
  <si>
    <t>311899</t>
  </si>
  <si>
    <t>273610</t>
  </si>
  <si>
    <t>BKIDCBE10022601</t>
  </si>
  <si>
    <t>311936</t>
  </si>
  <si>
    <t>Adiyanuthu, Tamil Nadu</t>
  </si>
  <si>
    <t>272833</t>
  </si>
  <si>
    <t>BKIDCBE10032501</t>
  </si>
  <si>
    <t>311946</t>
  </si>
  <si>
    <t>233121</t>
  </si>
  <si>
    <t>BKIDCBE09012605</t>
  </si>
  <si>
    <t>311947</t>
  </si>
  <si>
    <t>Kannanendal, Tamil Nadu</t>
  </si>
  <si>
    <t>270059</t>
  </si>
  <si>
    <t>BKIDCBE26122401</t>
  </si>
  <si>
    <t>311957</t>
  </si>
  <si>
    <t>218998</t>
  </si>
  <si>
    <t>BKIDCBE09092501</t>
  </si>
  <si>
    <t>311964</t>
  </si>
  <si>
    <t>Pollachi, Tamil Nadu</t>
  </si>
  <si>
    <t>254271</t>
  </si>
  <si>
    <t>BKIDAMR27112304</t>
  </si>
  <si>
    <t>312033</t>
  </si>
  <si>
    <t>273850</t>
  </si>
  <si>
    <t>BKIDAMR29032403</t>
  </si>
  <si>
    <t>312037</t>
  </si>
  <si>
    <t>273857</t>
  </si>
  <si>
    <t>BKIDPUNERECKUNJIR</t>
  </si>
  <si>
    <t>312496</t>
  </si>
  <si>
    <t>252314</t>
  </si>
  <si>
    <t>BKID00463501</t>
  </si>
  <si>
    <t>312597</t>
  </si>
  <si>
    <t>Babupur Industrial Area, Jharkhand</t>
  </si>
  <si>
    <t>215757</t>
  </si>
  <si>
    <t>BKID474875110000018</t>
  </si>
  <si>
    <t>312603</t>
  </si>
  <si>
    <t>276170</t>
  </si>
  <si>
    <t>BKID474875110000007</t>
  </si>
  <si>
    <t>312606</t>
  </si>
  <si>
    <t>254590</t>
  </si>
  <si>
    <t>BKID68270pankajnemani</t>
  </si>
  <si>
    <t>312689</t>
  </si>
  <si>
    <t>Chinhat, Uttar Pradesh</t>
  </si>
  <si>
    <t>277855</t>
  </si>
  <si>
    <t>BKIDPUNERECBHAGWAT</t>
  </si>
  <si>
    <t>312834</t>
  </si>
  <si>
    <t>287031</t>
  </si>
  <si>
    <t>BKIDPUNERECVD</t>
  </si>
  <si>
    <t>312843</t>
  </si>
  <si>
    <t>287026</t>
  </si>
  <si>
    <t>BKIDSHOBHADEVI</t>
  </si>
  <si>
    <t>313002</t>
  </si>
  <si>
    <t>Bail Hongal, Karnataka</t>
  </si>
  <si>
    <t>257365</t>
  </si>
  <si>
    <t>BKIDMARULA5</t>
  </si>
  <si>
    <t>313007</t>
  </si>
  <si>
    <t>Channagiri, Karnataka</t>
  </si>
  <si>
    <t>250263</t>
  </si>
  <si>
    <t>BKIDMARULA4</t>
  </si>
  <si>
    <t>313010</t>
  </si>
  <si>
    <t>250254</t>
  </si>
  <si>
    <t>BKIDMARULA3</t>
  </si>
  <si>
    <t>313014</t>
  </si>
  <si>
    <t>250236</t>
  </si>
  <si>
    <t>BKIDMARULA2</t>
  </si>
  <si>
    <t>313018</t>
  </si>
  <si>
    <t>250223</t>
  </si>
  <si>
    <t>BKIDMARULA1</t>
  </si>
  <si>
    <t>313024</t>
  </si>
  <si>
    <t>250199</t>
  </si>
  <si>
    <t>BKID848275110000088</t>
  </si>
  <si>
    <t>313028</t>
  </si>
  <si>
    <t>247280</t>
  </si>
  <si>
    <t>BKID555375110000144</t>
  </si>
  <si>
    <t>313031</t>
  </si>
  <si>
    <t>Tangi, Odisha</t>
  </si>
  <si>
    <t>278698</t>
  </si>
  <si>
    <t>BKID6827nitisha</t>
  </si>
  <si>
    <t>313111</t>
  </si>
  <si>
    <t>260036</t>
  </si>
  <si>
    <t>BKID4859subodh</t>
  </si>
  <si>
    <t>313132</t>
  </si>
  <si>
    <t>Bokaro Steel City, Jharkhand</t>
  </si>
  <si>
    <t>232103</t>
  </si>
  <si>
    <t>BKID4711saroop</t>
  </si>
  <si>
    <t>313155</t>
  </si>
  <si>
    <t>238014</t>
  </si>
  <si>
    <t>BKID123797546</t>
  </si>
  <si>
    <t>313284</t>
  </si>
  <si>
    <t>Rajnandgaon, Chhattisgarh</t>
  </si>
  <si>
    <t>253809</t>
  </si>
  <si>
    <t>BKID196379161</t>
  </si>
  <si>
    <t>313303</t>
  </si>
  <si>
    <t>265803</t>
  </si>
  <si>
    <t>BKID186193498</t>
  </si>
  <si>
    <t>313312</t>
  </si>
  <si>
    <t>257817</t>
  </si>
  <si>
    <t>BKID0124579588</t>
  </si>
  <si>
    <t>313329</t>
  </si>
  <si>
    <t>283846</t>
  </si>
  <si>
    <t>BKID901046501</t>
  </si>
  <si>
    <t>313337</t>
  </si>
  <si>
    <t>263626</t>
  </si>
  <si>
    <t>BKID2000091641</t>
  </si>
  <si>
    <t>313347</t>
  </si>
  <si>
    <t>274364</t>
  </si>
  <si>
    <t>BKIDJOD663801</t>
  </si>
  <si>
    <t>313349</t>
  </si>
  <si>
    <t>Bhilwara, Rajasthan</t>
  </si>
  <si>
    <t>255222</t>
  </si>
  <si>
    <t>BKID200009164</t>
  </si>
  <si>
    <t>313362</t>
  </si>
  <si>
    <t>274365</t>
  </si>
  <si>
    <t>BKID8524WAYANADGOLD</t>
  </si>
  <si>
    <t>313599</t>
  </si>
  <si>
    <t>Koduvally, Kerala</t>
  </si>
  <si>
    <t>282791</t>
  </si>
  <si>
    <t>BKID8564BAIJUDAS</t>
  </si>
  <si>
    <t>313608</t>
  </si>
  <si>
    <t>282784</t>
  </si>
  <si>
    <t>BKID8348VIVEKVS</t>
  </si>
  <si>
    <t>313610</t>
  </si>
  <si>
    <t>Kalliyoor, Kerala</t>
  </si>
  <si>
    <t>282782</t>
  </si>
  <si>
    <t>BKID8348FRANCISMV</t>
  </si>
  <si>
    <t>313616</t>
  </si>
  <si>
    <t>280591</t>
  </si>
  <si>
    <t>BKID8568AUTOMARSREMYA</t>
  </si>
  <si>
    <t>313619</t>
  </si>
  <si>
    <t>Eloor, Kerala</t>
  </si>
  <si>
    <t>277397</t>
  </si>
  <si>
    <t>BKID8348ASHASTEPHEN</t>
  </si>
  <si>
    <t>313633</t>
  </si>
  <si>
    <t>KOLENCHERY, Kerala</t>
  </si>
  <si>
    <t>276482</t>
  </si>
  <si>
    <t>BKID8348NOUSHADNA</t>
  </si>
  <si>
    <t>313636</t>
  </si>
  <si>
    <t>272711</t>
  </si>
  <si>
    <t>BKID8348DILDHARPARATTU</t>
  </si>
  <si>
    <t>313639</t>
  </si>
  <si>
    <t>Chavakkad, Kerala</t>
  </si>
  <si>
    <t>267928</t>
  </si>
  <si>
    <t>BKID8513SAIYYEDALLAUDDINA</t>
  </si>
  <si>
    <t>313642</t>
  </si>
  <si>
    <t>227491</t>
  </si>
  <si>
    <t>BKID8552MURALIVK</t>
  </si>
  <si>
    <t>313646</t>
  </si>
  <si>
    <t>Karamuck, Kerala</t>
  </si>
  <si>
    <t>216857</t>
  </si>
  <si>
    <t>BKID8535MEENUNAIR</t>
  </si>
  <si>
    <t>313650</t>
  </si>
  <si>
    <t>227468</t>
  </si>
  <si>
    <t>BKID8524SAJITHP</t>
  </si>
  <si>
    <t>313714</t>
  </si>
  <si>
    <t>287228</t>
  </si>
  <si>
    <t>BKID8348JOBYMJ</t>
  </si>
  <si>
    <t>313717</t>
  </si>
  <si>
    <t>Njarackal, Kerala</t>
  </si>
  <si>
    <t>287222</t>
  </si>
  <si>
    <t>BKID6821DEEP</t>
  </si>
  <si>
    <t>313998</t>
  </si>
  <si>
    <t>287083</t>
  </si>
  <si>
    <t>BKID7504santosh</t>
  </si>
  <si>
    <t>314032</t>
  </si>
  <si>
    <t>Tikait Nagar, Uttar Pradesh</t>
  </si>
  <si>
    <t>271538</t>
  </si>
  <si>
    <t>BKID6838sanjay</t>
  </si>
  <si>
    <t>314087</t>
  </si>
  <si>
    <t>Kalli Pashchim, Uttar Pradesh</t>
  </si>
  <si>
    <t>227758</t>
  </si>
  <si>
    <t>BKIDVJA1002202603</t>
  </si>
  <si>
    <t>314334</t>
  </si>
  <si>
    <t>273309</t>
  </si>
  <si>
    <t>BKID2515250924C</t>
  </si>
  <si>
    <t>314350</t>
  </si>
  <si>
    <t>200453</t>
  </si>
  <si>
    <t>BKID280119122025F</t>
  </si>
  <si>
    <t>314366</t>
  </si>
  <si>
    <t>Anand, Gujarat</t>
  </si>
  <si>
    <t>265930</t>
  </si>
  <si>
    <t>BKID7530US01</t>
  </si>
  <si>
    <t>314511</t>
  </si>
  <si>
    <t>Kakori, Uttar Pradesh</t>
  </si>
  <si>
    <t>287353</t>
  </si>
  <si>
    <t>BKIDarbncr00000174</t>
  </si>
  <si>
    <t>314551</t>
  </si>
  <si>
    <t>282597</t>
  </si>
  <si>
    <t>BKIDarbncr00000140</t>
  </si>
  <si>
    <t>314554</t>
  </si>
  <si>
    <t>280501</t>
  </si>
  <si>
    <t>BKIDarbncr0000008</t>
  </si>
  <si>
    <t>314558</t>
  </si>
  <si>
    <t>183162</t>
  </si>
  <si>
    <t>BKID238</t>
  </si>
  <si>
    <t>314559</t>
  </si>
  <si>
    <t>266224</t>
  </si>
  <si>
    <t>BKID183</t>
  </si>
  <si>
    <t>314561</t>
  </si>
  <si>
    <t>225106</t>
  </si>
  <si>
    <t>BKID176</t>
  </si>
  <si>
    <t>314562</t>
  </si>
  <si>
    <t>225055</t>
  </si>
  <si>
    <t>BKID165</t>
  </si>
  <si>
    <t>314564</t>
  </si>
  <si>
    <t>217688</t>
  </si>
  <si>
    <t>BKIDBHOPAL352</t>
  </si>
  <si>
    <t>314567</t>
  </si>
  <si>
    <t>261167</t>
  </si>
  <si>
    <t>BKIDBHOPAL363</t>
  </si>
  <si>
    <t>314568</t>
  </si>
  <si>
    <t>Berasia, Madhya Pradesh</t>
  </si>
  <si>
    <t>280729</t>
  </si>
  <si>
    <t>BKIDBHOPAL362</t>
  </si>
  <si>
    <t>314570</t>
  </si>
  <si>
    <t>280717</t>
  </si>
  <si>
    <t>BKID134</t>
  </si>
  <si>
    <t>314577</t>
  </si>
  <si>
    <t>95389</t>
  </si>
  <si>
    <t>BKIDAMR09092401</t>
  </si>
  <si>
    <t>314650</t>
  </si>
  <si>
    <t>188358</t>
  </si>
  <si>
    <t>BKIDAMR2402</t>
  </si>
  <si>
    <t>314668</t>
  </si>
  <si>
    <t>267795</t>
  </si>
  <si>
    <t>BKIDAMR100326</t>
  </si>
  <si>
    <t>314681</t>
  </si>
  <si>
    <t>278148</t>
  </si>
  <si>
    <t>BKIDAMR1003263</t>
  </si>
  <si>
    <t>314696</t>
  </si>
  <si>
    <t>278162</t>
  </si>
  <si>
    <t>BKIDAMR1003261</t>
  </si>
  <si>
    <t>314708</t>
  </si>
  <si>
    <t>278150</t>
  </si>
  <si>
    <t>BKIDAMR25031</t>
  </si>
  <si>
    <t>314717</t>
  </si>
  <si>
    <t>278308</t>
  </si>
  <si>
    <t>BKID4798ravinder</t>
  </si>
  <si>
    <t>314744</t>
  </si>
  <si>
    <t>287237</t>
  </si>
  <si>
    <t>BKIDAMR25060</t>
  </si>
  <si>
    <t>314836</t>
  </si>
  <si>
    <t>Bhore, Jammu &amp; Kashmir</t>
  </si>
  <si>
    <t>287398</t>
  </si>
  <si>
    <t>BKIDNCR00095</t>
  </si>
  <si>
    <t>314969</t>
  </si>
  <si>
    <t>287172</t>
  </si>
  <si>
    <t>BKIDNCR00096</t>
  </si>
  <si>
    <t>314973</t>
  </si>
  <si>
    <t>287183</t>
  </si>
  <si>
    <t>BKID181247393</t>
  </si>
  <si>
    <t>315198</t>
  </si>
  <si>
    <t>276426</t>
  </si>
  <si>
    <t>BKID203268592</t>
  </si>
  <si>
    <t>315223</t>
  </si>
  <si>
    <t>Baswar, Uttar Pradesh</t>
  </si>
  <si>
    <t>240237</t>
  </si>
  <si>
    <t>BKID100166897</t>
  </si>
  <si>
    <t>315234</t>
  </si>
  <si>
    <t>281635</t>
  </si>
  <si>
    <t>BKID126286900</t>
  </si>
  <si>
    <t>315237</t>
  </si>
  <si>
    <t>272118</t>
  </si>
  <si>
    <t>BKID162987976</t>
  </si>
  <si>
    <t>315244</t>
  </si>
  <si>
    <t>284825</t>
  </si>
  <si>
    <t>BKIDBZO0208</t>
  </si>
  <si>
    <t>315251</t>
  </si>
  <si>
    <t>182766</t>
  </si>
  <si>
    <t>BKID134445581</t>
  </si>
  <si>
    <t>315252</t>
  </si>
  <si>
    <t>284812</t>
  </si>
  <si>
    <t>BKIDARB14</t>
  </si>
  <si>
    <t>315257</t>
  </si>
  <si>
    <t>271117</t>
  </si>
  <si>
    <t>BKID166294576</t>
  </si>
  <si>
    <t>315262</t>
  </si>
  <si>
    <t>272141</t>
  </si>
  <si>
    <t>BKID135856471</t>
  </si>
  <si>
    <t>315271</t>
  </si>
  <si>
    <t>Saiyad Raja, Uttar Pradesh</t>
  </si>
  <si>
    <t>277685</t>
  </si>
  <si>
    <t>BKIDARB12</t>
  </si>
  <si>
    <t>315286</t>
  </si>
  <si>
    <t>Bedi, Gujarat</t>
  </si>
  <si>
    <t>271093</t>
  </si>
  <si>
    <t>BKID203</t>
  </si>
  <si>
    <t>315288</t>
  </si>
  <si>
    <t>270362</t>
  </si>
  <si>
    <t>BKID158912835</t>
  </si>
  <si>
    <t>315292</t>
  </si>
  <si>
    <t>Gaura Kala, Uttar Pradesh</t>
  </si>
  <si>
    <t>277692</t>
  </si>
  <si>
    <t>BKIDARB8A</t>
  </si>
  <si>
    <t>315294</t>
  </si>
  <si>
    <t>270750</t>
  </si>
  <si>
    <t>BKIDARB8B</t>
  </si>
  <si>
    <t>315297</t>
  </si>
  <si>
    <t>270790</t>
  </si>
  <si>
    <t>BKID202644998</t>
  </si>
  <si>
    <t>315372</t>
  </si>
  <si>
    <t>276488</t>
  </si>
  <si>
    <t>BKID187400090</t>
  </si>
  <si>
    <t>315394</t>
  </si>
  <si>
    <t>278402</t>
  </si>
  <si>
    <t>BKID185224333</t>
  </si>
  <si>
    <t>315489</t>
  </si>
  <si>
    <t>278635</t>
  </si>
  <si>
    <t>BKID202864530</t>
  </si>
  <si>
    <t>315495</t>
  </si>
  <si>
    <t>278648</t>
  </si>
  <si>
    <t>BKIDN0004301</t>
  </si>
  <si>
    <t>315503</t>
  </si>
  <si>
    <t>Medinipur, West Bengal</t>
  </si>
  <si>
    <t>281677</t>
  </si>
  <si>
    <t>BKID187499754</t>
  </si>
  <si>
    <t>315515</t>
  </si>
  <si>
    <t>278470</t>
  </si>
  <si>
    <t>BKID188936189</t>
  </si>
  <si>
    <t>315525</t>
  </si>
  <si>
    <t>278442</t>
  </si>
  <si>
    <t>BKIDAMR1002</t>
  </si>
  <si>
    <t>315526</t>
  </si>
  <si>
    <t>271959</t>
  </si>
  <si>
    <t>BKIDCHESIVA</t>
  </si>
  <si>
    <t>315573</t>
  </si>
  <si>
    <t>276943</t>
  </si>
  <si>
    <t>BKID0004141</t>
  </si>
  <si>
    <t>315579</t>
  </si>
  <si>
    <t>260039</t>
  </si>
  <si>
    <t>BKID108343469</t>
  </si>
  <si>
    <t>315593</t>
  </si>
  <si>
    <t>281721</t>
  </si>
  <si>
    <t>BKID190679866</t>
  </si>
  <si>
    <t>315602</t>
  </si>
  <si>
    <t>Darappur, West Bengal</t>
  </si>
  <si>
    <t>281735</t>
  </si>
  <si>
    <t>BKIDCHERAJESH</t>
  </si>
  <si>
    <t>315608</t>
  </si>
  <si>
    <t>263525</t>
  </si>
  <si>
    <t>BKID118386806</t>
  </si>
  <si>
    <t>315620</t>
  </si>
  <si>
    <t>275092</t>
  </si>
  <si>
    <t>BKID7530US02</t>
  </si>
  <si>
    <t>315622</t>
  </si>
  <si>
    <t>287551</t>
  </si>
  <si>
    <t>BKIDCHERAJKUM</t>
  </si>
  <si>
    <t>315625</t>
  </si>
  <si>
    <t>263545</t>
  </si>
  <si>
    <t>BKID184022269</t>
  </si>
  <si>
    <t>315634</t>
  </si>
  <si>
    <t>265625</t>
  </si>
  <si>
    <t>BKIDCHEPRAK</t>
  </si>
  <si>
    <t>315644</t>
  </si>
  <si>
    <t>273471</t>
  </si>
  <si>
    <t>BKIDBZO30096</t>
  </si>
  <si>
    <t>315657</t>
  </si>
  <si>
    <t>201608</t>
  </si>
  <si>
    <t>BKID281024122025B</t>
  </si>
  <si>
    <t>315671</t>
  </si>
  <si>
    <t>266840</t>
  </si>
  <si>
    <t>BKIDBZO0808</t>
  </si>
  <si>
    <t>315676</t>
  </si>
  <si>
    <t>183611</t>
  </si>
  <si>
    <t>BKIDCHEDILLI</t>
  </si>
  <si>
    <t>315684</t>
  </si>
  <si>
    <t>276790</t>
  </si>
  <si>
    <t>BKIDCHEMANJESH2</t>
  </si>
  <si>
    <t>315693</t>
  </si>
  <si>
    <t>254371</t>
  </si>
  <si>
    <t>BKIDCHEMANJESH1</t>
  </si>
  <si>
    <t>315695</t>
  </si>
  <si>
    <t>254340</t>
  </si>
  <si>
    <t>BKIDCHECHAND</t>
  </si>
  <si>
    <t>315697</t>
  </si>
  <si>
    <t>262184</t>
  </si>
  <si>
    <t>BKIDCHEVARADHAN</t>
  </si>
  <si>
    <t>315701</t>
  </si>
  <si>
    <t>263362</t>
  </si>
  <si>
    <t>BKIDBZO0708</t>
  </si>
  <si>
    <t>315703</t>
  </si>
  <si>
    <t>15548</t>
  </si>
  <si>
    <t>BKIDCHEKIRAN</t>
  </si>
  <si>
    <t>315711</t>
  </si>
  <si>
    <t>263409</t>
  </si>
  <si>
    <t>BKIDVASANTH1</t>
  </si>
  <si>
    <t>315716</t>
  </si>
  <si>
    <t>263444</t>
  </si>
  <si>
    <t>BKID2507301124E</t>
  </si>
  <si>
    <t>315721</t>
  </si>
  <si>
    <t>74379</t>
  </si>
  <si>
    <t>BKIDCHEVASANTH2</t>
  </si>
  <si>
    <t>315723</t>
  </si>
  <si>
    <t>263459</t>
  </si>
  <si>
    <t>BKIDCHEPREMSAI1</t>
  </si>
  <si>
    <t>315733</t>
  </si>
  <si>
    <t>245051</t>
  </si>
  <si>
    <t>BKID106860247</t>
  </si>
  <si>
    <t>315738</t>
  </si>
  <si>
    <t>Ranaghat, West Bengal</t>
  </si>
  <si>
    <t>267201</t>
  </si>
  <si>
    <t>BKID182927725</t>
  </si>
  <si>
    <t>315748</t>
  </si>
  <si>
    <t>Bara, West Bengal</t>
  </si>
  <si>
    <t>222930</t>
  </si>
  <si>
    <t>BKID2507260526A</t>
  </si>
  <si>
    <t>315764</t>
  </si>
  <si>
    <t>284127</t>
  </si>
  <si>
    <t>BKIDCHEPREMSAI2</t>
  </si>
  <si>
    <t>315770</t>
  </si>
  <si>
    <t>245066</t>
  </si>
  <si>
    <t>BKIDCHETHUFAIL</t>
  </si>
  <si>
    <t>315779</t>
  </si>
  <si>
    <t>254225</t>
  </si>
  <si>
    <t>BKIDCHENAVEENKUMARMGT1</t>
  </si>
  <si>
    <t>315786</t>
  </si>
  <si>
    <t>233825</t>
  </si>
  <si>
    <t>BKIDCHENAVEENKUMARMGT2</t>
  </si>
  <si>
    <t>315795</t>
  </si>
  <si>
    <t>233849</t>
  </si>
  <si>
    <t>BKIDSARMKNF</t>
  </si>
  <si>
    <t>315799</t>
  </si>
  <si>
    <t>286238</t>
  </si>
  <si>
    <t>BKID689530110000025</t>
  </si>
  <si>
    <t>315833</t>
  </si>
  <si>
    <t>279122</t>
  </si>
  <si>
    <t>BKID721175110000131</t>
  </si>
  <si>
    <t>315845</t>
  </si>
  <si>
    <t>Mehwar Kalan, Uttarakhand</t>
  </si>
  <si>
    <t>203334</t>
  </si>
  <si>
    <t>BKIDCHETITTUJA</t>
  </si>
  <si>
    <t>315853</t>
  </si>
  <si>
    <t>215897</t>
  </si>
  <si>
    <t>BKID713333011000086</t>
  </si>
  <si>
    <t>315854</t>
  </si>
  <si>
    <t>264916</t>
  </si>
  <si>
    <t>BKIDCHESURESHSR</t>
  </si>
  <si>
    <t>315874</t>
  </si>
  <si>
    <t>201126</t>
  </si>
  <si>
    <t>BKIDCHEKODSRINI</t>
  </si>
  <si>
    <t>315882</t>
  </si>
  <si>
    <t>Thiruporur, Tamil Nadu</t>
  </si>
  <si>
    <t>184932</t>
  </si>
  <si>
    <t>BKID2082300824C</t>
  </si>
  <si>
    <t>315888</t>
  </si>
  <si>
    <t>Dahod, Gujarat</t>
  </si>
  <si>
    <t>184518</t>
  </si>
  <si>
    <t>BKID251026082025A</t>
  </si>
  <si>
    <t>315893</t>
  </si>
  <si>
    <t>250072</t>
  </si>
  <si>
    <t>BKIDSARM3020</t>
  </si>
  <si>
    <t>315948</t>
  </si>
  <si>
    <t>217839</t>
  </si>
  <si>
    <t>BKIDSARMAGRATA1</t>
  </si>
  <si>
    <t>315981</t>
  </si>
  <si>
    <t>220803</t>
  </si>
  <si>
    <t>BKID188593843</t>
  </si>
  <si>
    <t>315987</t>
  </si>
  <si>
    <t>278525</t>
  </si>
  <si>
    <t>BKID195852286</t>
  </si>
  <si>
    <t>315992</t>
  </si>
  <si>
    <t>222220</t>
  </si>
  <si>
    <t>BKID180519960</t>
  </si>
  <si>
    <t>315999</t>
  </si>
  <si>
    <t>276518</t>
  </si>
  <si>
    <t>BKID116425516</t>
  </si>
  <si>
    <t>316007</t>
  </si>
  <si>
    <t>281622</t>
  </si>
  <si>
    <t>BKIDN00040175</t>
  </si>
  <si>
    <t>316009</t>
  </si>
  <si>
    <t>287548</t>
  </si>
  <si>
    <t>BKIDLUD062</t>
  </si>
  <si>
    <t>316101</t>
  </si>
  <si>
    <t>279878</t>
  </si>
  <si>
    <t>BKIDLUD063</t>
  </si>
  <si>
    <t>316109</t>
  </si>
  <si>
    <t>279957</t>
  </si>
  <si>
    <t>BKID78440021</t>
  </si>
  <si>
    <t>316135</t>
  </si>
  <si>
    <t>Devinagar, Uttar Pradesh</t>
  </si>
  <si>
    <t>280610</t>
  </si>
  <si>
    <t>BKID78440022</t>
  </si>
  <si>
    <t>316142</t>
  </si>
  <si>
    <t>280615</t>
  </si>
  <si>
    <t>BKID78440023</t>
  </si>
  <si>
    <t>316147</t>
  </si>
  <si>
    <t>280618</t>
  </si>
  <si>
    <t>BKID78440024</t>
  </si>
  <si>
    <t>316152</t>
  </si>
  <si>
    <t>Sadabad, Uttar Pradesh</t>
  </si>
  <si>
    <t>280627</t>
  </si>
  <si>
    <t>BKID78440025</t>
  </si>
  <si>
    <t>316155</t>
  </si>
  <si>
    <t>280651</t>
  </si>
  <si>
    <t>BKID000MAHASLATE</t>
  </si>
  <si>
    <t>316208</t>
  </si>
  <si>
    <t>286761</t>
  </si>
  <si>
    <t>BKID000DIPHIMAT</t>
  </si>
  <si>
    <t>316219</t>
  </si>
  <si>
    <t>286742</t>
  </si>
  <si>
    <t>BKID000NANDLAL</t>
  </si>
  <si>
    <t>316235</t>
  </si>
  <si>
    <t>286750</t>
  </si>
  <si>
    <t>BKID01990001</t>
  </si>
  <si>
    <t>316244</t>
  </si>
  <si>
    <t>222334</t>
  </si>
  <si>
    <t>BKID0000SANTOSH</t>
  </si>
  <si>
    <t>316246</t>
  </si>
  <si>
    <t>286650</t>
  </si>
  <si>
    <t>BKID00090001</t>
  </si>
  <si>
    <t>316248</t>
  </si>
  <si>
    <t>249382</t>
  </si>
  <si>
    <t>BKID2765270125</t>
  </si>
  <si>
    <t>316252</t>
  </si>
  <si>
    <t>222219</t>
  </si>
  <si>
    <t>BKID01990002</t>
  </si>
  <si>
    <t>316276</t>
  </si>
  <si>
    <t>222578</t>
  </si>
  <si>
    <t>BKID782004</t>
  </si>
  <si>
    <t>316297</t>
  </si>
  <si>
    <t>Hargaon, Uttar Pradesh</t>
  </si>
  <si>
    <t>206039</t>
  </si>
  <si>
    <t>BKID0687301</t>
  </si>
  <si>
    <t>316326</t>
  </si>
  <si>
    <t>Palia Kalan, Uttar Pradesh</t>
  </si>
  <si>
    <t>186936</t>
  </si>
  <si>
    <t>BKID01210007</t>
  </si>
  <si>
    <t>316349</t>
  </si>
  <si>
    <t>241780</t>
  </si>
  <si>
    <t>BKID01830001</t>
  </si>
  <si>
    <t>316356</t>
  </si>
  <si>
    <t>262471</t>
  </si>
  <si>
    <t>BKID00190003</t>
  </si>
  <si>
    <t>316362</t>
  </si>
  <si>
    <t>269714</t>
  </si>
  <si>
    <t>BKID12480002</t>
  </si>
  <si>
    <t>316374</t>
  </si>
  <si>
    <t>280714</t>
  </si>
  <si>
    <t>BKID12070001</t>
  </si>
  <si>
    <t>316385</t>
  </si>
  <si>
    <t>262491</t>
  </si>
  <si>
    <t>BKIDMDUTRISAK</t>
  </si>
  <si>
    <t>316392</t>
  </si>
  <si>
    <t>Koothappar, Tamil Nadu</t>
  </si>
  <si>
    <t>284385</t>
  </si>
  <si>
    <t>BKIDPUNE342</t>
  </si>
  <si>
    <t>316393</t>
  </si>
  <si>
    <t>271648</t>
  </si>
  <si>
    <t>BKIDSARM1013</t>
  </si>
  <si>
    <t>316395</t>
  </si>
  <si>
    <t>217291</t>
  </si>
  <si>
    <t>BKID165173</t>
  </si>
  <si>
    <t>316423</t>
  </si>
  <si>
    <t>283981</t>
  </si>
  <si>
    <t>BKIDGOA20252606</t>
  </si>
  <si>
    <t>316424</t>
  </si>
  <si>
    <t>Bicholim, Goa</t>
  </si>
  <si>
    <t>264007</t>
  </si>
  <si>
    <t>BKID165130</t>
  </si>
  <si>
    <t>316428</t>
  </si>
  <si>
    <t>224080</t>
  </si>
  <si>
    <t>BKID165171</t>
  </si>
  <si>
    <t>316432</t>
  </si>
  <si>
    <t>271794</t>
  </si>
  <si>
    <t>BKID20252604</t>
  </si>
  <si>
    <t>316441</t>
  </si>
  <si>
    <t>Sancoale, Goa</t>
  </si>
  <si>
    <t>250927</t>
  </si>
  <si>
    <t>BKIDMNZ0189HAMIDABEE</t>
  </si>
  <si>
    <t>316509</t>
  </si>
  <si>
    <t>267364</t>
  </si>
  <si>
    <t>BKID00000381612</t>
  </si>
  <si>
    <t>316516</t>
  </si>
  <si>
    <t>Anjar, Gujarat</t>
  </si>
  <si>
    <t>124855</t>
  </si>
  <si>
    <t>BKIDMNZ0058MAMTA</t>
  </si>
  <si>
    <t>316525</t>
  </si>
  <si>
    <t>200980</t>
  </si>
  <si>
    <t>BKIDMNZ0056NARESH</t>
  </si>
  <si>
    <t>316530</t>
  </si>
  <si>
    <t>257976</t>
  </si>
  <si>
    <t>BKIDMNZ0180DINESH</t>
  </si>
  <si>
    <t>316532</t>
  </si>
  <si>
    <t>257797</t>
  </si>
  <si>
    <t>BKID000004</t>
  </si>
  <si>
    <t>316535</t>
  </si>
  <si>
    <t>89265</t>
  </si>
  <si>
    <t>BKIDKZO210</t>
  </si>
  <si>
    <t>316624</t>
  </si>
  <si>
    <t>287542</t>
  </si>
  <si>
    <t>BKID467002</t>
  </si>
  <si>
    <t>316633</t>
  </si>
  <si>
    <t>286288</t>
  </si>
  <si>
    <t>BKIDKZO211</t>
  </si>
  <si>
    <t>316634</t>
  </si>
  <si>
    <t>287545</t>
  </si>
  <si>
    <t>BKIDKZO212</t>
  </si>
  <si>
    <t>316638</t>
  </si>
  <si>
    <t>287550</t>
  </si>
  <si>
    <t>BKID466501</t>
  </si>
  <si>
    <t>316639</t>
  </si>
  <si>
    <t>Muzaffarpur, Bihar</t>
  </si>
  <si>
    <t>286246</t>
  </si>
  <si>
    <t>BKIDKZO213</t>
  </si>
  <si>
    <t>316645</t>
  </si>
  <si>
    <t>287553</t>
  </si>
  <si>
    <t>BKIDKZO214</t>
  </si>
  <si>
    <t>316647</t>
  </si>
  <si>
    <t>287555</t>
  </si>
  <si>
    <t>BKID48401</t>
  </si>
  <si>
    <t>316649</t>
  </si>
  <si>
    <t>Bhuindhara, Bihar</t>
  </si>
  <si>
    <t>286296</t>
  </si>
  <si>
    <t>BKIDKZO215</t>
  </si>
  <si>
    <t>316650</t>
  </si>
  <si>
    <t>287561</t>
  </si>
  <si>
    <t>BKIDKZO216</t>
  </si>
  <si>
    <t>316655</t>
  </si>
  <si>
    <t>287568</t>
  </si>
  <si>
    <t>BKIDKZO217</t>
  </si>
  <si>
    <t>316657</t>
  </si>
  <si>
    <t>287573</t>
  </si>
  <si>
    <t>BKIDKZO218</t>
  </si>
  <si>
    <t>316663</t>
  </si>
  <si>
    <t>287575</t>
  </si>
  <si>
    <t>BKIDKZO20</t>
  </si>
  <si>
    <t>316665</t>
  </si>
  <si>
    <t>200538</t>
  </si>
  <si>
    <t>BKIDKZO115</t>
  </si>
  <si>
    <t>316668</t>
  </si>
  <si>
    <t>248662</t>
  </si>
  <si>
    <t>BKIDKZO60</t>
  </si>
  <si>
    <t>316669</t>
  </si>
  <si>
    <t>221609</t>
  </si>
  <si>
    <t>BKIDKZO219</t>
  </si>
  <si>
    <t>316672</t>
  </si>
  <si>
    <t>287587</t>
  </si>
  <si>
    <t>BKIDKZO80</t>
  </si>
  <si>
    <t>316676</t>
  </si>
  <si>
    <t>235074</t>
  </si>
  <si>
    <t>BKIDKZO221</t>
  </si>
  <si>
    <t>316680</t>
  </si>
  <si>
    <t>287602</t>
  </si>
  <si>
    <t>BKID69907511</t>
  </si>
  <si>
    <t>316682</t>
  </si>
  <si>
    <t>235092</t>
  </si>
  <si>
    <t>BKIDKZO222</t>
  </si>
  <si>
    <t>316684</t>
  </si>
  <si>
    <t>287607</t>
  </si>
  <si>
    <t>BKIDKZO223</t>
  </si>
  <si>
    <t>316686</t>
  </si>
  <si>
    <t>287667</t>
  </si>
  <si>
    <t>BKIDKZO71</t>
  </si>
  <si>
    <t>316689</t>
  </si>
  <si>
    <t>235002</t>
  </si>
  <si>
    <t>BKIDKZO224</t>
  </si>
  <si>
    <t>316690</t>
  </si>
  <si>
    <t>287671</t>
  </si>
  <si>
    <t>BKIDKZO106</t>
  </si>
  <si>
    <t>316691</t>
  </si>
  <si>
    <t>242020</t>
  </si>
  <si>
    <t>BKIDKZO225</t>
  </si>
  <si>
    <t>316693</t>
  </si>
  <si>
    <t>287675</t>
  </si>
  <si>
    <t>BKID6990751</t>
  </si>
  <si>
    <t>316695</t>
  </si>
  <si>
    <t>235086</t>
  </si>
  <si>
    <t>BKIDAGR182759024</t>
  </si>
  <si>
    <t>316709</t>
  </si>
  <si>
    <t>215282</t>
  </si>
  <si>
    <t>BKIDSARMHMMEGA1</t>
  </si>
  <si>
    <t>316711</t>
  </si>
  <si>
    <t>287738</t>
  </si>
  <si>
    <t>BKID68050004</t>
  </si>
  <si>
    <t>316714</t>
  </si>
  <si>
    <t>32147</t>
  </si>
  <si>
    <t>BKIDzo4500012</t>
  </si>
  <si>
    <t>316733</t>
  </si>
  <si>
    <t>216198</t>
  </si>
  <si>
    <t>BKID687301</t>
  </si>
  <si>
    <t>316757</t>
  </si>
  <si>
    <t>205980</t>
  </si>
  <si>
    <t>BKID7339</t>
  </si>
  <si>
    <t>316768</t>
  </si>
  <si>
    <t>275413</t>
  </si>
  <si>
    <t>BKID732206</t>
  </si>
  <si>
    <t>316772</t>
  </si>
  <si>
    <t>263551</t>
  </si>
  <si>
    <t>BKID050</t>
  </si>
  <si>
    <t>316790</t>
  </si>
  <si>
    <t>221426</t>
  </si>
  <si>
    <t>BKID044</t>
  </si>
  <si>
    <t>316901</t>
  </si>
  <si>
    <t>218821</t>
  </si>
  <si>
    <t>BKIDAGR149214642</t>
  </si>
  <si>
    <t>316951</t>
  </si>
  <si>
    <t>215261</t>
  </si>
  <si>
    <t>BKID0000154</t>
  </si>
  <si>
    <t>317292</t>
  </si>
  <si>
    <t>Kuanrmunda, Odisha</t>
  </si>
  <si>
    <t>281034</t>
  </si>
  <si>
    <t>BKIDMSZCPT05</t>
  </si>
  <si>
    <t>317320</t>
  </si>
  <si>
    <t>214772</t>
  </si>
  <si>
    <t>BKIDNDZO27012511</t>
  </si>
  <si>
    <t>317487</t>
  </si>
  <si>
    <t>223636</t>
  </si>
  <si>
    <t>BKID190815906</t>
  </si>
  <si>
    <t>317610</t>
  </si>
  <si>
    <t>287991</t>
  </si>
  <si>
    <t>BKID307677082</t>
  </si>
  <si>
    <t>317614</t>
  </si>
  <si>
    <t>287949</t>
  </si>
  <si>
    <t>BKID181160693</t>
  </si>
  <si>
    <t>317619</t>
  </si>
  <si>
    <t>287997</t>
  </si>
  <si>
    <t>BKIDMSZMND007</t>
  </si>
  <si>
    <t>317622</t>
  </si>
  <si>
    <t>246555</t>
  </si>
  <si>
    <t>BKIDMSZMND008</t>
  </si>
  <si>
    <t>317624</t>
  </si>
  <si>
    <t>246571</t>
  </si>
  <si>
    <t>BKID201231178</t>
  </si>
  <si>
    <t>317628</t>
  </si>
  <si>
    <t>287962</t>
  </si>
  <si>
    <t>BKID303653094</t>
  </si>
  <si>
    <t>317635</t>
  </si>
  <si>
    <t>287977</t>
  </si>
  <si>
    <t>BKIDMSZMND009</t>
  </si>
  <si>
    <t>317653</t>
  </si>
  <si>
    <t>246576</t>
  </si>
  <si>
    <t>BKIDMSZMZG03</t>
  </si>
  <si>
    <t>317664</t>
  </si>
  <si>
    <t>236566</t>
  </si>
  <si>
    <t>BKIDMSZCHG10</t>
  </si>
  <si>
    <t>317673</t>
  </si>
  <si>
    <t>236504</t>
  </si>
  <si>
    <t>BKIDMSZWRL01</t>
  </si>
  <si>
    <t>317685</t>
  </si>
  <si>
    <t>223338</t>
  </si>
  <si>
    <t>BKIDMSZJCC05</t>
  </si>
  <si>
    <t>317702</t>
  </si>
  <si>
    <t>246164</t>
  </si>
  <si>
    <t>BKIDKZO271221_04</t>
  </si>
  <si>
    <t>317718</t>
  </si>
  <si>
    <t>65288</t>
  </si>
  <si>
    <t>BKIDCHECHITRA</t>
  </si>
  <si>
    <t>317762</t>
  </si>
  <si>
    <t>260623</t>
  </si>
  <si>
    <t>BKIDCHERESHMIG</t>
  </si>
  <si>
    <t>317955</t>
  </si>
  <si>
    <t>281796</t>
  </si>
  <si>
    <t>BKIDCHEPOOJABALAGOPAL</t>
  </si>
  <si>
    <t>317965</t>
  </si>
  <si>
    <t>274729</t>
  </si>
  <si>
    <t>BKIDCHELILLYJESURAJ</t>
  </si>
  <si>
    <t>317984</t>
  </si>
  <si>
    <t>252800</t>
  </si>
  <si>
    <t>BKIDCHESHINEDESIGNERS</t>
  </si>
  <si>
    <t>318012</t>
  </si>
  <si>
    <t>281790</t>
  </si>
  <si>
    <t>BKIDMNZ0178VILAS</t>
  </si>
  <si>
    <t>318088</t>
  </si>
  <si>
    <t>267357</t>
  </si>
  <si>
    <t>BKIDNMZARB070</t>
  </si>
  <si>
    <t>318335</t>
  </si>
  <si>
    <t>268983</t>
  </si>
  <si>
    <t>BKIDNMZARB069</t>
  </si>
  <si>
    <t>318340</t>
  </si>
  <si>
    <t>268046</t>
  </si>
  <si>
    <t>BKID2047008</t>
  </si>
  <si>
    <t>306179</t>
  </si>
  <si>
    <t>203932</t>
  </si>
  <si>
    <t>BKID2027002</t>
  </si>
  <si>
    <t>309783</t>
  </si>
  <si>
    <t>90106</t>
  </si>
  <si>
    <t>BKID2002005</t>
  </si>
  <si>
    <t>309834</t>
  </si>
  <si>
    <t>266477</t>
  </si>
  <si>
    <t>BKID2029002</t>
  </si>
  <si>
    <t>309843</t>
  </si>
  <si>
    <t>216942</t>
  </si>
  <si>
    <t>BKID2504DATTU1136</t>
  </si>
  <si>
    <t>310626</t>
  </si>
  <si>
    <t>281820</t>
  </si>
  <si>
    <t>BKID20542054SGINNING03</t>
  </si>
  <si>
    <t>310890</t>
  </si>
  <si>
    <t>Harij, Gujarat</t>
  </si>
  <si>
    <t>258661</t>
  </si>
  <si>
    <t>BKID20542054SGINNING04</t>
  </si>
  <si>
    <t>310904</t>
  </si>
  <si>
    <t>258769</t>
  </si>
  <si>
    <t>BKID20542054SGINNING05</t>
  </si>
  <si>
    <t>310910</t>
  </si>
  <si>
    <t>258832</t>
  </si>
  <si>
    <t>BKID20542054SGINNING06</t>
  </si>
  <si>
    <t>310928</t>
  </si>
  <si>
    <t>258781</t>
  </si>
  <si>
    <t>BKID20542054SGINNING07</t>
  </si>
  <si>
    <t>310935</t>
  </si>
  <si>
    <t>258795</t>
  </si>
  <si>
    <t>BKID20542054SGINNING08</t>
  </si>
  <si>
    <t>310953</t>
  </si>
  <si>
    <t>258862</t>
  </si>
  <si>
    <t>BKID20542054SGINNING09</t>
  </si>
  <si>
    <t>310956</t>
  </si>
  <si>
    <t>258890</t>
  </si>
  <si>
    <t>BKID20542054SOIL03</t>
  </si>
  <si>
    <t>310967</t>
  </si>
  <si>
    <t>256294</t>
  </si>
  <si>
    <t>BKID20542054SOIL05</t>
  </si>
  <si>
    <t>310985</t>
  </si>
  <si>
    <t>258258</t>
  </si>
  <si>
    <t>BKID20542054SOIL06</t>
  </si>
  <si>
    <t>310990</t>
  </si>
  <si>
    <t>258276</t>
  </si>
  <si>
    <t>BKID20542054SOIL07</t>
  </si>
  <si>
    <t>310993</t>
  </si>
  <si>
    <t>258312</t>
  </si>
  <si>
    <t>BKID20542054SOIL09</t>
  </si>
  <si>
    <t>311005</t>
  </si>
  <si>
    <t>258334</t>
  </si>
  <si>
    <t>BKID20542054SOIL10</t>
  </si>
  <si>
    <t>311009</t>
  </si>
  <si>
    <t>258338</t>
  </si>
  <si>
    <t>BKID20542054SOIL13</t>
  </si>
  <si>
    <t>311698</t>
  </si>
  <si>
    <t>266095</t>
  </si>
  <si>
    <t>BKID2103001</t>
  </si>
  <si>
    <t>312518</t>
  </si>
  <si>
    <t>287009</t>
  </si>
  <si>
    <t>BKID2016001</t>
  </si>
  <si>
    <t>312904</t>
  </si>
  <si>
    <t>286523</t>
  </si>
  <si>
    <t>CNRB321651369LOT5</t>
  </si>
  <si>
    <t>305664</t>
  </si>
  <si>
    <t>285862</t>
  </si>
  <si>
    <t>SBIN200050704480</t>
  </si>
  <si>
    <t>305967</t>
  </si>
  <si>
    <t>285684</t>
  </si>
  <si>
    <t>SBIN200032721319</t>
  </si>
  <si>
    <t>305977</t>
  </si>
  <si>
    <t>285685</t>
  </si>
  <si>
    <t>SBIN200064307160</t>
  </si>
  <si>
    <t>305981</t>
  </si>
  <si>
    <t>285686</t>
  </si>
  <si>
    <t>SBIN200037918773</t>
  </si>
  <si>
    <t>305998</t>
  </si>
  <si>
    <t>285689</t>
  </si>
  <si>
    <t>SBIN200070738149N</t>
  </si>
  <si>
    <t>306001</t>
  </si>
  <si>
    <t>285690</t>
  </si>
  <si>
    <t>CNRB0834605000003A</t>
  </si>
  <si>
    <t>307197</t>
  </si>
  <si>
    <t>Sulthan Bathery, Kerala</t>
  </si>
  <si>
    <t>189760</t>
  </si>
  <si>
    <t>CNRB1677PRAKASH</t>
  </si>
  <si>
    <t>307208</t>
  </si>
  <si>
    <t>240195</t>
  </si>
  <si>
    <t>CNRB102685487</t>
  </si>
  <si>
    <t>307474</t>
  </si>
  <si>
    <t>Kalpetta, Kerala</t>
  </si>
  <si>
    <t>275753</t>
  </si>
  <si>
    <t>CNRB6819106</t>
  </si>
  <si>
    <t>307631</t>
  </si>
  <si>
    <t>279203</t>
  </si>
  <si>
    <t>CNRBAMLA</t>
  </si>
  <si>
    <t>307645</t>
  </si>
  <si>
    <t>Jammu, Jammu &amp; Kashmir</t>
  </si>
  <si>
    <t>241443</t>
  </si>
  <si>
    <t>CNRB6819111</t>
  </si>
  <si>
    <t>307678</t>
  </si>
  <si>
    <t>Sopore, Jammu &amp; Kashmir</t>
  </si>
  <si>
    <t>279386</t>
  </si>
  <si>
    <t>CNRB681983</t>
  </si>
  <si>
    <t>307698</t>
  </si>
  <si>
    <t>252124</t>
  </si>
  <si>
    <t>CNRB79840019</t>
  </si>
  <si>
    <t>307706</t>
  </si>
  <si>
    <t>241442</t>
  </si>
  <si>
    <t>CNRBDESI</t>
  </si>
  <si>
    <t>307712</t>
  </si>
  <si>
    <t>Srinagar, Jammu &amp; Kashmir</t>
  </si>
  <si>
    <t>241434</t>
  </si>
  <si>
    <t>CNRB681995</t>
  </si>
  <si>
    <t>307721</t>
  </si>
  <si>
    <t>266752</t>
  </si>
  <si>
    <t>CNRB681962</t>
  </si>
  <si>
    <t>307722</t>
  </si>
  <si>
    <t>244018</t>
  </si>
  <si>
    <t>CNRB681987</t>
  </si>
  <si>
    <t>307725</t>
  </si>
  <si>
    <t>264242</t>
  </si>
  <si>
    <t>CNRB681993</t>
  </si>
  <si>
    <t>307726</t>
  </si>
  <si>
    <t>266746</t>
  </si>
  <si>
    <t>CNRB681998</t>
  </si>
  <si>
    <t>307731</t>
  </si>
  <si>
    <t>271711</t>
  </si>
  <si>
    <t>CNRB681997</t>
  </si>
  <si>
    <t>307732</t>
  </si>
  <si>
    <t>271708</t>
  </si>
  <si>
    <t>CNRB20966561301</t>
  </si>
  <si>
    <t>308120</t>
  </si>
  <si>
    <t>Lakshmeshwar, Karnataka</t>
  </si>
  <si>
    <t>249087</t>
  </si>
  <si>
    <t>CNRBABISHEK1</t>
  </si>
  <si>
    <t>308169</t>
  </si>
  <si>
    <t>Gokak Falls, Karnataka</t>
  </si>
  <si>
    <t>243429</t>
  </si>
  <si>
    <t>CNRBABHISHEK1688B</t>
  </si>
  <si>
    <t>308278</t>
  </si>
  <si>
    <t>243428</t>
  </si>
  <si>
    <t>CNRBTRUSTRR</t>
  </si>
  <si>
    <t>308324</t>
  </si>
  <si>
    <t>Chikodi, Karnataka</t>
  </si>
  <si>
    <t>244734</t>
  </si>
  <si>
    <t>CNRBSHREERAMTILESBOMM</t>
  </si>
  <si>
    <t>308337</t>
  </si>
  <si>
    <t>Raybag, Karnataka</t>
  </si>
  <si>
    <t>243902</t>
  </si>
  <si>
    <t>CNRBSHRIRAMTILE</t>
  </si>
  <si>
    <t>308340</t>
  </si>
  <si>
    <t>243903</t>
  </si>
  <si>
    <t>CNRBKALLAVVA</t>
  </si>
  <si>
    <t>308467</t>
  </si>
  <si>
    <t>281430</t>
  </si>
  <si>
    <t>CNRB23803374001</t>
  </si>
  <si>
    <t>308497</t>
  </si>
  <si>
    <t>SIDCO Industrial Estate Kittur Belagavi, Karnataka</t>
  </si>
  <si>
    <t>247973</t>
  </si>
  <si>
    <t>CNRBMARUTI</t>
  </si>
  <si>
    <t>308527</t>
  </si>
  <si>
    <t>278573</t>
  </si>
  <si>
    <t>CNRBAK</t>
  </si>
  <si>
    <t>308539</t>
  </si>
  <si>
    <t>278561</t>
  </si>
  <si>
    <t>CNRBAKENT</t>
  </si>
  <si>
    <t>308546</t>
  </si>
  <si>
    <t>278558</t>
  </si>
  <si>
    <t>CNRBAKE</t>
  </si>
  <si>
    <t>308558</t>
  </si>
  <si>
    <t>278557</t>
  </si>
  <si>
    <t>CNRB10173129201</t>
  </si>
  <si>
    <t>308573</t>
  </si>
  <si>
    <t>Kabnur, Maharashtra</t>
  </si>
  <si>
    <t>200811</t>
  </si>
  <si>
    <t>CNRB1050304</t>
  </si>
  <si>
    <t>308626</t>
  </si>
  <si>
    <t>245003</t>
  </si>
  <si>
    <t>CNRBRIYAZAHMED</t>
  </si>
  <si>
    <t>308635</t>
  </si>
  <si>
    <t>278560</t>
  </si>
  <si>
    <t>CNRBMOYEEN</t>
  </si>
  <si>
    <t>308641</t>
  </si>
  <si>
    <t>278562</t>
  </si>
  <si>
    <t>CNRB6819104</t>
  </si>
  <si>
    <t>308790</t>
  </si>
  <si>
    <t>279177</t>
  </si>
  <si>
    <t>CNRB681953</t>
  </si>
  <si>
    <t>308801</t>
  </si>
  <si>
    <t>204833</t>
  </si>
  <si>
    <t>CNRB227514826</t>
  </si>
  <si>
    <t>308863</t>
  </si>
  <si>
    <t>Anaimalai, Tamil Nadu</t>
  </si>
  <si>
    <t>245025</t>
  </si>
  <si>
    <t>CNRB681966</t>
  </si>
  <si>
    <t>308864</t>
  </si>
  <si>
    <t>244032</t>
  </si>
  <si>
    <t>CNRB681964</t>
  </si>
  <si>
    <t>308885</t>
  </si>
  <si>
    <t>244028</t>
  </si>
  <si>
    <t>CNRB324042060</t>
  </si>
  <si>
    <t>308891</t>
  </si>
  <si>
    <t>279773</t>
  </si>
  <si>
    <t>CNRBSURI</t>
  </si>
  <si>
    <t>308896</t>
  </si>
  <si>
    <t>Gho Manhasan, Jammu &amp; Kashmir</t>
  </si>
  <si>
    <t>241430</t>
  </si>
  <si>
    <t>CNRBDURGABOVI</t>
  </si>
  <si>
    <t>308926</t>
  </si>
  <si>
    <t>Tarikere, Karnataka</t>
  </si>
  <si>
    <t>279867</t>
  </si>
  <si>
    <t>CNRBLOKESHAB</t>
  </si>
  <si>
    <t>308936</t>
  </si>
  <si>
    <t>Koppa, Karnataka</t>
  </si>
  <si>
    <t>233773</t>
  </si>
  <si>
    <t>CNRBHOPREMA</t>
  </si>
  <si>
    <t>308960</t>
  </si>
  <si>
    <t>Chikkamagaluru, Karnataka</t>
  </si>
  <si>
    <t>264235</t>
  </si>
  <si>
    <t>CNRBPUTTAMMA</t>
  </si>
  <si>
    <t>308971</t>
  </si>
  <si>
    <t>278358</t>
  </si>
  <si>
    <t>CNRBRAJENDRAH1467</t>
  </si>
  <si>
    <t>308980</t>
  </si>
  <si>
    <t>Kemmannugundi, Karnataka</t>
  </si>
  <si>
    <t>242576</t>
  </si>
  <si>
    <t>CNRBSUMATHI</t>
  </si>
  <si>
    <t>309012</t>
  </si>
  <si>
    <t>272072</t>
  </si>
  <si>
    <t>CNRB7777784</t>
  </si>
  <si>
    <t>309028</t>
  </si>
  <si>
    <t>Koppal, Karnataka</t>
  </si>
  <si>
    <t>274324</t>
  </si>
  <si>
    <t>CNRBSYEDSABIRPASHA</t>
  </si>
  <si>
    <t>309031</t>
  </si>
  <si>
    <t>Amble Industrial Area, Karnataka</t>
  </si>
  <si>
    <t>246503</t>
  </si>
  <si>
    <t>CNRBYOGESH</t>
  </si>
  <si>
    <t>309132</t>
  </si>
  <si>
    <t>233647</t>
  </si>
  <si>
    <t>CNRB10991159302</t>
  </si>
  <si>
    <t>309217</t>
  </si>
  <si>
    <t>205799</t>
  </si>
  <si>
    <t>CNRB11656583901</t>
  </si>
  <si>
    <t>309340</t>
  </si>
  <si>
    <t>Ballari, Karnataka</t>
  </si>
  <si>
    <t>190252</t>
  </si>
  <si>
    <t>CNRB24905104211</t>
  </si>
  <si>
    <t>309400</t>
  </si>
  <si>
    <t>Gadag Betageri, Karnataka</t>
  </si>
  <si>
    <t>190267</t>
  </si>
  <si>
    <t>CNRB30955784104</t>
  </si>
  <si>
    <t>309463</t>
  </si>
  <si>
    <t>227232</t>
  </si>
  <si>
    <t>CNRB1050001</t>
  </si>
  <si>
    <t>309681</t>
  </si>
  <si>
    <t>265632</t>
  </si>
  <si>
    <t>CNRB1050301</t>
  </si>
  <si>
    <t>309710</t>
  </si>
  <si>
    <t>265633</t>
  </si>
  <si>
    <t>CNRBASHOKP</t>
  </si>
  <si>
    <t>309717</t>
  </si>
  <si>
    <t>284251</t>
  </si>
  <si>
    <t>CNRB74074040ARTHI</t>
  </si>
  <si>
    <t>309731</t>
  </si>
  <si>
    <t>282367</t>
  </si>
  <si>
    <t>CNRB164002299237</t>
  </si>
  <si>
    <t>309736</t>
  </si>
  <si>
    <t>Dharwad, Karnataka</t>
  </si>
  <si>
    <t>274321</t>
  </si>
  <si>
    <t>CNRBSIDDAGANGA3</t>
  </si>
  <si>
    <t>309997</t>
  </si>
  <si>
    <t>265639</t>
  </si>
  <si>
    <t>CNRBMANJUNATHA3</t>
  </si>
  <si>
    <t>310013</t>
  </si>
  <si>
    <t>Siruguppa, Karnataka</t>
  </si>
  <si>
    <t>265635</t>
  </si>
  <si>
    <t>CNRBSAIMANJUNATHA</t>
  </si>
  <si>
    <t>310039</t>
  </si>
  <si>
    <t>265638</t>
  </si>
  <si>
    <t>CNRBMANJUNATHA2</t>
  </si>
  <si>
    <t>310050</t>
  </si>
  <si>
    <t>265636</t>
  </si>
  <si>
    <t>CNRB9794776002</t>
  </si>
  <si>
    <t>310093</t>
  </si>
  <si>
    <t>Gangawati, Karnataka</t>
  </si>
  <si>
    <t>207481</t>
  </si>
  <si>
    <t>CNRB7253241503</t>
  </si>
  <si>
    <t>310170</t>
  </si>
  <si>
    <t>190346</t>
  </si>
  <si>
    <t>CNRB259374412</t>
  </si>
  <si>
    <t>310930</t>
  </si>
  <si>
    <t>Cheruvathur, Kerala</t>
  </si>
  <si>
    <t>282128</t>
  </si>
  <si>
    <t>CNRB57900268</t>
  </si>
  <si>
    <t>310938</t>
  </si>
  <si>
    <t>279180</t>
  </si>
  <si>
    <t>CNRB250646286</t>
  </si>
  <si>
    <t>312096</t>
  </si>
  <si>
    <t>Kannur, Kerala</t>
  </si>
  <si>
    <t>275752</t>
  </si>
  <si>
    <t>CNRB6819105</t>
  </si>
  <si>
    <t>312115</t>
  </si>
  <si>
    <t>Bungal, Punjab</t>
  </si>
  <si>
    <t>279182</t>
  </si>
  <si>
    <t>CNRB6819108</t>
  </si>
  <si>
    <t>312128</t>
  </si>
  <si>
    <t>279354</t>
  </si>
  <si>
    <t>CNRB6819109</t>
  </si>
  <si>
    <t>312148</t>
  </si>
  <si>
    <t>279371</t>
  </si>
  <si>
    <t>CNRB80401196</t>
  </si>
  <si>
    <t>312910</t>
  </si>
  <si>
    <t>241012</t>
  </si>
  <si>
    <t>CNRB8040119</t>
  </si>
  <si>
    <t>312917</t>
  </si>
  <si>
    <t>241011</t>
  </si>
  <si>
    <t>CNRB322325872</t>
  </si>
  <si>
    <t>314068</t>
  </si>
  <si>
    <t>254813</t>
  </si>
  <si>
    <t>CNRB29814228</t>
  </si>
  <si>
    <t>314072</t>
  </si>
  <si>
    <t>262480</t>
  </si>
  <si>
    <t>CNRB118816317</t>
  </si>
  <si>
    <t>314076</t>
  </si>
  <si>
    <t>284731</t>
  </si>
  <si>
    <t>CNRB91659295V</t>
  </si>
  <si>
    <t>314128</t>
  </si>
  <si>
    <t>Aravakurichi, Tamil Nadu</t>
  </si>
  <si>
    <t>252388</t>
  </si>
  <si>
    <t>CNRB872721782</t>
  </si>
  <si>
    <t>314146</t>
  </si>
  <si>
    <t>252029</t>
  </si>
  <si>
    <t>CNRB80199019RB</t>
  </si>
  <si>
    <t>314159</t>
  </si>
  <si>
    <t>271291</t>
  </si>
  <si>
    <t>CNRB8727217823</t>
  </si>
  <si>
    <t>314172</t>
  </si>
  <si>
    <t>252038</t>
  </si>
  <si>
    <t>CNRB27650218B</t>
  </si>
  <si>
    <t>314178</t>
  </si>
  <si>
    <t>221511</t>
  </si>
  <si>
    <t>CNRB100826676</t>
  </si>
  <si>
    <t>314199</t>
  </si>
  <si>
    <t>202389</t>
  </si>
  <si>
    <t>CNRB27650218A</t>
  </si>
  <si>
    <t>314200</t>
  </si>
  <si>
    <t>221509</t>
  </si>
  <si>
    <t>CNRB108106276</t>
  </si>
  <si>
    <t>314226</t>
  </si>
  <si>
    <t>Dharapuram, Tamil Nadu</t>
  </si>
  <si>
    <t>255585</t>
  </si>
  <si>
    <t>CNRB119707838</t>
  </si>
  <si>
    <t>315080</t>
  </si>
  <si>
    <t>280031</t>
  </si>
  <si>
    <t>CNRB25326194</t>
  </si>
  <si>
    <t>315096</t>
  </si>
  <si>
    <t>271281</t>
  </si>
  <si>
    <t>CNRBDHANDAPANI</t>
  </si>
  <si>
    <t>315108</t>
  </si>
  <si>
    <t>Pennathur, Tamil Nadu</t>
  </si>
  <si>
    <t>254999</t>
  </si>
  <si>
    <t>CNRB314054943</t>
  </si>
  <si>
    <t>315112</t>
  </si>
  <si>
    <t>Devasthanam, Tamil Nadu</t>
  </si>
  <si>
    <t>248345</t>
  </si>
  <si>
    <t>CNRB304275049II</t>
  </si>
  <si>
    <t>315169</t>
  </si>
  <si>
    <t>276879</t>
  </si>
  <si>
    <t>CNRB320479086</t>
  </si>
  <si>
    <t>315177</t>
  </si>
  <si>
    <t>278333</t>
  </si>
  <si>
    <t>CNRB304275049I</t>
  </si>
  <si>
    <t>315186</t>
  </si>
  <si>
    <t>276870</t>
  </si>
  <si>
    <t>CNRB93807251LB</t>
  </si>
  <si>
    <t>315210</t>
  </si>
  <si>
    <t>Palladam, Tamil Nadu</t>
  </si>
  <si>
    <t>287480</t>
  </si>
  <si>
    <t>CNRB247980112B</t>
  </si>
  <si>
    <t>315225</t>
  </si>
  <si>
    <t>Perambakkam, Tamil Nadu</t>
  </si>
  <si>
    <t>244238</t>
  </si>
  <si>
    <t>CNRB247980112A</t>
  </si>
  <si>
    <t>315235</t>
  </si>
  <si>
    <t>244230</t>
  </si>
  <si>
    <t>CNRB120943766</t>
  </si>
  <si>
    <t>315250</t>
  </si>
  <si>
    <t>Ekambarakuppam, Andhra Pradesh</t>
  </si>
  <si>
    <t>281853</t>
  </si>
  <si>
    <t>CNRB120943766I</t>
  </si>
  <si>
    <t>315261</t>
  </si>
  <si>
    <t>283201</t>
  </si>
  <si>
    <t>CNRB120943766IV</t>
  </si>
  <si>
    <t>315289</t>
  </si>
  <si>
    <t>Puttur, Andhra Pradesh</t>
  </si>
  <si>
    <t>281858</t>
  </si>
  <si>
    <t>CNRB00246905357</t>
  </si>
  <si>
    <t>315296</t>
  </si>
  <si>
    <t>247213</t>
  </si>
  <si>
    <t>CNRBVALLABMAHI2</t>
  </si>
  <si>
    <t>315308</t>
  </si>
  <si>
    <t>255271</t>
  </si>
  <si>
    <t>CNRBVALLABMAHI1</t>
  </si>
  <si>
    <t>315317</t>
  </si>
  <si>
    <t>255268</t>
  </si>
  <si>
    <t>CNRB30112779501</t>
  </si>
  <si>
    <t>315328</t>
  </si>
  <si>
    <t>243773</t>
  </si>
  <si>
    <t>CNRB49735941</t>
  </si>
  <si>
    <t>315340</t>
  </si>
  <si>
    <t>243764</t>
  </si>
  <si>
    <t>CNRB75731209</t>
  </si>
  <si>
    <t>315344</t>
  </si>
  <si>
    <t>202579</t>
  </si>
  <si>
    <t>CNRB80689914LB</t>
  </si>
  <si>
    <t>315346</t>
  </si>
  <si>
    <t>Balakrishnapuram, Tamil Nadu</t>
  </si>
  <si>
    <t>259692</t>
  </si>
  <si>
    <t>CNRBVISHWA</t>
  </si>
  <si>
    <t>315357</t>
  </si>
  <si>
    <t>254018</t>
  </si>
  <si>
    <t>CNRB9175244127007SSSB3</t>
  </si>
  <si>
    <t>303229</t>
  </si>
  <si>
    <t>Bandhail, West Bengal</t>
  </si>
  <si>
    <t>266660</t>
  </si>
  <si>
    <t>CNRB1SSSBT91752441</t>
  </si>
  <si>
    <t>303234</t>
  </si>
  <si>
    <t>265763</t>
  </si>
  <si>
    <t>CNRBMANIKANTA</t>
  </si>
  <si>
    <t>307155</t>
  </si>
  <si>
    <t>Kampli, Karnataka</t>
  </si>
  <si>
    <t>267191</t>
  </si>
  <si>
    <t>CNRBKHAJAPEER</t>
  </si>
  <si>
    <t>307182</t>
  </si>
  <si>
    <t>270813</t>
  </si>
  <si>
    <t>CNRBREVANIBAI</t>
  </si>
  <si>
    <t>307198</t>
  </si>
  <si>
    <t>Harapanahalli, Karnataka</t>
  </si>
  <si>
    <t>267179</t>
  </si>
  <si>
    <t>CNRBBASAMMAKAMPLI</t>
  </si>
  <si>
    <t>307206</t>
  </si>
  <si>
    <t>Hosapete, Karnataka</t>
  </si>
  <si>
    <t>267187</t>
  </si>
  <si>
    <t>CNRBSHANKGOUD</t>
  </si>
  <si>
    <t>307220</t>
  </si>
  <si>
    <t>Gudur, Karnataka</t>
  </si>
  <si>
    <t>278995</t>
  </si>
  <si>
    <t>CNRBSHARANA</t>
  </si>
  <si>
    <t>307232</t>
  </si>
  <si>
    <t>279686</t>
  </si>
  <si>
    <t>CNRBBURAN</t>
  </si>
  <si>
    <t>307242</t>
  </si>
  <si>
    <t>279690</t>
  </si>
  <si>
    <t>CNRBSAIMAX</t>
  </si>
  <si>
    <t>307256</t>
  </si>
  <si>
    <t>279698</t>
  </si>
  <si>
    <t>CNRBMAHESWARAPPA</t>
  </si>
  <si>
    <t>307302</t>
  </si>
  <si>
    <t>250322</t>
  </si>
  <si>
    <t>CNRBSWAPNA</t>
  </si>
  <si>
    <t>307316</t>
  </si>
  <si>
    <t>252094</t>
  </si>
  <si>
    <t>CNRBVENKATESHSHETTY</t>
  </si>
  <si>
    <t>307330</t>
  </si>
  <si>
    <t>252097</t>
  </si>
  <si>
    <t>CNRBKHASIMZP</t>
  </si>
  <si>
    <t>307339</t>
  </si>
  <si>
    <t>264761</t>
  </si>
  <si>
    <t>CNRB65024340</t>
  </si>
  <si>
    <t>307363</t>
  </si>
  <si>
    <t>205444</t>
  </si>
  <si>
    <t>CNRBADEPPA</t>
  </si>
  <si>
    <t>307370</t>
  </si>
  <si>
    <t>224889</t>
  </si>
  <si>
    <t>CNRBPARVATHII600</t>
  </si>
  <si>
    <t>307381</t>
  </si>
  <si>
    <t>235692</t>
  </si>
  <si>
    <t>CNRBMATARAENTERPRISE</t>
  </si>
  <si>
    <t>307389</t>
  </si>
  <si>
    <t>245388</t>
  </si>
  <si>
    <t>CNRBBASAMMA</t>
  </si>
  <si>
    <t>307395</t>
  </si>
  <si>
    <t>Kudligi, Karnataka</t>
  </si>
  <si>
    <t>207903</t>
  </si>
  <si>
    <t>CNRBNAZRUL1</t>
  </si>
  <si>
    <t>307401</t>
  </si>
  <si>
    <t>245356</t>
  </si>
  <si>
    <t>CNRBNAVEEN602</t>
  </si>
  <si>
    <t>307436</t>
  </si>
  <si>
    <t>201741</t>
  </si>
  <si>
    <t>CNRBSHIIVARAMAK</t>
  </si>
  <si>
    <t>307446</t>
  </si>
  <si>
    <t>201728</t>
  </si>
  <si>
    <t>CNRB91752441FLAT</t>
  </si>
  <si>
    <t>307505</t>
  </si>
  <si>
    <t>Chhota Suzapur, West Bengal</t>
  </si>
  <si>
    <t>285749</t>
  </si>
  <si>
    <t>CNRB253273156</t>
  </si>
  <si>
    <t>307556</t>
  </si>
  <si>
    <t>285769</t>
  </si>
  <si>
    <t>CNRB10278022302</t>
  </si>
  <si>
    <t>309551</t>
  </si>
  <si>
    <t>Aurad, Karnataka</t>
  </si>
  <si>
    <t>266463</t>
  </si>
  <si>
    <t>CNRB96119575</t>
  </si>
  <si>
    <t>309555</t>
  </si>
  <si>
    <t>266462</t>
  </si>
  <si>
    <t>CNRB109618508</t>
  </si>
  <si>
    <t>309557</t>
  </si>
  <si>
    <t>Gokak, Karnataka</t>
  </si>
  <si>
    <t>267215</t>
  </si>
  <si>
    <t>CNRB107818712</t>
  </si>
  <si>
    <t>309580</t>
  </si>
  <si>
    <t>Sindgi, Karnataka</t>
  </si>
  <si>
    <t>246744</t>
  </si>
  <si>
    <t>CNRB251830319</t>
  </si>
  <si>
    <t>310103</t>
  </si>
  <si>
    <t>246756</t>
  </si>
  <si>
    <t>CNRBKRISHNA1</t>
  </si>
  <si>
    <t>310692</t>
  </si>
  <si>
    <t>199758</t>
  </si>
  <si>
    <t>CNRBASHUTOSH1</t>
  </si>
  <si>
    <t>310704</t>
  </si>
  <si>
    <t>265699</t>
  </si>
  <si>
    <t>CNRBUJJAL01</t>
  </si>
  <si>
    <t>310710</t>
  </si>
  <si>
    <t>265784</t>
  </si>
  <si>
    <t>CNRBGOPAL1</t>
  </si>
  <si>
    <t>310720</t>
  </si>
  <si>
    <t>199394</t>
  </si>
  <si>
    <t>CNRBCHANDRA1</t>
  </si>
  <si>
    <t>311324</t>
  </si>
  <si>
    <t>265694</t>
  </si>
  <si>
    <t>CNRBTUKTUKI1</t>
  </si>
  <si>
    <t>311360</t>
  </si>
  <si>
    <t>199773</t>
  </si>
  <si>
    <t>CNRBSHARIF1</t>
  </si>
  <si>
    <t>311375</t>
  </si>
  <si>
    <t>197855</t>
  </si>
  <si>
    <t>CNRBPANKAJ1</t>
  </si>
  <si>
    <t>311384</t>
  </si>
  <si>
    <t>246978</t>
  </si>
  <si>
    <t>CNRBSANJIB1</t>
  </si>
  <si>
    <t>311387</t>
  </si>
  <si>
    <t>Chandpala Anantapathpur, West Bengal</t>
  </si>
  <si>
    <t>197880</t>
  </si>
  <si>
    <t>CNRBKHAIRUL1</t>
  </si>
  <si>
    <t>311515</t>
  </si>
  <si>
    <t>201770</t>
  </si>
  <si>
    <t>CNRBMIDDYA01</t>
  </si>
  <si>
    <t>311984</t>
  </si>
  <si>
    <t>Raidighi, West Bengal</t>
  </si>
  <si>
    <t>271903</t>
  </si>
  <si>
    <t>CNRBNIHARIKA1</t>
  </si>
  <si>
    <t>311985</t>
  </si>
  <si>
    <t>199398</t>
  </si>
  <si>
    <t>CNRBSHARMISTHA1</t>
  </si>
  <si>
    <t>311989</t>
  </si>
  <si>
    <t>230863</t>
  </si>
  <si>
    <t>CNRB3AGARMENTS1</t>
  </si>
  <si>
    <t>311993</t>
  </si>
  <si>
    <t>199146</t>
  </si>
  <si>
    <t>BARB175720200025</t>
  </si>
  <si>
    <t>301272</t>
  </si>
  <si>
    <t>Bhanvad, Gujarat</t>
  </si>
  <si>
    <t>57963</t>
  </si>
  <si>
    <t>BARB175720200026</t>
  </si>
  <si>
    <t>301277</t>
  </si>
  <si>
    <t>29875</t>
  </si>
  <si>
    <t>BARB175720200022</t>
  </si>
  <si>
    <t>301283</t>
  </si>
  <si>
    <t>35135</t>
  </si>
  <si>
    <t>BARB175720200023</t>
  </si>
  <si>
    <t>301288</t>
  </si>
  <si>
    <t>81717</t>
  </si>
  <si>
    <t>BARB175720200024</t>
  </si>
  <si>
    <t>301295</t>
  </si>
  <si>
    <t>15717</t>
  </si>
  <si>
    <t>BARB175720200021</t>
  </si>
  <si>
    <t>301301</t>
  </si>
  <si>
    <t>33685</t>
  </si>
  <si>
    <t>CNRB00012</t>
  </si>
  <si>
    <t>312172</t>
  </si>
  <si>
    <t>191411</t>
  </si>
  <si>
    <t>CNRB209276261</t>
  </si>
  <si>
    <t>312182</t>
  </si>
  <si>
    <t>248258</t>
  </si>
  <si>
    <t>CNRB218996318</t>
  </si>
  <si>
    <t>312198</t>
  </si>
  <si>
    <t>256070</t>
  </si>
  <si>
    <t>CNRB68083644</t>
  </si>
  <si>
    <t>312207</t>
  </si>
  <si>
    <t>Athni, Karnataka</t>
  </si>
  <si>
    <t>256033</t>
  </si>
  <si>
    <t>CNRB305051612</t>
  </si>
  <si>
    <t>312210</t>
  </si>
  <si>
    <t>262290</t>
  </si>
  <si>
    <t>CNRBLAXMAN</t>
  </si>
  <si>
    <t>312211</t>
  </si>
  <si>
    <t>191704</t>
  </si>
  <si>
    <t>CNRBMANJUNATH</t>
  </si>
  <si>
    <t>312217</t>
  </si>
  <si>
    <t>191690</t>
  </si>
  <si>
    <t>CNRB235206396</t>
  </si>
  <si>
    <t>312219</t>
  </si>
  <si>
    <t>256069</t>
  </si>
  <si>
    <t>CNRB233936745</t>
  </si>
  <si>
    <t>312220</t>
  </si>
  <si>
    <t>256058</t>
  </si>
  <si>
    <t>CNRB257952305</t>
  </si>
  <si>
    <t>312221</t>
  </si>
  <si>
    <t>Borgaon Textile Park, Karnataka</t>
  </si>
  <si>
    <t>256078</t>
  </si>
  <si>
    <t>CNRB11960926701</t>
  </si>
  <si>
    <t>312320</t>
  </si>
  <si>
    <t>Mandideep, Madhya Pradesh</t>
  </si>
  <si>
    <t>203422</t>
  </si>
  <si>
    <t>CNRB124451208</t>
  </si>
  <si>
    <t>312340</t>
  </si>
  <si>
    <t>181551</t>
  </si>
  <si>
    <t>CNRB70373771</t>
  </si>
  <si>
    <t>312355</t>
  </si>
  <si>
    <t>204116</t>
  </si>
  <si>
    <t>CNRB310694796</t>
  </si>
  <si>
    <t>312392</t>
  </si>
  <si>
    <t>254090</t>
  </si>
  <si>
    <t>CNRB250594982</t>
  </si>
  <si>
    <t>312398</t>
  </si>
  <si>
    <t>Basoda, Madhya Pradesh</t>
  </si>
  <si>
    <t>203050</t>
  </si>
  <si>
    <t>CNRB125122811</t>
  </si>
  <si>
    <t>312403</t>
  </si>
  <si>
    <t>242383</t>
  </si>
  <si>
    <t>CNRB48024125</t>
  </si>
  <si>
    <t>312411</t>
  </si>
  <si>
    <t>Industrial Area Jambar, Madhya Pradesh</t>
  </si>
  <si>
    <t>203186</t>
  </si>
  <si>
    <t>CNRBCNRB70313737</t>
  </si>
  <si>
    <t>312455</t>
  </si>
  <si>
    <t>Itarsi, Madhya Pradesh</t>
  </si>
  <si>
    <t>243072</t>
  </si>
  <si>
    <t>CNRB00256093948</t>
  </si>
  <si>
    <t>312460</t>
  </si>
  <si>
    <t>242375</t>
  </si>
  <si>
    <t>CNRB302205611</t>
  </si>
  <si>
    <t>312466</t>
  </si>
  <si>
    <t>283169</t>
  </si>
  <si>
    <t>CNRB309196934</t>
  </si>
  <si>
    <t>312472</t>
  </si>
  <si>
    <t>263236</t>
  </si>
  <si>
    <t>CNRB102396072</t>
  </si>
  <si>
    <t>312519</t>
  </si>
  <si>
    <t>189623</t>
  </si>
  <si>
    <t>CNRB100351210</t>
  </si>
  <si>
    <t>312566</t>
  </si>
  <si>
    <t>233412</t>
  </si>
  <si>
    <t>CNRB260074108</t>
  </si>
  <si>
    <t>312570</t>
  </si>
  <si>
    <t>202812</t>
  </si>
  <si>
    <t>CNRB257635153</t>
  </si>
  <si>
    <t>312617</t>
  </si>
  <si>
    <t>203675</t>
  </si>
  <si>
    <t>CNRBCNRB94622471</t>
  </si>
  <si>
    <t>312621</t>
  </si>
  <si>
    <t>243074</t>
  </si>
  <si>
    <t>CNRB111306555</t>
  </si>
  <si>
    <t>312637</t>
  </si>
  <si>
    <t>228932</t>
  </si>
  <si>
    <t>CNRB6291119670389004</t>
  </si>
  <si>
    <t>313061</t>
  </si>
  <si>
    <t>272284</t>
  </si>
  <si>
    <t>PSIB0021092</t>
  </si>
  <si>
    <t>310225</t>
  </si>
  <si>
    <t>Lamlai, Manipur</t>
  </si>
  <si>
    <t>267526</t>
  </si>
  <si>
    <t>PSIB00210922</t>
  </si>
  <si>
    <t>310244</t>
  </si>
  <si>
    <t>268640</t>
  </si>
  <si>
    <t>CNRB7908MONIPAL</t>
  </si>
  <si>
    <t>311072</t>
  </si>
  <si>
    <t>283838</t>
  </si>
  <si>
    <t>CNRB7908RKV</t>
  </si>
  <si>
    <t>311144</t>
  </si>
  <si>
    <t>284942</t>
  </si>
  <si>
    <t>CNRB246228669</t>
  </si>
  <si>
    <t>312760</t>
  </si>
  <si>
    <t>Govindpur Baori Industrial Area, Rajasthan</t>
  </si>
  <si>
    <t>204958</t>
  </si>
  <si>
    <t>CNRB320058902B</t>
  </si>
  <si>
    <t>314768</t>
  </si>
  <si>
    <t>243980</t>
  </si>
  <si>
    <t>CBIN028701608</t>
  </si>
  <si>
    <t>302282</t>
  </si>
  <si>
    <t>Chittorgarh, Rajasthan</t>
  </si>
  <si>
    <t>185630</t>
  </si>
  <si>
    <t>IDIB6206289041</t>
  </si>
  <si>
    <t>309796</t>
  </si>
  <si>
    <t>21519</t>
  </si>
  <si>
    <t>SBIN90734371914</t>
  </si>
  <si>
    <t>311976</t>
  </si>
  <si>
    <t>IIT Bhubaneswar, Odisha</t>
  </si>
  <si>
    <t>282203</t>
  </si>
  <si>
    <t>BARB2024478100010</t>
  </si>
  <si>
    <t>312771</t>
  </si>
  <si>
    <t>227419</t>
  </si>
  <si>
    <t>BARB202647810001</t>
  </si>
  <si>
    <t>312810</t>
  </si>
  <si>
    <t>273684</t>
  </si>
  <si>
    <t>CNRB302544857001</t>
  </si>
  <si>
    <t>301791</t>
  </si>
  <si>
    <t>Thirukkattupalli, Tamil Nadu</t>
  </si>
  <si>
    <t>284993</t>
  </si>
  <si>
    <t>CNRB228602589</t>
  </si>
  <si>
    <t>303477</t>
  </si>
  <si>
    <t>Aranthangi, Tamil Nadu</t>
  </si>
  <si>
    <t>245156</t>
  </si>
  <si>
    <t>CNRB85000613</t>
  </si>
  <si>
    <t>308319</t>
  </si>
  <si>
    <t>282979</t>
  </si>
  <si>
    <t>CNRBPOOJAROOR</t>
  </si>
  <si>
    <t>309838</t>
  </si>
  <si>
    <t>246666</t>
  </si>
  <si>
    <t>CNRBGOYALBRICK</t>
  </si>
  <si>
    <t>309861</t>
  </si>
  <si>
    <t>243676</t>
  </si>
  <si>
    <t>CNRB182245</t>
  </si>
  <si>
    <t>310098</t>
  </si>
  <si>
    <t>Hodal, Haryana</t>
  </si>
  <si>
    <t>228563</t>
  </si>
  <si>
    <t>CNRB0009251</t>
  </si>
  <si>
    <t>310122</t>
  </si>
  <si>
    <t>247059</t>
  </si>
  <si>
    <t>CNRB33982</t>
  </si>
  <si>
    <t>310140</t>
  </si>
  <si>
    <t>206941</t>
  </si>
  <si>
    <t>CNRB33985</t>
  </si>
  <si>
    <t>310146</t>
  </si>
  <si>
    <t>228584</t>
  </si>
  <si>
    <t>CNRB001889703</t>
  </si>
  <si>
    <t>311750</t>
  </si>
  <si>
    <t>188428</t>
  </si>
  <si>
    <t>CNRBKUMARAVEL</t>
  </si>
  <si>
    <t>313835</t>
  </si>
  <si>
    <t>279404</t>
  </si>
  <si>
    <t>CNRB254587187</t>
  </si>
  <si>
    <t>301751</t>
  </si>
  <si>
    <t>203302</t>
  </si>
  <si>
    <t>PSIB0783DIVYA</t>
  </si>
  <si>
    <t>306623</t>
  </si>
  <si>
    <t>285521</t>
  </si>
  <si>
    <t>PSIB0626SATISH</t>
  </si>
  <si>
    <t>306673</t>
  </si>
  <si>
    <t>285530</t>
  </si>
  <si>
    <t>PSIB0250SARMISTHA</t>
  </si>
  <si>
    <t>306689</t>
  </si>
  <si>
    <t>285721</t>
  </si>
  <si>
    <t>PSIB0250VIRENDER</t>
  </si>
  <si>
    <t>306727</t>
  </si>
  <si>
    <t>285710</t>
  </si>
  <si>
    <t>CNRB3248687552</t>
  </si>
  <si>
    <t>311108</t>
  </si>
  <si>
    <t>Sidhpur, Gujarat</t>
  </si>
  <si>
    <t>269812</t>
  </si>
  <si>
    <t>CNRB209108864</t>
  </si>
  <si>
    <t>311112</t>
  </si>
  <si>
    <t>274342</t>
  </si>
  <si>
    <t>CNRB23812</t>
  </si>
  <si>
    <t>311244</t>
  </si>
  <si>
    <t>Vijapur, Gujarat</t>
  </si>
  <si>
    <t>281844</t>
  </si>
  <si>
    <t>CNRB115493123001</t>
  </si>
  <si>
    <t>311271</t>
  </si>
  <si>
    <t>282199</t>
  </si>
  <si>
    <t>CNRB310559486001</t>
  </si>
  <si>
    <t>311325</t>
  </si>
  <si>
    <t>276563</t>
  </si>
  <si>
    <t>CNRB3115212661</t>
  </si>
  <si>
    <t>311328</t>
  </si>
  <si>
    <t>269806</t>
  </si>
  <si>
    <t>PSIB1058SAJJAD</t>
  </si>
  <si>
    <t>311923</t>
  </si>
  <si>
    <t>285550</t>
  </si>
  <si>
    <t>CNRB13025960</t>
  </si>
  <si>
    <t>312265</t>
  </si>
  <si>
    <t>271779</t>
  </si>
  <si>
    <t>CNRB67830068SA</t>
  </si>
  <si>
    <t>314780</t>
  </si>
  <si>
    <t>240232</t>
  </si>
  <si>
    <t>CNRB67830068SB</t>
  </si>
  <si>
    <t>314982</t>
  </si>
  <si>
    <t>240236</t>
  </si>
  <si>
    <t>CNRB67830068SC</t>
  </si>
  <si>
    <t>314987</t>
  </si>
  <si>
    <t>240241</t>
  </si>
  <si>
    <t>CNRB67830068SD</t>
  </si>
  <si>
    <t>314994</t>
  </si>
  <si>
    <t>240248</t>
  </si>
  <si>
    <t>CNRB67830068SE</t>
  </si>
  <si>
    <t>315003</t>
  </si>
  <si>
    <t>240250</t>
  </si>
  <si>
    <t>CNRB67830068SH</t>
  </si>
  <si>
    <t>315018</t>
  </si>
  <si>
    <t>240326</t>
  </si>
  <si>
    <t>CNRB67830068SI</t>
  </si>
  <si>
    <t>315092</t>
  </si>
  <si>
    <t>240329</t>
  </si>
  <si>
    <t>CNRB67830068SM</t>
  </si>
  <si>
    <t>315119</t>
  </si>
  <si>
    <t>240335</t>
  </si>
  <si>
    <t>CNRB67830068SP</t>
  </si>
  <si>
    <t>315148</t>
  </si>
  <si>
    <t>240346</t>
  </si>
  <si>
    <t>CNRB67830068SQ</t>
  </si>
  <si>
    <t>315170</t>
  </si>
  <si>
    <t>240349</t>
  </si>
  <si>
    <t>CNRB67830068SR</t>
  </si>
  <si>
    <t>315482</t>
  </si>
  <si>
    <t>240350</t>
  </si>
  <si>
    <t>CNRB67830068ST</t>
  </si>
  <si>
    <t>315494</t>
  </si>
  <si>
    <t>240357</t>
  </si>
  <si>
    <t>CNRB67830068SU</t>
  </si>
  <si>
    <t>316335</t>
  </si>
  <si>
    <t>240831</t>
  </si>
  <si>
    <t>CNRB67830068SV</t>
  </si>
  <si>
    <t>316347</t>
  </si>
  <si>
    <t>240832</t>
  </si>
  <si>
    <t>CNRB67830068SW</t>
  </si>
  <si>
    <t>316363</t>
  </si>
  <si>
    <t>240833</t>
  </si>
  <si>
    <t>CNRB258361419</t>
  </si>
  <si>
    <t>317158</t>
  </si>
  <si>
    <t>228934</t>
  </si>
  <si>
    <t>CNRB312239560</t>
  </si>
  <si>
    <t>317173</t>
  </si>
  <si>
    <t>220244</t>
  </si>
  <si>
    <t>CNRB322032473</t>
  </si>
  <si>
    <t>317181</t>
  </si>
  <si>
    <t>Bhuj, Gujarat</t>
  </si>
  <si>
    <t>278762</t>
  </si>
  <si>
    <t>CNRB73468345</t>
  </si>
  <si>
    <t>317724</t>
  </si>
  <si>
    <t>227457</t>
  </si>
  <si>
    <t>CNRB310132157</t>
  </si>
  <si>
    <t>317739</t>
  </si>
  <si>
    <t>Anandpar, Gujarat</t>
  </si>
  <si>
    <t>243520</t>
  </si>
  <si>
    <t>CNRB252790222</t>
  </si>
  <si>
    <t>317744</t>
  </si>
  <si>
    <t>Veraval, Gujarat</t>
  </si>
  <si>
    <t>185251</t>
  </si>
  <si>
    <t>CNRB81406434</t>
  </si>
  <si>
    <t>317760</t>
  </si>
  <si>
    <t>204351</t>
  </si>
  <si>
    <t>CNRB98218050</t>
  </si>
  <si>
    <t>317766</t>
  </si>
  <si>
    <t>188926</t>
  </si>
  <si>
    <t>CNRB218112050</t>
  </si>
  <si>
    <t>317787</t>
  </si>
  <si>
    <t>185206</t>
  </si>
  <si>
    <t>CNRB313589617</t>
  </si>
  <si>
    <t>317799</t>
  </si>
  <si>
    <t>280723</t>
  </si>
  <si>
    <t>IOBA203800552</t>
  </si>
  <si>
    <t>307975</t>
  </si>
  <si>
    <t>Vandavasi, Tamil Nadu</t>
  </si>
  <si>
    <t>262328</t>
  </si>
  <si>
    <t>BARB202401</t>
  </si>
  <si>
    <t>308515</t>
  </si>
  <si>
    <t>171183</t>
  </si>
  <si>
    <t>MAHBSINDHPLOT1</t>
  </si>
  <si>
    <t>310255</t>
  </si>
  <si>
    <t>283677</t>
  </si>
  <si>
    <t>BARB60432026001</t>
  </si>
  <si>
    <t>314721</t>
  </si>
  <si>
    <t>285424</t>
  </si>
  <si>
    <t>CNRB0UNIQUE0TRACTOR</t>
  </si>
  <si>
    <t>303922</t>
  </si>
  <si>
    <t>Bela Pratapgarh, Uttar Pradesh</t>
  </si>
  <si>
    <t>285257</t>
  </si>
  <si>
    <t>BARB0CHICKM0923</t>
  </si>
  <si>
    <t>306970</t>
  </si>
  <si>
    <t>225902</t>
  </si>
  <si>
    <t>BARB3035</t>
  </si>
  <si>
    <t>315350</t>
  </si>
  <si>
    <t>287102</t>
  </si>
  <si>
    <t>BARB090420260001</t>
  </si>
  <si>
    <t>303825</t>
  </si>
  <si>
    <t>285486</t>
  </si>
  <si>
    <t>BARB0618dhindsa</t>
  </si>
  <si>
    <t>315665</t>
  </si>
  <si>
    <t>279509</t>
  </si>
  <si>
    <t>CNRBAMRUTA</t>
  </si>
  <si>
    <t>310533</t>
  </si>
  <si>
    <t>26-06-2026 10:00</t>
  </si>
  <si>
    <t>26-06-2026 11:00</t>
  </si>
  <si>
    <t>279286</t>
  </si>
  <si>
    <t>CNRB21000001</t>
  </si>
  <si>
    <t>310552</t>
  </si>
  <si>
    <t>188981</t>
  </si>
  <si>
    <t>CNRB11300001</t>
  </si>
  <si>
    <t>310572</t>
  </si>
  <si>
    <t>188973</t>
  </si>
  <si>
    <t>CNRBGSHIRKE</t>
  </si>
  <si>
    <t>310651</t>
  </si>
  <si>
    <t>286663</t>
  </si>
  <si>
    <t>IOBA021005</t>
  </si>
  <si>
    <t>310456</t>
  </si>
  <si>
    <t>Corlim, Goa</t>
  </si>
  <si>
    <t>26-06-2026 16:00</t>
  </si>
  <si>
    <t>188318</t>
  </si>
  <si>
    <t>IOBA021004</t>
  </si>
  <si>
    <t>310479</t>
  </si>
  <si>
    <t>188308</t>
  </si>
  <si>
    <t>IOBA021003</t>
  </si>
  <si>
    <t>310496</t>
  </si>
  <si>
    <t>188301</t>
  </si>
  <si>
    <t>IOBA021002</t>
  </si>
  <si>
    <t>310516</t>
  </si>
  <si>
    <t>188289</t>
  </si>
  <si>
    <t>IDIB6172673895</t>
  </si>
  <si>
    <t>315544</t>
  </si>
  <si>
    <t>287547</t>
  </si>
  <si>
    <t>IDIBSONUCEMENT</t>
  </si>
  <si>
    <t>316468</t>
  </si>
  <si>
    <t>253009</t>
  </si>
  <si>
    <t>CNRB102370413</t>
  </si>
  <si>
    <t>303048</t>
  </si>
  <si>
    <t>Boudh, Odisha</t>
  </si>
  <si>
    <t>26-06-2026 10:30</t>
  </si>
  <si>
    <t>26-06-2026 11:30</t>
  </si>
  <si>
    <t>285329</t>
  </si>
  <si>
    <t>CNRB00001435</t>
  </si>
  <si>
    <t>311809</t>
  </si>
  <si>
    <t>254155</t>
  </si>
  <si>
    <t>CNRBSHIYAD</t>
  </si>
  <si>
    <t>314219</t>
  </si>
  <si>
    <t>272562</t>
  </si>
  <si>
    <t>CNRB241215023</t>
  </si>
  <si>
    <t>313607</t>
  </si>
  <si>
    <t>Bargarh, Odisha</t>
  </si>
  <si>
    <t>208373</t>
  </si>
  <si>
    <t>CNRB66964126</t>
  </si>
  <si>
    <t>313609</t>
  </si>
  <si>
    <t>Vedanta Jharsuguda, Odisha</t>
  </si>
  <si>
    <t>279173</t>
  </si>
  <si>
    <t>CNRB1010877102</t>
  </si>
  <si>
    <t>316151</t>
  </si>
  <si>
    <t>287584</t>
  </si>
  <si>
    <t>CNRB116340940</t>
  </si>
  <si>
    <t>309070</t>
  </si>
  <si>
    <t>26-06-2026 12:00</t>
  </si>
  <si>
    <t>263122</t>
  </si>
  <si>
    <t>CNRB719ramesh1</t>
  </si>
  <si>
    <t>309253</t>
  </si>
  <si>
    <t>279676</t>
  </si>
  <si>
    <t>CNRBFLAT302</t>
  </si>
  <si>
    <t>309876</t>
  </si>
  <si>
    <t>Dadar, Maharashtra</t>
  </si>
  <si>
    <t>257677</t>
  </si>
  <si>
    <t>CNRB0757261007167A</t>
  </si>
  <si>
    <t>310401</t>
  </si>
  <si>
    <t>Perinthalmanna, Kerala</t>
  </si>
  <si>
    <t>224961</t>
  </si>
  <si>
    <t>CNRBJAYENTERPRISE</t>
  </si>
  <si>
    <t>310431</t>
  </si>
  <si>
    <t>Ganjdundwara, Uttar Pradesh</t>
  </si>
  <si>
    <t>283420</t>
  </si>
  <si>
    <t>CNRBGUHRAJ</t>
  </si>
  <si>
    <t>310465</t>
  </si>
  <si>
    <t>Jalesar, Uttar Pradesh</t>
  </si>
  <si>
    <t>280710</t>
  </si>
  <si>
    <t>CNRBNOORPOULTRY</t>
  </si>
  <si>
    <t>310490</t>
  </si>
  <si>
    <t>273455</t>
  </si>
  <si>
    <t>CNRBHIRDESH</t>
  </si>
  <si>
    <t>310520</t>
  </si>
  <si>
    <t>266799</t>
  </si>
  <si>
    <t>CNRB000BSD</t>
  </si>
  <si>
    <t>310527</t>
  </si>
  <si>
    <t>258892</t>
  </si>
  <si>
    <t>CNRBSHAILENDRAP</t>
  </si>
  <si>
    <t>310551</t>
  </si>
  <si>
    <t>Bhagipur, Uttar Pradesh</t>
  </si>
  <si>
    <t>242550</t>
  </si>
  <si>
    <t>CNRB0RAMANAND</t>
  </si>
  <si>
    <t>310564</t>
  </si>
  <si>
    <t>Jaithara, Uttar Pradesh</t>
  </si>
  <si>
    <t>240766</t>
  </si>
  <si>
    <t>CNRB0757261007167</t>
  </si>
  <si>
    <t>310566</t>
  </si>
  <si>
    <t>224948</t>
  </si>
  <si>
    <t>CNRB0DINESHLATA</t>
  </si>
  <si>
    <t>310571</t>
  </si>
  <si>
    <t>240759</t>
  </si>
  <si>
    <t>CNRB001871112</t>
  </si>
  <si>
    <t>310588</t>
  </si>
  <si>
    <t>229733</t>
  </si>
  <si>
    <t>CNRB0000293</t>
  </si>
  <si>
    <t>310614</t>
  </si>
  <si>
    <t>Sidhpura, Uttar Pradesh</t>
  </si>
  <si>
    <t>223506</t>
  </si>
  <si>
    <t>CNRB0000241</t>
  </si>
  <si>
    <t>310627</t>
  </si>
  <si>
    <t>Kasganj, Uttar Pradesh</t>
  </si>
  <si>
    <t>223511</t>
  </si>
  <si>
    <t>CNRB001867408</t>
  </si>
  <si>
    <t>310638</t>
  </si>
  <si>
    <t>198821</t>
  </si>
  <si>
    <t>CNRB000429911</t>
  </si>
  <si>
    <t>310643</t>
  </si>
  <si>
    <t>198846</t>
  </si>
  <si>
    <t>CNRB001867404</t>
  </si>
  <si>
    <t>310649</t>
  </si>
  <si>
    <t>198802</t>
  </si>
  <si>
    <t>CNRB00187111</t>
  </si>
  <si>
    <t>310654</t>
  </si>
  <si>
    <t>187774</t>
  </si>
  <si>
    <t>CNRB001867407</t>
  </si>
  <si>
    <t>310659</t>
  </si>
  <si>
    <t>198817</t>
  </si>
  <si>
    <t>CNRB00187113</t>
  </si>
  <si>
    <t>310662</t>
  </si>
  <si>
    <t>187845</t>
  </si>
  <si>
    <t>CNRB00029773</t>
  </si>
  <si>
    <t>310665</t>
  </si>
  <si>
    <t>198799</t>
  </si>
  <si>
    <t>CNRB00187115</t>
  </si>
  <si>
    <t>310668</t>
  </si>
  <si>
    <t>187890</t>
  </si>
  <si>
    <t>CNRB0858004</t>
  </si>
  <si>
    <t>312289</t>
  </si>
  <si>
    <t>Nilambur, Kerala</t>
  </si>
  <si>
    <t>240186</t>
  </si>
  <si>
    <t>PSIB0051220</t>
  </si>
  <si>
    <t>307623</t>
  </si>
  <si>
    <t>26-06-2026 13:00</t>
  </si>
  <si>
    <t>196870</t>
  </si>
  <si>
    <t>SBIN38245788716</t>
  </si>
  <si>
    <t>298131</t>
  </si>
  <si>
    <t>Ajmer, Rajasthan</t>
  </si>
  <si>
    <t>26-06-2026 15:00</t>
  </si>
  <si>
    <t>284239</t>
  </si>
  <si>
    <t>SBIN43894048309</t>
  </si>
  <si>
    <t>302958</t>
  </si>
  <si>
    <t>Goredi Chancha, Rajasthan</t>
  </si>
  <si>
    <t>285253</t>
  </si>
  <si>
    <t>MAHBkarajgi1</t>
  </si>
  <si>
    <t>312563</t>
  </si>
  <si>
    <t>Afzalpur, Karnataka</t>
  </si>
  <si>
    <t>219993</t>
  </si>
  <si>
    <t>MAHBkarajgi2</t>
  </si>
  <si>
    <t>312573</t>
  </si>
  <si>
    <t>220005</t>
  </si>
  <si>
    <t>MAHB0RAMESH</t>
  </si>
  <si>
    <t>312589</t>
  </si>
  <si>
    <t>170914</t>
  </si>
  <si>
    <t>MAHBMallikarjun</t>
  </si>
  <si>
    <t>312701</t>
  </si>
  <si>
    <t>181206</t>
  </si>
  <si>
    <t>SBIN200002846853</t>
  </si>
  <si>
    <t>297361</t>
  </si>
  <si>
    <t>230187</t>
  </si>
  <si>
    <t>SBIN200039043077</t>
  </si>
  <si>
    <t>297366</t>
  </si>
  <si>
    <t>230071</t>
  </si>
  <si>
    <t>SBIN200030689224</t>
  </si>
  <si>
    <t>297371</t>
  </si>
  <si>
    <t>78268</t>
  </si>
  <si>
    <t>SBIN200033304518</t>
  </si>
  <si>
    <t>297382</t>
  </si>
  <si>
    <t>172134</t>
  </si>
  <si>
    <t>SBIN200055442336</t>
  </si>
  <si>
    <t>297396</t>
  </si>
  <si>
    <t>230117</t>
  </si>
  <si>
    <t>SBIN200055612263</t>
  </si>
  <si>
    <t>302210</t>
  </si>
  <si>
    <t>237827</t>
  </si>
  <si>
    <t>SBIN200007609945</t>
  </si>
  <si>
    <t>304244</t>
  </si>
  <si>
    <t>77579</t>
  </si>
  <si>
    <t>CNRBPOROMPATOINAM</t>
  </si>
  <si>
    <t>306758</t>
  </si>
  <si>
    <t>200398</t>
  </si>
  <si>
    <t>SBIN6447ADDAGIRI</t>
  </si>
  <si>
    <t>307057</t>
  </si>
  <si>
    <t>Chilakaluripet, Andhra Pradesh</t>
  </si>
  <si>
    <t>267536</t>
  </si>
  <si>
    <t>IDIB6601079011</t>
  </si>
  <si>
    <t>308274</t>
  </si>
  <si>
    <t>128466</t>
  </si>
  <si>
    <t>SBIN200035965582</t>
  </si>
  <si>
    <t>309416</t>
  </si>
  <si>
    <t>45106</t>
  </si>
  <si>
    <t>SBIN200022750960</t>
  </si>
  <si>
    <t>310267</t>
  </si>
  <si>
    <t>Cherthala, Kerala</t>
  </si>
  <si>
    <t>157313</t>
  </si>
  <si>
    <t>PUNB33016733</t>
  </si>
  <si>
    <t>311959</t>
  </si>
  <si>
    <t>Gurugram, Haryana</t>
  </si>
  <si>
    <t>271102</t>
  </si>
  <si>
    <t>PUNBOHUZ00157801</t>
  </si>
  <si>
    <t>312614</t>
  </si>
  <si>
    <t>Dharuhera, Haryana</t>
  </si>
  <si>
    <t>287022</t>
  </si>
  <si>
    <t>PUNB05530012</t>
  </si>
  <si>
    <t>313285</t>
  </si>
  <si>
    <t>261323</t>
  </si>
  <si>
    <t>PUNB3930CHHBRA01</t>
  </si>
  <si>
    <t>313300</t>
  </si>
  <si>
    <t>219481</t>
  </si>
  <si>
    <t>PUNB005530011</t>
  </si>
  <si>
    <t>313315</t>
  </si>
  <si>
    <t>261287</t>
  </si>
  <si>
    <t>PUNBABA38090596</t>
  </si>
  <si>
    <t>313318</t>
  </si>
  <si>
    <t>175504</t>
  </si>
  <si>
    <t>SBIN018030766879</t>
  </si>
  <si>
    <t>313532</t>
  </si>
  <si>
    <t>80399</t>
  </si>
  <si>
    <t>CBIN199322012501</t>
  </si>
  <si>
    <t>313930</t>
  </si>
  <si>
    <t>223121</t>
  </si>
  <si>
    <t>CBIN3470M</t>
  </si>
  <si>
    <t>315914</t>
  </si>
  <si>
    <t>258036</t>
  </si>
  <si>
    <t>CBIN0368G</t>
  </si>
  <si>
    <t>315930</t>
  </si>
  <si>
    <t>255745</t>
  </si>
  <si>
    <t>CBIN0361N</t>
  </si>
  <si>
    <t>315941</t>
  </si>
  <si>
    <t>266550</t>
  </si>
  <si>
    <t>CBIN0361A</t>
  </si>
  <si>
    <t>315956</t>
  </si>
  <si>
    <t>Mullanpur Dakha, Punjab</t>
  </si>
  <si>
    <t>249963</t>
  </si>
  <si>
    <t>CBIN1437</t>
  </si>
  <si>
    <t>315965</t>
  </si>
  <si>
    <t>255529</t>
  </si>
  <si>
    <t>PUNB6587001</t>
  </si>
  <si>
    <t>316948</t>
  </si>
  <si>
    <t>Pothreddipalle, Telangana</t>
  </si>
  <si>
    <t>281252</t>
  </si>
  <si>
    <t>PUNB211620PKT</t>
  </si>
  <si>
    <t>316958</t>
  </si>
  <si>
    <t>Bodhan, Telangana</t>
  </si>
  <si>
    <t>265398</t>
  </si>
  <si>
    <t>CBIN0357GS</t>
  </si>
  <si>
    <t>318153</t>
  </si>
  <si>
    <t>Nawanshahr, Punjab</t>
  </si>
  <si>
    <t>288099</t>
  </si>
  <si>
    <t>IDIBR30278745513</t>
  </si>
  <si>
    <t>304041</t>
  </si>
  <si>
    <t>26-06-2026 17:00</t>
  </si>
  <si>
    <t>285428</t>
  </si>
  <si>
    <t>UCBA1489INDUS</t>
  </si>
  <si>
    <t>317654</t>
  </si>
  <si>
    <t>ANCHAL, Kerala</t>
  </si>
  <si>
    <t>287943</t>
  </si>
  <si>
    <t>BARB19582025004</t>
  </si>
  <si>
    <t>306180</t>
  </si>
  <si>
    <t>26-06-2026 18:00</t>
  </si>
  <si>
    <t>262366</t>
  </si>
  <si>
    <t>CNRBVIKASGUPTA</t>
  </si>
  <si>
    <t>309250</t>
  </si>
  <si>
    <t>26-06-2026 12:30</t>
  </si>
  <si>
    <t>250884</t>
  </si>
  <si>
    <t>CNRB321880264</t>
  </si>
  <si>
    <t>309318</t>
  </si>
  <si>
    <t>244518</t>
  </si>
  <si>
    <t>CNRB92607543B</t>
  </si>
  <si>
    <t>311882</t>
  </si>
  <si>
    <t>240148</t>
  </si>
  <si>
    <t>CNRB126509651</t>
  </si>
  <si>
    <t>312656</t>
  </si>
  <si>
    <t>279202</t>
  </si>
  <si>
    <t>CNRB0808MARIYA</t>
  </si>
  <si>
    <t>312692</t>
  </si>
  <si>
    <t>262840</t>
  </si>
  <si>
    <t>CNRB121367830</t>
  </si>
  <si>
    <t>314162</t>
  </si>
  <si>
    <t>287259</t>
  </si>
  <si>
    <t>CNRBDHARMAFALKE</t>
  </si>
  <si>
    <t>312352</t>
  </si>
  <si>
    <t>Beed, Maharashtra</t>
  </si>
  <si>
    <t>26-06-2026 14:00</t>
  </si>
  <si>
    <t>283456</t>
  </si>
  <si>
    <t>UBINMLREKL6851</t>
  </si>
  <si>
    <t>314155</t>
  </si>
  <si>
    <t>219618</t>
  </si>
  <si>
    <t>UBINEKLEKL4568</t>
  </si>
  <si>
    <t>314158</t>
  </si>
  <si>
    <t>Thiruvankulam, Kerala</t>
  </si>
  <si>
    <t>245091</t>
  </si>
  <si>
    <t>UBINMLREKL4427</t>
  </si>
  <si>
    <t>314166</t>
  </si>
  <si>
    <t>KINFRA Small Industries Park Mazhuvannur, Kerala</t>
  </si>
  <si>
    <t>94450</t>
  </si>
  <si>
    <t>CNRB256537223</t>
  </si>
  <si>
    <t>311703</t>
  </si>
  <si>
    <t>Barhi Industrial Area, Haryana</t>
  </si>
  <si>
    <t>26-06-2026 13:30</t>
  </si>
  <si>
    <t>228341</t>
  </si>
  <si>
    <t>CNRBCNRB0100956885</t>
  </si>
  <si>
    <t>311729</t>
  </si>
  <si>
    <t>245676</t>
  </si>
  <si>
    <t>CNRB75512908</t>
  </si>
  <si>
    <t>311745</t>
  </si>
  <si>
    <t>Gohana, Haryana</t>
  </si>
  <si>
    <t>199651</t>
  </si>
  <si>
    <t>IOBAHASIBUL</t>
  </si>
  <si>
    <t>309108</t>
  </si>
  <si>
    <t>Chopra, West Bengal</t>
  </si>
  <si>
    <t>257116</t>
  </si>
  <si>
    <t>IOBAKRISHNA3245</t>
  </si>
  <si>
    <t>309110</t>
  </si>
  <si>
    <t>Balurghat, West Bengal</t>
  </si>
  <si>
    <t>239204</t>
  </si>
  <si>
    <t>IOBABALURGHAT 1</t>
  </si>
  <si>
    <t>310172</t>
  </si>
  <si>
    <t>127379</t>
  </si>
  <si>
    <t>IOBAKANKIGOUTAM</t>
  </si>
  <si>
    <t>309011</t>
  </si>
  <si>
    <t>Debiganj, West Bengal</t>
  </si>
  <si>
    <t>263570</t>
  </si>
  <si>
    <t>BARB259920260011</t>
  </si>
  <si>
    <t>304279</t>
  </si>
  <si>
    <t>285439</t>
  </si>
  <si>
    <t>PUNB7715</t>
  </si>
  <si>
    <t>314354</t>
  </si>
  <si>
    <t>27-06-2026 11:00</t>
  </si>
  <si>
    <t>27-06-2026 16:00</t>
  </si>
  <si>
    <t>174739</t>
  </si>
  <si>
    <t>BARB6046manjittrading</t>
  </si>
  <si>
    <t>315652</t>
  </si>
  <si>
    <t>Khothran, Punjab</t>
  </si>
  <si>
    <t>27-06-2026 14:00</t>
  </si>
  <si>
    <t>27-06-2026 18:00</t>
  </si>
  <si>
    <t>268494</t>
  </si>
  <si>
    <t>PUNB0CBFOOT</t>
  </si>
  <si>
    <t>318169</t>
  </si>
  <si>
    <t>28-06-2026 10:00</t>
  </si>
  <si>
    <t>28-06-2026 16:00</t>
  </si>
  <si>
    <t>232034</t>
  </si>
  <si>
    <t>PUNB0RANVEERSINGH</t>
  </si>
  <si>
    <t>318190</t>
  </si>
  <si>
    <t>281466</t>
  </si>
  <si>
    <t>PUNB0islamkhan</t>
  </si>
  <si>
    <t>318194</t>
  </si>
  <si>
    <t>278111</t>
  </si>
  <si>
    <t>PUNB0GANESHELECTRONICS</t>
  </si>
  <si>
    <t>318201</t>
  </si>
  <si>
    <t>232439</t>
  </si>
  <si>
    <t>PUNB0bhoorakuraishi</t>
  </si>
  <si>
    <t>318246</t>
  </si>
  <si>
    <t>278106</t>
  </si>
  <si>
    <t>PUNB0VAHID</t>
  </si>
  <si>
    <t>318383</t>
  </si>
  <si>
    <t>288201</t>
  </si>
  <si>
    <t>PUNB0O35119218</t>
  </si>
  <si>
    <t>318384</t>
  </si>
  <si>
    <t>172533</t>
  </si>
  <si>
    <t>PUNB0PUSHPENDRA</t>
  </si>
  <si>
    <t>318385</t>
  </si>
  <si>
    <t>231985</t>
  </si>
  <si>
    <t>PUNB0sanu</t>
  </si>
  <si>
    <t>318386</t>
  </si>
  <si>
    <t>232487</t>
  </si>
  <si>
    <t>PUNB0anish</t>
  </si>
  <si>
    <t>318387</t>
  </si>
  <si>
    <t>288211</t>
  </si>
  <si>
    <t>PUNB0BALRAMSINGH</t>
  </si>
  <si>
    <t>318388</t>
  </si>
  <si>
    <t>288212</t>
  </si>
  <si>
    <t>PUNBoamit</t>
  </si>
  <si>
    <t>318389</t>
  </si>
  <si>
    <t>288213</t>
  </si>
  <si>
    <t>PUNBoashwanidaniel</t>
  </si>
  <si>
    <t>318390</t>
  </si>
  <si>
    <t>288214</t>
  </si>
  <si>
    <t>PUNB0O33529601</t>
  </si>
  <si>
    <t>318392</t>
  </si>
  <si>
    <t>172501</t>
  </si>
  <si>
    <t>PSIB138911</t>
  </si>
  <si>
    <t>290681</t>
  </si>
  <si>
    <t>Araria, Bihar</t>
  </si>
  <si>
    <t>28-06-2026 12:00</t>
  </si>
  <si>
    <t>28-06-2026 14:00</t>
  </si>
  <si>
    <t>268410</t>
  </si>
  <si>
    <t>PSIB138913</t>
  </si>
  <si>
    <t>290711</t>
  </si>
  <si>
    <t>268513</t>
  </si>
  <si>
    <t>PSIB1389223</t>
  </si>
  <si>
    <t>317567</t>
  </si>
  <si>
    <t>260585</t>
  </si>
  <si>
    <t>PSIB1389152</t>
  </si>
  <si>
    <t>317578</t>
  </si>
  <si>
    <t>Kasba, Bihar</t>
  </si>
  <si>
    <t>260578</t>
  </si>
  <si>
    <t>PSIB1389137</t>
  </si>
  <si>
    <t>317585</t>
  </si>
  <si>
    <t>260217</t>
  </si>
  <si>
    <t>PSIB1389222</t>
  </si>
  <si>
    <t>317588</t>
  </si>
  <si>
    <t>260242</t>
  </si>
  <si>
    <t>CBINSURAT8342193787</t>
  </si>
  <si>
    <t>315421</t>
  </si>
  <si>
    <t>29-06-2026 00:00</t>
  </si>
  <si>
    <t>29-06-2026 16:00</t>
  </si>
  <si>
    <t>259098</t>
  </si>
  <si>
    <t>SBINNAVJIVANVIHARG0505</t>
  </si>
  <si>
    <t>312245</t>
  </si>
  <si>
    <t>Nandej, Gujarat</t>
  </si>
  <si>
    <t>29-06-2026 09:00</t>
  </si>
  <si>
    <t>29-06-2026 18:00</t>
  </si>
  <si>
    <t>286929</t>
  </si>
  <si>
    <t>SBINUMANGR20211</t>
  </si>
  <si>
    <t>312249</t>
  </si>
  <si>
    <t>286927</t>
  </si>
  <si>
    <t>SBINNAVJIVANFLATSF0202</t>
  </si>
  <si>
    <t>312252</t>
  </si>
  <si>
    <t>286920</t>
  </si>
  <si>
    <t>SBINMARUTIRESIDENCYD122</t>
  </si>
  <si>
    <t>313707</t>
  </si>
  <si>
    <t>287223</t>
  </si>
  <si>
    <t>CNRB117366269ASHI</t>
  </si>
  <si>
    <t>312885</t>
  </si>
  <si>
    <t>29-06-2026 10:00</t>
  </si>
  <si>
    <t>29-06-2026 11:00</t>
  </si>
  <si>
    <t>245148</t>
  </si>
  <si>
    <t>CNRB117366269ASHIT</t>
  </si>
  <si>
    <t>312895</t>
  </si>
  <si>
    <t>245140</t>
  </si>
  <si>
    <t>CNRB372661921</t>
  </si>
  <si>
    <t>318227</t>
  </si>
  <si>
    <t>Hardoi, Uttar Pradesh</t>
  </si>
  <si>
    <t>29-06-2026 12:00</t>
  </si>
  <si>
    <t>186672</t>
  </si>
  <si>
    <t>CNRBPRATAP</t>
  </si>
  <si>
    <t>318235</t>
  </si>
  <si>
    <t>198097</t>
  </si>
  <si>
    <t>CNRB17326414</t>
  </si>
  <si>
    <t>318241</t>
  </si>
  <si>
    <t>Sandila, Uttar Pradesh</t>
  </si>
  <si>
    <t>186680</t>
  </si>
  <si>
    <t>CNRBIFFDC</t>
  </si>
  <si>
    <t>318249</t>
  </si>
  <si>
    <t>Bilgram, Uttar Pradesh</t>
  </si>
  <si>
    <t>198128</t>
  </si>
  <si>
    <t>CNRB124345002</t>
  </si>
  <si>
    <t>121492</t>
  </si>
  <si>
    <t>Khudapur Industrial Area, Karnataka</t>
  </si>
  <si>
    <t>29-06-2026 12:30</t>
  </si>
  <si>
    <t>187157</t>
  </si>
  <si>
    <t>CNRBMANGALAGOWRI</t>
  </si>
  <si>
    <t>312048</t>
  </si>
  <si>
    <t>270177</t>
  </si>
  <si>
    <t>CNRB100690782</t>
  </si>
  <si>
    <t>312372</t>
  </si>
  <si>
    <t>Challakere, Karnataka</t>
  </si>
  <si>
    <t>282999</t>
  </si>
  <si>
    <t>CNRB78323566</t>
  </si>
  <si>
    <t>312385</t>
  </si>
  <si>
    <t>Davanagere, Karnataka</t>
  </si>
  <si>
    <t>282997</t>
  </si>
  <si>
    <t>CNRB24568512</t>
  </si>
  <si>
    <t>312435</t>
  </si>
  <si>
    <t>278987</t>
  </si>
  <si>
    <t>CNRB2456851</t>
  </si>
  <si>
    <t>312528</t>
  </si>
  <si>
    <t>278964</t>
  </si>
  <si>
    <t>CNRB67656762</t>
  </si>
  <si>
    <t>312562</t>
  </si>
  <si>
    <t>Hiriyur, Karnataka</t>
  </si>
  <si>
    <t>278170</t>
  </si>
  <si>
    <t>CNRB124479742</t>
  </si>
  <si>
    <t>312577</t>
  </si>
  <si>
    <t>267623</t>
  </si>
  <si>
    <t>CNRB42740984</t>
  </si>
  <si>
    <t>312619</t>
  </si>
  <si>
    <t>256997</t>
  </si>
  <si>
    <t>CNRB38839962</t>
  </si>
  <si>
    <t>312629</t>
  </si>
  <si>
    <t>256956</t>
  </si>
  <si>
    <t>CNRB259910296</t>
  </si>
  <si>
    <t>312677</t>
  </si>
  <si>
    <t>249144</t>
  </si>
  <si>
    <t>CNRB242396430</t>
  </si>
  <si>
    <t>312696</t>
  </si>
  <si>
    <t>239130</t>
  </si>
  <si>
    <t>CNRB243370727</t>
  </si>
  <si>
    <t>312705</t>
  </si>
  <si>
    <t>239118</t>
  </si>
  <si>
    <t>CNRB4595608A</t>
  </si>
  <si>
    <t>312719</t>
  </si>
  <si>
    <t>226472</t>
  </si>
  <si>
    <t>CNRB94384677</t>
  </si>
  <si>
    <t>312740</t>
  </si>
  <si>
    <t>Honnali, Karnataka</t>
  </si>
  <si>
    <t>224808</t>
  </si>
  <si>
    <t>CNRB236380088</t>
  </si>
  <si>
    <t>313463</t>
  </si>
  <si>
    <t>Holalkere, Karnataka</t>
  </si>
  <si>
    <t>224775</t>
  </si>
  <si>
    <t>CNRB316730195</t>
  </si>
  <si>
    <t>305130</t>
  </si>
  <si>
    <t>29-06-2026 14:00</t>
  </si>
  <si>
    <t>285748</t>
  </si>
  <si>
    <t>CNRB306700082</t>
  </si>
  <si>
    <t>305138</t>
  </si>
  <si>
    <t>285754</t>
  </si>
  <si>
    <t>CNRBMRDBL1</t>
  </si>
  <si>
    <t>313222</t>
  </si>
  <si>
    <t>200379</t>
  </si>
  <si>
    <t>CNRB245441937</t>
  </si>
  <si>
    <t>313226</t>
  </si>
  <si>
    <t>224960</t>
  </si>
  <si>
    <t>CNRBMRDJOYA1</t>
  </si>
  <si>
    <t>313232</t>
  </si>
  <si>
    <t>200348</t>
  </si>
  <si>
    <t>CNRB258312924</t>
  </si>
  <si>
    <t>313238</t>
  </si>
  <si>
    <t>262284</t>
  </si>
  <si>
    <t>CNRB259577846</t>
  </si>
  <si>
    <t>313240</t>
  </si>
  <si>
    <t>229549</t>
  </si>
  <si>
    <t>CNRB249905002</t>
  </si>
  <si>
    <t>313245</t>
  </si>
  <si>
    <t>248168</t>
  </si>
  <si>
    <t>CNRB252836690</t>
  </si>
  <si>
    <t>313253</t>
  </si>
  <si>
    <t>Nagina, Uttar Pradesh</t>
  </si>
  <si>
    <t>230073</t>
  </si>
  <si>
    <t>CNRB257433039</t>
  </si>
  <si>
    <t>313257</t>
  </si>
  <si>
    <t>279828</t>
  </si>
  <si>
    <t>CNRB90467462</t>
  </si>
  <si>
    <t>313261</t>
  </si>
  <si>
    <t>Alhaipur, Uttar Pradesh</t>
  </si>
  <si>
    <t>262301</t>
  </si>
  <si>
    <t>CNRB242043135</t>
  </si>
  <si>
    <t>313272</t>
  </si>
  <si>
    <t>248350</t>
  </si>
  <si>
    <t>CNRB253297249</t>
  </si>
  <si>
    <t>313275</t>
  </si>
  <si>
    <t>244956</t>
  </si>
  <si>
    <t>CNRBMRDBJ1</t>
  </si>
  <si>
    <t>313291</t>
  </si>
  <si>
    <t>202461</t>
  </si>
  <si>
    <t>CNRB63169151</t>
  </si>
  <si>
    <t>313296</t>
  </si>
  <si>
    <t>Sahaspur, Uttar Pradesh</t>
  </si>
  <si>
    <t>249004</t>
  </si>
  <si>
    <t>CNRBmrdskn1</t>
  </si>
  <si>
    <t>313299</t>
  </si>
  <si>
    <t>202231</t>
  </si>
  <si>
    <t>CNRB100313311</t>
  </si>
  <si>
    <t>313301</t>
  </si>
  <si>
    <t>249029</t>
  </si>
  <si>
    <t>CNRB78728480</t>
  </si>
  <si>
    <t>313306</t>
  </si>
  <si>
    <t>230216</t>
  </si>
  <si>
    <t>CNRB0018586255278550</t>
  </si>
  <si>
    <t>313309</t>
  </si>
  <si>
    <t>204437</t>
  </si>
  <si>
    <t>CNRBMRDMJ1</t>
  </si>
  <si>
    <t>313314</t>
  </si>
  <si>
    <t>200429</t>
  </si>
  <si>
    <t>CNRBMRDKR1</t>
  </si>
  <si>
    <t>313320</t>
  </si>
  <si>
    <t>200303</t>
  </si>
  <si>
    <t>CNRB250243696</t>
  </si>
  <si>
    <t>313323</t>
  </si>
  <si>
    <t>249039</t>
  </si>
  <si>
    <t>CNRBMRDST1</t>
  </si>
  <si>
    <t>313326</t>
  </si>
  <si>
    <t>200404</t>
  </si>
  <si>
    <t>CNRB257772450</t>
  </si>
  <si>
    <t>313332</t>
  </si>
  <si>
    <t>230452</t>
  </si>
  <si>
    <t>CNRB72672244</t>
  </si>
  <si>
    <t>313335</t>
  </si>
  <si>
    <t>244470</t>
  </si>
  <si>
    <t>CNRB255632243</t>
  </si>
  <si>
    <t>313339</t>
  </si>
  <si>
    <t>225019</t>
  </si>
  <si>
    <t>CNRB240317182</t>
  </si>
  <si>
    <t>313341</t>
  </si>
  <si>
    <t>244989</t>
  </si>
  <si>
    <t>CNRB250725482</t>
  </si>
  <si>
    <t>313354</t>
  </si>
  <si>
    <t>244979</t>
  </si>
  <si>
    <t>CNRB242273836</t>
  </si>
  <si>
    <t>313372</t>
  </si>
  <si>
    <t>230978</t>
  </si>
  <si>
    <t>CNRB252261390</t>
  </si>
  <si>
    <t>313374</t>
  </si>
  <si>
    <t>279796</t>
  </si>
  <si>
    <t>CNRB259562921</t>
  </si>
  <si>
    <t>313380</t>
  </si>
  <si>
    <t>230983</t>
  </si>
  <si>
    <t>CNRB256644807</t>
  </si>
  <si>
    <t>313896</t>
  </si>
  <si>
    <t>244994</t>
  </si>
  <si>
    <t>CNRB215676576</t>
  </si>
  <si>
    <t>313899</t>
  </si>
  <si>
    <t>Dhanaura, Uttar Pradesh</t>
  </si>
  <si>
    <t>253980</t>
  </si>
  <si>
    <t>CNRB0018582230139759</t>
  </si>
  <si>
    <t>313907</t>
  </si>
  <si>
    <t>204397</t>
  </si>
  <si>
    <t>CNRB246356215</t>
  </si>
  <si>
    <t>313911</t>
  </si>
  <si>
    <t>230999</t>
  </si>
  <si>
    <t>CNRB238476217</t>
  </si>
  <si>
    <t>313914</t>
  </si>
  <si>
    <t>275261</t>
  </si>
  <si>
    <t>CNRB235578503</t>
  </si>
  <si>
    <t>313926</t>
  </si>
  <si>
    <t>249051</t>
  </si>
  <si>
    <t>CNRB258489588</t>
  </si>
  <si>
    <t>313929</t>
  </si>
  <si>
    <t>256144</t>
  </si>
  <si>
    <t>CNRB222195818</t>
  </si>
  <si>
    <t>313932</t>
  </si>
  <si>
    <t>249048</t>
  </si>
  <si>
    <t>IDIB50503213085</t>
  </si>
  <si>
    <t>304703</t>
  </si>
  <si>
    <t>285650</t>
  </si>
  <si>
    <t>IDIB6235421860</t>
  </si>
  <si>
    <t>305024</t>
  </si>
  <si>
    <t>165190</t>
  </si>
  <si>
    <t>CBIN02061043</t>
  </si>
  <si>
    <t>309050</t>
  </si>
  <si>
    <t>242748</t>
  </si>
  <si>
    <t>CBIN02061014</t>
  </si>
  <si>
    <t>309062</t>
  </si>
  <si>
    <t>204965</t>
  </si>
  <si>
    <t>IDIBA528SHOBHA</t>
  </si>
  <si>
    <t>312002</t>
  </si>
  <si>
    <t>52846</t>
  </si>
  <si>
    <t>SBIN200040178427</t>
  </si>
  <si>
    <t>312016</t>
  </si>
  <si>
    <t>285411</t>
  </si>
  <si>
    <t>IDIBA528SATENDRA</t>
  </si>
  <si>
    <t>312052</t>
  </si>
  <si>
    <t>137801</t>
  </si>
  <si>
    <t>IDIBA528RMISHRA</t>
  </si>
  <si>
    <t>312080</t>
  </si>
  <si>
    <t>136225</t>
  </si>
  <si>
    <t>IDIBA528YOGESHKU</t>
  </si>
  <si>
    <t>312091</t>
  </si>
  <si>
    <t>Baldeo, Uttar Pradesh</t>
  </si>
  <si>
    <t>139262</t>
  </si>
  <si>
    <t>SBIN200064817167</t>
  </si>
  <si>
    <t>312114</t>
  </si>
  <si>
    <t>266100</t>
  </si>
  <si>
    <t>PUNBKLA9543850</t>
  </si>
  <si>
    <t>313221</t>
  </si>
  <si>
    <t>Orathanadu, Tamil Nadu</t>
  </si>
  <si>
    <t>174957</t>
  </si>
  <si>
    <t>IOBAVINEETH</t>
  </si>
  <si>
    <t>314380</t>
  </si>
  <si>
    <t>285125</t>
  </si>
  <si>
    <t>IOBAKUMARA</t>
  </si>
  <si>
    <t>314442</t>
  </si>
  <si>
    <t>Kandamkunnu, Kerala</t>
  </si>
  <si>
    <t>284333</t>
  </si>
  <si>
    <t>IOBA240707</t>
  </si>
  <si>
    <t>314626</t>
  </si>
  <si>
    <t>Muddebihal, Karnataka</t>
  </si>
  <si>
    <t>279777</t>
  </si>
  <si>
    <t>IOBA240706</t>
  </si>
  <si>
    <t>314633</t>
  </si>
  <si>
    <t>279768</t>
  </si>
  <si>
    <t>IOBA240705</t>
  </si>
  <si>
    <t>314636</t>
  </si>
  <si>
    <t>279759</t>
  </si>
  <si>
    <t>BARBBJ6064967</t>
  </si>
  <si>
    <t>314845</t>
  </si>
  <si>
    <t>280233</t>
  </si>
  <si>
    <t>IDIB30508131682</t>
  </si>
  <si>
    <t>315468</t>
  </si>
  <si>
    <t>Jehanabad, Bihar</t>
  </si>
  <si>
    <t>285335</t>
  </si>
  <si>
    <t>CBIN199309202401</t>
  </si>
  <si>
    <t>315556</t>
  </si>
  <si>
    <t>187582</t>
  </si>
  <si>
    <t>SBIN200058647332</t>
  </si>
  <si>
    <t>315704</t>
  </si>
  <si>
    <t>229368</t>
  </si>
  <si>
    <t>SBIN200058647888</t>
  </si>
  <si>
    <t>315712</t>
  </si>
  <si>
    <t>229375</t>
  </si>
  <si>
    <t>CBIN32321512202501</t>
  </si>
  <si>
    <t>317308</t>
  </si>
  <si>
    <t>266071</t>
  </si>
  <si>
    <t>CBIN028343213</t>
  </si>
  <si>
    <t>317592</t>
  </si>
  <si>
    <t>Bhakarsahi, Odisha</t>
  </si>
  <si>
    <t>189549</t>
  </si>
  <si>
    <t>CBIN028343214</t>
  </si>
  <si>
    <t>317625</t>
  </si>
  <si>
    <t>189582</t>
  </si>
  <si>
    <t>PUNB00000024</t>
  </si>
  <si>
    <t>317638</t>
  </si>
  <si>
    <t>Rathian, Jammu &amp; Kashmir</t>
  </si>
  <si>
    <t>234267</t>
  </si>
  <si>
    <t>PUNB00000027</t>
  </si>
  <si>
    <t>317651</t>
  </si>
  <si>
    <t>234416</t>
  </si>
  <si>
    <t>PUNB00000014</t>
  </si>
  <si>
    <t>317679</t>
  </si>
  <si>
    <t>261841</t>
  </si>
  <si>
    <t>PUNB000000029</t>
  </si>
  <si>
    <t>317707</t>
  </si>
  <si>
    <t>281209</t>
  </si>
  <si>
    <t>PUNB83220027</t>
  </si>
  <si>
    <t>317743</t>
  </si>
  <si>
    <t>281255</t>
  </si>
  <si>
    <t>CBIN7150483518</t>
  </si>
  <si>
    <t>317772</t>
  </si>
  <si>
    <t>Farrukhabad, Uttar Pradesh</t>
  </si>
  <si>
    <t>203961</t>
  </si>
  <si>
    <t>CBINSATPURATULVISE</t>
  </si>
  <si>
    <t>317858</t>
  </si>
  <si>
    <t>267984</t>
  </si>
  <si>
    <t>CBIN2524HITECHFLATGURUKRP</t>
  </si>
  <si>
    <t>317863</t>
  </si>
  <si>
    <t>248579</t>
  </si>
  <si>
    <t>CBIN2524HITECHFLATPADMA</t>
  </si>
  <si>
    <t>317864</t>
  </si>
  <si>
    <t>248590</t>
  </si>
  <si>
    <t>CBIN2524HITECFLAT202ASHIY</t>
  </si>
  <si>
    <t>317865</t>
  </si>
  <si>
    <t>248494</t>
  </si>
  <si>
    <t>CBINCHINCHPADALATIFMAKRAN</t>
  </si>
  <si>
    <t>317866</t>
  </si>
  <si>
    <t>Navapur, Maharashtra</t>
  </si>
  <si>
    <t>262795</t>
  </si>
  <si>
    <t>CBINCHINCHPADAFARUKANSARI</t>
  </si>
  <si>
    <t>317869</t>
  </si>
  <si>
    <t>262819</t>
  </si>
  <si>
    <t>CBINNANDURBARKISANGHODSE</t>
  </si>
  <si>
    <t>317870</t>
  </si>
  <si>
    <t>262827</t>
  </si>
  <si>
    <t>CBINVARKHEDARAVINDRABALUR</t>
  </si>
  <si>
    <t>317872</t>
  </si>
  <si>
    <t>Dindori, Maharashtra</t>
  </si>
  <si>
    <t>267952</t>
  </si>
  <si>
    <t>CBINGOVERDHANSACHINKHAIRN</t>
  </si>
  <si>
    <t>317873</t>
  </si>
  <si>
    <t>277757</t>
  </si>
  <si>
    <t>CBINVALMIKASHOKBAGUL</t>
  </si>
  <si>
    <t>317875</t>
  </si>
  <si>
    <t>277996</t>
  </si>
  <si>
    <t>CBINVARKHEDASHITALAGRO</t>
  </si>
  <si>
    <t>317876</t>
  </si>
  <si>
    <t>267955</t>
  </si>
  <si>
    <t>CBINSARANGKHEDADESHMUKH</t>
  </si>
  <si>
    <t>317878</t>
  </si>
  <si>
    <t>Shirpur, Maharashtra</t>
  </si>
  <si>
    <t>277956</t>
  </si>
  <si>
    <t>CBINSARANGKHEDAEKNATHBANS</t>
  </si>
  <si>
    <t>317879</t>
  </si>
  <si>
    <t>Shahada, Maharashtra</t>
  </si>
  <si>
    <t>277967</t>
  </si>
  <si>
    <t>CBIN1461PRAKASHCHIPATE</t>
  </si>
  <si>
    <t>317881</t>
  </si>
  <si>
    <t>278061</t>
  </si>
  <si>
    <t>CBINMALEGAONSAJIDABDULKAR</t>
  </si>
  <si>
    <t>317882</t>
  </si>
  <si>
    <t>278045</t>
  </si>
  <si>
    <t>CBINBHAUSAHEBVILASBHANDAR</t>
  </si>
  <si>
    <t>317884</t>
  </si>
  <si>
    <t>278035</t>
  </si>
  <si>
    <t>CBINCHINCHPADAKHATRI</t>
  </si>
  <si>
    <t>317885</t>
  </si>
  <si>
    <t>262814</t>
  </si>
  <si>
    <t>CBINABDULWAHAB</t>
  </si>
  <si>
    <t>317903</t>
  </si>
  <si>
    <t>219148</t>
  </si>
  <si>
    <t>CBINRAHEEMU</t>
  </si>
  <si>
    <t>317922</t>
  </si>
  <si>
    <t>219146</t>
  </si>
  <si>
    <t>CBINSAJIBASHEER</t>
  </si>
  <si>
    <t>317951</t>
  </si>
  <si>
    <t>219140</t>
  </si>
  <si>
    <t>CBINBIJENDERMS</t>
  </si>
  <si>
    <t>317960</t>
  </si>
  <si>
    <t>213708</t>
  </si>
  <si>
    <t>CBINSULABHA</t>
  </si>
  <si>
    <t>317988</t>
  </si>
  <si>
    <t>202136</t>
  </si>
  <si>
    <t>CBINSMKRUBBER</t>
  </si>
  <si>
    <t>318002</t>
  </si>
  <si>
    <t>203033</t>
  </si>
  <si>
    <t>CBINMOOKAMBIKA</t>
  </si>
  <si>
    <t>318014</t>
  </si>
  <si>
    <t>202145</t>
  </si>
  <si>
    <t>CBINVINCENT</t>
  </si>
  <si>
    <t>318026</t>
  </si>
  <si>
    <t>203048</t>
  </si>
  <si>
    <t>CBIN0SULAIMAN</t>
  </si>
  <si>
    <t>318058</t>
  </si>
  <si>
    <t>Edakkode, Kerala</t>
  </si>
  <si>
    <t>184611</t>
  </si>
  <si>
    <t>CBINMANOJ</t>
  </si>
  <si>
    <t>318069</t>
  </si>
  <si>
    <t>278733</t>
  </si>
  <si>
    <t>CBINRIHANAP</t>
  </si>
  <si>
    <t>318073</t>
  </si>
  <si>
    <t>201823</t>
  </si>
  <si>
    <t>CBINTHANIMOOTIL</t>
  </si>
  <si>
    <t>318094</t>
  </si>
  <si>
    <t>202053</t>
  </si>
  <si>
    <t>CBINSAMEER</t>
  </si>
  <si>
    <t>318151</t>
  </si>
  <si>
    <t>192409</t>
  </si>
  <si>
    <t>CBINMINI</t>
  </si>
  <si>
    <t>318281</t>
  </si>
  <si>
    <t>ERUMELY, Kerala</t>
  </si>
  <si>
    <t>278727</t>
  </si>
  <si>
    <t>CBINRASHEEDP</t>
  </si>
  <si>
    <t>318302</t>
  </si>
  <si>
    <t>202006</t>
  </si>
  <si>
    <t>PUNBCOSASTRA70</t>
  </si>
  <si>
    <t>318315</t>
  </si>
  <si>
    <t>175742</t>
  </si>
  <si>
    <t>CBINANJUSASI</t>
  </si>
  <si>
    <t>318317</t>
  </si>
  <si>
    <t>288163</t>
  </si>
  <si>
    <t>SBIN642471</t>
  </si>
  <si>
    <t>304535</t>
  </si>
  <si>
    <t>29-06-2026 17:00</t>
  </si>
  <si>
    <t>284612</t>
  </si>
  <si>
    <t>SBIN200097119087</t>
  </si>
  <si>
    <t>310964</t>
  </si>
  <si>
    <t>Rajsamand, Rajasthan</t>
  </si>
  <si>
    <t>63179</t>
  </si>
  <si>
    <t>SBIN78065102533</t>
  </si>
  <si>
    <t>310987</t>
  </si>
  <si>
    <t>Kota, Rajasthan</t>
  </si>
  <si>
    <t>265139</t>
  </si>
  <si>
    <t>SBIN90912319975</t>
  </si>
  <si>
    <t>310995</t>
  </si>
  <si>
    <t>256214</t>
  </si>
  <si>
    <t>SBIN200009961806</t>
  </si>
  <si>
    <t>311012</t>
  </si>
  <si>
    <t>Chechat, Rajasthan</t>
  </si>
  <si>
    <t>109276</t>
  </si>
  <si>
    <t>PSIB121353</t>
  </si>
  <si>
    <t>312191</t>
  </si>
  <si>
    <t>279496</t>
  </si>
  <si>
    <t>PSIB12424</t>
  </si>
  <si>
    <t>312212</t>
  </si>
  <si>
    <t>279469</t>
  </si>
  <si>
    <t>PSIB12612</t>
  </si>
  <si>
    <t>312218</t>
  </si>
  <si>
    <t>275049</t>
  </si>
  <si>
    <t>PSIB03171300002323</t>
  </si>
  <si>
    <t>312805</t>
  </si>
  <si>
    <t>279610</t>
  </si>
  <si>
    <t>PSIB200035910719</t>
  </si>
  <si>
    <t>312966</t>
  </si>
  <si>
    <t>264038</t>
  </si>
  <si>
    <t>PSIB200029139412</t>
  </si>
  <si>
    <t>312974</t>
  </si>
  <si>
    <t>264037</t>
  </si>
  <si>
    <t>PSIB1326002</t>
  </si>
  <si>
    <t>313188</t>
  </si>
  <si>
    <t>Basti, Uttar Pradesh</t>
  </si>
  <si>
    <t>198036</t>
  </si>
  <si>
    <t>PSIB34</t>
  </si>
  <si>
    <t>313234</t>
  </si>
  <si>
    <t>279635</t>
  </si>
  <si>
    <t>PSIB1326001</t>
  </si>
  <si>
    <t>313265</t>
  </si>
  <si>
    <t>197898</t>
  </si>
  <si>
    <t>CNRB255378183</t>
  </si>
  <si>
    <t>313267</t>
  </si>
  <si>
    <t>244953</t>
  </si>
  <si>
    <t>BARBEBX006567</t>
  </si>
  <si>
    <t>314863</t>
  </si>
  <si>
    <t>Mutga, Karnataka</t>
  </si>
  <si>
    <t>267818</t>
  </si>
  <si>
    <t>BARBIDE000110</t>
  </si>
  <si>
    <t>314879</t>
  </si>
  <si>
    <t>275465</t>
  </si>
  <si>
    <t>CBIN0281779</t>
  </si>
  <si>
    <t>315102</t>
  </si>
  <si>
    <t>Siwan, Bihar</t>
  </si>
  <si>
    <t>229017</t>
  </si>
  <si>
    <t>CBIN0283919328982</t>
  </si>
  <si>
    <t>315141</t>
  </si>
  <si>
    <t>279016</t>
  </si>
  <si>
    <t>PSIB0000001</t>
  </si>
  <si>
    <t>315768</t>
  </si>
  <si>
    <t>287082</t>
  </si>
  <si>
    <t>UCBA0003333011</t>
  </si>
  <si>
    <t>315777</t>
  </si>
  <si>
    <t>262681</t>
  </si>
  <si>
    <t>UCBA0002031007</t>
  </si>
  <si>
    <t>315825</t>
  </si>
  <si>
    <t>259416</t>
  </si>
  <si>
    <t>UCBA0002031006</t>
  </si>
  <si>
    <t>315835</t>
  </si>
  <si>
    <t>259412</t>
  </si>
  <si>
    <t>IDIBLDH10814662263</t>
  </si>
  <si>
    <t>316753</t>
  </si>
  <si>
    <t>287811</t>
  </si>
  <si>
    <t>PSIB077607</t>
  </si>
  <si>
    <t>316949</t>
  </si>
  <si>
    <t>287109</t>
  </si>
  <si>
    <t>CBIN111804483011</t>
  </si>
  <si>
    <t>317432</t>
  </si>
  <si>
    <t>284515</t>
  </si>
  <si>
    <t>CBIN111804483010</t>
  </si>
  <si>
    <t>317450</t>
  </si>
  <si>
    <t>284513</t>
  </si>
  <si>
    <t>CBIN111804483009</t>
  </si>
  <si>
    <t>317459</t>
  </si>
  <si>
    <t>284512</t>
  </si>
  <si>
    <t>CBIN052703</t>
  </si>
  <si>
    <t>317467</t>
  </si>
  <si>
    <t>254105</t>
  </si>
  <si>
    <t>CBIN111804483008</t>
  </si>
  <si>
    <t>317470</t>
  </si>
  <si>
    <t>284468</t>
  </si>
  <si>
    <t>CBIN111804483007</t>
  </si>
  <si>
    <t>317477</t>
  </si>
  <si>
    <t>284466</t>
  </si>
  <si>
    <t>CBIN111804483006</t>
  </si>
  <si>
    <t>317500</t>
  </si>
  <si>
    <t>284463</t>
  </si>
  <si>
    <t>CBIN111804483005</t>
  </si>
  <si>
    <t>317513</t>
  </si>
  <si>
    <t>284459</t>
  </si>
  <si>
    <t>CBIN098601</t>
  </si>
  <si>
    <t>317515</t>
  </si>
  <si>
    <t>GIDC Shinavada, Gujarat</t>
  </si>
  <si>
    <t>251207</t>
  </si>
  <si>
    <t>CBIN111804483004</t>
  </si>
  <si>
    <t>317517</t>
  </si>
  <si>
    <t>284396</t>
  </si>
  <si>
    <t>CBIN228202</t>
  </si>
  <si>
    <t>317521</t>
  </si>
  <si>
    <t>278674</t>
  </si>
  <si>
    <t>CBIN228203</t>
  </si>
  <si>
    <t>317524</t>
  </si>
  <si>
    <t>278680</t>
  </si>
  <si>
    <t>CBIN228201</t>
  </si>
  <si>
    <t>317526</t>
  </si>
  <si>
    <t>239209</t>
  </si>
  <si>
    <t>CBIN111804483003</t>
  </si>
  <si>
    <t>317529</t>
  </si>
  <si>
    <t>284390</t>
  </si>
  <si>
    <t>CBIN047108</t>
  </si>
  <si>
    <t>317530</t>
  </si>
  <si>
    <t>Mahesana, Gujarat</t>
  </si>
  <si>
    <t>271027</t>
  </si>
  <si>
    <t>CBIN111804483002</t>
  </si>
  <si>
    <t>317533</t>
  </si>
  <si>
    <t>284383</t>
  </si>
  <si>
    <t>CBIN047102</t>
  </si>
  <si>
    <t>317536</t>
  </si>
  <si>
    <t>170507</t>
  </si>
  <si>
    <t>CBIN111804483001</t>
  </si>
  <si>
    <t>317537</t>
  </si>
  <si>
    <t>Kolar, Karnataka</t>
  </si>
  <si>
    <t>284168</t>
  </si>
  <si>
    <t>CBIN047101</t>
  </si>
  <si>
    <t>317539</t>
  </si>
  <si>
    <t>170503</t>
  </si>
  <si>
    <t>CBIN053201</t>
  </si>
  <si>
    <t>317541</t>
  </si>
  <si>
    <t>Anklav, Gujarat</t>
  </si>
  <si>
    <t>248714</t>
  </si>
  <si>
    <t>CBIN053501</t>
  </si>
  <si>
    <t>317550</t>
  </si>
  <si>
    <t>273211</t>
  </si>
  <si>
    <t>CBIN047406</t>
  </si>
  <si>
    <t>317555</t>
  </si>
  <si>
    <t>189500</t>
  </si>
  <si>
    <t>CBIN703104</t>
  </si>
  <si>
    <t>317840</t>
  </si>
  <si>
    <t>187521</t>
  </si>
  <si>
    <t>CBIN703101</t>
  </si>
  <si>
    <t>317850</t>
  </si>
  <si>
    <t>185711</t>
  </si>
  <si>
    <t>CBIN703111</t>
  </si>
  <si>
    <t>317853</t>
  </si>
  <si>
    <t>187992</t>
  </si>
  <si>
    <t>UCBA191701</t>
  </si>
  <si>
    <t>318372</t>
  </si>
  <si>
    <t>267330</t>
  </si>
  <si>
    <t>UCBA226088733SSTRADING1</t>
  </si>
  <si>
    <t>318381</t>
  </si>
  <si>
    <t>Bhadohi, Uttar Pradesh</t>
  </si>
  <si>
    <t>288206</t>
  </si>
  <si>
    <t>UCBA226088733SSTRADING</t>
  </si>
  <si>
    <t>318382</t>
  </si>
  <si>
    <t>288204</t>
  </si>
  <si>
    <t>CBINTROKEW101</t>
  </si>
  <si>
    <t>302928</t>
  </si>
  <si>
    <t>127455</t>
  </si>
  <si>
    <t>CBINTROAMBR106</t>
  </si>
  <si>
    <t>302948</t>
  </si>
  <si>
    <t>215994</t>
  </si>
  <si>
    <t>CBINTROULHS105</t>
  </si>
  <si>
    <t>303416</t>
  </si>
  <si>
    <t>107457</t>
  </si>
  <si>
    <t>IDIB006505869780</t>
  </si>
  <si>
    <t>306230</t>
  </si>
  <si>
    <t>285972</t>
  </si>
  <si>
    <t>IDIB007632216343</t>
  </si>
  <si>
    <t>312351</t>
  </si>
  <si>
    <t>Pentapadu, Andhra Pradesh</t>
  </si>
  <si>
    <t>283280</t>
  </si>
  <si>
    <t>UCBAAHME16870062</t>
  </si>
  <si>
    <t>313727</t>
  </si>
  <si>
    <t>275247</t>
  </si>
  <si>
    <t>BARB0502202503</t>
  </si>
  <si>
    <t>313986</t>
  </si>
  <si>
    <t>228767</t>
  </si>
  <si>
    <t>CBIN028103601</t>
  </si>
  <si>
    <t>314363</t>
  </si>
  <si>
    <t>Mahua, Bihar</t>
  </si>
  <si>
    <t>250703</t>
  </si>
  <si>
    <t>CBIN8601879126</t>
  </si>
  <si>
    <t>314576</t>
  </si>
  <si>
    <t>272214</t>
  </si>
  <si>
    <t>CBIN8141042226</t>
  </si>
  <si>
    <t>314579</t>
  </si>
  <si>
    <t>265192</t>
  </si>
  <si>
    <t>CBIN8255998087</t>
  </si>
  <si>
    <t>314580</t>
  </si>
  <si>
    <t>265025</t>
  </si>
  <si>
    <t>CBIN7239886938</t>
  </si>
  <si>
    <t>314581</t>
  </si>
  <si>
    <t>265020</t>
  </si>
  <si>
    <t>CBIN8230976934</t>
  </si>
  <si>
    <t>314583</t>
  </si>
  <si>
    <t>Ashta, Madhya Pradesh</t>
  </si>
  <si>
    <t>265015</t>
  </si>
  <si>
    <t>CBIN8294667208</t>
  </si>
  <si>
    <t>314585</t>
  </si>
  <si>
    <t>Sanchi, Madhya Pradesh</t>
  </si>
  <si>
    <t>258387</t>
  </si>
  <si>
    <t>CBIN8152903760</t>
  </si>
  <si>
    <t>314586</t>
  </si>
  <si>
    <t>258385</t>
  </si>
  <si>
    <t>CBIN8443363156</t>
  </si>
  <si>
    <t>314587</t>
  </si>
  <si>
    <t>258255</t>
  </si>
  <si>
    <t>CBIN8298539248</t>
  </si>
  <si>
    <t>314590</t>
  </si>
  <si>
    <t>Rajgarh, Madhya Pradesh</t>
  </si>
  <si>
    <t>229328</t>
  </si>
  <si>
    <t>CBIN8288678434</t>
  </si>
  <si>
    <t>314591</t>
  </si>
  <si>
    <t>229315</t>
  </si>
  <si>
    <t>CBIN8264012486</t>
  </si>
  <si>
    <t>314592</t>
  </si>
  <si>
    <t>220407</t>
  </si>
  <si>
    <t>CBIN8264012485</t>
  </si>
  <si>
    <t>314593</t>
  </si>
  <si>
    <t>220404</t>
  </si>
  <si>
    <t>CBIN8307842624</t>
  </si>
  <si>
    <t>314594</t>
  </si>
  <si>
    <t>Bhairunda, Madhya Pradesh</t>
  </si>
  <si>
    <t>187918</t>
  </si>
  <si>
    <t>CBINZANIRAOSHIWARA</t>
  </si>
  <si>
    <t>314646</t>
  </si>
  <si>
    <t>258844</t>
  </si>
  <si>
    <t>UCBAAHME19920059</t>
  </si>
  <si>
    <t>315506</t>
  </si>
  <si>
    <t>274987</t>
  </si>
  <si>
    <t>UCBAAHME02740004</t>
  </si>
  <si>
    <t>315631</t>
  </si>
  <si>
    <t>287554</t>
  </si>
  <si>
    <t>UCBAAHME02740003</t>
  </si>
  <si>
    <t>315642</t>
  </si>
  <si>
    <t>287238</t>
  </si>
  <si>
    <t>CBINRECV3</t>
  </si>
  <si>
    <t>316268</t>
  </si>
  <si>
    <t>189900</t>
  </si>
  <si>
    <t>CBINKOL0094BRAJCEMENTINDU</t>
  </si>
  <si>
    <t>316431</t>
  </si>
  <si>
    <t>270321</t>
  </si>
  <si>
    <t>CBINKOL3420LALTUSINHA</t>
  </si>
  <si>
    <t>316462</t>
  </si>
  <si>
    <t>270387</t>
  </si>
  <si>
    <t>CBINKOL3413SONALISAMANTA</t>
  </si>
  <si>
    <t>316471</t>
  </si>
  <si>
    <t>235495</t>
  </si>
  <si>
    <t>CBINKOL3413TAPANDUTTA</t>
  </si>
  <si>
    <t>316487</t>
  </si>
  <si>
    <t>218232</t>
  </si>
  <si>
    <t>CBINKOL3413SONALISAMANT5G</t>
  </si>
  <si>
    <t>316501</t>
  </si>
  <si>
    <t>236174</t>
  </si>
  <si>
    <t>CBINKOL3986GOBINDAHEMBRAM</t>
  </si>
  <si>
    <t>316511</t>
  </si>
  <si>
    <t>199328</t>
  </si>
  <si>
    <t>CBINKOL3511RADHAKRISHNA</t>
  </si>
  <si>
    <t>316524</t>
  </si>
  <si>
    <t>270334</t>
  </si>
  <si>
    <t>CBINTROBHI101</t>
  </si>
  <si>
    <t>317171</t>
  </si>
  <si>
    <t>54285</t>
  </si>
  <si>
    <t>CBINTRONRL107</t>
  </si>
  <si>
    <t>317185</t>
  </si>
  <si>
    <t>273228</t>
  </si>
  <si>
    <t>CBIN028472608</t>
  </si>
  <si>
    <t>317186</t>
  </si>
  <si>
    <t>172367</t>
  </si>
  <si>
    <t>CBINTROMHA101</t>
  </si>
  <si>
    <t>317188</t>
  </si>
  <si>
    <t>185927</t>
  </si>
  <si>
    <t>CBIN028472619</t>
  </si>
  <si>
    <t>317191</t>
  </si>
  <si>
    <t>241111</t>
  </si>
  <si>
    <t>CBINTROAMBR107</t>
  </si>
  <si>
    <t>317192</t>
  </si>
  <si>
    <t>224949</t>
  </si>
  <si>
    <t>CBIN028472627</t>
  </si>
  <si>
    <t>317193</t>
  </si>
  <si>
    <t>248941</t>
  </si>
  <si>
    <t>CBINTROTHE116</t>
  </si>
  <si>
    <t>317194</t>
  </si>
  <si>
    <t>224954</t>
  </si>
  <si>
    <t>CBIN028472628</t>
  </si>
  <si>
    <t>317195</t>
  </si>
  <si>
    <t>253758</t>
  </si>
  <si>
    <t>CBINTRONRL102</t>
  </si>
  <si>
    <t>317196</t>
  </si>
  <si>
    <t>236083</t>
  </si>
  <si>
    <t>CBINTRONRL103</t>
  </si>
  <si>
    <t>317202</t>
  </si>
  <si>
    <t>239150</t>
  </si>
  <si>
    <t>CBIN028472605</t>
  </si>
  <si>
    <t>317205</t>
  </si>
  <si>
    <t>Saphale, Maharashtra</t>
  </si>
  <si>
    <t>172133</t>
  </si>
  <si>
    <t>CBIN028472616</t>
  </si>
  <si>
    <t>317208</t>
  </si>
  <si>
    <t>228286</t>
  </si>
  <si>
    <t>CBINTROAMD101</t>
  </si>
  <si>
    <t>317210</t>
  </si>
  <si>
    <t>Kudus, Maharashtra</t>
  </si>
  <si>
    <t>239152</t>
  </si>
  <si>
    <t>CBINTROKLH104</t>
  </si>
  <si>
    <t>317211</t>
  </si>
  <si>
    <t>239155</t>
  </si>
  <si>
    <t>CBINTROKAL113</t>
  </si>
  <si>
    <t>317214</t>
  </si>
  <si>
    <t>239159</t>
  </si>
  <si>
    <t>CBINTROSAN111</t>
  </si>
  <si>
    <t>317215</t>
  </si>
  <si>
    <t>249739</t>
  </si>
  <si>
    <t>CBINTROSAN112</t>
  </si>
  <si>
    <t>317216</t>
  </si>
  <si>
    <t>249742</t>
  </si>
  <si>
    <t>CBINTROULHSC401</t>
  </si>
  <si>
    <t>317217</t>
  </si>
  <si>
    <t>249747</t>
  </si>
  <si>
    <t>CBINTROULHSC402</t>
  </si>
  <si>
    <t>317219</t>
  </si>
  <si>
    <t>249746</t>
  </si>
  <si>
    <t>CBINTROULHSC403</t>
  </si>
  <si>
    <t>317220</t>
  </si>
  <si>
    <t>249749</t>
  </si>
  <si>
    <t>CBINTROTHW123</t>
  </si>
  <si>
    <t>317221</t>
  </si>
  <si>
    <t>253118</t>
  </si>
  <si>
    <t>CBINTROTHE121</t>
  </si>
  <si>
    <t>317222</t>
  </si>
  <si>
    <t>249751</t>
  </si>
  <si>
    <t>CBINTROULHS111</t>
  </si>
  <si>
    <t>317224</t>
  </si>
  <si>
    <t>253119</t>
  </si>
  <si>
    <t>CBINTROULHS112</t>
  </si>
  <si>
    <t>317225</t>
  </si>
  <si>
    <t>253126</t>
  </si>
  <si>
    <t>CBINTROURN102</t>
  </si>
  <si>
    <t>317226</t>
  </si>
  <si>
    <t>253135</t>
  </si>
  <si>
    <t>CBINTROSAN114</t>
  </si>
  <si>
    <t>317227</t>
  </si>
  <si>
    <t>256062</t>
  </si>
  <si>
    <t>CBINTRONRL105</t>
  </si>
  <si>
    <t>317228</t>
  </si>
  <si>
    <t>264725</t>
  </si>
  <si>
    <t>CBINTROMUM115</t>
  </si>
  <si>
    <t>317230</t>
  </si>
  <si>
    <t>264717</t>
  </si>
  <si>
    <t>CBINTROMUM114</t>
  </si>
  <si>
    <t>317231</t>
  </si>
  <si>
    <t>264714</t>
  </si>
  <si>
    <t>CBINTROULHS113</t>
  </si>
  <si>
    <t>317232</t>
  </si>
  <si>
    <t>264247</t>
  </si>
  <si>
    <t>CBINTROULHSC404</t>
  </si>
  <si>
    <t>317233</t>
  </si>
  <si>
    <t>264243</t>
  </si>
  <si>
    <t>CBINTROULHSC406</t>
  </si>
  <si>
    <t>317234</t>
  </si>
  <si>
    <t>264686</t>
  </si>
  <si>
    <t>CBINTROPEN111</t>
  </si>
  <si>
    <t>317235</t>
  </si>
  <si>
    <t>273232</t>
  </si>
  <si>
    <t>CBINTROCBD111</t>
  </si>
  <si>
    <t>317237</t>
  </si>
  <si>
    <t>273240</t>
  </si>
  <si>
    <t>CBINTROCBD112</t>
  </si>
  <si>
    <t>317238</t>
  </si>
  <si>
    <t>273254</t>
  </si>
  <si>
    <t>CBINTROBHY111</t>
  </si>
  <si>
    <t>317241</t>
  </si>
  <si>
    <t>275606</t>
  </si>
  <si>
    <t>CBINTROKALE111</t>
  </si>
  <si>
    <t>317242</t>
  </si>
  <si>
    <t>282347</t>
  </si>
  <si>
    <t>CBINTROULHSC408</t>
  </si>
  <si>
    <t>317243</t>
  </si>
  <si>
    <t>282349</t>
  </si>
  <si>
    <t>CBIN028472621</t>
  </si>
  <si>
    <t>317245</t>
  </si>
  <si>
    <t>243207</t>
  </si>
  <si>
    <t>CBIN028472634</t>
  </si>
  <si>
    <t>317246</t>
  </si>
  <si>
    <t>269597</t>
  </si>
  <si>
    <t>CBIN028472625</t>
  </si>
  <si>
    <t>317247</t>
  </si>
  <si>
    <t>248922</t>
  </si>
  <si>
    <t>CBINO28472626</t>
  </si>
  <si>
    <t>317249</t>
  </si>
  <si>
    <t>248929</t>
  </si>
  <si>
    <t>CBIN028472641</t>
  </si>
  <si>
    <t>317252</t>
  </si>
  <si>
    <t>263306</t>
  </si>
  <si>
    <t>CBIN028472632</t>
  </si>
  <si>
    <t>317256</t>
  </si>
  <si>
    <t>267939</t>
  </si>
  <si>
    <t>CBIN028472637</t>
  </si>
  <si>
    <t>317259</t>
  </si>
  <si>
    <t>274910</t>
  </si>
  <si>
    <t>CBIN028472638</t>
  </si>
  <si>
    <t>317263</t>
  </si>
  <si>
    <t>274919</t>
  </si>
  <si>
    <t>CBIN028472636</t>
  </si>
  <si>
    <t>317270</t>
  </si>
  <si>
    <t>274858</t>
  </si>
  <si>
    <t>CBIN028472635</t>
  </si>
  <si>
    <t>317275</t>
  </si>
  <si>
    <t>274851</t>
  </si>
  <si>
    <t>CBIN028472617</t>
  </si>
  <si>
    <t>317282</t>
  </si>
  <si>
    <t>228301</t>
  </si>
  <si>
    <t>CBINTROPNV112</t>
  </si>
  <si>
    <t>317285</t>
  </si>
  <si>
    <t>286488</t>
  </si>
  <si>
    <t>CBIN028472633</t>
  </si>
  <si>
    <t>317287</t>
  </si>
  <si>
    <t>267946</t>
  </si>
  <si>
    <t>CBIN1894600kunal</t>
  </si>
  <si>
    <t>317403</t>
  </si>
  <si>
    <t>273337</t>
  </si>
  <si>
    <t>CBIN1894628SURESH</t>
  </si>
  <si>
    <t>317411</t>
  </si>
  <si>
    <t>252225</t>
  </si>
  <si>
    <t>CBINTROULHS102</t>
  </si>
  <si>
    <t>317423</t>
  </si>
  <si>
    <t>101106</t>
  </si>
  <si>
    <t>CBINTROULHS103</t>
  </si>
  <si>
    <t>317426</t>
  </si>
  <si>
    <t>90999</t>
  </si>
  <si>
    <t>CBINTROULHS104</t>
  </si>
  <si>
    <t>317433</t>
  </si>
  <si>
    <t>106171</t>
  </si>
  <si>
    <t>CBINTROKAMO100</t>
  </si>
  <si>
    <t>317440</t>
  </si>
  <si>
    <t>106066</t>
  </si>
  <si>
    <t>CBINTRONRL100</t>
  </si>
  <si>
    <t>317478</t>
  </si>
  <si>
    <t>125964</t>
  </si>
  <si>
    <t>CBINTROKHAR101</t>
  </si>
  <si>
    <t>317490</t>
  </si>
  <si>
    <t>264701</t>
  </si>
  <si>
    <t>CBINTROULHS107</t>
  </si>
  <si>
    <t>317503</t>
  </si>
  <si>
    <t>125898</t>
  </si>
  <si>
    <t>CBINKOLS009701</t>
  </si>
  <si>
    <t>317510</t>
  </si>
  <si>
    <t>252411</t>
  </si>
  <si>
    <t>CBINGIGIDEVAGIRI</t>
  </si>
  <si>
    <t>317586</t>
  </si>
  <si>
    <t>KARUKACHAL, Kerala</t>
  </si>
  <si>
    <t>273021</t>
  </si>
  <si>
    <t>CBIN028357101</t>
  </si>
  <si>
    <t>317643</t>
  </si>
  <si>
    <t>250798</t>
  </si>
  <si>
    <t>CBINANGANNIE</t>
  </si>
  <si>
    <t>317842</t>
  </si>
  <si>
    <t>242738</t>
  </si>
  <si>
    <t>CBINANGKALRKL</t>
  </si>
  <si>
    <t>317844</t>
  </si>
  <si>
    <t>Kothamangalam, Kerala</t>
  </si>
  <si>
    <t>214010</t>
  </si>
  <si>
    <t>CBINNIDHEESHGURUVAYOOR</t>
  </si>
  <si>
    <t>317845</t>
  </si>
  <si>
    <t>267519</t>
  </si>
  <si>
    <t>CBINUNNIKRISHNANIRNJ</t>
  </si>
  <si>
    <t>317846</t>
  </si>
  <si>
    <t>Chendrappini, Kerala</t>
  </si>
  <si>
    <t>248230</t>
  </si>
  <si>
    <t>CBINKADAVPVP</t>
  </si>
  <si>
    <t>317847</t>
  </si>
  <si>
    <t>237262</t>
  </si>
  <si>
    <t>CBINSUSEELAMALAPPURAM</t>
  </si>
  <si>
    <t>317848</t>
  </si>
  <si>
    <t>267516</t>
  </si>
  <si>
    <t>CBINPERUAROM</t>
  </si>
  <si>
    <t>317849</t>
  </si>
  <si>
    <t>188150</t>
  </si>
  <si>
    <t>CBINJAYAKUMARPERUMANOOR</t>
  </si>
  <si>
    <t>317851</t>
  </si>
  <si>
    <t>267579</t>
  </si>
  <si>
    <t>CBINPERVEBSTER</t>
  </si>
  <si>
    <t>317852</t>
  </si>
  <si>
    <t>Edathiruthy, Kerala</t>
  </si>
  <si>
    <t>237260</t>
  </si>
  <si>
    <t>CBINPERUMATHAIMC</t>
  </si>
  <si>
    <t>317854</t>
  </si>
  <si>
    <t>188148</t>
  </si>
  <si>
    <t>CBINPERCYRIL</t>
  </si>
  <si>
    <t>317856</t>
  </si>
  <si>
    <t>234107</t>
  </si>
  <si>
    <t>CBINSHAJIAM</t>
  </si>
  <si>
    <t>317857</t>
  </si>
  <si>
    <t>PERUVA, Kerala</t>
  </si>
  <si>
    <t>275709</t>
  </si>
  <si>
    <t>CBINPUZHBABU</t>
  </si>
  <si>
    <t>317860</t>
  </si>
  <si>
    <t>236133</t>
  </si>
  <si>
    <t>CBINPUZHSAI</t>
  </si>
  <si>
    <t>317861</t>
  </si>
  <si>
    <t>Brahmakulam, Kerala</t>
  </si>
  <si>
    <t>213930</t>
  </si>
  <si>
    <t>CBINRAJAMMATHALIPARAMBA</t>
  </si>
  <si>
    <t>317862</t>
  </si>
  <si>
    <t>267582</t>
  </si>
  <si>
    <t>CBINTHANIVANAK</t>
  </si>
  <si>
    <t>317867</t>
  </si>
  <si>
    <t>237263</t>
  </si>
  <si>
    <t>CBINTHODUASH</t>
  </si>
  <si>
    <t>317868</t>
  </si>
  <si>
    <t>243189</t>
  </si>
  <si>
    <t>CBINTRISHANA</t>
  </si>
  <si>
    <t>317874</t>
  </si>
  <si>
    <t>186810</t>
  </si>
  <si>
    <t>CBINRAJESHPERUTHRISSUR</t>
  </si>
  <si>
    <t>317877</t>
  </si>
  <si>
    <t>267520</t>
  </si>
  <si>
    <t>CBINABHINAVSVAZHOOR</t>
  </si>
  <si>
    <t>317880</t>
  </si>
  <si>
    <t>267251</t>
  </si>
  <si>
    <t>CBINANEESHVAZHOOR</t>
  </si>
  <si>
    <t>317883</t>
  </si>
  <si>
    <t>267252</t>
  </si>
  <si>
    <t>CBINVAZHSNDP</t>
  </si>
  <si>
    <t>317886</t>
  </si>
  <si>
    <t>Kanjirappally, Kerala</t>
  </si>
  <si>
    <t>213945</t>
  </si>
  <si>
    <t>CBINVZHALNJOY</t>
  </si>
  <si>
    <t>317887</t>
  </si>
  <si>
    <t>213995</t>
  </si>
  <si>
    <t>CBINTRICASAV</t>
  </si>
  <si>
    <t>317888</t>
  </si>
  <si>
    <t>188464</t>
  </si>
  <si>
    <t>CNRBMLRRO010</t>
  </si>
  <si>
    <t>307443</t>
  </si>
  <si>
    <t>Mudbidri, Karnataka</t>
  </si>
  <si>
    <t>29-06-2026 10:30</t>
  </si>
  <si>
    <t>29-06-2026 11:30</t>
  </si>
  <si>
    <t>239955</t>
  </si>
  <si>
    <t>CNRB3761097</t>
  </si>
  <si>
    <t>310091</t>
  </si>
  <si>
    <t>264559</t>
  </si>
  <si>
    <t>CNRB37SCOTT</t>
  </si>
  <si>
    <t>310101</t>
  </si>
  <si>
    <t>264566</t>
  </si>
  <si>
    <t>CNRB312516354b</t>
  </si>
  <si>
    <t>311542</t>
  </si>
  <si>
    <t>263874</t>
  </si>
  <si>
    <t>CNRB312516354</t>
  </si>
  <si>
    <t>311547</t>
  </si>
  <si>
    <t>Elamkunnapuzha, Kerala</t>
  </si>
  <si>
    <t>263873</t>
  </si>
  <si>
    <t>CNRB312561424</t>
  </si>
  <si>
    <t>312906</t>
  </si>
  <si>
    <t>249119</t>
  </si>
  <si>
    <t>CNRB303185440</t>
  </si>
  <si>
    <t>314227</t>
  </si>
  <si>
    <t>250487</t>
  </si>
  <si>
    <t>CNRBShaiju</t>
  </si>
  <si>
    <t>314236</t>
  </si>
  <si>
    <t>257626</t>
  </si>
  <si>
    <t>CNRBFREN</t>
  </si>
  <si>
    <t>314497</t>
  </si>
  <si>
    <t>241348</t>
  </si>
  <si>
    <t>CBIN8355536834</t>
  </si>
  <si>
    <t>29-06-2026 16:30</t>
  </si>
  <si>
    <t>249912</t>
  </si>
  <si>
    <t>CBIN8259654654</t>
  </si>
  <si>
    <t>315197</t>
  </si>
  <si>
    <t>203090</t>
  </si>
  <si>
    <t>CBIN8170249237</t>
  </si>
  <si>
    <t>315246</t>
  </si>
  <si>
    <t>275952</t>
  </si>
  <si>
    <t>CBIN833399913</t>
  </si>
  <si>
    <t>315273</t>
  </si>
  <si>
    <t>187703</t>
  </si>
  <si>
    <t>CBIN5416384386</t>
  </si>
  <si>
    <t>316287</t>
  </si>
  <si>
    <t>287727</t>
  </si>
  <si>
    <t>PSIB001185983</t>
  </si>
  <si>
    <t>308133</t>
  </si>
  <si>
    <t>Mohali, Punjab</t>
  </si>
  <si>
    <t>278902</t>
  </si>
  <si>
    <t>CNRB323638952vijayalakshm</t>
  </si>
  <si>
    <t>308930</t>
  </si>
  <si>
    <t>Kurinjipadi, Tamil Nadu</t>
  </si>
  <si>
    <t>285676</t>
  </si>
  <si>
    <t>CNRBABDULGANI</t>
  </si>
  <si>
    <t>310968</t>
  </si>
  <si>
    <t>250876</t>
  </si>
  <si>
    <t>CNRBABDULGHANI</t>
  </si>
  <si>
    <t>310998</t>
  </si>
  <si>
    <t>250875</t>
  </si>
  <si>
    <t>CNRB100986964ARUMUGAM</t>
  </si>
  <si>
    <t>311685</t>
  </si>
  <si>
    <t>278213</t>
  </si>
  <si>
    <t>CNRBNANDNAVE</t>
  </si>
  <si>
    <t>312310</t>
  </si>
  <si>
    <t>280734</t>
  </si>
  <si>
    <t>CNRB89713769SANKAR</t>
  </si>
  <si>
    <t>312469</t>
  </si>
  <si>
    <t>247766</t>
  </si>
  <si>
    <t>CNRB22587917KGRAM1</t>
  </si>
  <si>
    <t>312532</t>
  </si>
  <si>
    <t>Neyveli, Tamil Nadu</t>
  </si>
  <si>
    <t>280557</t>
  </si>
  <si>
    <t>CNRB66207664</t>
  </si>
  <si>
    <t>312946</t>
  </si>
  <si>
    <t>Bangaon, Assam</t>
  </si>
  <si>
    <t>265427</t>
  </si>
  <si>
    <t>CNRB10</t>
  </si>
  <si>
    <t>312948</t>
  </si>
  <si>
    <t>Dimapur, Nagaland</t>
  </si>
  <si>
    <t>173335</t>
  </si>
  <si>
    <t>CNRB74844335</t>
  </si>
  <si>
    <t>312951</t>
  </si>
  <si>
    <t>255669</t>
  </si>
  <si>
    <t>CNRB102319565</t>
  </si>
  <si>
    <t>312953</t>
  </si>
  <si>
    <t>271825</t>
  </si>
  <si>
    <t>CNRB78382154</t>
  </si>
  <si>
    <t>312955</t>
  </si>
  <si>
    <t>279567</t>
  </si>
  <si>
    <t>CNRB0001155003</t>
  </si>
  <si>
    <t>312971</t>
  </si>
  <si>
    <t>Sepon, Assam</t>
  </si>
  <si>
    <t>243216</t>
  </si>
  <si>
    <t>CNRB104268328</t>
  </si>
  <si>
    <t>312973</t>
  </si>
  <si>
    <t>259662</t>
  </si>
  <si>
    <t>PSIB10131200000848</t>
  </si>
  <si>
    <t>314726</t>
  </si>
  <si>
    <t>287270</t>
  </si>
  <si>
    <t>PSIBjettysyamkumar</t>
  </si>
  <si>
    <t>314787</t>
  </si>
  <si>
    <t>276103</t>
  </si>
  <si>
    <t>PSIB1013001</t>
  </si>
  <si>
    <t>314801</t>
  </si>
  <si>
    <t>170266</t>
  </si>
  <si>
    <t>PSIBmallemudi</t>
  </si>
  <si>
    <t>314808</t>
  </si>
  <si>
    <t>225487</t>
  </si>
  <si>
    <t>CNRB4159285000021</t>
  </si>
  <si>
    <t>316242</t>
  </si>
  <si>
    <t>243274</t>
  </si>
  <si>
    <t>CNRB110251565</t>
  </si>
  <si>
    <t>316261</t>
  </si>
  <si>
    <t>240867</t>
  </si>
  <si>
    <t>CNRBHASSAN4089</t>
  </si>
  <si>
    <t>316320</t>
  </si>
  <si>
    <t>Hindustan Paper Corporation Ltd Township Panchgram, Assam</t>
  </si>
  <si>
    <t>245430</t>
  </si>
  <si>
    <t>CNRB0001152001</t>
  </si>
  <si>
    <t>316337</t>
  </si>
  <si>
    <t>252553</t>
  </si>
  <si>
    <t>CNRB0812LAKS</t>
  </si>
  <si>
    <t>317859</t>
  </si>
  <si>
    <t>273973</t>
  </si>
  <si>
    <t>CNRB831RAJESH</t>
  </si>
  <si>
    <t>317889</t>
  </si>
  <si>
    <t>Puthuppariyaram, Kerala</t>
  </si>
  <si>
    <t>237707</t>
  </si>
  <si>
    <t>CNRBAQDUM</t>
  </si>
  <si>
    <t>302253</t>
  </si>
  <si>
    <t>29-06-2026 13:00</t>
  </si>
  <si>
    <t>240667</t>
  </si>
  <si>
    <t>CNRBCHHAVI</t>
  </si>
  <si>
    <t>302255</t>
  </si>
  <si>
    <t>240668</t>
  </si>
  <si>
    <t>IOBAMAHAMMEDJAHEED</t>
  </si>
  <si>
    <t>305441</t>
  </si>
  <si>
    <t>285823</t>
  </si>
  <si>
    <t>IOBA0718KRISHNAVENIPROP1</t>
  </si>
  <si>
    <t>305443</t>
  </si>
  <si>
    <t>285815</t>
  </si>
  <si>
    <t>CNRBASHAGUPTA</t>
  </si>
  <si>
    <t>310646</t>
  </si>
  <si>
    <t>260099</t>
  </si>
  <si>
    <t>CNRBRAJANIKAUR</t>
  </si>
  <si>
    <t>310664</t>
  </si>
  <si>
    <t>272236</t>
  </si>
  <si>
    <t>CNRBRAJANIKAURP2</t>
  </si>
  <si>
    <t>310701</t>
  </si>
  <si>
    <t>272338</t>
  </si>
  <si>
    <t>IOBA2397BN</t>
  </si>
  <si>
    <t>312276</t>
  </si>
  <si>
    <t>262611</t>
  </si>
  <si>
    <t>CNRB112039492</t>
  </si>
  <si>
    <t>314371</t>
  </si>
  <si>
    <t>Barpeta Road, Assam</t>
  </si>
  <si>
    <t>189052</t>
  </si>
  <si>
    <t>CNRB125001867292</t>
  </si>
  <si>
    <t>314378</t>
  </si>
  <si>
    <t>Rangia, Assam</t>
  </si>
  <si>
    <t>263825</t>
  </si>
  <si>
    <t>CNRB4872261000044</t>
  </si>
  <si>
    <t>314385</t>
  </si>
  <si>
    <t>Golokganj, Assam</t>
  </si>
  <si>
    <t>244700</t>
  </si>
  <si>
    <t>CNRB3435261000029</t>
  </si>
  <si>
    <t>314395</t>
  </si>
  <si>
    <t>Itanagar, Arunachal Pradesh</t>
  </si>
  <si>
    <t>171937</t>
  </si>
  <si>
    <t>CNRB4159619000036</t>
  </si>
  <si>
    <t>314410</t>
  </si>
  <si>
    <t>244694</t>
  </si>
  <si>
    <t>CNRB116262125</t>
  </si>
  <si>
    <t>314420</t>
  </si>
  <si>
    <t>Barpeta, Assam</t>
  </si>
  <si>
    <t>189865</t>
  </si>
  <si>
    <t>CNRB126328167</t>
  </si>
  <si>
    <t>314431</t>
  </si>
  <si>
    <t>279994</t>
  </si>
  <si>
    <t>CNRB79419340000012</t>
  </si>
  <si>
    <t>314438</t>
  </si>
  <si>
    <t>204975</t>
  </si>
  <si>
    <t>CNRB3370285000007</t>
  </si>
  <si>
    <t>314448</t>
  </si>
  <si>
    <t>Belsor, Assam</t>
  </si>
  <si>
    <t>251821</t>
  </si>
  <si>
    <t>CNRB123609074</t>
  </si>
  <si>
    <t>314460</t>
  </si>
  <si>
    <t>Nalbari, Assam</t>
  </si>
  <si>
    <t>188855</t>
  </si>
  <si>
    <t>IOBA64JAYANTH</t>
  </si>
  <si>
    <t>316245</t>
  </si>
  <si>
    <t>254472</t>
  </si>
  <si>
    <t>IOBAKHUNTIPARBATBHAI</t>
  </si>
  <si>
    <t>316412</t>
  </si>
  <si>
    <t>257932</t>
  </si>
  <si>
    <t>IOBABOKHIRIYARAMBHAI</t>
  </si>
  <si>
    <t>316421</t>
  </si>
  <si>
    <t>257938</t>
  </si>
  <si>
    <t>IOBASUNILSARSIYA</t>
  </si>
  <si>
    <t>316427</t>
  </si>
  <si>
    <t>263783</t>
  </si>
  <si>
    <t>MAHB60430455134</t>
  </si>
  <si>
    <t>317804</t>
  </si>
  <si>
    <t>258740</t>
  </si>
  <si>
    <t>MAHB60355065478</t>
  </si>
  <si>
    <t>317809</t>
  </si>
  <si>
    <t>183136</t>
  </si>
  <si>
    <t>MAHB60425672928</t>
  </si>
  <si>
    <t>317811</t>
  </si>
  <si>
    <t>184340</t>
  </si>
  <si>
    <t>MAHB60355867596</t>
  </si>
  <si>
    <t>317813</t>
  </si>
  <si>
    <t>183147</t>
  </si>
  <si>
    <t>MAHB60422022905</t>
  </si>
  <si>
    <t>317814</t>
  </si>
  <si>
    <t>258739</t>
  </si>
  <si>
    <t>MAHB60480842022</t>
  </si>
  <si>
    <t>317815</t>
  </si>
  <si>
    <t>258756</t>
  </si>
  <si>
    <t>MAHB60480842023</t>
  </si>
  <si>
    <t>317816</t>
  </si>
  <si>
    <t>258759</t>
  </si>
  <si>
    <t>CNRB76004537</t>
  </si>
  <si>
    <t>308459</t>
  </si>
  <si>
    <t>Chowwara, Kerala</t>
  </si>
  <si>
    <t>201285</t>
  </si>
  <si>
    <t>CNRB81291418</t>
  </si>
  <si>
    <t>308553</t>
  </si>
  <si>
    <t>208229</t>
  </si>
  <si>
    <t>CNRB241469560</t>
  </si>
  <si>
    <t>308734</t>
  </si>
  <si>
    <t>Kunnathunad, Kerala</t>
  </si>
  <si>
    <t>208312</t>
  </si>
  <si>
    <t>CNRB98291746</t>
  </si>
  <si>
    <t>308754</t>
  </si>
  <si>
    <t>Eramalloor, Kerala</t>
  </si>
  <si>
    <t>188261</t>
  </si>
  <si>
    <t>CNRB103063272</t>
  </si>
  <si>
    <t>308765</t>
  </si>
  <si>
    <t>Muvattupuzha, Kerala</t>
  </si>
  <si>
    <t>200162</t>
  </si>
  <si>
    <t>CNRB95895904</t>
  </si>
  <si>
    <t>308799</t>
  </si>
  <si>
    <t>214096</t>
  </si>
  <si>
    <t>CNRB113109394</t>
  </si>
  <si>
    <t>308822</t>
  </si>
  <si>
    <t>208470</t>
  </si>
  <si>
    <t>CNRB218505071</t>
  </si>
  <si>
    <t>308881</t>
  </si>
  <si>
    <t>189172</t>
  </si>
  <si>
    <t>CNRB117620079a</t>
  </si>
  <si>
    <t>308895</t>
  </si>
  <si>
    <t>261187</t>
  </si>
  <si>
    <t>CNRB110363072</t>
  </si>
  <si>
    <t>308906</t>
  </si>
  <si>
    <t>253730</t>
  </si>
  <si>
    <t>CNRB105346160</t>
  </si>
  <si>
    <t>308922</t>
  </si>
  <si>
    <t>247574</t>
  </si>
  <si>
    <t>CNRB306876310</t>
  </si>
  <si>
    <t>308940</t>
  </si>
  <si>
    <t>Maradu, Kerala</t>
  </si>
  <si>
    <t>205095</t>
  </si>
  <si>
    <t>CNRB257965429</t>
  </si>
  <si>
    <t>308952</t>
  </si>
  <si>
    <t>Puthencruz, Kerala</t>
  </si>
  <si>
    <t>213396</t>
  </si>
  <si>
    <t>CNRB307042390</t>
  </si>
  <si>
    <t>308959</t>
  </si>
  <si>
    <t>251176</t>
  </si>
  <si>
    <t>CNRB86047462</t>
  </si>
  <si>
    <t>308966</t>
  </si>
  <si>
    <t>275910</t>
  </si>
  <si>
    <t>CNRB107745233</t>
  </si>
  <si>
    <t>308975</t>
  </si>
  <si>
    <t>247603</t>
  </si>
  <si>
    <t>CNRB313854311</t>
  </si>
  <si>
    <t>308978</t>
  </si>
  <si>
    <t>261189</t>
  </si>
  <si>
    <t>CNRB238957806</t>
  </si>
  <si>
    <t>309004</t>
  </si>
  <si>
    <t>269004</t>
  </si>
  <si>
    <t>CNRB38411198</t>
  </si>
  <si>
    <t>309013</t>
  </si>
  <si>
    <t>Thrippunithura, Kerala</t>
  </si>
  <si>
    <t>272717</t>
  </si>
  <si>
    <t>CNRB112790579</t>
  </si>
  <si>
    <t>309019</t>
  </si>
  <si>
    <t>268998</t>
  </si>
  <si>
    <t>CNRB58445683</t>
  </si>
  <si>
    <t>309026</t>
  </si>
  <si>
    <t>275877</t>
  </si>
  <si>
    <t>CNRB116453945</t>
  </si>
  <si>
    <t>309035</t>
  </si>
  <si>
    <t>272369</t>
  </si>
  <si>
    <t>CNRB320180455</t>
  </si>
  <si>
    <t>309057</t>
  </si>
  <si>
    <t>279815</t>
  </si>
  <si>
    <t>PSIB00011300099118</t>
  </si>
  <si>
    <t>310948</t>
  </si>
  <si>
    <t>252175</t>
  </si>
  <si>
    <t>PSIB00011300099232</t>
  </si>
  <si>
    <t>310959</t>
  </si>
  <si>
    <t>282035</t>
  </si>
  <si>
    <t>PSIB068500048130</t>
  </si>
  <si>
    <t>310978</t>
  </si>
  <si>
    <t>249549</t>
  </si>
  <si>
    <t>PSIB001055135</t>
  </si>
  <si>
    <t>311010</t>
  </si>
  <si>
    <t>271895</t>
  </si>
  <si>
    <t>PSIB01611200000320</t>
  </si>
  <si>
    <t>311044</t>
  </si>
  <si>
    <t>253876</t>
  </si>
  <si>
    <t>PSIB010589295</t>
  </si>
  <si>
    <t>311048</t>
  </si>
  <si>
    <t>249031</t>
  </si>
  <si>
    <t>PSIB000507272</t>
  </si>
  <si>
    <t>311720</t>
  </si>
  <si>
    <t>282511</t>
  </si>
  <si>
    <t>PSIB011980584</t>
  </si>
  <si>
    <t>311724</t>
  </si>
  <si>
    <t>252100</t>
  </si>
  <si>
    <t>SBINELEGANCE</t>
  </si>
  <si>
    <t>312853</t>
  </si>
  <si>
    <t>254515</t>
  </si>
  <si>
    <t>PUNB01R09183760</t>
  </si>
  <si>
    <t>313858</t>
  </si>
  <si>
    <t>252739</t>
  </si>
  <si>
    <t>PUNB01DBZ019154</t>
  </si>
  <si>
    <t>313861</t>
  </si>
  <si>
    <t>252756</t>
  </si>
  <si>
    <t>PUNB01BFI034695</t>
  </si>
  <si>
    <t>313867</t>
  </si>
  <si>
    <t>Nichlaul, Uttar Pradesh</t>
  </si>
  <si>
    <t>189393</t>
  </si>
  <si>
    <t>PUNB01HAO008655</t>
  </si>
  <si>
    <t>313875</t>
  </si>
  <si>
    <t>Fazi Nagar, Uttar Pradesh</t>
  </si>
  <si>
    <t>261207</t>
  </si>
  <si>
    <t>PUNB01304210561</t>
  </si>
  <si>
    <t>313886</t>
  </si>
  <si>
    <t>253524</t>
  </si>
  <si>
    <t>PUNB01CGW006464</t>
  </si>
  <si>
    <t>313887</t>
  </si>
  <si>
    <t>184168</t>
  </si>
  <si>
    <t>PUNB01FTA024592A</t>
  </si>
  <si>
    <t>313891</t>
  </si>
  <si>
    <t>Kushinagar, Uttar Pradesh</t>
  </si>
  <si>
    <t>207019</t>
  </si>
  <si>
    <t>PUNB01431102257</t>
  </si>
  <si>
    <t>313893</t>
  </si>
  <si>
    <t>201017</t>
  </si>
  <si>
    <t>PUNB01C00463911</t>
  </si>
  <si>
    <t>313910</t>
  </si>
  <si>
    <t>220401</t>
  </si>
  <si>
    <t>IOBAJOHN</t>
  </si>
  <si>
    <t>314190</t>
  </si>
  <si>
    <t>38289</t>
  </si>
  <si>
    <t>IOBA3798MRS01</t>
  </si>
  <si>
    <t>315305</t>
  </si>
  <si>
    <t>276161</t>
  </si>
  <si>
    <t>IOBA3788NAN001</t>
  </si>
  <si>
    <t>316064</t>
  </si>
  <si>
    <t>287478</t>
  </si>
  <si>
    <t>IOBA2969PLL101</t>
  </si>
  <si>
    <t>316067</t>
  </si>
  <si>
    <t>Narasaraopet, Andhra Pradesh</t>
  </si>
  <si>
    <t>95730</t>
  </si>
  <si>
    <t>IOBA3798SDN01</t>
  </si>
  <si>
    <t>317187</t>
  </si>
  <si>
    <t>275525</t>
  </si>
  <si>
    <t>CBIN8546421849</t>
  </si>
  <si>
    <t>317671</t>
  </si>
  <si>
    <t>258891</t>
  </si>
  <si>
    <t>PSIB02931200067162</t>
  </si>
  <si>
    <t>317812</t>
  </si>
  <si>
    <t>271278</t>
  </si>
  <si>
    <t>PSIB67241</t>
  </si>
  <si>
    <t>317817</t>
  </si>
  <si>
    <t>245978</t>
  </si>
  <si>
    <t>CBIN8082431251</t>
  </si>
  <si>
    <t>318025</t>
  </si>
  <si>
    <t>205592</t>
  </si>
  <si>
    <t>CBIN8371869093</t>
  </si>
  <si>
    <t>318031</t>
  </si>
  <si>
    <t>206109</t>
  </si>
  <si>
    <t>IOBA07NAJUMI</t>
  </si>
  <si>
    <t>318079</t>
  </si>
  <si>
    <t>114351</t>
  </si>
  <si>
    <t>IOBA07SSENGINEE</t>
  </si>
  <si>
    <t>318086</t>
  </si>
  <si>
    <t>97302</t>
  </si>
  <si>
    <t>IOBAPKTRADING08</t>
  </si>
  <si>
    <t>318093</t>
  </si>
  <si>
    <t>Marampilly, Kerala</t>
  </si>
  <si>
    <t>72376</t>
  </si>
  <si>
    <t>IOBAMALABAROjeen</t>
  </si>
  <si>
    <t>318096</t>
  </si>
  <si>
    <t>13242</t>
  </si>
  <si>
    <t>PSIB01451200000833</t>
  </si>
  <si>
    <t>318101</t>
  </si>
  <si>
    <t>250082</t>
  </si>
  <si>
    <t>IOBAUllaskumarPK</t>
  </si>
  <si>
    <t>318118</t>
  </si>
  <si>
    <t>Industrial Development Plot Muttom, Kerala</t>
  </si>
  <si>
    <t>264633</t>
  </si>
  <si>
    <t>IOBAbasilica2</t>
  </si>
  <si>
    <t>318119</t>
  </si>
  <si>
    <t>Kurichikkara, Kerala</t>
  </si>
  <si>
    <t>225496</t>
  </si>
  <si>
    <t>IOBABASILLICA1</t>
  </si>
  <si>
    <t>318120</t>
  </si>
  <si>
    <t>225493</t>
  </si>
  <si>
    <t>IOBA750Kameliya02</t>
  </si>
  <si>
    <t>318124</t>
  </si>
  <si>
    <t>PAMPADY, Kerala</t>
  </si>
  <si>
    <t>184413</t>
  </si>
  <si>
    <t>PSIB05391600000144</t>
  </si>
  <si>
    <t>318125</t>
  </si>
  <si>
    <t>267746</t>
  </si>
  <si>
    <t>IOBADEENAMMA</t>
  </si>
  <si>
    <t>318128</t>
  </si>
  <si>
    <t>278030</t>
  </si>
  <si>
    <t>CBIN0280684002</t>
  </si>
  <si>
    <t>304891</t>
  </si>
  <si>
    <t>Umarsara, Maharashtra</t>
  </si>
  <si>
    <t>29-06-2026 15:00</t>
  </si>
  <si>
    <t>285680</t>
  </si>
  <si>
    <t>SBIN20001233950</t>
  </si>
  <si>
    <t>307990</t>
  </si>
  <si>
    <t>219018</t>
  </si>
  <si>
    <t>SBIN20004913178</t>
  </si>
  <si>
    <t>308015</t>
  </si>
  <si>
    <t>275327</t>
  </si>
  <si>
    <t>SBIN200050149349</t>
  </si>
  <si>
    <t>308036</t>
  </si>
  <si>
    <t>81482</t>
  </si>
  <si>
    <t>SBIN200062559437</t>
  </si>
  <si>
    <t>308039</t>
  </si>
  <si>
    <t>81484</t>
  </si>
  <si>
    <t>SBIN200062559986</t>
  </si>
  <si>
    <t>308092</t>
  </si>
  <si>
    <t>73034</t>
  </si>
  <si>
    <t>PSIB203</t>
  </si>
  <si>
    <t>308550</t>
  </si>
  <si>
    <t>Ahmedgarh, Punjab</t>
  </si>
  <si>
    <t>272193</t>
  </si>
  <si>
    <t>MAHBSWAPNILPAWAR</t>
  </si>
  <si>
    <t>310209</t>
  </si>
  <si>
    <t>251851</t>
  </si>
  <si>
    <t>MAHB0001450VIVEKCHOUBEY</t>
  </si>
  <si>
    <t>310211</t>
  </si>
  <si>
    <t>121043</t>
  </si>
  <si>
    <t>MAHB00016SANTOSHPHAPALE</t>
  </si>
  <si>
    <t>310215</t>
  </si>
  <si>
    <t>221492</t>
  </si>
  <si>
    <t>MAHB01450ROHANSOLANKI</t>
  </si>
  <si>
    <t>310240</t>
  </si>
  <si>
    <t>222122</t>
  </si>
  <si>
    <t>MAHBRAJENDRABARI</t>
  </si>
  <si>
    <t>310243</t>
  </si>
  <si>
    <t>251736</t>
  </si>
  <si>
    <t>MAHBBHAVIKGAIKWAD</t>
  </si>
  <si>
    <t>310253</t>
  </si>
  <si>
    <t>251725</t>
  </si>
  <si>
    <t>MAHBPurshottamRasal</t>
  </si>
  <si>
    <t>310261</t>
  </si>
  <si>
    <t>273523</t>
  </si>
  <si>
    <t>MAHBKushalDisplay</t>
  </si>
  <si>
    <t>310346</t>
  </si>
  <si>
    <t>251693</t>
  </si>
  <si>
    <t>MAHBUMFLAT3AND4</t>
  </si>
  <si>
    <t>310351</t>
  </si>
  <si>
    <t>279241</t>
  </si>
  <si>
    <t>MAHB40235352583</t>
  </si>
  <si>
    <t>310356</t>
  </si>
  <si>
    <t>181648</t>
  </si>
  <si>
    <t>MAHBKATARIAPAINTS</t>
  </si>
  <si>
    <t>310360</t>
  </si>
  <si>
    <t>273528</t>
  </si>
  <si>
    <t>MAHBASHOKSAPARIYA</t>
  </si>
  <si>
    <t>310363</t>
  </si>
  <si>
    <t>273824</t>
  </si>
  <si>
    <t>MAHBSAMPS</t>
  </si>
  <si>
    <t>310367</t>
  </si>
  <si>
    <t>277642</t>
  </si>
  <si>
    <t>MAHBSURESHKUMBHAR005</t>
  </si>
  <si>
    <t>310375</t>
  </si>
  <si>
    <t>Dapoli, Maharashtra</t>
  </si>
  <si>
    <t>251577</t>
  </si>
  <si>
    <t>MAHBSURESHKUMBHAR006</t>
  </si>
  <si>
    <t>310379</t>
  </si>
  <si>
    <t>251580</t>
  </si>
  <si>
    <t>IOBA08161226071</t>
  </si>
  <si>
    <t>311965</t>
  </si>
  <si>
    <t>Thiruthuraipoondi, Tamil Nadu</t>
  </si>
  <si>
    <t>109300</t>
  </si>
  <si>
    <t>IOBA39340557001</t>
  </si>
  <si>
    <t>311987</t>
  </si>
  <si>
    <t>286884</t>
  </si>
  <si>
    <t>IOBA1899RAJKUMAR</t>
  </si>
  <si>
    <t>312524</t>
  </si>
  <si>
    <t>Gangaghat, Uttar Pradesh</t>
  </si>
  <si>
    <t>262936</t>
  </si>
  <si>
    <t>IOBA0DARWINSON</t>
  </si>
  <si>
    <t>312593</t>
  </si>
  <si>
    <t>278304</t>
  </si>
  <si>
    <t>IOBA0GADIRAJUNAGARAJU</t>
  </si>
  <si>
    <t>312599</t>
  </si>
  <si>
    <t>278316</t>
  </si>
  <si>
    <t>IOBA0SARATHKUMAR</t>
  </si>
  <si>
    <t>312604</t>
  </si>
  <si>
    <t>260661</t>
  </si>
  <si>
    <t>IOBA0MANIVELVIZHI</t>
  </si>
  <si>
    <t>312610</t>
  </si>
  <si>
    <t>281956</t>
  </si>
  <si>
    <t>IOBAOPMENTERPRISES</t>
  </si>
  <si>
    <t>312615</t>
  </si>
  <si>
    <t>247010</t>
  </si>
  <si>
    <t>IOBA3011RAMAKANT</t>
  </si>
  <si>
    <t>312718</t>
  </si>
  <si>
    <t>271242</t>
  </si>
  <si>
    <t>IOBA3071RAVI</t>
  </si>
  <si>
    <t>313040</t>
  </si>
  <si>
    <t>250206</t>
  </si>
  <si>
    <t>IOBA3071CHHAYA</t>
  </si>
  <si>
    <t>313041</t>
  </si>
  <si>
    <t>271037</t>
  </si>
  <si>
    <t>PSIB569</t>
  </si>
  <si>
    <t>313266</t>
  </si>
  <si>
    <t>286359</t>
  </si>
  <si>
    <t>PSIB933</t>
  </si>
  <si>
    <t>313281</t>
  </si>
  <si>
    <t>286369</t>
  </si>
  <si>
    <t>PSIB0000005</t>
  </si>
  <si>
    <t>313344</t>
  </si>
  <si>
    <t>231028</t>
  </si>
  <si>
    <t>SBIN200038939001</t>
  </si>
  <si>
    <t>313417</t>
  </si>
  <si>
    <t>Bari Sadri, Rajasthan</t>
  </si>
  <si>
    <t>85337</t>
  </si>
  <si>
    <t>SBIN200075938806</t>
  </si>
  <si>
    <t>313424</t>
  </si>
  <si>
    <t>272785</t>
  </si>
  <si>
    <t>PSIB03680001</t>
  </si>
  <si>
    <t>314710</t>
  </si>
  <si>
    <t>Saharanpur, Uttar Pradesh</t>
  </si>
  <si>
    <t>180969</t>
  </si>
  <si>
    <t>PSIB03680003</t>
  </si>
  <si>
    <t>314789</t>
  </si>
  <si>
    <t>198117</t>
  </si>
  <si>
    <t>PSIB001009</t>
  </si>
  <si>
    <t>314838</t>
  </si>
  <si>
    <t>Malhipur, Uttar Pradesh</t>
  </si>
  <si>
    <t>250130</t>
  </si>
  <si>
    <t>PSIB013386806</t>
  </si>
  <si>
    <t>314865</t>
  </si>
  <si>
    <t>283095</t>
  </si>
  <si>
    <t>PSIB007928276</t>
  </si>
  <si>
    <t>314897</t>
  </si>
  <si>
    <t>Kartarpur, Punjab</t>
  </si>
  <si>
    <t>273128</t>
  </si>
  <si>
    <t>PSIBB0084001</t>
  </si>
  <si>
    <t>314909</t>
  </si>
  <si>
    <t>Bhogpur, Punjab</t>
  </si>
  <si>
    <t>170280</t>
  </si>
  <si>
    <t>PSIB016817592</t>
  </si>
  <si>
    <t>314923</t>
  </si>
  <si>
    <t>Phillaur, Punjab</t>
  </si>
  <si>
    <t>271975</t>
  </si>
  <si>
    <t>PSIB014263418</t>
  </si>
  <si>
    <t>314942</t>
  </si>
  <si>
    <t>276099</t>
  </si>
  <si>
    <t>PSIB601862768</t>
  </si>
  <si>
    <t>314954</t>
  </si>
  <si>
    <t>272153</t>
  </si>
  <si>
    <t>PSIB601503459</t>
  </si>
  <si>
    <t>314964</t>
  </si>
  <si>
    <t>276670</t>
  </si>
  <si>
    <t>UCBAERNA00710032</t>
  </si>
  <si>
    <t>314986</t>
  </si>
  <si>
    <t>21235</t>
  </si>
  <si>
    <t>PSIB016275057</t>
  </si>
  <si>
    <t>315075</t>
  </si>
  <si>
    <t>287445</t>
  </si>
  <si>
    <t>PSIB901</t>
  </si>
  <si>
    <t>315187</t>
  </si>
  <si>
    <t>219445</t>
  </si>
  <si>
    <t>PSIB5678</t>
  </si>
  <si>
    <t>315259</t>
  </si>
  <si>
    <t>246564</t>
  </si>
  <si>
    <t>SBIN200039194562</t>
  </si>
  <si>
    <t>315293</t>
  </si>
  <si>
    <t>70873</t>
  </si>
  <si>
    <t>SBIN200012654201</t>
  </si>
  <si>
    <t>315304</t>
  </si>
  <si>
    <t>64899</t>
  </si>
  <si>
    <t>SBIN77887904539</t>
  </si>
  <si>
    <t>315718</t>
  </si>
  <si>
    <t>Hanumakonda, Telangana</t>
  </si>
  <si>
    <t>262994</t>
  </si>
  <si>
    <t>PSIB80</t>
  </si>
  <si>
    <t>316015</t>
  </si>
  <si>
    <t>287579</t>
  </si>
  <si>
    <t>PSIB06</t>
  </si>
  <si>
    <t>316017</t>
  </si>
  <si>
    <t>287563</t>
  </si>
  <si>
    <t>PUNB87622024119</t>
  </si>
  <si>
    <t>316220</t>
  </si>
  <si>
    <t>187699</t>
  </si>
  <si>
    <t>PUNB8762202429</t>
  </si>
  <si>
    <t>316238</t>
  </si>
  <si>
    <t>183752</t>
  </si>
  <si>
    <t>PUNB87622024101</t>
  </si>
  <si>
    <t>316254</t>
  </si>
  <si>
    <t>183733</t>
  </si>
  <si>
    <t>PUNB8762202483</t>
  </si>
  <si>
    <t>316262</t>
  </si>
  <si>
    <t>183825</t>
  </si>
  <si>
    <t>PUNB8762202482</t>
  </si>
  <si>
    <t>316269</t>
  </si>
  <si>
    <t>183824</t>
  </si>
  <si>
    <t>PUNB8762202407</t>
  </si>
  <si>
    <t>316321</t>
  </si>
  <si>
    <t>172122</t>
  </si>
  <si>
    <t>PUNB8762202408</t>
  </si>
  <si>
    <t>316329</t>
  </si>
  <si>
    <t>172135</t>
  </si>
  <si>
    <t>PSIB925</t>
  </si>
  <si>
    <t>316994</t>
  </si>
  <si>
    <t>275960</t>
  </si>
  <si>
    <t>PSIB0102</t>
  </si>
  <si>
    <t>317035</t>
  </si>
  <si>
    <t>268346</t>
  </si>
  <si>
    <t>PSIB92</t>
  </si>
  <si>
    <t>317099</t>
  </si>
  <si>
    <t>263737</t>
  </si>
  <si>
    <t>PSIB4</t>
  </si>
  <si>
    <t>317443</t>
  </si>
  <si>
    <t>256633</t>
  </si>
  <si>
    <t>PSIB330</t>
  </si>
  <si>
    <t>317601</t>
  </si>
  <si>
    <t>275945</t>
  </si>
  <si>
    <t>PSIB167</t>
  </si>
  <si>
    <t>317669</t>
  </si>
  <si>
    <t>287959</t>
  </si>
  <si>
    <t>SBIN200070909898</t>
  </si>
  <si>
    <t>299776</t>
  </si>
  <si>
    <t>284359</t>
  </si>
  <si>
    <t>SBIN200061697723</t>
  </si>
  <si>
    <t>299925</t>
  </si>
  <si>
    <t>284439</t>
  </si>
  <si>
    <t>SBINSVD25092025</t>
  </si>
  <si>
    <t>301373</t>
  </si>
  <si>
    <t>251203</t>
  </si>
  <si>
    <t>SBIN64267ADAPALA</t>
  </si>
  <si>
    <t>303275</t>
  </si>
  <si>
    <t>285222</t>
  </si>
  <si>
    <t>CNRBRuman</t>
  </si>
  <si>
    <t>314455</t>
  </si>
  <si>
    <t>273645</t>
  </si>
  <si>
    <t>SBINVB29062026</t>
  </si>
  <si>
    <t>303559</t>
  </si>
  <si>
    <t>284985</t>
  </si>
  <si>
    <t>SBINDS29062026</t>
  </si>
  <si>
    <t>303585</t>
  </si>
  <si>
    <t>284962</t>
  </si>
  <si>
    <t>SBINPD29062026</t>
  </si>
  <si>
    <t>303596</t>
  </si>
  <si>
    <t>284975</t>
  </si>
  <si>
    <t>SBIN200031369263</t>
  </si>
  <si>
    <t>304412</t>
  </si>
  <si>
    <t>285542</t>
  </si>
  <si>
    <t>SBIN78302690173</t>
  </si>
  <si>
    <t>304914</t>
  </si>
  <si>
    <t>284847</t>
  </si>
  <si>
    <t>SBIN78302692002</t>
  </si>
  <si>
    <t>304917</t>
  </si>
  <si>
    <t>Dhanera, Gujarat</t>
  </si>
  <si>
    <t>284927</t>
  </si>
  <si>
    <t>SBIN78302695536</t>
  </si>
  <si>
    <t>304920</t>
  </si>
  <si>
    <t>284929</t>
  </si>
  <si>
    <t>SBIN78302693414</t>
  </si>
  <si>
    <t>304922</t>
  </si>
  <si>
    <t>284931</t>
  </si>
  <si>
    <t>SBIN78302688278</t>
  </si>
  <si>
    <t>304924</t>
  </si>
  <si>
    <t>284932</t>
  </si>
  <si>
    <t>SBIN78451913440</t>
  </si>
  <si>
    <t>304932</t>
  </si>
  <si>
    <t>284986</t>
  </si>
  <si>
    <t>IDIB6593881919</t>
  </si>
  <si>
    <t>304940</t>
  </si>
  <si>
    <t>Parangipettai, Tamil Nadu</t>
  </si>
  <si>
    <t>285731</t>
  </si>
  <si>
    <t>IDIB6822969342</t>
  </si>
  <si>
    <t>304954</t>
  </si>
  <si>
    <t>182568</t>
  </si>
  <si>
    <t>IDIB6536003351</t>
  </si>
  <si>
    <t>304958</t>
  </si>
  <si>
    <t>85048</t>
  </si>
  <si>
    <t>PSIB05750010</t>
  </si>
  <si>
    <t>305851</t>
  </si>
  <si>
    <t>285894</t>
  </si>
  <si>
    <t>CNRB106724568SB</t>
  </si>
  <si>
    <t>314475</t>
  </si>
  <si>
    <t>279057</t>
  </si>
  <si>
    <t>PUNB82010022337</t>
  </si>
  <si>
    <t>306032</t>
  </si>
  <si>
    <t>265211</t>
  </si>
  <si>
    <t>PUNB68851026</t>
  </si>
  <si>
    <t>306202</t>
  </si>
  <si>
    <t>285874</t>
  </si>
  <si>
    <t>SBIN400006528533</t>
  </si>
  <si>
    <t>307136</t>
  </si>
  <si>
    <t>Kalady Malappuram, Kerala</t>
  </si>
  <si>
    <t>220324</t>
  </si>
  <si>
    <t>SBIN40009227989</t>
  </si>
  <si>
    <t>307196</t>
  </si>
  <si>
    <t>170658</t>
  </si>
  <si>
    <t>PUNBCOAJMGHEESU</t>
  </si>
  <si>
    <t>307385</t>
  </si>
  <si>
    <t>282465</t>
  </si>
  <si>
    <t>IDIB6636642772</t>
  </si>
  <si>
    <t>307557</t>
  </si>
  <si>
    <t>Killai, Tamil Nadu</t>
  </si>
  <si>
    <t>218352</t>
  </si>
  <si>
    <t>PUNB68851454</t>
  </si>
  <si>
    <t>306029</t>
  </si>
  <si>
    <t>285881</t>
  </si>
  <si>
    <t>IDIB6660986235</t>
  </si>
  <si>
    <t>307612</t>
  </si>
  <si>
    <t>286232</t>
  </si>
  <si>
    <t>SBIN200064924516</t>
  </si>
  <si>
    <t>307669</t>
  </si>
  <si>
    <t>240234</t>
  </si>
  <si>
    <t>SBIN200064867604</t>
  </si>
  <si>
    <t>307671</t>
  </si>
  <si>
    <t>240247</t>
  </si>
  <si>
    <t>SBIN0PATTAN4224</t>
  </si>
  <si>
    <t>307699</t>
  </si>
  <si>
    <t>Ibrahimpatnam, Andhra Pradesh</t>
  </si>
  <si>
    <t>242480</t>
  </si>
  <si>
    <t>SBIN439VINODSURANI</t>
  </si>
  <si>
    <t>307944</t>
  </si>
  <si>
    <t>270928</t>
  </si>
  <si>
    <t>SBIN0000439ANKIT</t>
  </si>
  <si>
    <t>308001</t>
  </si>
  <si>
    <t>226163</t>
  </si>
  <si>
    <t>SBIN439RAMESHSHANKHLA</t>
  </si>
  <si>
    <t>308009</t>
  </si>
  <si>
    <t>270667</t>
  </si>
  <si>
    <t>SBIN0000439DINABEN</t>
  </si>
  <si>
    <t>308021</t>
  </si>
  <si>
    <t>226194</t>
  </si>
  <si>
    <t>SBIN0000439DIPTI201</t>
  </si>
  <si>
    <t>308031</t>
  </si>
  <si>
    <t>226072</t>
  </si>
  <si>
    <t>SBIN0000439DIPTI</t>
  </si>
  <si>
    <t>308042</t>
  </si>
  <si>
    <t>225759</t>
  </si>
  <si>
    <t>SBIN439BATUKAHIR</t>
  </si>
  <si>
    <t>308053</t>
  </si>
  <si>
    <t>270880</t>
  </si>
  <si>
    <t>SBIN200062560723</t>
  </si>
  <si>
    <t>308136</t>
  </si>
  <si>
    <t>73039</t>
  </si>
  <si>
    <t>SBIN400028562146</t>
  </si>
  <si>
    <t>308813</t>
  </si>
  <si>
    <t>253104</t>
  </si>
  <si>
    <t>SBIN439BRIJESHCHAUHAN</t>
  </si>
  <si>
    <t>308825</t>
  </si>
  <si>
    <t>270449</t>
  </si>
  <si>
    <t>SBIN4193BALBIR</t>
  </si>
  <si>
    <t>308830</t>
  </si>
  <si>
    <t>270253</t>
  </si>
  <si>
    <t>SBIN532KAPILPARDESI</t>
  </si>
  <si>
    <t>308869</t>
  </si>
  <si>
    <t>270313</t>
  </si>
  <si>
    <t>SBIN439MINESHPATEL</t>
  </si>
  <si>
    <t>308883</t>
  </si>
  <si>
    <t>270329</t>
  </si>
  <si>
    <t>SBIN0000532JAGDISH</t>
  </si>
  <si>
    <t>308889</t>
  </si>
  <si>
    <t>258421</t>
  </si>
  <si>
    <t>SBIN0000532MAHESH</t>
  </si>
  <si>
    <t>308893</t>
  </si>
  <si>
    <t>258426</t>
  </si>
  <si>
    <t>SBIN0000532MAYABEN</t>
  </si>
  <si>
    <t>308900</t>
  </si>
  <si>
    <t>Bhurivel, Gujarat</t>
  </si>
  <si>
    <t>258940</t>
  </si>
  <si>
    <t>SBIN007681RAJU</t>
  </si>
  <si>
    <t>308916</t>
  </si>
  <si>
    <t>258944</t>
  </si>
  <si>
    <t>SBIN0TMR5661</t>
  </si>
  <si>
    <t>308957</t>
  </si>
  <si>
    <t>Tirupati, Andhra Pradesh</t>
  </si>
  <si>
    <t>286021</t>
  </si>
  <si>
    <t>SBIN200026976438</t>
  </si>
  <si>
    <t>309158</t>
  </si>
  <si>
    <t>259776</t>
  </si>
  <si>
    <t>CBIN30980045</t>
  </si>
  <si>
    <t>309753</t>
  </si>
  <si>
    <t>57019</t>
  </si>
  <si>
    <t>PUNB287300pun</t>
  </si>
  <si>
    <t>309895</t>
  </si>
  <si>
    <t>284722</t>
  </si>
  <si>
    <t>PUNB287300sab</t>
  </si>
  <si>
    <t>309907</t>
  </si>
  <si>
    <t>Balrampur, Uttar Pradesh</t>
  </si>
  <si>
    <t>284721</t>
  </si>
  <si>
    <t>PUNB617700001</t>
  </si>
  <si>
    <t>310180</t>
  </si>
  <si>
    <t>227372</t>
  </si>
  <si>
    <t>PUNB617700002</t>
  </si>
  <si>
    <t>310203</t>
  </si>
  <si>
    <t>Bharwari, Uttar Pradesh</t>
  </si>
  <si>
    <t>227398</t>
  </si>
  <si>
    <t>SBIN8911995166</t>
  </si>
  <si>
    <t>310430</t>
  </si>
  <si>
    <t>276263</t>
  </si>
  <si>
    <t>SBIN200058337736</t>
  </si>
  <si>
    <t>310828</t>
  </si>
  <si>
    <t>Srirangapatna, Karnataka</t>
  </si>
  <si>
    <t>281050</t>
  </si>
  <si>
    <t>SBIN200058337385</t>
  </si>
  <si>
    <t>310831</t>
  </si>
  <si>
    <t>281069</t>
  </si>
  <si>
    <t>SBIN200078008410</t>
  </si>
  <si>
    <t>310835</t>
  </si>
  <si>
    <t>281076</t>
  </si>
  <si>
    <t>SBIN200069875061</t>
  </si>
  <si>
    <t>310845</t>
  </si>
  <si>
    <t>281261</t>
  </si>
  <si>
    <t>SBIN200069873710</t>
  </si>
  <si>
    <t>310847</t>
  </si>
  <si>
    <t>281266</t>
  </si>
  <si>
    <t>SBIN200077074877</t>
  </si>
  <si>
    <t>310851</t>
  </si>
  <si>
    <t>281279</t>
  </si>
  <si>
    <t>SBIN200067832024</t>
  </si>
  <si>
    <t>310865</t>
  </si>
  <si>
    <t>281455</t>
  </si>
  <si>
    <t>SBIN200076623136</t>
  </si>
  <si>
    <t>310894</t>
  </si>
  <si>
    <t>281178</t>
  </si>
  <si>
    <t>SBIN77730877387</t>
  </si>
  <si>
    <t>310895</t>
  </si>
  <si>
    <t>Gudivada, Andhra Pradesh</t>
  </si>
  <si>
    <t>261636</t>
  </si>
  <si>
    <t>SBIN77738748945</t>
  </si>
  <si>
    <t>311008</t>
  </si>
  <si>
    <t>Lathikata, Odisha</t>
  </si>
  <si>
    <t>283043</t>
  </si>
  <si>
    <t>SBIN36725170213</t>
  </si>
  <si>
    <t>311021</t>
  </si>
  <si>
    <t>Sambalpur, Odisha</t>
  </si>
  <si>
    <t>85158</t>
  </si>
  <si>
    <t>SBIN41707174516</t>
  </si>
  <si>
    <t>311149</t>
  </si>
  <si>
    <t>271320</t>
  </si>
  <si>
    <t>SBIN777420895750</t>
  </si>
  <si>
    <t>311167</t>
  </si>
  <si>
    <t>264504</t>
  </si>
  <si>
    <t>SBIN200040020924</t>
  </si>
  <si>
    <t>311214</t>
  </si>
  <si>
    <t>261653</t>
  </si>
  <si>
    <t>IOBA2002085</t>
  </si>
  <si>
    <t>311566</t>
  </si>
  <si>
    <t>Srivaikuntam, Tamil Nadu</t>
  </si>
  <si>
    <t>134482</t>
  </si>
  <si>
    <t>IOBA002272</t>
  </si>
  <si>
    <t>311567</t>
  </si>
  <si>
    <t>Sankaraperi, Tamil Nadu</t>
  </si>
  <si>
    <t>261605</t>
  </si>
  <si>
    <t>IOBA002270</t>
  </si>
  <si>
    <t>311568</t>
  </si>
  <si>
    <t>Ramanathapuram, Tamil Nadu</t>
  </si>
  <si>
    <t>245488</t>
  </si>
  <si>
    <t>IDIB7448625809</t>
  </si>
  <si>
    <t>311799</t>
  </si>
  <si>
    <t>Kattumannarkoil, Tamil Nadu</t>
  </si>
  <si>
    <t>277922</t>
  </si>
  <si>
    <t>IDIB7448627782</t>
  </si>
  <si>
    <t>311813</t>
  </si>
  <si>
    <t>278011</t>
  </si>
  <si>
    <t>PUNB0OON004135</t>
  </si>
  <si>
    <t>311998</t>
  </si>
  <si>
    <t>185168</t>
  </si>
  <si>
    <t>PSIB002136</t>
  </si>
  <si>
    <t>312106</t>
  </si>
  <si>
    <t>227743</t>
  </si>
  <si>
    <t>PUNBELLPITAMPURA</t>
  </si>
  <si>
    <t>312640</t>
  </si>
  <si>
    <t>280578</t>
  </si>
  <si>
    <t>PUNB416800143</t>
  </si>
  <si>
    <t>312693</t>
  </si>
  <si>
    <t>186323</t>
  </si>
  <si>
    <t>SBIN041599251582</t>
  </si>
  <si>
    <t>313129</t>
  </si>
  <si>
    <t>266524</t>
  </si>
  <si>
    <t>PUNB0DIVYAPATELPLOT3</t>
  </si>
  <si>
    <t>313236</t>
  </si>
  <si>
    <t>276995</t>
  </si>
  <si>
    <t>PUNB0DIVYAPATELPLOT9</t>
  </si>
  <si>
    <t>313277</t>
  </si>
  <si>
    <t>277036</t>
  </si>
  <si>
    <t>SBIN77776522897</t>
  </si>
  <si>
    <t>313280</t>
  </si>
  <si>
    <t>Tadepalligudem, Andhra Pradesh</t>
  </si>
  <si>
    <t>286088</t>
  </si>
  <si>
    <t>PUNB0DIVYAPATELPLOT18</t>
  </si>
  <si>
    <t>313282</t>
  </si>
  <si>
    <t>277039</t>
  </si>
  <si>
    <t>PUNB0DIVYAPATELPLOT19</t>
  </si>
  <si>
    <t>313289</t>
  </si>
  <si>
    <t>277059</t>
  </si>
  <si>
    <t>PUNB0DIVYAPATELPLOT42</t>
  </si>
  <si>
    <t>313297</t>
  </si>
  <si>
    <t>277065</t>
  </si>
  <si>
    <t>PUNB0DIVYAPATELPLOT44</t>
  </si>
  <si>
    <t>313302</t>
  </si>
  <si>
    <t>277101</t>
  </si>
  <si>
    <t>PUNB0DIVYAPATELPLOT48</t>
  </si>
  <si>
    <t>313308</t>
  </si>
  <si>
    <t>277119</t>
  </si>
  <si>
    <t>PUNB0DIVYAPATELPLOT53</t>
  </si>
  <si>
    <t>313313</t>
  </si>
  <si>
    <t>277139</t>
  </si>
  <si>
    <t>PUNB0DIVYAPATELHOUSE83</t>
  </si>
  <si>
    <t>313327</t>
  </si>
  <si>
    <t>277390</t>
  </si>
  <si>
    <t>PUNB0DIVYAPATELHOUSE84</t>
  </si>
  <si>
    <t>313328</t>
  </si>
  <si>
    <t>277400</t>
  </si>
  <si>
    <t>SBIN20003423355</t>
  </si>
  <si>
    <t>313489</t>
  </si>
  <si>
    <t>253541</t>
  </si>
  <si>
    <t>SBIN200061951578</t>
  </si>
  <si>
    <t>313510</t>
  </si>
  <si>
    <t>281292</t>
  </si>
  <si>
    <t>SBIN200061948992</t>
  </si>
  <si>
    <t>313515</t>
  </si>
  <si>
    <t>281298</t>
  </si>
  <si>
    <t>SBIN200076630608</t>
  </si>
  <si>
    <t>313519</t>
  </si>
  <si>
    <t>281166</t>
  </si>
  <si>
    <t>SBIN77620868302</t>
  </si>
  <si>
    <t>313523</t>
  </si>
  <si>
    <t>23525</t>
  </si>
  <si>
    <t>SBIN200080718815</t>
  </si>
  <si>
    <t>313525</t>
  </si>
  <si>
    <t>281170</t>
  </si>
  <si>
    <t>SBIN200067831615</t>
  </si>
  <si>
    <t>313527</t>
  </si>
  <si>
    <t>281461</t>
  </si>
  <si>
    <t>SBIN200062473302</t>
  </si>
  <si>
    <t>313531</t>
  </si>
  <si>
    <t>281305</t>
  </si>
  <si>
    <t>SBIN200062473694</t>
  </si>
  <si>
    <t>313534</t>
  </si>
  <si>
    <t>281307</t>
  </si>
  <si>
    <t>SBIN200059168048</t>
  </si>
  <si>
    <t>313626</t>
  </si>
  <si>
    <t>281312</t>
  </si>
  <si>
    <t>SBIN200070864315</t>
  </si>
  <si>
    <t>313632</t>
  </si>
  <si>
    <t>281342</t>
  </si>
  <si>
    <t>SBIN200070865618</t>
  </si>
  <si>
    <t>313635</t>
  </si>
  <si>
    <t>281347</t>
  </si>
  <si>
    <t>SBIN200072337232</t>
  </si>
  <si>
    <t>313638</t>
  </si>
  <si>
    <t>281079</t>
  </si>
  <si>
    <t>SBIN200062911034</t>
  </si>
  <si>
    <t>313641</t>
  </si>
  <si>
    <t>281353</t>
  </si>
  <si>
    <t>SBIN200063162911</t>
  </si>
  <si>
    <t>313643</t>
  </si>
  <si>
    <t>281357</t>
  </si>
  <si>
    <t>SBIN2000575081815</t>
  </si>
  <si>
    <t>313649</t>
  </si>
  <si>
    <t>281363</t>
  </si>
  <si>
    <t>SBIN200057501432</t>
  </si>
  <si>
    <t>313653</t>
  </si>
  <si>
    <t>281365</t>
  </si>
  <si>
    <t>SBIN200059846090</t>
  </si>
  <si>
    <t>313657</t>
  </si>
  <si>
    <t>281165</t>
  </si>
  <si>
    <t>SBIN200059845777</t>
  </si>
  <si>
    <t>313663</t>
  </si>
  <si>
    <t>281163</t>
  </si>
  <si>
    <t>SBIN200073660039</t>
  </si>
  <si>
    <t>313667</t>
  </si>
  <si>
    <t>281179</t>
  </si>
  <si>
    <t>SBIN200063092408</t>
  </si>
  <si>
    <t>313670</t>
  </si>
  <si>
    <t>281467</t>
  </si>
  <si>
    <t>SBIN200063094614</t>
  </si>
  <si>
    <t>313675</t>
  </si>
  <si>
    <t>281469</t>
  </si>
  <si>
    <t>SBIN200067830433</t>
  </si>
  <si>
    <t>313678</t>
  </si>
  <si>
    <t>281368</t>
  </si>
  <si>
    <t>SBIN200072338874</t>
  </si>
  <si>
    <t>313683</t>
  </si>
  <si>
    <t>281169</t>
  </si>
  <si>
    <t>SBIN200070790120</t>
  </si>
  <si>
    <t>313688</t>
  </si>
  <si>
    <t>281458</t>
  </si>
  <si>
    <t>SBIN200062472748</t>
  </si>
  <si>
    <t>313691</t>
  </si>
  <si>
    <t>281372</t>
  </si>
  <si>
    <t>SBIN2000624717290</t>
  </si>
  <si>
    <t>313694</t>
  </si>
  <si>
    <t>281374</t>
  </si>
  <si>
    <t>SBIN200062239253</t>
  </si>
  <si>
    <t>313699</t>
  </si>
  <si>
    <t>281377</t>
  </si>
  <si>
    <t>SBIN200062238080</t>
  </si>
  <si>
    <t>313701</t>
  </si>
  <si>
    <t>281379</t>
  </si>
  <si>
    <t>CBIN1993MYLAMAHE01</t>
  </si>
  <si>
    <t>313871</t>
  </si>
  <si>
    <t>275966</t>
  </si>
  <si>
    <t>SBIN400008871090</t>
  </si>
  <si>
    <t>313945</t>
  </si>
  <si>
    <t>286079</t>
  </si>
  <si>
    <t>SBIN200032546783</t>
  </si>
  <si>
    <t>313987</t>
  </si>
  <si>
    <t>201461</t>
  </si>
  <si>
    <t>SBIN200028859001</t>
  </si>
  <si>
    <t>314004</t>
  </si>
  <si>
    <t>267235</t>
  </si>
  <si>
    <t>CBIN70060092</t>
  </si>
  <si>
    <t>314011</t>
  </si>
  <si>
    <t>253167</t>
  </si>
  <si>
    <t>CBIN70060095</t>
  </si>
  <si>
    <t>314038</t>
  </si>
  <si>
    <t>255197</t>
  </si>
  <si>
    <t>PUNB8075DIV</t>
  </si>
  <si>
    <t>314073</t>
  </si>
  <si>
    <t>273260</t>
  </si>
  <si>
    <t>PUNB043900KOTADY</t>
  </si>
  <si>
    <t>314124</t>
  </si>
  <si>
    <t>183125</t>
  </si>
  <si>
    <t>PUNB043900VIVAAN</t>
  </si>
  <si>
    <t>314131</t>
  </si>
  <si>
    <t>237562</t>
  </si>
  <si>
    <t>PUNB03866012575</t>
  </si>
  <si>
    <t>314620</t>
  </si>
  <si>
    <t>Mirzapur, Uttar Pradesh</t>
  </si>
  <si>
    <t>281760</t>
  </si>
  <si>
    <t>PUNB6739000001</t>
  </si>
  <si>
    <t>314628</t>
  </si>
  <si>
    <t>Bharuhana, Uttar Pradesh</t>
  </si>
  <si>
    <t>221596</t>
  </si>
  <si>
    <t>IDIB30116044412C</t>
  </si>
  <si>
    <t>314632</t>
  </si>
  <si>
    <t>249563</t>
  </si>
  <si>
    <t>PUNB04470011</t>
  </si>
  <si>
    <t>314637</t>
  </si>
  <si>
    <t>179998</t>
  </si>
  <si>
    <t>SBIN20045180203</t>
  </si>
  <si>
    <t>314659</t>
  </si>
  <si>
    <t>266559</t>
  </si>
  <si>
    <t>PUNBHRDATLANTIX</t>
  </si>
  <si>
    <t>314673</t>
  </si>
  <si>
    <t>275513</t>
  </si>
  <si>
    <t>SBIN10001397595</t>
  </si>
  <si>
    <t>314682</t>
  </si>
  <si>
    <t>275286</t>
  </si>
  <si>
    <t>CBIN70060093</t>
  </si>
  <si>
    <t>314762</t>
  </si>
  <si>
    <t>253447</t>
  </si>
  <si>
    <t>PSIB00941200001662</t>
  </si>
  <si>
    <t>314881</t>
  </si>
  <si>
    <t>279390</t>
  </si>
  <si>
    <t>PSIB0049</t>
  </si>
  <si>
    <t>314915</t>
  </si>
  <si>
    <t>274560</t>
  </si>
  <si>
    <t>PSIB0045</t>
  </si>
  <si>
    <t>314919</t>
  </si>
  <si>
    <t>257083</t>
  </si>
  <si>
    <t>PSIB0044</t>
  </si>
  <si>
    <t>314922</t>
  </si>
  <si>
    <t>257074</t>
  </si>
  <si>
    <t>PSIB00029</t>
  </si>
  <si>
    <t>314933</t>
  </si>
  <si>
    <t>224291</t>
  </si>
  <si>
    <t>MAHBJJTRANSPORT</t>
  </si>
  <si>
    <t>314935</t>
  </si>
  <si>
    <t>221781</t>
  </si>
  <si>
    <t>PSIB0129160000010601</t>
  </si>
  <si>
    <t>314939</t>
  </si>
  <si>
    <t>Qadian, Punjab</t>
  </si>
  <si>
    <t>279161</t>
  </si>
  <si>
    <t>PSIB00037</t>
  </si>
  <si>
    <t>314943</t>
  </si>
  <si>
    <t>231052</t>
  </si>
  <si>
    <t>MAHBPRASADSHIRSAT</t>
  </si>
  <si>
    <t>314948</t>
  </si>
  <si>
    <t>285876</t>
  </si>
  <si>
    <t>MAHBRITUPAREKH</t>
  </si>
  <si>
    <t>314955</t>
  </si>
  <si>
    <t>287394</t>
  </si>
  <si>
    <t>PSIBGURD202206</t>
  </si>
  <si>
    <t>314958</t>
  </si>
  <si>
    <t>21251</t>
  </si>
  <si>
    <t>PSIBGURD202205</t>
  </si>
  <si>
    <t>314965</t>
  </si>
  <si>
    <t>17170</t>
  </si>
  <si>
    <t>CBINGOBI3442</t>
  </si>
  <si>
    <t>315188</t>
  </si>
  <si>
    <t>187672</t>
  </si>
  <si>
    <t>MAHBSANGITA404</t>
  </si>
  <si>
    <t>315227</t>
  </si>
  <si>
    <t>287494</t>
  </si>
  <si>
    <t>MAHBSUJIT407</t>
  </si>
  <si>
    <t>315236</t>
  </si>
  <si>
    <t>287491</t>
  </si>
  <si>
    <t>MAHBSUJIT906</t>
  </si>
  <si>
    <t>315241</t>
  </si>
  <si>
    <t>287489</t>
  </si>
  <si>
    <t>MAHBSANTOSH701</t>
  </si>
  <si>
    <t>315248</t>
  </si>
  <si>
    <t>287467</t>
  </si>
  <si>
    <t>SBIN200012807932</t>
  </si>
  <si>
    <t>315272</t>
  </si>
  <si>
    <t>87204</t>
  </si>
  <si>
    <t>SBIN200012604705</t>
  </si>
  <si>
    <t>315284</t>
  </si>
  <si>
    <t>76970</t>
  </si>
  <si>
    <t>PSIB11011300000014</t>
  </si>
  <si>
    <t>315345</t>
  </si>
  <si>
    <t>268195</t>
  </si>
  <si>
    <t>CBINCOONR</t>
  </si>
  <si>
    <t>315371</t>
  </si>
  <si>
    <t>Aravankad TS, Tamil Nadu</t>
  </si>
  <si>
    <t>178983</t>
  </si>
  <si>
    <t>CBIN0912U1</t>
  </si>
  <si>
    <t>315377</t>
  </si>
  <si>
    <t>Udumalaipettai, Tamil Nadu</t>
  </si>
  <si>
    <t>252690</t>
  </si>
  <si>
    <t>CBIN2406SR</t>
  </si>
  <si>
    <t>315379</t>
  </si>
  <si>
    <t>287496</t>
  </si>
  <si>
    <t>CBIN0912U2</t>
  </si>
  <si>
    <t>315387</t>
  </si>
  <si>
    <t>252694</t>
  </si>
  <si>
    <t>PSIB01731300002149</t>
  </si>
  <si>
    <t>315398</t>
  </si>
  <si>
    <t>192668</t>
  </si>
  <si>
    <t>CBINHOSURRAMU</t>
  </si>
  <si>
    <t>315403</t>
  </si>
  <si>
    <t>187685</t>
  </si>
  <si>
    <t>PUNB8260003271</t>
  </si>
  <si>
    <t>315541</t>
  </si>
  <si>
    <t>177995</t>
  </si>
  <si>
    <t>CBIN1993BROADLOUIS01</t>
  </si>
  <si>
    <t>315543</t>
  </si>
  <si>
    <t>266821</t>
  </si>
  <si>
    <t>CBIN1993BROADUMAP01</t>
  </si>
  <si>
    <t>315550</t>
  </si>
  <si>
    <t>253204</t>
  </si>
  <si>
    <t>PUNB826620210226</t>
  </si>
  <si>
    <t>315575</t>
  </si>
  <si>
    <t>New Barrackpur, West Bengal</t>
  </si>
  <si>
    <t>175827</t>
  </si>
  <si>
    <t>PUNB826620210312</t>
  </si>
  <si>
    <t>315582</t>
  </si>
  <si>
    <t>175829</t>
  </si>
  <si>
    <t>PUNB826620210403</t>
  </si>
  <si>
    <t>315586</t>
  </si>
  <si>
    <t>175797</t>
  </si>
  <si>
    <t>SBIN200086584427</t>
  </si>
  <si>
    <t>315629</t>
  </si>
  <si>
    <t>273650</t>
  </si>
  <si>
    <t>SBIN61109A021</t>
  </si>
  <si>
    <t>315670</t>
  </si>
  <si>
    <t>262654</t>
  </si>
  <si>
    <t>PUNB013221087103</t>
  </si>
  <si>
    <t>315686</t>
  </si>
  <si>
    <t>180817</t>
  </si>
  <si>
    <t>PUNBNC31995</t>
  </si>
  <si>
    <t>315698</t>
  </si>
  <si>
    <t>181515</t>
  </si>
  <si>
    <t>PUNB99528700112</t>
  </si>
  <si>
    <t>315714</t>
  </si>
  <si>
    <t>180819</t>
  </si>
  <si>
    <t>CBIN1437GK</t>
  </si>
  <si>
    <t>315894</t>
  </si>
  <si>
    <t>272069</t>
  </si>
  <si>
    <t>PUNB02518872849</t>
  </si>
  <si>
    <t>315909</t>
  </si>
  <si>
    <t>182200</t>
  </si>
  <si>
    <t>PUNB2243872327</t>
  </si>
  <si>
    <t>315921</t>
  </si>
  <si>
    <t>182818</t>
  </si>
  <si>
    <t>PSIBGURD202212</t>
  </si>
  <si>
    <t>316002</t>
  </si>
  <si>
    <t>Pathankot, Punjab</t>
  </si>
  <si>
    <t>28748</t>
  </si>
  <si>
    <t>PSIB010185262</t>
  </si>
  <si>
    <t>316619</t>
  </si>
  <si>
    <t>Sasni, Uttar Pradesh</t>
  </si>
  <si>
    <t>287743</t>
  </si>
  <si>
    <t>PSIB010081206</t>
  </si>
  <si>
    <t>316625</t>
  </si>
  <si>
    <t>287742</t>
  </si>
  <si>
    <t>PSIB0099996851</t>
  </si>
  <si>
    <t>316629</t>
  </si>
  <si>
    <t>287741</t>
  </si>
  <si>
    <t>PSIB014721398</t>
  </si>
  <si>
    <t>316635</t>
  </si>
  <si>
    <t>287739</t>
  </si>
  <si>
    <t>MAHBSANTOSHGAWADE</t>
  </si>
  <si>
    <t>316692</t>
  </si>
  <si>
    <t>287379</t>
  </si>
  <si>
    <t>MAHBSHRIBALAJICAMP</t>
  </si>
  <si>
    <t>316700</t>
  </si>
  <si>
    <t>287421</t>
  </si>
  <si>
    <t>MAHBRAHULMUTTHA</t>
  </si>
  <si>
    <t>317197</t>
  </si>
  <si>
    <t>287913</t>
  </si>
  <si>
    <t>MAHBABDUL2</t>
  </si>
  <si>
    <t>317201</t>
  </si>
  <si>
    <t>287414</t>
  </si>
  <si>
    <t>MAHBABDUL1</t>
  </si>
  <si>
    <t>317203</t>
  </si>
  <si>
    <t>287410</t>
  </si>
  <si>
    <t>SBIN2000083737</t>
  </si>
  <si>
    <t>317696</t>
  </si>
  <si>
    <t>227990</t>
  </si>
  <si>
    <t>CBIN39541015604200620264</t>
  </si>
  <si>
    <t>318170</t>
  </si>
  <si>
    <t>Dindigul, Tamil Nadu</t>
  </si>
  <si>
    <t>288147</t>
  </si>
  <si>
    <t>CBIN39541015603200620263</t>
  </si>
  <si>
    <t>318172</t>
  </si>
  <si>
    <t>288145</t>
  </si>
  <si>
    <t>CBIN3954101560200620262</t>
  </si>
  <si>
    <t>318176</t>
  </si>
  <si>
    <t>Agaram, Tamil Nadu</t>
  </si>
  <si>
    <t>288143</t>
  </si>
  <si>
    <t>CBIN3954105601200620261</t>
  </si>
  <si>
    <t>318180</t>
  </si>
  <si>
    <t>288136</t>
  </si>
  <si>
    <t>CBIN405457179920062026</t>
  </si>
  <si>
    <t>318185</t>
  </si>
  <si>
    <t>288119</t>
  </si>
  <si>
    <t>CBIN29838065720062026</t>
  </si>
  <si>
    <t>318187</t>
  </si>
  <si>
    <t>Sivaganga, Tamil Nadu</t>
  </si>
  <si>
    <t>288118</t>
  </si>
  <si>
    <t>CBIN39035920062026</t>
  </si>
  <si>
    <t>318189</t>
  </si>
  <si>
    <t>Thirupuvanam, Tamil Nadu</t>
  </si>
  <si>
    <t>288115</t>
  </si>
  <si>
    <t>CBIN398360218720062026</t>
  </si>
  <si>
    <t>318193</t>
  </si>
  <si>
    <t>Thiruppalaikkudi, Tamil Nadu</t>
  </si>
  <si>
    <t>288108</t>
  </si>
  <si>
    <t>CBIN371545857220062026</t>
  </si>
  <si>
    <t>318196</t>
  </si>
  <si>
    <t>Athivilai, Tamil Nadu</t>
  </si>
  <si>
    <t>288105</t>
  </si>
  <si>
    <t>CBIN400282058020062026</t>
  </si>
  <si>
    <t>318200</t>
  </si>
  <si>
    <t>Kalugumalai, Tamil Nadu</t>
  </si>
  <si>
    <t>288098</t>
  </si>
  <si>
    <t>CBIN314246882820062026</t>
  </si>
  <si>
    <t>318204</t>
  </si>
  <si>
    <t>Vadipatti, Tamil Nadu</t>
  </si>
  <si>
    <t>288093</t>
  </si>
  <si>
    <t>CBIN365146699020062026</t>
  </si>
  <si>
    <t>318213</t>
  </si>
  <si>
    <t>288081</t>
  </si>
  <si>
    <t>BKID202632412</t>
  </si>
  <si>
    <t>306081</t>
  </si>
  <si>
    <t>264087</t>
  </si>
  <si>
    <t>BKID202632412B</t>
  </si>
  <si>
    <t>306086</t>
  </si>
  <si>
    <t>274336</t>
  </si>
  <si>
    <t>BKID300488224</t>
  </si>
  <si>
    <t>306089</t>
  </si>
  <si>
    <t>264572</t>
  </si>
  <si>
    <t>BKID202374952</t>
  </si>
  <si>
    <t>306150</t>
  </si>
  <si>
    <t>274196</t>
  </si>
  <si>
    <t>UCBA0987202601</t>
  </si>
  <si>
    <t>306956</t>
  </si>
  <si>
    <t>Kalka, Haryana</t>
  </si>
  <si>
    <t>272737</t>
  </si>
  <si>
    <t>UCBA22070001</t>
  </si>
  <si>
    <t>307154</t>
  </si>
  <si>
    <t>Pinjore, Haryana</t>
  </si>
  <si>
    <t>123698</t>
  </si>
  <si>
    <t>SBIN200114598151</t>
  </si>
  <si>
    <t>308348</t>
  </si>
  <si>
    <t>Jhunjhunu, Rajasthan</t>
  </si>
  <si>
    <t>59653</t>
  </si>
  <si>
    <t>MAHB715SPMRATHIBRO</t>
  </si>
  <si>
    <t>309134</t>
  </si>
  <si>
    <t>286426</t>
  </si>
  <si>
    <t>MAHB1997RajivNewar</t>
  </si>
  <si>
    <t>309857</t>
  </si>
  <si>
    <t>286431</t>
  </si>
  <si>
    <t>IDIBVRISE</t>
  </si>
  <si>
    <t>309911</t>
  </si>
  <si>
    <t>221047</t>
  </si>
  <si>
    <t>UCBAKOLKMANASCHATTERJEE</t>
  </si>
  <si>
    <t>310078</t>
  </si>
  <si>
    <t>286568</t>
  </si>
  <si>
    <t>MAHB715SPMRATHIBRODH</t>
  </si>
  <si>
    <t>310260</t>
  </si>
  <si>
    <t>286609</t>
  </si>
  <si>
    <t>UCBABEGU0428007</t>
  </si>
  <si>
    <t>310396</t>
  </si>
  <si>
    <t>267664</t>
  </si>
  <si>
    <t>UCBACOIM25520001</t>
  </si>
  <si>
    <t>311460</t>
  </si>
  <si>
    <t>Kunnathur, Tamil Nadu</t>
  </si>
  <si>
    <t>278322</t>
  </si>
  <si>
    <t>UCBAMINIKOCHUKUNJU</t>
  </si>
  <si>
    <t>311902</t>
  </si>
  <si>
    <t>Alankod, Kerala</t>
  </si>
  <si>
    <t>286664</t>
  </si>
  <si>
    <t>UCBAVIJ29200001</t>
  </si>
  <si>
    <t>312780</t>
  </si>
  <si>
    <t>286695</t>
  </si>
  <si>
    <t>UCBAVIJ29200002</t>
  </si>
  <si>
    <t>312826</t>
  </si>
  <si>
    <t>286696</t>
  </si>
  <si>
    <t>UCBAVIJ29200003</t>
  </si>
  <si>
    <t>312866</t>
  </si>
  <si>
    <t>286697</t>
  </si>
  <si>
    <t>UCBAVIJ29200004</t>
  </si>
  <si>
    <t>312896</t>
  </si>
  <si>
    <t>286698</t>
  </si>
  <si>
    <t>UCBAVIJ29200005</t>
  </si>
  <si>
    <t>312916</t>
  </si>
  <si>
    <t>286699</t>
  </si>
  <si>
    <t>UCBA257803</t>
  </si>
  <si>
    <t>313443</t>
  </si>
  <si>
    <t>274223</t>
  </si>
  <si>
    <t>UCBA257801</t>
  </si>
  <si>
    <t>313456</t>
  </si>
  <si>
    <t>274236</t>
  </si>
  <si>
    <t>UCBA257802</t>
  </si>
  <si>
    <t>313476</t>
  </si>
  <si>
    <t>274241</t>
  </si>
  <si>
    <t>UCBA10050001</t>
  </si>
  <si>
    <t>313516</t>
  </si>
  <si>
    <t>275799</t>
  </si>
  <si>
    <t>UCBA12270001</t>
  </si>
  <si>
    <t>313566</t>
  </si>
  <si>
    <t>277835</t>
  </si>
  <si>
    <t>UCBACOIM20900002</t>
  </si>
  <si>
    <t>313712</t>
  </si>
  <si>
    <t>272187</t>
  </si>
  <si>
    <t>PUNB07547RAMACHA</t>
  </si>
  <si>
    <t>313816</t>
  </si>
  <si>
    <t>175785</t>
  </si>
  <si>
    <t>IOBA1406002</t>
  </si>
  <si>
    <t>313818</t>
  </si>
  <si>
    <t>257934</t>
  </si>
  <si>
    <t>PUNB6062202065</t>
  </si>
  <si>
    <t>313822</t>
  </si>
  <si>
    <t>178845</t>
  </si>
  <si>
    <t>IOBA2663003</t>
  </si>
  <si>
    <t>313825</t>
  </si>
  <si>
    <t>183561</t>
  </si>
  <si>
    <t>IOBA0355012</t>
  </si>
  <si>
    <t>313829</t>
  </si>
  <si>
    <t>273075</t>
  </si>
  <si>
    <t>IOBA0355006</t>
  </si>
  <si>
    <t>313838</t>
  </si>
  <si>
    <t>246995</t>
  </si>
  <si>
    <t>UCBAHYDE02230073</t>
  </si>
  <si>
    <t>313921</t>
  </si>
  <si>
    <t>106137</t>
  </si>
  <si>
    <t>UCBARAIP012501</t>
  </si>
  <si>
    <t>314139</t>
  </si>
  <si>
    <t>219776</t>
  </si>
  <si>
    <t>UCBAERNA00710110</t>
  </si>
  <si>
    <t>314224</t>
  </si>
  <si>
    <t>50354</t>
  </si>
  <si>
    <t>UCBAERNA00710108</t>
  </si>
  <si>
    <t>314361</t>
  </si>
  <si>
    <t>44882</t>
  </si>
  <si>
    <t>UCBAERNA00710109</t>
  </si>
  <si>
    <t>314372</t>
  </si>
  <si>
    <t>16617</t>
  </si>
  <si>
    <t>UCBAHYDE02230028</t>
  </si>
  <si>
    <t>314400</t>
  </si>
  <si>
    <t>53968</t>
  </si>
  <si>
    <t>SBIN200012292544</t>
  </si>
  <si>
    <t>314621</t>
  </si>
  <si>
    <t>47725</t>
  </si>
  <si>
    <t>UCBACHAN20660008</t>
  </si>
  <si>
    <t>314622</t>
  </si>
  <si>
    <t>244282</t>
  </si>
  <si>
    <t>BKIDchd150</t>
  </si>
  <si>
    <t>314701</t>
  </si>
  <si>
    <t>Kharar, Punjab</t>
  </si>
  <si>
    <t>271944</t>
  </si>
  <si>
    <t>UCBABHOP02830013</t>
  </si>
  <si>
    <t>314890</t>
  </si>
  <si>
    <t>273189</t>
  </si>
  <si>
    <t>UCBABHOP028300012</t>
  </si>
  <si>
    <t>314892</t>
  </si>
  <si>
    <t>273185</t>
  </si>
  <si>
    <t>UCBABHOP02830011</t>
  </si>
  <si>
    <t>314896</t>
  </si>
  <si>
    <t>273161</t>
  </si>
  <si>
    <t>CBIN0282630</t>
  </si>
  <si>
    <t>314921</t>
  </si>
  <si>
    <t>Bhangri Pratham Khanda, West Bengal</t>
  </si>
  <si>
    <t>270519</t>
  </si>
  <si>
    <t>UCBAERNA00710028</t>
  </si>
  <si>
    <t>314961</t>
  </si>
  <si>
    <t>21493</t>
  </si>
  <si>
    <t>UCBAERNA00710029</t>
  </si>
  <si>
    <t>314974</t>
  </si>
  <si>
    <t>70493</t>
  </si>
  <si>
    <t>UCBAERNA00710030</t>
  </si>
  <si>
    <t>314978</t>
  </si>
  <si>
    <t>18723</t>
  </si>
  <si>
    <t>UCBAERNA00710031</t>
  </si>
  <si>
    <t>314980</t>
  </si>
  <si>
    <t>Edaikodu, Tamil Nadu</t>
  </si>
  <si>
    <t>18435</t>
  </si>
  <si>
    <t>UCBAERNA00710033</t>
  </si>
  <si>
    <t>315143</t>
  </si>
  <si>
    <t>Pallippuram Thiruvananthapuram, Kerala</t>
  </si>
  <si>
    <t>68672</t>
  </si>
  <si>
    <t>PUNB18L61040040</t>
  </si>
  <si>
    <t>315211</t>
  </si>
  <si>
    <t>Payyoli, Kerala</t>
  </si>
  <si>
    <t>255776</t>
  </si>
  <si>
    <t>PUNB20220092</t>
  </si>
  <si>
    <t>315226</t>
  </si>
  <si>
    <t>Abdurahiman Nagar, Kerala</t>
  </si>
  <si>
    <t>175917</t>
  </si>
  <si>
    <t>PUNB020230123</t>
  </si>
  <si>
    <t>315255</t>
  </si>
  <si>
    <t>Iritty, Kerala</t>
  </si>
  <si>
    <t>176000</t>
  </si>
  <si>
    <t>UCBABHOP06630010</t>
  </si>
  <si>
    <t>315401</t>
  </si>
  <si>
    <t>280450</t>
  </si>
  <si>
    <t>UCBABHOP06630008</t>
  </si>
  <si>
    <t>315402</t>
  </si>
  <si>
    <t>280444</t>
  </si>
  <si>
    <t>UCBABHOP06630009</t>
  </si>
  <si>
    <t>315404</t>
  </si>
  <si>
    <t>280442</t>
  </si>
  <si>
    <t>UCBABANG01510002</t>
  </si>
  <si>
    <t>315512</t>
  </si>
  <si>
    <t>60361</t>
  </si>
  <si>
    <t>UCBAKOLKKRISHNENDUBOSE</t>
  </si>
  <si>
    <t>315531</t>
  </si>
  <si>
    <t>285784</t>
  </si>
  <si>
    <t>UCBA14158736</t>
  </si>
  <si>
    <t>315834</t>
  </si>
  <si>
    <t>235456</t>
  </si>
  <si>
    <t>UCBA02980020</t>
  </si>
  <si>
    <t>316095</t>
  </si>
  <si>
    <t>275744</t>
  </si>
  <si>
    <t>UCBAMOKSHAGNTMC</t>
  </si>
  <si>
    <t>316128</t>
  </si>
  <si>
    <t>255125</t>
  </si>
  <si>
    <t>UCBABHUB15703656</t>
  </si>
  <si>
    <t>316132</t>
  </si>
  <si>
    <t>Khordha, Odisha</t>
  </si>
  <si>
    <t>275007</t>
  </si>
  <si>
    <t>UCBABHUBR01270470</t>
  </si>
  <si>
    <t>316150</t>
  </si>
  <si>
    <t>282549</t>
  </si>
  <si>
    <t>UCBABHUB233908270</t>
  </si>
  <si>
    <t>316168</t>
  </si>
  <si>
    <t>262934</t>
  </si>
  <si>
    <t>PUNB020230121</t>
  </si>
  <si>
    <t>316430</t>
  </si>
  <si>
    <t>266351</t>
  </si>
  <si>
    <t>UCBABHAPURSUNISAH</t>
  </si>
  <si>
    <t>317213</t>
  </si>
  <si>
    <t>Rengali Dam Project Township, Odisha</t>
  </si>
  <si>
    <t>274996</t>
  </si>
  <si>
    <t>UCBASAMB11330002</t>
  </si>
  <si>
    <t>318112</t>
  </si>
  <si>
    <t>Dhenkanal, Odisha</t>
  </si>
  <si>
    <t>6632</t>
  </si>
  <si>
    <t>IOBA0823059</t>
  </si>
  <si>
    <t>318139</t>
  </si>
  <si>
    <t>255892</t>
  </si>
  <si>
    <t>IOBA082327862</t>
  </si>
  <si>
    <t>318142</t>
  </si>
  <si>
    <t>Karukkalvadi, Tamil Nadu</t>
  </si>
  <si>
    <t>269388</t>
  </si>
  <si>
    <t>IOBA0823185</t>
  </si>
  <si>
    <t>318147</t>
  </si>
  <si>
    <t>Kaveripattinam, Tamil Nadu</t>
  </si>
  <si>
    <t>66670</t>
  </si>
  <si>
    <t>BKID304177090</t>
  </si>
  <si>
    <t>318218</t>
  </si>
  <si>
    <t>288089</t>
  </si>
  <si>
    <t>BKID18878911A</t>
  </si>
  <si>
    <t>318236</t>
  </si>
  <si>
    <t>288074</t>
  </si>
  <si>
    <t>BKID188878911</t>
  </si>
  <si>
    <t>318239</t>
  </si>
  <si>
    <t>288068</t>
  </si>
  <si>
    <t>BKID182515000</t>
  </si>
  <si>
    <t>318262</t>
  </si>
  <si>
    <t>287393</t>
  </si>
  <si>
    <t>BKID189762717</t>
  </si>
  <si>
    <t>318271</t>
  </si>
  <si>
    <t>Dowleswaram, Andhra Pradesh</t>
  </si>
  <si>
    <t>287423</t>
  </si>
  <si>
    <t>CBIN028CANCHILA</t>
  </si>
  <si>
    <t>318283</t>
  </si>
  <si>
    <t>287848</t>
  </si>
  <si>
    <t>UCBACUTBORIULLA</t>
  </si>
  <si>
    <t>318380</t>
  </si>
  <si>
    <t>Krushnanandapur, Odisha</t>
  </si>
  <si>
    <t>264220</t>
  </si>
  <si>
    <t>UCBACHAMPSURYAM</t>
  </si>
  <si>
    <t>318408</t>
  </si>
  <si>
    <t>Nuapatna, Odisha</t>
  </si>
  <si>
    <t>280780</t>
  </si>
  <si>
    <t>UCBABHUB234136828</t>
  </si>
  <si>
    <t>318412</t>
  </si>
  <si>
    <t>236872</t>
  </si>
  <si>
    <t>UCBABHUB1767003</t>
  </si>
  <si>
    <t>318413</t>
  </si>
  <si>
    <t>124836</t>
  </si>
  <si>
    <t>UCBABHUB1666212</t>
  </si>
  <si>
    <t>318414</t>
  </si>
  <si>
    <t>219916</t>
  </si>
  <si>
    <t>UCBABHUB16660030</t>
  </si>
  <si>
    <t>318415</t>
  </si>
  <si>
    <t>Athagad, Odisha</t>
  </si>
  <si>
    <t>156804</t>
  </si>
  <si>
    <t>CBINSHI02</t>
  </si>
  <si>
    <t>314288</t>
  </si>
  <si>
    <t>259593</t>
  </si>
  <si>
    <t>CBINANT01</t>
  </si>
  <si>
    <t>314352</t>
  </si>
  <si>
    <t>179645</t>
  </si>
  <si>
    <t>CBIN195801</t>
  </si>
  <si>
    <t>314370</t>
  </si>
  <si>
    <t>Pachora, Maharashtra</t>
  </si>
  <si>
    <t>248066</t>
  </si>
  <si>
    <t>CNRB327257728</t>
  </si>
  <si>
    <t>300579</t>
  </si>
  <si>
    <t>284792</t>
  </si>
  <si>
    <t>CNRBSHIV231656560</t>
  </si>
  <si>
    <t>304111</t>
  </si>
  <si>
    <t>285478</t>
  </si>
  <si>
    <t>CNRBAMIT113451258</t>
  </si>
  <si>
    <t>304234</t>
  </si>
  <si>
    <t>285475</t>
  </si>
  <si>
    <t>CNRBPREETIKHOSLA</t>
  </si>
  <si>
    <t>304259</t>
  </si>
  <si>
    <t>Jandiala, Punjab</t>
  </si>
  <si>
    <t>285466</t>
  </si>
  <si>
    <t>CNRBMONIKANISCHAL</t>
  </si>
  <si>
    <t>304265</t>
  </si>
  <si>
    <t>285455</t>
  </si>
  <si>
    <t>CNRBBABNEET309267792</t>
  </si>
  <si>
    <t>304267</t>
  </si>
  <si>
    <t>285447</t>
  </si>
  <si>
    <t>CNRBRESHAM107551997</t>
  </si>
  <si>
    <t>304400</t>
  </si>
  <si>
    <t>285568</t>
  </si>
  <si>
    <t>CNRB57967317</t>
  </si>
  <si>
    <t>308252</t>
  </si>
  <si>
    <t>Bharanikkavu, Kerala</t>
  </si>
  <si>
    <t>246062</t>
  </si>
  <si>
    <t>CNRB68545867</t>
  </si>
  <si>
    <t>308301</t>
  </si>
  <si>
    <t>206690</t>
  </si>
  <si>
    <t>CNRB119510474</t>
  </si>
  <si>
    <t>308309</t>
  </si>
  <si>
    <t>214004</t>
  </si>
  <si>
    <t>CNRB89692138</t>
  </si>
  <si>
    <t>308364</t>
  </si>
  <si>
    <t>263983</t>
  </si>
  <si>
    <t>CNRB114231209</t>
  </si>
  <si>
    <t>308381</t>
  </si>
  <si>
    <t>243800</t>
  </si>
  <si>
    <t>CNRBJaya</t>
  </si>
  <si>
    <t>314476</t>
  </si>
  <si>
    <t>252977</t>
  </si>
  <si>
    <t>CNRB5946005</t>
  </si>
  <si>
    <t>308829</t>
  </si>
  <si>
    <t>254054</t>
  </si>
  <si>
    <t>CNRB11906001</t>
  </si>
  <si>
    <t>308833</t>
  </si>
  <si>
    <t>Hosanagara, Karnataka</t>
  </si>
  <si>
    <t>245610</t>
  </si>
  <si>
    <t>CNRB3151002</t>
  </si>
  <si>
    <t>308847</t>
  </si>
  <si>
    <t>Sagar, Karnataka</t>
  </si>
  <si>
    <t>206567</t>
  </si>
  <si>
    <t>CNRB11925001</t>
  </si>
  <si>
    <t>308856</t>
  </si>
  <si>
    <t>Bhadravati, Karnataka</t>
  </si>
  <si>
    <t>235177</t>
  </si>
  <si>
    <t>CNRB0574001</t>
  </si>
  <si>
    <t>308862</t>
  </si>
  <si>
    <t>201885</t>
  </si>
  <si>
    <t>CNRBHYDNOR036</t>
  </si>
  <si>
    <t>309450</t>
  </si>
  <si>
    <t>218390</t>
  </si>
  <si>
    <t>CNRB95907616IMILEATHER</t>
  </si>
  <si>
    <t>309706</t>
  </si>
  <si>
    <t>282474</t>
  </si>
  <si>
    <t>CNRB8587072</t>
  </si>
  <si>
    <t>309770</t>
  </si>
  <si>
    <t>208505</t>
  </si>
  <si>
    <t>CNRB255643465</t>
  </si>
  <si>
    <t>309792</t>
  </si>
  <si>
    <t>245914</t>
  </si>
  <si>
    <t>CNRB212067045</t>
  </si>
  <si>
    <t>309805</t>
  </si>
  <si>
    <t>213348</t>
  </si>
  <si>
    <t>CNRB2601429480</t>
  </si>
  <si>
    <t>309823</t>
  </si>
  <si>
    <t>225445</t>
  </si>
  <si>
    <t>CNRB200918182RAJESWARIR</t>
  </si>
  <si>
    <t>309875</t>
  </si>
  <si>
    <t>276977</t>
  </si>
  <si>
    <t>CNRB81109150000013000</t>
  </si>
  <si>
    <t>311036</t>
  </si>
  <si>
    <t>283795</t>
  </si>
  <si>
    <t>CNRB21136190033580</t>
  </si>
  <si>
    <t>311470</t>
  </si>
  <si>
    <t>Mallanwala Khass, Punjab</t>
  </si>
  <si>
    <t>248096</t>
  </si>
  <si>
    <t>CNRB2081619004207</t>
  </si>
  <si>
    <t>311473</t>
  </si>
  <si>
    <t>Abohar, Punjab</t>
  </si>
  <si>
    <t>268714</t>
  </si>
  <si>
    <t>CNRB2094285000006</t>
  </si>
  <si>
    <t>311478</t>
  </si>
  <si>
    <t>200489</t>
  </si>
  <si>
    <t>CNRB2104261000591</t>
  </si>
  <si>
    <t>311479</t>
  </si>
  <si>
    <t>Kotkapura, Punjab</t>
  </si>
  <si>
    <t>268725</t>
  </si>
  <si>
    <t>CNRB2113619003359</t>
  </si>
  <si>
    <t>311493</t>
  </si>
  <si>
    <t>235487</t>
  </si>
  <si>
    <t>CNRB2125619002786</t>
  </si>
  <si>
    <t>311496</t>
  </si>
  <si>
    <t>190253</t>
  </si>
  <si>
    <t>CNRB212561800230300</t>
  </si>
  <si>
    <t>311499</t>
  </si>
  <si>
    <t>283798</t>
  </si>
  <si>
    <t>CNRB75904739</t>
  </si>
  <si>
    <t>311536</t>
  </si>
  <si>
    <t>283000</t>
  </si>
  <si>
    <t>CNRB103768591004</t>
  </si>
  <si>
    <t>311546</t>
  </si>
  <si>
    <t>224009</t>
  </si>
  <si>
    <t>CNRB6465KUTERSUMITH</t>
  </si>
  <si>
    <t>311550</t>
  </si>
  <si>
    <t>183493</t>
  </si>
  <si>
    <t>CNRB221583077</t>
  </si>
  <si>
    <t>311552</t>
  </si>
  <si>
    <t>Pennagaram, Tamil Nadu</t>
  </si>
  <si>
    <t>248392</t>
  </si>
  <si>
    <t>CNRB47964523LB</t>
  </si>
  <si>
    <t>311555</t>
  </si>
  <si>
    <t>214986</t>
  </si>
  <si>
    <t>CNRB34109893HL</t>
  </si>
  <si>
    <t>311556</t>
  </si>
  <si>
    <t>192393</t>
  </si>
  <si>
    <t>CNRB6468140285</t>
  </si>
  <si>
    <t>311558</t>
  </si>
  <si>
    <t>Marandahalli, Tamil Nadu</t>
  </si>
  <si>
    <t>233077</t>
  </si>
  <si>
    <t>CNRB2125285001062</t>
  </si>
  <si>
    <t>311597</t>
  </si>
  <si>
    <t>202256</t>
  </si>
  <si>
    <t>CNRB2125619002771</t>
  </si>
  <si>
    <t>311601</t>
  </si>
  <si>
    <t>215887</t>
  </si>
  <si>
    <t>CNRB2125619002780</t>
  </si>
  <si>
    <t>311611</t>
  </si>
  <si>
    <t>247179</t>
  </si>
  <si>
    <t>CNRB2130619001632</t>
  </si>
  <si>
    <t>311612</t>
  </si>
  <si>
    <t>Talwandi Bhai, Punjab</t>
  </si>
  <si>
    <t>225350</t>
  </si>
  <si>
    <t>CNRB21306190016110</t>
  </si>
  <si>
    <t>311616</t>
  </si>
  <si>
    <t>248030</t>
  </si>
  <si>
    <t>CNRB24416190017920</t>
  </si>
  <si>
    <t>311617</t>
  </si>
  <si>
    <t>248130</t>
  </si>
  <si>
    <t>CNRB2472746000002</t>
  </si>
  <si>
    <t>311620</t>
  </si>
  <si>
    <t>222811</t>
  </si>
  <si>
    <t>CNRB2441619001773</t>
  </si>
  <si>
    <t>311622</t>
  </si>
  <si>
    <t>205265</t>
  </si>
  <si>
    <t>CNRB24416190017900</t>
  </si>
  <si>
    <t>311626</t>
  </si>
  <si>
    <t>247987</t>
  </si>
  <si>
    <t>CNRB3878619000005</t>
  </si>
  <si>
    <t>311639</t>
  </si>
  <si>
    <t>202519</t>
  </si>
  <si>
    <t>CNRB397661900002600</t>
  </si>
  <si>
    <t>311645</t>
  </si>
  <si>
    <t>Sangrur, Punjab</t>
  </si>
  <si>
    <t>271147</t>
  </si>
  <si>
    <t>CNRB5886619000037</t>
  </si>
  <si>
    <t>311650</t>
  </si>
  <si>
    <t>Jaitu, Punjab</t>
  </si>
  <si>
    <t>200510</t>
  </si>
  <si>
    <t>CNRB81769740000112</t>
  </si>
  <si>
    <t>311704</t>
  </si>
  <si>
    <t>239773</t>
  </si>
  <si>
    <t>CNRB81769740000120</t>
  </si>
  <si>
    <t>311705</t>
  </si>
  <si>
    <t>205719</t>
  </si>
  <si>
    <t>CNRB249850124</t>
  </si>
  <si>
    <t>311894</t>
  </si>
  <si>
    <t>Krishnagiri, Tamil Nadu</t>
  </si>
  <si>
    <t>243786</t>
  </si>
  <si>
    <t>CNRB102607411B</t>
  </si>
  <si>
    <t>311897</t>
  </si>
  <si>
    <t>191688</t>
  </si>
  <si>
    <t>CNRB4367256000013002</t>
  </si>
  <si>
    <t>311900</t>
  </si>
  <si>
    <t>Harur, Tamil Nadu</t>
  </si>
  <si>
    <t>201604</t>
  </si>
  <si>
    <t>CNRB0959619013421001</t>
  </si>
  <si>
    <t>311918</t>
  </si>
  <si>
    <t>Ambur, Tamil Nadu</t>
  </si>
  <si>
    <t>223199</t>
  </si>
  <si>
    <t>CNRB252568557</t>
  </si>
  <si>
    <t>311938</t>
  </si>
  <si>
    <t>244951</t>
  </si>
  <si>
    <t>CNRB302645457</t>
  </si>
  <si>
    <t>311942</t>
  </si>
  <si>
    <t>249774</t>
  </si>
  <si>
    <t>CNRB235688051</t>
  </si>
  <si>
    <t>311968</t>
  </si>
  <si>
    <t>243791</t>
  </si>
  <si>
    <t>CNRB205637840</t>
  </si>
  <si>
    <t>312438</t>
  </si>
  <si>
    <t>244823</t>
  </si>
  <si>
    <t>CNRB60640495</t>
  </si>
  <si>
    <t>312458</t>
  </si>
  <si>
    <t>255567</t>
  </si>
  <si>
    <t>CNRB121049009</t>
  </si>
  <si>
    <t>312468</t>
  </si>
  <si>
    <t>234178</t>
  </si>
  <si>
    <t>CNRB118289832</t>
  </si>
  <si>
    <t>312475</t>
  </si>
  <si>
    <t>212426</t>
  </si>
  <si>
    <t>CNRB309039604</t>
  </si>
  <si>
    <t>312484</t>
  </si>
  <si>
    <t>229676</t>
  </si>
  <si>
    <t>CNRB205638493</t>
  </si>
  <si>
    <t>312490</t>
  </si>
  <si>
    <t>244810</t>
  </si>
  <si>
    <t>CNRB99311181</t>
  </si>
  <si>
    <t>312499</t>
  </si>
  <si>
    <t>229677</t>
  </si>
  <si>
    <t>CNRB322089322</t>
  </si>
  <si>
    <t>312680</t>
  </si>
  <si>
    <t>Cheruthazham, Kerala</t>
  </si>
  <si>
    <t>256460</t>
  </si>
  <si>
    <t>CNRB3153011</t>
  </si>
  <si>
    <t>312777</t>
  </si>
  <si>
    <t>Kannamangalam, Kerala</t>
  </si>
  <si>
    <t>240109</t>
  </si>
  <si>
    <t>CNRB998946412</t>
  </si>
  <si>
    <t>312785</t>
  </si>
  <si>
    <t>244755</t>
  </si>
  <si>
    <t>CNRB234560019A</t>
  </si>
  <si>
    <t>312797</t>
  </si>
  <si>
    <t>Koipady, Kerala</t>
  </si>
  <si>
    <t>267953</t>
  </si>
  <si>
    <t>CNRB234560019B</t>
  </si>
  <si>
    <t>312808</t>
  </si>
  <si>
    <t>267950</t>
  </si>
  <si>
    <t>CNRB234560019C</t>
  </si>
  <si>
    <t>312822</t>
  </si>
  <si>
    <t>267956</t>
  </si>
  <si>
    <t>CNRB234560019D</t>
  </si>
  <si>
    <t>312832</t>
  </si>
  <si>
    <t>267961</t>
  </si>
  <si>
    <t>SBIN200065149728</t>
  </si>
  <si>
    <t>313103</t>
  </si>
  <si>
    <t>283081</t>
  </si>
  <si>
    <t>SBIN200086580640</t>
  </si>
  <si>
    <t>313114</t>
  </si>
  <si>
    <t>262527</t>
  </si>
  <si>
    <t>CNRB313386526</t>
  </si>
  <si>
    <t>313192</t>
  </si>
  <si>
    <t>Basavakalyan, Karnataka</t>
  </si>
  <si>
    <t>205832</t>
  </si>
  <si>
    <t>CNRB102193114</t>
  </si>
  <si>
    <t>313211</t>
  </si>
  <si>
    <t>Humnabad, Karnataka</t>
  </si>
  <si>
    <t>279926</t>
  </si>
  <si>
    <t>CNRB219268932</t>
  </si>
  <si>
    <t>313219</t>
  </si>
  <si>
    <t>Kalaburagi, Karnataka</t>
  </si>
  <si>
    <t>234184</t>
  </si>
  <si>
    <t>CNRB308504494</t>
  </si>
  <si>
    <t>313249</t>
  </si>
  <si>
    <t>260841</t>
  </si>
  <si>
    <t>CNRB7511555301</t>
  </si>
  <si>
    <t>313343</t>
  </si>
  <si>
    <t>267481</t>
  </si>
  <si>
    <t>CNRB10125832901</t>
  </si>
  <si>
    <t>313351</t>
  </si>
  <si>
    <t>266822</t>
  </si>
  <si>
    <t>CNRB760250511</t>
  </si>
  <si>
    <t>313503</t>
  </si>
  <si>
    <t>252866</t>
  </si>
  <si>
    <t>CNRBMAX01</t>
  </si>
  <si>
    <t>313550</t>
  </si>
  <si>
    <t>Ballepalle, Telangana</t>
  </si>
  <si>
    <t>255062</t>
  </si>
  <si>
    <t>CNRB76656438</t>
  </si>
  <si>
    <t>313865</t>
  </si>
  <si>
    <t>251957</t>
  </si>
  <si>
    <t>SBINSHIVA260325</t>
  </si>
  <si>
    <t>313892</t>
  </si>
  <si>
    <t>233961</t>
  </si>
  <si>
    <t>CNRB84569779</t>
  </si>
  <si>
    <t>314007</t>
  </si>
  <si>
    <t>254987</t>
  </si>
  <si>
    <t>CNRB6463622301</t>
  </si>
  <si>
    <t>314012</t>
  </si>
  <si>
    <t>275647</t>
  </si>
  <si>
    <t>CNRB108624331</t>
  </si>
  <si>
    <t>314029</t>
  </si>
  <si>
    <t>243151</t>
  </si>
  <si>
    <t>CNRB6535119503</t>
  </si>
  <si>
    <t>314037</t>
  </si>
  <si>
    <t>246723</t>
  </si>
  <si>
    <t>CNRB101105912</t>
  </si>
  <si>
    <t>314055</t>
  </si>
  <si>
    <t>243104</t>
  </si>
  <si>
    <t>CNRB6463622302</t>
  </si>
  <si>
    <t>314056</t>
  </si>
  <si>
    <t>275650</t>
  </si>
  <si>
    <t>CNRB6792349612</t>
  </si>
  <si>
    <t>314156</t>
  </si>
  <si>
    <t>282897</t>
  </si>
  <si>
    <t>CNRB6792349613</t>
  </si>
  <si>
    <t>314170</t>
  </si>
  <si>
    <t>282901</t>
  </si>
  <si>
    <t>CNRB6792349628</t>
  </si>
  <si>
    <t>314256</t>
  </si>
  <si>
    <t>284805</t>
  </si>
  <si>
    <t>CNRB101296502</t>
  </si>
  <si>
    <t>314265</t>
  </si>
  <si>
    <t>197634</t>
  </si>
  <si>
    <t>CNRB101506920</t>
  </si>
  <si>
    <t>314465</t>
  </si>
  <si>
    <t>275766</t>
  </si>
  <si>
    <t>CNRB234560019E</t>
  </si>
  <si>
    <t>314539</t>
  </si>
  <si>
    <t>267964</t>
  </si>
  <si>
    <t>SBIN200006057049</t>
  </si>
  <si>
    <t>314627</t>
  </si>
  <si>
    <t>237224</t>
  </si>
  <si>
    <t>CNRB30503759002</t>
  </si>
  <si>
    <t>314825</t>
  </si>
  <si>
    <t>278236</t>
  </si>
  <si>
    <t>CNRB83492616</t>
  </si>
  <si>
    <t>314832</t>
  </si>
  <si>
    <t>277273</t>
  </si>
  <si>
    <t>CNRB261338261</t>
  </si>
  <si>
    <t>314837</t>
  </si>
  <si>
    <t>Elampalloor, Kerala</t>
  </si>
  <si>
    <t>256402</t>
  </si>
  <si>
    <t>CNRB10146167801</t>
  </si>
  <si>
    <t>314847</t>
  </si>
  <si>
    <t>VITHURA, Kerala</t>
  </si>
  <si>
    <t>280664</t>
  </si>
  <si>
    <t>CNRB796822</t>
  </si>
  <si>
    <t>315499</t>
  </si>
  <si>
    <t>188131</t>
  </si>
  <si>
    <t>CNRB796809</t>
  </si>
  <si>
    <t>315501</t>
  </si>
  <si>
    <t>182923</t>
  </si>
  <si>
    <t>CNRB796818</t>
  </si>
  <si>
    <t>315513</t>
  </si>
  <si>
    <t>183133</t>
  </si>
  <si>
    <t>CNRB796816</t>
  </si>
  <si>
    <t>315517</t>
  </si>
  <si>
    <t>Anandpur Sahib, Punjab</t>
  </si>
  <si>
    <t>183111</t>
  </si>
  <si>
    <t>CNRBRONMD18</t>
  </si>
  <si>
    <t>318347</t>
  </si>
  <si>
    <t>233441</t>
  </si>
  <si>
    <t>CNRBRONMD54</t>
  </si>
  <si>
    <t>318354</t>
  </si>
  <si>
    <t>250653</t>
  </si>
  <si>
    <t>CNRB202117129</t>
  </si>
  <si>
    <t>308341</t>
  </si>
  <si>
    <t>29-06-2026 13:30</t>
  </si>
  <si>
    <t>257100</t>
  </si>
  <si>
    <t>CNRBINDRA1</t>
  </si>
  <si>
    <t>308363</t>
  </si>
  <si>
    <t>245367</t>
  </si>
  <si>
    <t>CNRB110094166</t>
  </si>
  <si>
    <t>308380</t>
  </si>
  <si>
    <t>Beliatore, West Bengal</t>
  </si>
  <si>
    <t>245013</t>
  </si>
  <si>
    <t>CNRB305770266F303</t>
  </si>
  <si>
    <t>308655</t>
  </si>
  <si>
    <t>279959</t>
  </si>
  <si>
    <t>CNRB305769207F301</t>
  </si>
  <si>
    <t>308669</t>
  </si>
  <si>
    <t>280220</t>
  </si>
  <si>
    <t>CNRB305769207F302</t>
  </si>
  <si>
    <t>308690</t>
  </si>
  <si>
    <t>279951</t>
  </si>
  <si>
    <t>CNRB107041990</t>
  </si>
  <si>
    <t>308706</t>
  </si>
  <si>
    <t>Khajuri, West Bengal</t>
  </si>
  <si>
    <t>279470</t>
  </si>
  <si>
    <t>CNRB103755555</t>
  </si>
  <si>
    <t>308726</t>
  </si>
  <si>
    <t>252949</t>
  </si>
  <si>
    <t>CNRBSUKLADUTTA</t>
  </si>
  <si>
    <t>308849</t>
  </si>
  <si>
    <t>223891</t>
  </si>
  <si>
    <t>CNRB303891309</t>
  </si>
  <si>
    <t>310245</t>
  </si>
  <si>
    <t>279291</t>
  </si>
  <si>
    <t>CNRB308453099A67</t>
  </si>
  <si>
    <t>310288</t>
  </si>
  <si>
    <t>259616</t>
  </si>
  <si>
    <t>CNRB3084530993B</t>
  </si>
  <si>
    <t>310306</t>
  </si>
  <si>
    <t>259623</t>
  </si>
  <si>
    <t>CNRB3084530993A</t>
  </si>
  <si>
    <t>310319</t>
  </si>
  <si>
    <t>259627</t>
  </si>
  <si>
    <t>CNRB319624310</t>
  </si>
  <si>
    <t>310333</t>
  </si>
  <si>
    <t>266315</t>
  </si>
  <si>
    <t>CNRB92493638</t>
  </si>
  <si>
    <t>310349</t>
  </si>
  <si>
    <t>247786</t>
  </si>
  <si>
    <t>CNRBQAISARKHANDAWOODKHAN</t>
  </si>
  <si>
    <t>313355</t>
  </si>
  <si>
    <t>251011</t>
  </si>
  <si>
    <t>CNRBDILIPKUMARMONDAL</t>
  </si>
  <si>
    <t>314941</t>
  </si>
  <si>
    <t>269426</t>
  </si>
  <si>
    <t>CNRBCYNTHIAPAPER</t>
  </si>
  <si>
    <t>315007</t>
  </si>
  <si>
    <t>274130</t>
  </si>
  <si>
    <t>CNRBSHOWSUPPLIERS</t>
  </si>
  <si>
    <t>315025</t>
  </si>
  <si>
    <t>249089</t>
  </si>
  <si>
    <t>CNRBANGHUSMANBOSE</t>
  </si>
  <si>
    <t>315038</t>
  </si>
  <si>
    <t>198685</t>
  </si>
  <si>
    <t>PUNBABA40392280</t>
  </si>
  <si>
    <t>315486</t>
  </si>
  <si>
    <t>Islampur, West Bengal</t>
  </si>
  <si>
    <t>29-06-2026 15:30</t>
  </si>
  <si>
    <t>185382</t>
  </si>
  <si>
    <t>IOBA01950005</t>
  </si>
  <si>
    <t>316032</t>
  </si>
  <si>
    <t>250272</t>
  </si>
  <si>
    <t>IOBA1869005</t>
  </si>
  <si>
    <t>316036</t>
  </si>
  <si>
    <t>275726</t>
  </si>
  <si>
    <t>IOBA0399003</t>
  </si>
  <si>
    <t>316039</t>
  </si>
  <si>
    <t>199618</t>
  </si>
  <si>
    <t>IOBA0399004</t>
  </si>
  <si>
    <t>316040</t>
  </si>
  <si>
    <t>199632</t>
  </si>
  <si>
    <t>IOBA0399005</t>
  </si>
  <si>
    <t>316041</t>
  </si>
  <si>
    <t>199637</t>
  </si>
  <si>
    <t>IOBA0399006</t>
  </si>
  <si>
    <t>316043</t>
  </si>
  <si>
    <t>199641</t>
  </si>
  <si>
    <t>IOBA0399007</t>
  </si>
  <si>
    <t>316046</t>
  </si>
  <si>
    <t>199650</t>
  </si>
  <si>
    <t>PUNBABA40334977</t>
  </si>
  <si>
    <t>316701</t>
  </si>
  <si>
    <t>185396</t>
  </si>
  <si>
    <t>PUNBABA40341840</t>
  </si>
  <si>
    <t>317509</t>
  </si>
  <si>
    <t>175433</t>
  </si>
  <si>
    <t>IOBA2080042</t>
  </si>
  <si>
    <t>318323</t>
  </si>
  <si>
    <t>259677</t>
  </si>
  <si>
    <t>IOBA2080054</t>
  </si>
  <si>
    <t>318329</t>
  </si>
  <si>
    <t>275746</t>
  </si>
  <si>
    <t>IOBA2080052</t>
  </si>
  <si>
    <t>318331</t>
  </si>
  <si>
    <t>275667</t>
  </si>
  <si>
    <t>IOBA2080051</t>
  </si>
  <si>
    <t>318334</t>
  </si>
  <si>
    <t>275665</t>
  </si>
  <si>
    <t>CNRB81459830000010</t>
  </si>
  <si>
    <t>311631</t>
  </si>
  <si>
    <t>30-06-2026 12:30</t>
  </si>
  <si>
    <t>202232</t>
  </si>
  <si>
    <t>CNRBCHIDANAND</t>
  </si>
  <si>
    <t>298647</t>
  </si>
  <si>
    <t>201381</t>
  </si>
  <si>
    <t>IOBARADHA</t>
  </si>
  <si>
    <t>313877</t>
  </si>
  <si>
    <t>Khowai, Tripura</t>
  </si>
  <si>
    <t>272846</t>
  </si>
  <si>
    <t>CNRBVIVEKCOMM</t>
  </si>
  <si>
    <t>314384</t>
  </si>
  <si>
    <t>Sankeshwar, Karnataka</t>
  </si>
  <si>
    <t>222793</t>
  </si>
  <si>
    <t>CNRB255027857</t>
  </si>
  <si>
    <t>314407</t>
  </si>
  <si>
    <t>248302</t>
  </si>
  <si>
    <t>CNRBSHOBHA</t>
  </si>
  <si>
    <t>314414</t>
  </si>
  <si>
    <t>191650</t>
  </si>
  <si>
    <t>CNRBKAMBLE</t>
  </si>
  <si>
    <t>314423</t>
  </si>
  <si>
    <t>191637</t>
  </si>
  <si>
    <t>CNRBISHWAR</t>
  </si>
  <si>
    <t>314428</t>
  </si>
  <si>
    <t>191662</t>
  </si>
  <si>
    <t>CNRB00010</t>
  </si>
  <si>
    <t>314434</t>
  </si>
  <si>
    <t>191402</t>
  </si>
  <si>
    <t>CNRB215202794</t>
  </si>
  <si>
    <t>314441</t>
  </si>
  <si>
    <t>Hukeri, Karnataka</t>
  </si>
  <si>
    <t>248540</t>
  </si>
  <si>
    <t>CNRBCRSAGENCIES</t>
  </si>
  <si>
    <t>316071</t>
  </si>
  <si>
    <t>Nagercoil, Tamil Nadu</t>
  </si>
  <si>
    <t>200887</t>
  </si>
  <si>
    <t>CNRBVIJYAAU</t>
  </si>
  <si>
    <t>316081</t>
  </si>
  <si>
    <t>Marthandam, Tamil Nadu</t>
  </si>
  <si>
    <t>202959</t>
  </si>
  <si>
    <t>CNRBTHANAJA</t>
  </si>
  <si>
    <t>316090</t>
  </si>
  <si>
    <t>Kannanoor, Tamil Nadu</t>
  </si>
  <si>
    <t>282803</t>
  </si>
  <si>
    <t>CNRBJAYANJ</t>
  </si>
  <si>
    <t>316141</t>
  </si>
  <si>
    <t>248684</t>
  </si>
  <si>
    <t>CNRBjesusmargin</t>
  </si>
  <si>
    <t>316317</t>
  </si>
  <si>
    <t>Mulagumudu, Tamil Nadu</t>
  </si>
  <si>
    <t>204591</t>
  </si>
  <si>
    <t>CNRBRAJAMANI</t>
  </si>
  <si>
    <t>316340</t>
  </si>
  <si>
    <t>260492</t>
  </si>
  <si>
    <t>SBIN005003601</t>
  </si>
  <si>
    <t>304386</t>
  </si>
  <si>
    <t>Tapa, Punjab</t>
  </si>
  <si>
    <t>285571</t>
  </si>
  <si>
    <t>SBIN005002702</t>
  </si>
  <si>
    <t>304390</t>
  </si>
  <si>
    <t>Barnala, Punjab</t>
  </si>
  <si>
    <t>285558</t>
  </si>
  <si>
    <t>PSIB5</t>
  </si>
  <si>
    <t>306818</t>
  </si>
  <si>
    <t>248881</t>
  </si>
  <si>
    <t>PSIB1032</t>
  </si>
  <si>
    <t>306904</t>
  </si>
  <si>
    <t>245681</t>
  </si>
  <si>
    <t>PSIB11361200000043</t>
  </si>
  <si>
    <t>308376</t>
  </si>
  <si>
    <t>286133</t>
  </si>
  <si>
    <t>PSIB1136chamunda</t>
  </si>
  <si>
    <t>308411</t>
  </si>
  <si>
    <t>278306</t>
  </si>
  <si>
    <t>CNRB112614924</t>
  </si>
  <si>
    <t>310598</t>
  </si>
  <si>
    <t>Dhar, Madhya Pradesh</t>
  </si>
  <si>
    <t>262469</t>
  </si>
  <si>
    <t>CNRB309574847</t>
  </si>
  <si>
    <t>310605</t>
  </si>
  <si>
    <t>Dewas, Madhya Pradesh</t>
  </si>
  <si>
    <t>279568</t>
  </si>
  <si>
    <t>CNRB220551605</t>
  </si>
  <si>
    <t>310620</t>
  </si>
  <si>
    <t>282702</t>
  </si>
  <si>
    <t>CNRB302269488</t>
  </si>
  <si>
    <t>310655</t>
  </si>
  <si>
    <t>212051</t>
  </si>
  <si>
    <t>CNRB309442401</t>
  </si>
  <si>
    <t>310673</t>
  </si>
  <si>
    <t>170509</t>
  </si>
  <si>
    <t>CNRB100479608</t>
  </si>
  <si>
    <t>310678</t>
  </si>
  <si>
    <t>Jhabua, Madhya Pradesh</t>
  </si>
  <si>
    <t>191335</t>
  </si>
  <si>
    <t>CNRB103817156</t>
  </si>
  <si>
    <t>310684</t>
  </si>
  <si>
    <t>Badi, Madhya Pradesh</t>
  </si>
  <si>
    <t>212042</t>
  </si>
  <si>
    <t>PSIB000</t>
  </si>
  <si>
    <t>311511</t>
  </si>
  <si>
    <t>181749</t>
  </si>
  <si>
    <t>CNRB249934853</t>
  </si>
  <si>
    <t>313045</t>
  </si>
  <si>
    <t>262933</t>
  </si>
  <si>
    <t>CNRB249934853003</t>
  </si>
  <si>
    <t>313056</t>
  </si>
  <si>
    <t>262414</t>
  </si>
  <si>
    <t>CNRB249934853001</t>
  </si>
  <si>
    <t>313074</t>
  </si>
  <si>
    <t>Chagallu, Andhra Pradesh</t>
  </si>
  <si>
    <t>262407</t>
  </si>
  <si>
    <t>CNRB126854538002</t>
  </si>
  <si>
    <t>313077</t>
  </si>
  <si>
    <t>280047</t>
  </si>
  <si>
    <t>CNRB127358585002</t>
  </si>
  <si>
    <t>313084</t>
  </si>
  <si>
    <t>Pedana, Andhra Pradesh</t>
  </si>
  <si>
    <t>267116</t>
  </si>
  <si>
    <t>CNRB122881801</t>
  </si>
  <si>
    <t>313121</t>
  </si>
  <si>
    <t>242098</t>
  </si>
  <si>
    <t>CNRB327391139</t>
  </si>
  <si>
    <t>313133</t>
  </si>
  <si>
    <t>Palacole, Andhra Pradesh</t>
  </si>
  <si>
    <t>283113</t>
  </si>
  <si>
    <t>CNRB123027588001</t>
  </si>
  <si>
    <t>313138</t>
  </si>
  <si>
    <t>279405</t>
  </si>
  <si>
    <t>CNRB124881944</t>
  </si>
  <si>
    <t>313142</t>
  </si>
  <si>
    <t>282498</t>
  </si>
  <si>
    <t>CNRB127439710</t>
  </si>
  <si>
    <t>313152</t>
  </si>
  <si>
    <t>279349</t>
  </si>
  <si>
    <t>CNRB125833779</t>
  </si>
  <si>
    <t>313158</t>
  </si>
  <si>
    <t>282502</t>
  </si>
  <si>
    <t>CNRB33013076105</t>
  </si>
  <si>
    <t>313190</t>
  </si>
  <si>
    <t>266301</t>
  </si>
  <si>
    <t>CNRB33013076104</t>
  </si>
  <si>
    <t>313195</t>
  </si>
  <si>
    <t>266297</t>
  </si>
  <si>
    <t>CNRB33013076103</t>
  </si>
  <si>
    <t>313200</t>
  </si>
  <si>
    <t>266291</t>
  </si>
  <si>
    <t>CNRB33013076102</t>
  </si>
  <si>
    <t>313206</t>
  </si>
  <si>
    <t>265013</t>
  </si>
  <si>
    <t>CNRB33013076101</t>
  </si>
  <si>
    <t>313208</t>
  </si>
  <si>
    <t>264681</t>
  </si>
  <si>
    <t>CNRB126228366001</t>
  </si>
  <si>
    <t>313251</t>
  </si>
  <si>
    <t>280008</t>
  </si>
  <si>
    <t>CNRB124069632003</t>
  </si>
  <si>
    <t>313259</t>
  </si>
  <si>
    <t>283581</t>
  </si>
  <si>
    <t>CNRB300123395001</t>
  </si>
  <si>
    <t>313324</t>
  </si>
  <si>
    <t>267119</t>
  </si>
  <si>
    <t>PSIB603176590</t>
  </si>
  <si>
    <t>313605</t>
  </si>
  <si>
    <t>Patti, Punjab</t>
  </si>
  <si>
    <t>271432</t>
  </si>
  <si>
    <t>PSIB071935</t>
  </si>
  <si>
    <t>315393</t>
  </si>
  <si>
    <t>280754</t>
  </si>
  <si>
    <t>PSIB071937</t>
  </si>
  <si>
    <t>315591</t>
  </si>
  <si>
    <t>280776</t>
  </si>
  <si>
    <t>PSIB071911a</t>
  </si>
  <si>
    <t>315615</t>
  </si>
  <si>
    <t>268175</t>
  </si>
  <si>
    <t>PSIB071933A</t>
  </si>
  <si>
    <t>315749</t>
  </si>
  <si>
    <t>Dhulasimla, West Bengal</t>
  </si>
  <si>
    <t>270420</t>
  </si>
  <si>
    <t>PSIB071932A</t>
  </si>
  <si>
    <t>315765</t>
  </si>
  <si>
    <t>270378</t>
  </si>
  <si>
    <t>PSIB071931A</t>
  </si>
  <si>
    <t>315778</t>
  </si>
  <si>
    <t>270375</t>
  </si>
  <si>
    <t>PSIB07197a</t>
  </si>
  <si>
    <t>315797</t>
  </si>
  <si>
    <t>268405</t>
  </si>
  <si>
    <t>PSIB071918</t>
  </si>
  <si>
    <t>315817</t>
  </si>
  <si>
    <t>208479</t>
  </si>
  <si>
    <t>PSIB00002031</t>
  </si>
  <si>
    <t>317072</t>
  </si>
  <si>
    <t>Assandh, Haryana</t>
  </si>
  <si>
    <t>282624</t>
  </si>
  <si>
    <t>CNRB44694927001</t>
  </si>
  <si>
    <t>317121</t>
  </si>
  <si>
    <t>Denduluru, Andhra Pradesh</t>
  </si>
  <si>
    <t>228893</t>
  </si>
  <si>
    <t>PSIB1234567</t>
  </si>
  <si>
    <t>317713</t>
  </si>
  <si>
    <t>278515</t>
  </si>
  <si>
    <t>PSIB0000047</t>
  </si>
  <si>
    <t>317719</t>
  </si>
  <si>
    <t>288019</t>
  </si>
  <si>
    <t>PSIB1000047</t>
  </si>
  <si>
    <t>317728</t>
  </si>
  <si>
    <t>288040</t>
  </si>
  <si>
    <t>PSIB741</t>
  </si>
  <si>
    <t>317733</t>
  </si>
  <si>
    <t>173484</t>
  </si>
  <si>
    <t>CBIN8123133579</t>
  </si>
  <si>
    <t>317749</t>
  </si>
  <si>
    <t>183648</t>
  </si>
  <si>
    <t>PSIB00000316</t>
  </si>
  <si>
    <t>317764</t>
  </si>
  <si>
    <t>288014</t>
  </si>
  <si>
    <t>PSIB1987621</t>
  </si>
  <si>
    <t>317769</t>
  </si>
  <si>
    <t>Radaur, Haryana</t>
  </si>
  <si>
    <t>248969</t>
  </si>
  <si>
    <t>PSIB58C584U73</t>
  </si>
  <si>
    <t>317785</t>
  </si>
  <si>
    <t>288036</t>
  </si>
  <si>
    <t>PSIB071934A</t>
  </si>
  <si>
    <t>317897</t>
  </si>
  <si>
    <t>271974</t>
  </si>
  <si>
    <t>PSIB000000</t>
  </si>
  <si>
    <t>318175</t>
  </si>
  <si>
    <t>288151</t>
  </si>
  <si>
    <t>PSIB12781</t>
  </si>
  <si>
    <t>309692</t>
  </si>
  <si>
    <t>286512</t>
  </si>
  <si>
    <t>SBIN00020511478</t>
  </si>
  <si>
    <t>309750</t>
  </si>
  <si>
    <t>Nalgonda, Telangana</t>
  </si>
  <si>
    <t>258020</t>
  </si>
  <si>
    <t>PSIB0471a</t>
  </si>
  <si>
    <t>309773</t>
  </si>
  <si>
    <t>286478</t>
  </si>
  <si>
    <t>PSIB0194</t>
  </si>
  <si>
    <t>310085</t>
  </si>
  <si>
    <t>271459</t>
  </si>
  <si>
    <t>PSIB12503</t>
  </si>
  <si>
    <t>311695</t>
  </si>
  <si>
    <t>278815</t>
  </si>
  <si>
    <t>CBIN0014672</t>
  </si>
  <si>
    <t>317708</t>
  </si>
  <si>
    <t>Indian Tehephone Industry Mankapur, Uttar Pradesh</t>
  </si>
  <si>
    <t>261621</t>
  </si>
  <si>
    <t>CBIN0013302</t>
  </si>
  <si>
    <t>317710</t>
  </si>
  <si>
    <t>Ayodhya, Uttar Pradesh</t>
  </si>
  <si>
    <t>261645</t>
  </si>
  <si>
    <t>CBINAY041</t>
  </si>
  <si>
    <t>317720</t>
  </si>
  <si>
    <t>Gonda, Uttar Pradesh</t>
  </si>
  <si>
    <t>219362</t>
  </si>
  <si>
    <t>CBIN702205</t>
  </si>
  <si>
    <t>317725</t>
  </si>
  <si>
    <t>Pure Tiwari, Uttar Pradesh</t>
  </si>
  <si>
    <t>187801</t>
  </si>
  <si>
    <t>CBINAY004</t>
  </si>
  <si>
    <t>317731</t>
  </si>
  <si>
    <t>Kadipur, Uttar Pradesh</t>
  </si>
  <si>
    <t>205191</t>
  </si>
  <si>
    <t>CBINAY002</t>
  </si>
  <si>
    <t>317735</t>
  </si>
  <si>
    <t>205189</t>
  </si>
  <si>
    <t>CBIN202416</t>
  </si>
  <si>
    <t>303573</t>
  </si>
  <si>
    <t>214688</t>
  </si>
  <si>
    <t>CBIN20262</t>
  </si>
  <si>
    <t>303578</t>
  </si>
  <si>
    <t>270839</t>
  </si>
  <si>
    <t>CBIN402506</t>
  </si>
  <si>
    <t>305148</t>
  </si>
  <si>
    <t>274249</t>
  </si>
  <si>
    <t>SBIN90224105668</t>
  </si>
  <si>
    <t>310250</t>
  </si>
  <si>
    <t>270464</t>
  </si>
  <si>
    <t>SBINGFB89498540050</t>
  </si>
  <si>
    <t>310271</t>
  </si>
  <si>
    <t>270921</t>
  </si>
  <si>
    <t>SBIN200052487210</t>
  </si>
  <si>
    <t>313071</t>
  </si>
  <si>
    <t>253723</t>
  </si>
  <si>
    <t>CBIN4013542496</t>
  </si>
  <si>
    <t>313956</t>
  </si>
  <si>
    <t>Sambhar, Rajasthan</t>
  </si>
  <si>
    <t>223110</t>
  </si>
  <si>
    <t>CBIN4010975181</t>
  </si>
  <si>
    <t>314123</t>
  </si>
  <si>
    <t>Gulabpura, Rajasthan</t>
  </si>
  <si>
    <t>268527</t>
  </si>
  <si>
    <t>CBINSHIMRO001</t>
  </si>
  <si>
    <t>314222</t>
  </si>
  <si>
    <t>9772</t>
  </si>
  <si>
    <t>CBINSHIMRO28</t>
  </si>
  <si>
    <t>314271</t>
  </si>
  <si>
    <t>Santokhgarh, Himachal Pradesh</t>
  </si>
  <si>
    <t>29259</t>
  </si>
  <si>
    <t>SBIN200012347478</t>
  </si>
  <si>
    <t>314679</t>
  </si>
  <si>
    <t>244800</t>
  </si>
  <si>
    <t>SBIN200078651260</t>
  </si>
  <si>
    <t>314694</t>
  </si>
  <si>
    <t>259349</t>
  </si>
  <si>
    <t>SBIN200009794101</t>
  </si>
  <si>
    <t>314702</t>
  </si>
  <si>
    <t>275648</t>
  </si>
  <si>
    <t>CBIN141401</t>
  </si>
  <si>
    <t>314712</t>
  </si>
  <si>
    <t>257805</t>
  </si>
  <si>
    <t>CBIN160601</t>
  </si>
  <si>
    <t>314747</t>
  </si>
  <si>
    <t>247477</t>
  </si>
  <si>
    <t>CBIN02838013</t>
  </si>
  <si>
    <t>314757</t>
  </si>
  <si>
    <t>242465</t>
  </si>
  <si>
    <t>CBIN41091</t>
  </si>
  <si>
    <t>314767</t>
  </si>
  <si>
    <t>231047</t>
  </si>
  <si>
    <t>CBIN41092</t>
  </si>
  <si>
    <t>314784</t>
  </si>
  <si>
    <t>231058</t>
  </si>
  <si>
    <t>CBIN3495001</t>
  </si>
  <si>
    <t>315060</t>
  </si>
  <si>
    <t>268172</t>
  </si>
  <si>
    <t>CBIN402401</t>
  </si>
  <si>
    <t>315077</t>
  </si>
  <si>
    <t>207294</t>
  </si>
  <si>
    <t>CBIN029301</t>
  </si>
  <si>
    <t>315104</t>
  </si>
  <si>
    <t>233385</t>
  </si>
  <si>
    <t>CBIN029001</t>
  </si>
  <si>
    <t>315110</t>
  </si>
  <si>
    <t>207303</t>
  </si>
  <si>
    <t>CBIN02901</t>
  </si>
  <si>
    <t>315115</t>
  </si>
  <si>
    <t>189863</t>
  </si>
  <si>
    <t>CBIN025701</t>
  </si>
  <si>
    <t>315123</t>
  </si>
  <si>
    <t>207355</t>
  </si>
  <si>
    <t>CBIN127801</t>
  </si>
  <si>
    <t>315129</t>
  </si>
  <si>
    <t>203341</t>
  </si>
  <si>
    <t>CBIN127806</t>
  </si>
  <si>
    <t>315135</t>
  </si>
  <si>
    <t>246092</t>
  </si>
  <si>
    <t>CBIN3749001</t>
  </si>
  <si>
    <t>315144</t>
  </si>
  <si>
    <t>189846</t>
  </si>
  <si>
    <t>CBIN374909</t>
  </si>
  <si>
    <t>315149</t>
  </si>
  <si>
    <t>207311</t>
  </si>
  <si>
    <t>CBINKESHAV12</t>
  </si>
  <si>
    <t>315165</t>
  </si>
  <si>
    <t>213740</t>
  </si>
  <si>
    <t>CBIN331403</t>
  </si>
  <si>
    <t>315179</t>
  </si>
  <si>
    <t>274209</t>
  </si>
  <si>
    <t>CBIN319010</t>
  </si>
  <si>
    <t>315189</t>
  </si>
  <si>
    <t>274228</t>
  </si>
  <si>
    <t>CBIN244301</t>
  </si>
  <si>
    <t>315195</t>
  </si>
  <si>
    <t>246091</t>
  </si>
  <si>
    <t>CBIN402505</t>
  </si>
  <si>
    <t>315201</t>
  </si>
  <si>
    <t>249103</t>
  </si>
  <si>
    <t>CBIN402508</t>
  </si>
  <si>
    <t>315208</t>
  </si>
  <si>
    <t>274260</t>
  </si>
  <si>
    <t>CBIN166901</t>
  </si>
  <si>
    <t>315219</t>
  </si>
  <si>
    <t>274262</t>
  </si>
  <si>
    <t>CBIN3490001</t>
  </si>
  <si>
    <t>315222</t>
  </si>
  <si>
    <t>268398</t>
  </si>
  <si>
    <t>CBIN029302</t>
  </si>
  <si>
    <t>315230</t>
  </si>
  <si>
    <t>233389</t>
  </si>
  <si>
    <t>CBIN3323002</t>
  </si>
  <si>
    <t>315238</t>
  </si>
  <si>
    <t>268469</t>
  </si>
  <si>
    <t>CBIN3323001</t>
  </si>
  <si>
    <t>315245</t>
  </si>
  <si>
    <t>268464</t>
  </si>
  <si>
    <t>CBIN3524001</t>
  </si>
  <si>
    <t>315249</t>
  </si>
  <si>
    <t>268483</t>
  </si>
  <si>
    <t>CBIN3524002</t>
  </si>
  <si>
    <t>315256</t>
  </si>
  <si>
    <t>268486</t>
  </si>
  <si>
    <t>CBIN352405</t>
  </si>
  <si>
    <t>315260</t>
  </si>
  <si>
    <t>249023</t>
  </si>
  <si>
    <t>CBIN497203</t>
  </si>
  <si>
    <t>315265</t>
  </si>
  <si>
    <t>Dasna, Uttar Pradesh</t>
  </si>
  <si>
    <t>207318</t>
  </si>
  <si>
    <t>CBIN497201</t>
  </si>
  <si>
    <t>315279</t>
  </si>
  <si>
    <t>207315</t>
  </si>
  <si>
    <t>CBINSURAT8191680758</t>
  </si>
  <si>
    <t>315290</t>
  </si>
  <si>
    <t>272611</t>
  </si>
  <si>
    <t>CBINSURAT8336290881</t>
  </si>
  <si>
    <t>315422</t>
  </si>
  <si>
    <t>249334</t>
  </si>
  <si>
    <t>CBINSURAT8311704086</t>
  </si>
  <si>
    <t>315423</t>
  </si>
  <si>
    <t>216305</t>
  </si>
  <si>
    <t>CBINSURAT8299285940</t>
  </si>
  <si>
    <t>315424</t>
  </si>
  <si>
    <t>254702</t>
  </si>
  <si>
    <t>CBINSURAT8456317002</t>
  </si>
  <si>
    <t>315425</t>
  </si>
  <si>
    <t>270065</t>
  </si>
  <si>
    <t>CBINSURAT8291443418</t>
  </si>
  <si>
    <t>315426</t>
  </si>
  <si>
    <t>270107</t>
  </si>
  <si>
    <t>CBINSURAT8269879803</t>
  </si>
  <si>
    <t>315427</t>
  </si>
  <si>
    <t>Valia, Gujarat</t>
  </si>
  <si>
    <t>254925</t>
  </si>
  <si>
    <t>CBINSURAT8276382554</t>
  </si>
  <si>
    <t>315430</t>
  </si>
  <si>
    <t>254927</t>
  </si>
  <si>
    <t>CBINSURAT8276400289</t>
  </si>
  <si>
    <t>315433</t>
  </si>
  <si>
    <t>254930</t>
  </si>
  <si>
    <t>CBINSURAT8276405153</t>
  </si>
  <si>
    <t>315438</t>
  </si>
  <si>
    <t>254932</t>
  </si>
  <si>
    <t>CBINSURAT8118762221</t>
  </si>
  <si>
    <t>315444</t>
  </si>
  <si>
    <t>Jalalpore, Gujarat</t>
  </si>
  <si>
    <t>219636</t>
  </si>
  <si>
    <t>CBINSURAT8314499313</t>
  </si>
  <si>
    <t>315448</t>
  </si>
  <si>
    <t>263472</t>
  </si>
  <si>
    <t>CBINSURAT8360326229</t>
  </si>
  <si>
    <t>315450</t>
  </si>
  <si>
    <t>280049</t>
  </si>
  <si>
    <t>CBINSURAT8007484247</t>
  </si>
  <si>
    <t>315452</t>
  </si>
  <si>
    <t>243745</t>
  </si>
  <si>
    <t>CBINSURAT6172423721</t>
  </si>
  <si>
    <t>315453</t>
  </si>
  <si>
    <t>243749</t>
  </si>
  <si>
    <t>CBINSURAT8429726776</t>
  </si>
  <si>
    <t>315454</t>
  </si>
  <si>
    <t>243751</t>
  </si>
  <si>
    <t>CBINSURAT8488864058</t>
  </si>
  <si>
    <t>315455</t>
  </si>
  <si>
    <t>219651</t>
  </si>
  <si>
    <t>CBINSURAT8335348697</t>
  </si>
  <si>
    <t>315456</t>
  </si>
  <si>
    <t>254677</t>
  </si>
  <si>
    <t>CBINSURAT8465088911</t>
  </si>
  <si>
    <t>315460</t>
  </si>
  <si>
    <t>263384</t>
  </si>
  <si>
    <t>CBINSURAT8279118597</t>
  </si>
  <si>
    <t>315462</t>
  </si>
  <si>
    <t>254686</t>
  </si>
  <si>
    <t>CBINSURAT8536453410</t>
  </si>
  <si>
    <t>315466</t>
  </si>
  <si>
    <t>246828</t>
  </si>
  <si>
    <t>CBINSURAT202425084</t>
  </si>
  <si>
    <t>315656</t>
  </si>
  <si>
    <t>190568</t>
  </si>
  <si>
    <t>CBINSURAT202425090</t>
  </si>
  <si>
    <t>315659</t>
  </si>
  <si>
    <t>190574</t>
  </si>
  <si>
    <t>CBINSURAT202425087</t>
  </si>
  <si>
    <t>315663</t>
  </si>
  <si>
    <t>190571</t>
  </si>
  <si>
    <t>CBINSURAT202425085</t>
  </si>
  <si>
    <t>315669</t>
  </si>
  <si>
    <t>190569</t>
  </si>
  <si>
    <t>CBINSURAT202425082</t>
  </si>
  <si>
    <t>315672</t>
  </si>
  <si>
    <t>190566</t>
  </si>
  <si>
    <t>CBINSURAT202425040</t>
  </si>
  <si>
    <t>315683</t>
  </si>
  <si>
    <t>187373</t>
  </si>
  <si>
    <t>CBINSURAT8336844627</t>
  </si>
  <si>
    <t>315705</t>
  </si>
  <si>
    <t>216498</t>
  </si>
  <si>
    <t>CBINSURAT202425039</t>
  </si>
  <si>
    <t>315710</t>
  </si>
  <si>
    <t>187364</t>
  </si>
  <si>
    <t>CBINSURAT8376897785</t>
  </si>
  <si>
    <t>315715</t>
  </si>
  <si>
    <t>263414</t>
  </si>
  <si>
    <t>CBINSURAT8210301557</t>
  </si>
  <si>
    <t>315720</t>
  </si>
  <si>
    <t>276688</t>
  </si>
  <si>
    <t>CBINSURAT8201276814</t>
  </si>
  <si>
    <t>315724</t>
  </si>
  <si>
    <t>254912</t>
  </si>
  <si>
    <t>CBINSURAT8261263522</t>
  </si>
  <si>
    <t>315729</t>
  </si>
  <si>
    <t>270111</t>
  </si>
  <si>
    <t>CBINSURAT8325524938</t>
  </si>
  <si>
    <t>315732</t>
  </si>
  <si>
    <t>254715</t>
  </si>
  <si>
    <t>CBINSURAT8368386453</t>
  </si>
  <si>
    <t>315735</t>
  </si>
  <si>
    <t>214851</t>
  </si>
  <si>
    <t>CBINSURAT8248577919</t>
  </si>
  <si>
    <t>315743</t>
  </si>
  <si>
    <t>214858</t>
  </si>
  <si>
    <t>CBINSURAT8361366160</t>
  </si>
  <si>
    <t>315746</t>
  </si>
  <si>
    <t>216475</t>
  </si>
  <si>
    <t>CBINSURAT8242657315</t>
  </si>
  <si>
    <t>315750</t>
  </si>
  <si>
    <t>279970</t>
  </si>
  <si>
    <t>CBINSURAT8279585834</t>
  </si>
  <si>
    <t>315759</t>
  </si>
  <si>
    <t>280021</t>
  </si>
  <si>
    <t>CBINSURAT202425001</t>
  </si>
  <si>
    <t>315766</t>
  </si>
  <si>
    <t>171735</t>
  </si>
  <si>
    <t>CBINSURAT8286789941</t>
  </si>
  <si>
    <t>315771</t>
  </si>
  <si>
    <t>208036</t>
  </si>
  <si>
    <t>CBINSURAT8298960347</t>
  </si>
  <si>
    <t>315788</t>
  </si>
  <si>
    <t>254357</t>
  </si>
  <si>
    <t>CBINSURAT8298723544</t>
  </si>
  <si>
    <t>315800</t>
  </si>
  <si>
    <t>243761</t>
  </si>
  <si>
    <t>CBINSURAT8297993090</t>
  </si>
  <si>
    <t>315808</t>
  </si>
  <si>
    <t>279961</t>
  </si>
  <si>
    <t>CBINSURAT8343451354</t>
  </si>
  <si>
    <t>315816</t>
  </si>
  <si>
    <t>243763</t>
  </si>
  <si>
    <t>CBINSURAT8481523626</t>
  </si>
  <si>
    <t>315878</t>
  </si>
  <si>
    <t>238864</t>
  </si>
  <si>
    <t>CBIN8118979460</t>
  </si>
  <si>
    <t>315880</t>
  </si>
  <si>
    <t>201536</t>
  </si>
  <si>
    <t>CBINSURAT8941463802B</t>
  </si>
  <si>
    <t>315899</t>
  </si>
  <si>
    <t>251686</t>
  </si>
  <si>
    <t>CBINSURAT8366203166</t>
  </si>
  <si>
    <t>315910</t>
  </si>
  <si>
    <t>259094</t>
  </si>
  <si>
    <t>CBINSURAT8345116017</t>
  </si>
  <si>
    <t>315924</t>
  </si>
  <si>
    <t>215144</t>
  </si>
  <si>
    <t>CBINSURAT8382990730</t>
  </si>
  <si>
    <t>315943</t>
  </si>
  <si>
    <t>272595</t>
  </si>
  <si>
    <t>CBINSURAT8430670024</t>
  </si>
  <si>
    <t>315959</t>
  </si>
  <si>
    <t>259053</t>
  </si>
  <si>
    <t>CBINSURAT8377244485</t>
  </si>
  <si>
    <t>315979</t>
  </si>
  <si>
    <t>216285</t>
  </si>
  <si>
    <t>CBINSURAT8460979525</t>
  </si>
  <si>
    <t>315983</t>
  </si>
  <si>
    <t>229299</t>
  </si>
  <si>
    <t>CBINSURAT202425028</t>
  </si>
  <si>
    <t>315995</t>
  </si>
  <si>
    <t>187269</t>
  </si>
  <si>
    <t>CBINSURAT202425031</t>
  </si>
  <si>
    <t>316001</t>
  </si>
  <si>
    <t>187291</t>
  </si>
  <si>
    <t>CBINSURAT8112060034</t>
  </si>
  <si>
    <t>316006</t>
  </si>
  <si>
    <t>216482</t>
  </si>
  <si>
    <t>CBINSURAT202425044</t>
  </si>
  <si>
    <t>316059</t>
  </si>
  <si>
    <t>187406</t>
  </si>
  <si>
    <t>CBINSURAT8155327158</t>
  </si>
  <si>
    <t>316060</t>
  </si>
  <si>
    <t>254916</t>
  </si>
  <si>
    <t>CBINSURAT202425069</t>
  </si>
  <si>
    <t>316061</t>
  </si>
  <si>
    <t>190553</t>
  </si>
  <si>
    <t>CBINSURAT202425067</t>
  </si>
  <si>
    <t>316062</t>
  </si>
  <si>
    <t>190551</t>
  </si>
  <si>
    <t>CBINSURAT202425065</t>
  </si>
  <si>
    <t>316063</t>
  </si>
  <si>
    <t>190549</t>
  </si>
  <si>
    <t>CBINSURAT8319603896</t>
  </si>
  <si>
    <t>316251</t>
  </si>
  <si>
    <t>216297</t>
  </si>
  <si>
    <t>CBINSURAT202425006</t>
  </si>
  <si>
    <t>316292</t>
  </si>
  <si>
    <t>171898</t>
  </si>
  <si>
    <t>CBINSURAT202425080</t>
  </si>
  <si>
    <t>316296</t>
  </si>
  <si>
    <t>190564</t>
  </si>
  <si>
    <t>CBINSURAT8188432427A</t>
  </si>
  <si>
    <t>316302</t>
  </si>
  <si>
    <t>216464</t>
  </si>
  <si>
    <t>CBINSURAT8315231332</t>
  </si>
  <si>
    <t>316308</t>
  </si>
  <si>
    <t>216466</t>
  </si>
  <si>
    <t>CBINSURAT202425060</t>
  </si>
  <si>
    <t>316387</t>
  </si>
  <si>
    <t>190138</t>
  </si>
  <si>
    <t>CBINSURAT202425011</t>
  </si>
  <si>
    <t>316399</t>
  </si>
  <si>
    <t>172045</t>
  </si>
  <si>
    <t>CBINSURAT202425030</t>
  </si>
  <si>
    <t>316455</t>
  </si>
  <si>
    <t>187286</t>
  </si>
  <si>
    <t>CBINSURAT8273078692</t>
  </si>
  <si>
    <t>316460</t>
  </si>
  <si>
    <t>214890</t>
  </si>
  <si>
    <t>CBINSURAT8285758211</t>
  </si>
  <si>
    <t>316466</t>
  </si>
  <si>
    <t>216485</t>
  </si>
  <si>
    <t>CBINSURAT8341631076</t>
  </si>
  <si>
    <t>316470</t>
  </si>
  <si>
    <t>216486</t>
  </si>
  <si>
    <t>CBINSURAT8261521314</t>
  </si>
  <si>
    <t>316474</t>
  </si>
  <si>
    <t>215011</t>
  </si>
  <si>
    <t>CBINSURAT202425070</t>
  </si>
  <si>
    <t>316492</t>
  </si>
  <si>
    <t>190554</t>
  </si>
  <si>
    <t>CBINSURAT8081292513</t>
  </si>
  <si>
    <t>316860</t>
  </si>
  <si>
    <t>259089</t>
  </si>
  <si>
    <t>CBINSURAT8376298964</t>
  </si>
  <si>
    <t>316871</t>
  </si>
  <si>
    <t>216490</t>
  </si>
  <si>
    <t>CBINSURAT202425037</t>
  </si>
  <si>
    <t>316890</t>
  </si>
  <si>
    <t>187350</t>
  </si>
  <si>
    <t>CBINSURAT8363909752</t>
  </si>
  <si>
    <t>316908</t>
  </si>
  <si>
    <t>214868</t>
  </si>
  <si>
    <t>CBINSURAT202425036</t>
  </si>
  <si>
    <t>317189</t>
  </si>
  <si>
    <t>187348</t>
  </si>
  <si>
    <t>CBINSURAT8288336647</t>
  </si>
  <si>
    <t>317212</t>
  </si>
  <si>
    <t>216453</t>
  </si>
  <si>
    <t>CBINSURAT202425026</t>
  </si>
  <si>
    <t>317218</t>
  </si>
  <si>
    <t>187147</t>
  </si>
  <si>
    <t>CBINSURAT202425033</t>
  </si>
  <si>
    <t>317223</t>
  </si>
  <si>
    <t>187310</t>
  </si>
  <si>
    <t>CBIN028058021</t>
  </si>
  <si>
    <t>317248</t>
  </si>
  <si>
    <t>252752</t>
  </si>
  <si>
    <t>CBIN028058012</t>
  </si>
  <si>
    <t>317250</t>
  </si>
  <si>
    <t>248899</t>
  </si>
  <si>
    <t>CBIN028220502</t>
  </si>
  <si>
    <t>317258</t>
  </si>
  <si>
    <t>187543</t>
  </si>
  <si>
    <t>CBIN0280465602</t>
  </si>
  <si>
    <t>317262</t>
  </si>
  <si>
    <t>GSFC Reliance Complex, Gujarat</t>
  </si>
  <si>
    <t>270037</t>
  </si>
  <si>
    <t>CBIN0280465601</t>
  </si>
  <si>
    <t>317265</t>
  </si>
  <si>
    <t>270034</t>
  </si>
  <si>
    <t>CBIN028058122</t>
  </si>
  <si>
    <t>317267</t>
  </si>
  <si>
    <t>Jamjodhpur, Gujarat</t>
  </si>
  <si>
    <t>252746</t>
  </si>
  <si>
    <t>CBIN028058121</t>
  </si>
  <si>
    <t>317268</t>
  </si>
  <si>
    <t>252740</t>
  </si>
  <si>
    <t>CBIN028056224</t>
  </si>
  <si>
    <t>317295</t>
  </si>
  <si>
    <t>252779</t>
  </si>
  <si>
    <t>CBIN028056222</t>
  </si>
  <si>
    <t>317296</t>
  </si>
  <si>
    <t>252768</t>
  </si>
  <si>
    <t>CBIN0280056212</t>
  </si>
  <si>
    <t>317297</t>
  </si>
  <si>
    <t>247590</t>
  </si>
  <si>
    <t>CBIN0280056216</t>
  </si>
  <si>
    <t>317298</t>
  </si>
  <si>
    <t>247640</t>
  </si>
  <si>
    <t>CBIN0280056218</t>
  </si>
  <si>
    <t>317300</t>
  </si>
  <si>
    <t>247652</t>
  </si>
  <si>
    <t>CBIN0280056213</t>
  </si>
  <si>
    <t>317302</t>
  </si>
  <si>
    <t>247592</t>
  </si>
  <si>
    <t>CBIN02856206</t>
  </si>
  <si>
    <t>317304</t>
  </si>
  <si>
    <t>187911</t>
  </si>
  <si>
    <t>CBIN028056223</t>
  </si>
  <si>
    <t>317306</t>
  </si>
  <si>
    <t>252771</t>
  </si>
  <si>
    <t>CBIN0280056217</t>
  </si>
  <si>
    <t>317307</t>
  </si>
  <si>
    <t>247646</t>
  </si>
  <si>
    <t>CBIN0280312303</t>
  </si>
  <si>
    <t>317325</t>
  </si>
  <si>
    <t>247669</t>
  </si>
  <si>
    <t>CBIN0280312341</t>
  </si>
  <si>
    <t>317326</t>
  </si>
  <si>
    <t>254774</t>
  </si>
  <si>
    <t>CBIN028312321</t>
  </si>
  <si>
    <t>317327</t>
  </si>
  <si>
    <t>252782</t>
  </si>
  <si>
    <t>CBIN0280312304</t>
  </si>
  <si>
    <t>317328</t>
  </si>
  <si>
    <t>247670</t>
  </si>
  <si>
    <t>CBIN0280312301</t>
  </si>
  <si>
    <t>317329</t>
  </si>
  <si>
    <t>247657</t>
  </si>
  <si>
    <t>CBIN0290059005</t>
  </si>
  <si>
    <t>317339</t>
  </si>
  <si>
    <t>269782</t>
  </si>
  <si>
    <t>CBIN028059007</t>
  </si>
  <si>
    <t>317341</t>
  </si>
  <si>
    <t>Bhachau, Gujarat</t>
  </si>
  <si>
    <t>269795</t>
  </si>
  <si>
    <t>CBIN028059006</t>
  </si>
  <si>
    <t>317342</t>
  </si>
  <si>
    <t>269785</t>
  </si>
  <si>
    <t>CBIN028059008</t>
  </si>
  <si>
    <t>317343</t>
  </si>
  <si>
    <t>269798</t>
  </si>
  <si>
    <t>CBIN02859202</t>
  </si>
  <si>
    <t>317352</t>
  </si>
  <si>
    <t>187750</t>
  </si>
  <si>
    <t>CBIN02859206</t>
  </si>
  <si>
    <t>317354</t>
  </si>
  <si>
    <t>187799</t>
  </si>
  <si>
    <t>CBIN02859201</t>
  </si>
  <si>
    <t>317355</t>
  </si>
  <si>
    <t>187745</t>
  </si>
  <si>
    <t>CBIN0280164205</t>
  </si>
  <si>
    <t>317366</t>
  </si>
  <si>
    <t>Mandvi, Gujarat</t>
  </si>
  <si>
    <t>250728</t>
  </si>
  <si>
    <t>CBIN0280419701</t>
  </si>
  <si>
    <t>317372</t>
  </si>
  <si>
    <t>Gandhidham, Gujarat</t>
  </si>
  <si>
    <t>270040</t>
  </si>
  <si>
    <t>CBIN0280419702</t>
  </si>
  <si>
    <t>317374</t>
  </si>
  <si>
    <t>270042</t>
  </si>
  <si>
    <t>CBIN0280419704</t>
  </si>
  <si>
    <t>317375</t>
  </si>
  <si>
    <t>270047</t>
  </si>
  <si>
    <t>CBIN0280462641</t>
  </si>
  <si>
    <t>317383</t>
  </si>
  <si>
    <t>256260</t>
  </si>
  <si>
    <t>CBIN028344721</t>
  </si>
  <si>
    <t>317386</t>
  </si>
  <si>
    <t>252806</t>
  </si>
  <si>
    <t>CBIN028101721</t>
  </si>
  <si>
    <t>317392</t>
  </si>
  <si>
    <t>252797</t>
  </si>
  <si>
    <t>CBIN028101723</t>
  </si>
  <si>
    <t>317394</t>
  </si>
  <si>
    <t>252807</t>
  </si>
  <si>
    <t>UBINMUMSAM2642A</t>
  </si>
  <si>
    <t>304791</t>
  </si>
  <si>
    <t>281260</t>
  </si>
  <si>
    <t>UBINMUMSAM4491I</t>
  </si>
  <si>
    <t>305079</t>
  </si>
  <si>
    <t>285746</t>
  </si>
  <si>
    <t>UBINMUMSAM4491H</t>
  </si>
  <si>
    <t>305084</t>
  </si>
  <si>
    <t>285743</t>
  </si>
  <si>
    <t>UBINMUMSAM4491F</t>
  </si>
  <si>
    <t>305108</t>
  </si>
  <si>
    <t>285736</t>
  </si>
  <si>
    <t>UBINRANDBD3830</t>
  </si>
  <si>
    <t>313548</t>
  </si>
  <si>
    <t>286144</t>
  </si>
  <si>
    <t>UBINMUMSAM0627E</t>
  </si>
  <si>
    <t>314119</t>
  </si>
  <si>
    <t>74478</t>
  </si>
  <si>
    <t>UBINMUMSAM0627F</t>
  </si>
  <si>
    <t>314126</t>
  </si>
  <si>
    <t>74477</t>
  </si>
  <si>
    <t>UBINMUMSAM8836C</t>
  </si>
  <si>
    <t>314182</t>
  </si>
  <si>
    <t>287278</t>
  </si>
  <si>
    <t>IOBA0302GAWANDE</t>
  </si>
  <si>
    <t>314474</t>
  </si>
  <si>
    <t>Kondhali, Maharashtra</t>
  </si>
  <si>
    <t>37884</t>
  </si>
  <si>
    <t>IOBA0302WASU</t>
  </si>
  <si>
    <t>314541</t>
  </si>
  <si>
    <t>279034</t>
  </si>
  <si>
    <t>IOBASURESH2535</t>
  </si>
  <si>
    <t>314542</t>
  </si>
  <si>
    <t>Chikhli, Maharashtra</t>
  </si>
  <si>
    <t>235101</t>
  </si>
  <si>
    <t>IOBA2876PANKAJP</t>
  </si>
  <si>
    <t>314544</t>
  </si>
  <si>
    <t>Shegaon, Maharashtra</t>
  </si>
  <si>
    <t>113335</t>
  </si>
  <si>
    <t>IOBA3082NANDUPA</t>
  </si>
  <si>
    <t>314545</t>
  </si>
  <si>
    <t>Bhadravati MIDC, Maharashtra</t>
  </si>
  <si>
    <t>102771</t>
  </si>
  <si>
    <t>IOBA3717BHARAT</t>
  </si>
  <si>
    <t>314546</t>
  </si>
  <si>
    <t>262053</t>
  </si>
  <si>
    <t>CBINAHM028372</t>
  </si>
  <si>
    <t>315267</t>
  </si>
  <si>
    <t>236669</t>
  </si>
  <si>
    <t>CBINAHM028373</t>
  </si>
  <si>
    <t>315309</t>
  </si>
  <si>
    <t>236677</t>
  </si>
  <si>
    <t>CBINAHM028360</t>
  </si>
  <si>
    <t>315318</t>
  </si>
  <si>
    <t>214779</t>
  </si>
  <si>
    <t>CBINAHM028351</t>
  </si>
  <si>
    <t>315327</t>
  </si>
  <si>
    <t>214581</t>
  </si>
  <si>
    <t>CBINAHM028349</t>
  </si>
  <si>
    <t>315331</t>
  </si>
  <si>
    <t>214570</t>
  </si>
  <si>
    <t>CBINAHM028350</t>
  </si>
  <si>
    <t>315338</t>
  </si>
  <si>
    <t>214575</t>
  </si>
  <si>
    <t>CBINAHM028355</t>
  </si>
  <si>
    <t>315343</t>
  </si>
  <si>
    <t>214610</t>
  </si>
  <si>
    <t>CBINAHM028382</t>
  </si>
  <si>
    <t>315352</t>
  </si>
  <si>
    <t>240380</t>
  </si>
  <si>
    <t>CBINAHM028356</t>
  </si>
  <si>
    <t>315361</t>
  </si>
  <si>
    <t>214613</t>
  </si>
  <si>
    <t>CBINAHM028353</t>
  </si>
  <si>
    <t>315366</t>
  </si>
  <si>
    <t>214601</t>
  </si>
  <si>
    <t>UCBAERNA13900015</t>
  </si>
  <si>
    <t>316145</t>
  </si>
  <si>
    <t>286645</t>
  </si>
  <si>
    <t>UBINMLREKL7009</t>
  </si>
  <si>
    <t>316844</t>
  </si>
  <si>
    <t>215216</t>
  </si>
  <si>
    <t>UBINMLREKL2183A</t>
  </si>
  <si>
    <t>316863</t>
  </si>
  <si>
    <t>85467</t>
  </si>
  <si>
    <t>UBINMLREKL0580</t>
  </si>
  <si>
    <t>316883</t>
  </si>
  <si>
    <t>Kanjikkuzhi, Kerala</t>
  </si>
  <si>
    <t>91915</t>
  </si>
  <si>
    <t>CBINAHM028352</t>
  </si>
  <si>
    <t>316900</t>
  </si>
  <si>
    <t>214591</t>
  </si>
  <si>
    <t>CBINAHM028340</t>
  </si>
  <si>
    <t>316911</t>
  </si>
  <si>
    <t>214190</t>
  </si>
  <si>
    <t>UBINMRTAGR9888</t>
  </si>
  <si>
    <t>317127</t>
  </si>
  <si>
    <t>Shikohabad, Uttar Pradesh</t>
  </si>
  <si>
    <t>283404</t>
  </si>
  <si>
    <t>CBINAHM028371</t>
  </si>
  <si>
    <t>317166</t>
  </si>
  <si>
    <t>236649</t>
  </si>
  <si>
    <t>UCBAVENKATPHARMA01</t>
  </si>
  <si>
    <t>317405</t>
  </si>
  <si>
    <t>287934</t>
  </si>
  <si>
    <t>UBINDELGHZ1327</t>
  </si>
  <si>
    <t>317677</t>
  </si>
  <si>
    <t>Noida, Uttar Pradesh</t>
  </si>
  <si>
    <t>288030</t>
  </si>
  <si>
    <t>CBIN056120</t>
  </si>
  <si>
    <t>317949</t>
  </si>
  <si>
    <t>235082</t>
  </si>
  <si>
    <t>CBIN0280557B</t>
  </si>
  <si>
    <t>317959</t>
  </si>
  <si>
    <t>170617</t>
  </si>
  <si>
    <t>CBIN136011</t>
  </si>
  <si>
    <t>317986</t>
  </si>
  <si>
    <t>242772</t>
  </si>
  <si>
    <t>CBIN136010</t>
  </si>
  <si>
    <t>317993</t>
  </si>
  <si>
    <t>242770</t>
  </si>
  <si>
    <t>CBIN13609</t>
  </si>
  <si>
    <t>317998</t>
  </si>
  <si>
    <t>242768</t>
  </si>
  <si>
    <t>CBIN13608</t>
  </si>
  <si>
    <t>318006</t>
  </si>
  <si>
    <t>242766</t>
  </si>
  <si>
    <t>CBIN05615</t>
  </si>
  <si>
    <t>318013</t>
  </si>
  <si>
    <t>263280</t>
  </si>
  <si>
    <t>CBIN46581</t>
  </si>
  <si>
    <t>318019</t>
  </si>
  <si>
    <t>Visavadar, Gujarat</t>
  </si>
  <si>
    <t>273288</t>
  </si>
  <si>
    <t>CBIN5725</t>
  </si>
  <si>
    <t>318027</t>
  </si>
  <si>
    <t>270823</t>
  </si>
  <si>
    <t>CBIN40919</t>
  </si>
  <si>
    <t>318050</t>
  </si>
  <si>
    <t>270868</t>
  </si>
  <si>
    <t>CBIN4012695580</t>
  </si>
  <si>
    <t>318063</t>
  </si>
  <si>
    <t>Botad, Gujarat</t>
  </si>
  <si>
    <t>213151</t>
  </si>
  <si>
    <t>CBIN4005868144</t>
  </si>
  <si>
    <t>318065</t>
  </si>
  <si>
    <t>213199</t>
  </si>
  <si>
    <t>CBIN47464</t>
  </si>
  <si>
    <t>318071</t>
  </si>
  <si>
    <t>273304</t>
  </si>
  <si>
    <t>CBIN453427</t>
  </si>
  <si>
    <t>318084</t>
  </si>
  <si>
    <t>235431</t>
  </si>
  <si>
    <t>CBIN47463</t>
  </si>
  <si>
    <t>318104</t>
  </si>
  <si>
    <t>Amreli, Gujarat</t>
  </si>
  <si>
    <t>242821</t>
  </si>
  <si>
    <t>CBIN05887</t>
  </si>
  <si>
    <t>318114</t>
  </si>
  <si>
    <t>Surendranagar, Gujarat</t>
  </si>
  <si>
    <t>244838</t>
  </si>
  <si>
    <t>CBIN058811</t>
  </si>
  <si>
    <t>318115</t>
  </si>
  <si>
    <t>243643</t>
  </si>
  <si>
    <t>CBIN4940SATENDRA</t>
  </si>
  <si>
    <t>315428</t>
  </si>
  <si>
    <t>259685</t>
  </si>
  <si>
    <t>CBIN1609AMRUTABEN</t>
  </si>
  <si>
    <t>315429</t>
  </si>
  <si>
    <t>259887</t>
  </si>
  <si>
    <t>CBIN0281117SEJAL501</t>
  </si>
  <si>
    <t>315431</t>
  </si>
  <si>
    <t>231225</t>
  </si>
  <si>
    <t>CBIN028SEJAL502</t>
  </si>
  <si>
    <t>315432</t>
  </si>
  <si>
    <t>231230</t>
  </si>
  <si>
    <t>CBIN4942vrushali</t>
  </si>
  <si>
    <t>315440</t>
  </si>
  <si>
    <t>284369</t>
  </si>
  <si>
    <t>CBIN0488SANDEEP</t>
  </si>
  <si>
    <t>315441</t>
  </si>
  <si>
    <t>284358</t>
  </si>
  <si>
    <t>CBIN0281117KAULIN</t>
  </si>
  <si>
    <t>315443</t>
  </si>
  <si>
    <t>221012</t>
  </si>
  <si>
    <t>CBIN8299BHARATPANCHAL</t>
  </si>
  <si>
    <t>315445</t>
  </si>
  <si>
    <t>248303</t>
  </si>
  <si>
    <t>CBIN4941SANJAY</t>
  </si>
  <si>
    <t>315446</t>
  </si>
  <si>
    <t>272271</t>
  </si>
  <si>
    <t>CBIN4941VIPIN</t>
  </si>
  <si>
    <t>315447</t>
  </si>
  <si>
    <t>272379</t>
  </si>
  <si>
    <t>CBIN4941pinkal</t>
  </si>
  <si>
    <t>315449</t>
  </si>
  <si>
    <t>272370</t>
  </si>
  <si>
    <t>CBIN4941TUSHARGAYEN</t>
  </si>
  <si>
    <t>315451</t>
  </si>
  <si>
    <t>250715</t>
  </si>
  <si>
    <t>CBINSURAT8285013459</t>
  </si>
  <si>
    <t>316058</t>
  </si>
  <si>
    <t>249374</t>
  </si>
  <si>
    <t>CBINSHEGAONSHRIGHAT296263</t>
  </si>
  <si>
    <t>317141</t>
  </si>
  <si>
    <t>287662</t>
  </si>
  <si>
    <t>CBINSHEGAONSHRIGHAT296262</t>
  </si>
  <si>
    <t>317147</t>
  </si>
  <si>
    <t>287659</t>
  </si>
  <si>
    <t>CBINRLTAKOLA290626R</t>
  </si>
  <si>
    <t>317149</t>
  </si>
  <si>
    <t>287637</t>
  </si>
  <si>
    <t>CBINPIMPALGAONRAUT290626</t>
  </si>
  <si>
    <t>317151</t>
  </si>
  <si>
    <t>Jalgaon Jamod, Maharashtra</t>
  </si>
  <si>
    <t>287633</t>
  </si>
  <si>
    <t>CBINKHAMGAONROHIDAS290626</t>
  </si>
  <si>
    <t>317152</t>
  </si>
  <si>
    <t>Khamgaon, Maharashtra</t>
  </si>
  <si>
    <t>287628</t>
  </si>
  <si>
    <t>CBINKARANJASHITOLE290626</t>
  </si>
  <si>
    <t>317153</t>
  </si>
  <si>
    <t>Karanja, Maharashtra</t>
  </si>
  <si>
    <t>287618</t>
  </si>
  <si>
    <t>CBINATALIDHANOKAR290626</t>
  </si>
  <si>
    <t>317154</t>
  </si>
  <si>
    <t>287615</t>
  </si>
  <si>
    <t>CBIN0489ALENABI</t>
  </si>
  <si>
    <t>317178</t>
  </si>
  <si>
    <t>262238</t>
  </si>
  <si>
    <t>CBIN0281117MANORATH</t>
  </si>
  <si>
    <t>317179</t>
  </si>
  <si>
    <t>221018</t>
  </si>
  <si>
    <t>CBIN0489SACHIN</t>
  </si>
  <si>
    <t>317182</t>
  </si>
  <si>
    <t>272251</t>
  </si>
  <si>
    <t>CBIN028117NIRUBEN</t>
  </si>
  <si>
    <t>317183</t>
  </si>
  <si>
    <t>221019</t>
  </si>
  <si>
    <t>CBIN4939CHETAN</t>
  </si>
  <si>
    <t>317199</t>
  </si>
  <si>
    <t>262187</t>
  </si>
  <si>
    <t>CBINSURAT8299615812</t>
  </si>
  <si>
    <t>315784</t>
  </si>
  <si>
    <t>27-07-2026 16:00</t>
  </si>
  <si>
    <t>214871</t>
  </si>
  <si>
    <t>CBINSURAT8083651628</t>
  </si>
  <si>
    <t>315442</t>
  </si>
  <si>
    <t>03-08-2026 16:00</t>
  </si>
  <si>
    <t>251661</t>
  </si>
  <si>
    <t>CNRBMUNNIMUNGER</t>
  </si>
  <si>
    <t>303493</t>
  </si>
  <si>
    <t>279522</t>
  </si>
  <si>
    <t>CNRB261017812</t>
  </si>
  <si>
    <t>304246</t>
  </si>
  <si>
    <t>Kurukshetra, Haryana</t>
  </si>
  <si>
    <t>285536</t>
  </si>
  <si>
    <t>CNRB254078253</t>
  </si>
  <si>
    <t>308106</t>
  </si>
  <si>
    <t>Binola Industrial Area, Haryana</t>
  </si>
  <si>
    <t>286201</t>
  </si>
  <si>
    <t>CNRB116468721</t>
  </si>
  <si>
    <t>314618</t>
  </si>
  <si>
    <t>190450</t>
  </si>
  <si>
    <t>CNRB101740124</t>
  </si>
  <si>
    <t>314629</t>
  </si>
  <si>
    <t>190457</t>
  </si>
  <si>
    <t>CNRB103480279</t>
  </si>
  <si>
    <t>314641</t>
  </si>
  <si>
    <t>249649</t>
  </si>
  <si>
    <t>CNRB239029020</t>
  </si>
  <si>
    <t>314661</t>
  </si>
  <si>
    <t>269770</t>
  </si>
  <si>
    <t>CNRB248538964A</t>
  </si>
  <si>
    <t>314691</t>
  </si>
  <si>
    <t>Sohna, Haryana</t>
  </si>
  <si>
    <t>284357</t>
  </si>
  <si>
    <t>CNRB207853704A</t>
  </si>
  <si>
    <t>314714</t>
  </si>
  <si>
    <t>252069</t>
  </si>
  <si>
    <t>CNRB207853704B</t>
  </si>
  <si>
    <t>314737</t>
  </si>
  <si>
    <t>252073</t>
  </si>
  <si>
    <t>CNRBSIDHHIVINAYAK</t>
  </si>
  <si>
    <t>295260</t>
  </si>
  <si>
    <t>Kari, Madhya Pradesh</t>
  </si>
  <si>
    <t>284111</t>
  </si>
  <si>
    <t>CNRBKHAJRANA</t>
  </si>
  <si>
    <t>295291</t>
  </si>
  <si>
    <t>284105</t>
  </si>
  <si>
    <t>CNRBOMFABRICATORS</t>
  </si>
  <si>
    <t>295297</t>
  </si>
  <si>
    <t>284123</t>
  </si>
  <si>
    <t>CNRBAMITGUPTA</t>
  </si>
  <si>
    <t>295814</t>
  </si>
  <si>
    <t>Gamiria Sagar, Madhya Pradesh</t>
  </si>
  <si>
    <t>284191</t>
  </si>
  <si>
    <t>CNRBASHOK2383</t>
  </si>
  <si>
    <t>308692</t>
  </si>
  <si>
    <t>Bina, Madhya Pradesh</t>
  </si>
  <si>
    <t>255318</t>
  </si>
  <si>
    <t>CNRBSACHA</t>
  </si>
  <si>
    <t>308741</t>
  </si>
  <si>
    <t>218055</t>
  </si>
  <si>
    <t>CNRB0000177</t>
  </si>
  <si>
    <t>308752</t>
  </si>
  <si>
    <t>204859</t>
  </si>
  <si>
    <t>CNRB0005921</t>
  </si>
  <si>
    <t>308771</t>
  </si>
  <si>
    <t>Niwari, Madhya Pradesh</t>
  </si>
  <si>
    <t>204259</t>
  </si>
  <si>
    <t>CNRBSHRIRAM</t>
  </si>
  <si>
    <t>308797</t>
  </si>
  <si>
    <t>220157</t>
  </si>
  <si>
    <t>CNRB0002897</t>
  </si>
  <si>
    <t>308807</t>
  </si>
  <si>
    <t>190770</t>
  </si>
  <si>
    <t>CNRB0005445</t>
  </si>
  <si>
    <t>308821</t>
  </si>
  <si>
    <t>Bhitarwar, Madhya Pradesh</t>
  </si>
  <si>
    <t>190676</t>
  </si>
  <si>
    <t>CNRB307628283IMRAN</t>
  </si>
  <si>
    <t>309889</t>
  </si>
  <si>
    <t>262677</t>
  </si>
  <si>
    <t>CNRB114612559001</t>
  </si>
  <si>
    <t>309897</t>
  </si>
  <si>
    <t>202005</t>
  </si>
  <si>
    <t>CNRB100630292SHYAM</t>
  </si>
  <si>
    <t>309905</t>
  </si>
  <si>
    <t>Singrauli, Madhya Pradesh</t>
  </si>
  <si>
    <t>262673</t>
  </si>
  <si>
    <t>CNRB52159489PARAS</t>
  </si>
  <si>
    <t>309910</t>
  </si>
  <si>
    <t>204056</t>
  </si>
  <si>
    <t>CNRB108385308NARBADA</t>
  </si>
  <si>
    <t>309926</t>
  </si>
  <si>
    <t>Badra, Madhya Pradesh</t>
  </si>
  <si>
    <t>255977</t>
  </si>
  <si>
    <t>CNRB311252953002</t>
  </si>
  <si>
    <t>312905</t>
  </si>
  <si>
    <t>Chhota Chhindwara, Madhya Pradesh</t>
  </si>
  <si>
    <t>199423</t>
  </si>
  <si>
    <t>CNRB96317197001</t>
  </si>
  <si>
    <t>312923</t>
  </si>
  <si>
    <t>187444</t>
  </si>
  <si>
    <t>CNRB000111</t>
  </si>
  <si>
    <t>309602</t>
  </si>
  <si>
    <t>279332</t>
  </si>
  <si>
    <t>CNRB8356042</t>
  </si>
  <si>
    <t>309609</t>
  </si>
  <si>
    <t>Majgaon, Maharashtra</t>
  </si>
  <si>
    <t>191363</t>
  </si>
  <si>
    <t>CNRB8356060</t>
  </si>
  <si>
    <t>309624</t>
  </si>
  <si>
    <t>204633</t>
  </si>
  <si>
    <t>CNRB8356057</t>
  </si>
  <si>
    <t>309786</t>
  </si>
  <si>
    <t>Khed, Maharashtra</t>
  </si>
  <si>
    <t>198012</t>
  </si>
  <si>
    <t>CNRB8356054</t>
  </si>
  <si>
    <t>309816</t>
  </si>
  <si>
    <t>201094</t>
  </si>
  <si>
    <t>CNRB8356022</t>
  </si>
  <si>
    <t>309824</t>
  </si>
  <si>
    <t>187546</t>
  </si>
  <si>
    <t>CNRB000110</t>
  </si>
  <si>
    <t>310020</t>
  </si>
  <si>
    <t>279306</t>
  </si>
  <si>
    <t>CNRB8356073</t>
  </si>
  <si>
    <t>310032</t>
  </si>
  <si>
    <t>232882</t>
  </si>
  <si>
    <t>CNRB000106</t>
  </si>
  <si>
    <t>310164</t>
  </si>
  <si>
    <t>Wadgaon, Maharashtra</t>
  </si>
  <si>
    <t>279227</t>
  </si>
  <si>
    <t>CNRB8356067</t>
  </si>
  <si>
    <t>310185</t>
  </si>
  <si>
    <t>Kagal, Maharashtra</t>
  </si>
  <si>
    <t>230407</t>
  </si>
  <si>
    <t>CNRB000100</t>
  </si>
  <si>
    <t>310201</t>
  </si>
  <si>
    <t>278569</t>
  </si>
  <si>
    <t>CNRB8356013</t>
  </si>
  <si>
    <t>310801</t>
  </si>
  <si>
    <t>181923</t>
  </si>
  <si>
    <t>CNRB000107</t>
  </si>
  <si>
    <t>310802</t>
  </si>
  <si>
    <t>Bisur, Maharashtra</t>
  </si>
  <si>
    <t>279226</t>
  </si>
  <si>
    <t>CNRB8356014</t>
  </si>
  <si>
    <t>310803</t>
  </si>
  <si>
    <t>186092</t>
  </si>
  <si>
    <t>CNRB8356029</t>
  </si>
  <si>
    <t>310804</t>
  </si>
  <si>
    <t>187727</t>
  </si>
  <si>
    <t>CNRB8356055</t>
  </si>
  <si>
    <t>310806</t>
  </si>
  <si>
    <t>198019</t>
  </si>
  <si>
    <t>CNRB8356072</t>
  </si>
  <si>
    <t>310807</t>
  </si>
  <si>
    <t>232874</t>
  </si>
  <si>
    <t>CNRB8356027</t>
  </si>
  <si>
    <t>310808</t>
  </si>
  <si>
    <t>188476</t>
  </si>
  <si>
    <t>CNRB000108</t>
  </si>
  <si>
    <t>310811</t>
  </si>
  <si>
    <t>279215</t>
  </si>
  <si>
    <t>CNRB8356025</t>
  </si>
  <si>
    <t>310812</t>
  </si>
  <si>
    <t>187710</t>
  </si>
  <si>
    <t>CNRB000104</t>
  </si>
  <si>
    <t>310813</t>
  </si>
  <si>
    <t>278609</t>
  </si>
  <si>
    <t>CNRB000105</t>
  </si>
  <si>
    <t>310814</t>
  </si>
  <si>
    <t>278616</t>
  </si>
  <si>
    <t>CNRB8356018</t>
  </si>
  <si>
    <t>311141</t>
  </si>
  <si>
    <t>186108</t>
  </si>
  <si>
    <t>CNRB000112</t>
  </si>
  <si>
    <t>311143</t>
  </si>
  <si>
    <t>279340</t>
  </si>
  <si>
    <t>CNRB330130761006</t>
  </si>
  <si>
    <t>313186</t>
  </si>
  <si>
    <t>266303</t>
  </si>
  <si>
    <t>CNRB303495922C</t>
  </si>
  <si>
    <t>313542</t>
  </si>
  <si>
    <t>247258</t>
  </si>
  <si>
    <t>CNRB122224340A</t>
  </si>
  <si>
    <t>313555</t>
  </si>
  <si>
    <t>243839</t>
  </si>
  <si>
    <t>CNRB122224340C</t>
  </si>
  <si>
    <t>313564</t>
  </si>
  <si>
    <t>243846</t>
  </si>
  <si>
    <t>CNRB302380624</t>
  </si>
  <si>
    <t>313571</t>
  </si>
  <si>
    <t>Pavagada, Karnataka</t>
  </si>
  <si>
    <t>250878</t>
  </si>
  <si>
    <t>CNRB28365367</t>
  </si>
  <si>
    <t>313579</t>
  </si>
  <si>
    <t>283544</t>
  </si>
  <si>
    <t>CNRB317600087</t>
  </si>
  <si>
    <t>313598</t>
  </si>
  <si>
    <t>253554</t>
  </si>
  <si>
    <t>CNRB323166266</t>
  </si>
  <si>
    <t>313900</t>
  </si>
  <si>
    <t>257364</t>
  </si>
  <si>
    <t>CNRB316286948001</t>
  </si>
  <si>
    <t>314026</t>
  </si>
  <si>
    <t>275948</t>
  </si>
  <si>
    <t>CNRB320795549</t>
  </si>
  <si>
    <t>314105</t>
  </si>
  <si>
    <t>282957</t>
  </si>
  <si>
    <t>CNRB261246229001</t>
  </si>
  <si>
    <t>314109</t>
  </si>
  <si>
    <t>275956</t>
  </si>
  <si>
    <t>CNRB314540335001</t>
  </si>
  <si>
    <t>314111</t>
  </si>
  <si>
    <t>GWC Township Kovaya, Gujarat</t>
  </si>
  <si>
    <t>278597</t>
  </si>
  <si>
    <t>CNRB314540335002</t>
  </si>
  <si>
    <t>314115</t>
  </si>
  <si>
    <t>Talaja, Gujarat</t>
  </si>
  <si>
    <t>278600</t>
  </si>
  <si>
    <t>CNRB8356023</t>
  </si>
  <si>
    <t>317595</t>
  </si>
  <si>
    <t>187315</t>
  </si>
  <si>
    <t>MAHB001229PSB</t>
  </si>
  <si>
    <t>307049</t>
  </si>
  <si>
    <t>285926</t>
  </si>
  <si>
    <t>MAHB001229BKS</t>
  </si>
  <si>
    <t>307060</t>
  </si>
  <si>
    <t>285938</t>
  </si>
  <si>
    <t>MAHB001229SSV</t>
  </si>
  <si>
    <t>307070</t>
  </si>
  <si>
    <t>285937</t>
  </si>
  <si>
    <t>MAHB001229KGP</t>
  </si>
  <si>
    <t>307072</t>
  </si>
  <si>
    <t>285927</t>
  </si>
  <si>
    <t>MAHB002138LS</t>
  </si>
  <si>
    <t>307128</t>
  </si>
  <si>
    <t>Badmal Township, Odisha</t>
  </si>
  <si>
    <t>286151</t>
  </si>
  <si>
    <t>MAHB001229SRR</t>
  </si>
  <si>
    <t>307758</t>
  </si>
  <si>
    <t>285939</t>
  </si>
  <si>
    <t>MAHB5611</t>
  </si>
  <si>
    <t>309023</t>
  </si>
  <si>
    <t>285943</t>
  </si>
  <si>
    <t>UCBA000130304</t>
  </si>
  <si>
    <t>311734</t>
  </si>
  <si>
    <t>Guirim, Goa</t>
  </si>
  <si>
    <t>286830</t>
  </si>
  <si>
    <t>UCBA000217106</t>
  </si>
  <si>
    <t>311748</t>
  </si>
  <si>
    <t>286764</t>
  </si>
  <si>
    <t>UCBA000028902</t>
  </si>
  <si>
    <t>311759</t>
  </si>
  <si>
    <t>286756</t>
  </si>
  <si>
    <t>UCBA000290903</t>
  </si>
  <si>
    <t>311770</t>
  </si>
  <si>
    <t>286820</t>
  </si>
  <si>
    <t>UCBA0000328504</t>
  </si>
  <si>
    <t>311780</t>
  </si>
  <si>
    <t>286813</t>
  </si>
  <si>
    <t>UCBA211736</t>
  </si>
  <si>
    <t>311915</t>
  </si>
  <si>
    <t>Bagepalli, Karnataka</t>
  </si>
  <si>
    <t>286866</t>
  </si>
  <si>
    <t>UCBA2117035</t>
  </si>
  <si>
    <t>311926</t>
  </si>
  <si>
    <t>286839</t>
  </si>
  <si>
    <t>UCBA2117392</t>
  </si>
  <si>
    <t>311940</t>
  </si>
  <si>
    <t>286861</t>
  </si>
  <si>
    <t>UCBA21170391</t>
  </si>
  <si>
    <t>311951</t>
  </si>
  <si>
    <t>286854</t>
  </si>
  <si>
    <t>UCBA211737</t>
  </si>
  <si>
    <t>311967</t>
  </si>
  <si>
    <t>286851</t>
  </si>
  <si>
    <t>UCBA2117B105</t>
  </si>
  <si>
    <t>312014</t>
  </si>
  <si>
    <t>Hoskote, Karnataka</t>
  </si>
  <si>
    <t>204156</t>
  </si>
  <si>
    <t>UCBA2117B306</t>
  </si>
  <si>
    <t>312030</t>
  </si>
  <si>
    <t>204181</t>
  </si>
  <si>
    <t>UCBA2117B305</t>
  </si>
  <si>
    <t>312038</t>
  </si>
  <si>
    <t>204178</t>
  </si>
  <si>
    <t>UCBA2117B206</t>
  </si>
  <si>
    <t>312043</t>
  </si>
  <si>
    <t>204176</t>
  </si>
  <si>
    <t>UCBA2117B205</t>
  </si>
  <si>
    <t>312054</t>
  </si>
  <si>
    <t>204167</t>
  </si>
  <si>
    <t>UCBA2117B106</t>
  </si>
  <si>
    <t>312066</t>
  </si>
  <si>
    <t>204160</t>
  </si>
  <si>
    <t>UCBAJAIP07930002</t>
  </si>
  <si>
    <t>312743</t>
  </si>
  <si>
    <t>132723</t>
  </si>
  <si>
    <t>UCBA0231001</t>
  </si>
  <si>
    <t>312903</t>
  </si>
  <si>
    <t>280749</t>
  </si>
  <si>
    <t>UCBA0231002</t>
  </si>
  <si>
    <t>312913</t>
  </si>
  <si>
    <t>280752</t>
  </si>
  <si>
    <t>UCBAMUMB11920002</t>
  </si>
  <si>
    <t>314185</t>
  </si>
  <si>
    <t>273301</t>
  </si>
  <si>
    <t>UCBAMUMB02370003</t>
  </si>
  <si>
    <t>314210</t>
  </si>
  <si>
    <t>270210</t>
  </si>
  <si>
    <t>UCBAMUMB22720002</t>
  </si>
  <si>
    <t>314257</t>
  </si>
  <si>
    <t>283788</t>
  </si>
  <si>
    <t>UCBADEVRAJ</t>
  </si>
  <si>
    <t>314649</t>
  </si>
  <si>
    <t>21222</t>
  </si>
  <si>
    <t>UCBA0573002</t>
  </si>
  <si>
    <t>316929</t>
  </si>
  <si>
    <t>Bikaner, Rajasthan</t>
  </si>
  <si>
    <t>280785</t>
  </si>
  <si>
    <t>CNRBYEDLA</t>
  </si>
  <si>
    <t>311206</t>
  </si>
  <si>
    <t>Electronics Manufacturing Cluster Gurrampalem, Andhra Pradesh</t>
  </si>
  <si>
    <t>282721</t>
  </si>
  <si>
    <t>CBINROHTAK19</t>
  </si>
  <si>
    <t>312358</t>
  </si>
  <si>
    <t>Bhuran, Haryana</t>
  </si>
  <si>
    <t>261989</t>
  </si>
  <si>
    <t>CBINROHTAK17</t>
  </si>
  <si>
    <t>312361</t>
  </si>
  <si>
    <t>Bahadurgarh, Haryana</t>
  </si>
  <si>
    <t>261986</t>
  </si>
  <si>
    <t>CBINROHTRO12</t>
  </si>
  <si>
    <t>312362</t>
  </si>
  <si>
    <t>252025</t>
  </si>
  <si>
    <t>CBIN0390010</t>
  </si>
  <si>
    <t>314204</t>
  </si>
  <si>
    <t>Pehowa, Haryana</t>
  </si>
  <si>
    <t>236205</t>
  </si>
  <si>
    <t>CNRB992334823</t>
  </si>
  <si>
    <t>316889</t>
  </si>
  <si>
    <t>192078</t>
  </si>
  <si>
    <t>CNRB992334824</t>
  </si>
  <si>
    <t>316894</t>
  </si>
  <si>
    <t>192082</t>
  </si>
  <si>
    <t>CNRB992334825</t>
  </si>
  <si>
    <t>316902</t>
  </si>
  <si>
    <t>192091</t>
  </si>
  <si>
    <t>CNRB100137410</t>
  </si>
  <si>
    <t>317159</t>
  </si>
  <si>
    <t>287893</t>
  </si>
  <si>
    <t>CNRB24993485300</t>
  </si>
  <si>
    <t>318307</t>
  </si>
  <si>
    <t>288182</t>
  </si>
  <si>
    <t>CBIN3359A</t>
  </si>
  <si>
    <t>317069</t>
  </si>
  <si>
    <t>247195</t>
  </si>
  <si>
    <t>CBIN0809B</t>
  </si>
  <si>
    <t>317078</t>
  </si>
  <si>
    <t>279483</t>
  </si>
  <si>
    <t>CBIN0808B</t>
  </si>
  <si>
    <t>317084</t>
  </si>
  <si>
    <t>280768</t>
  </si>
  <si>
    <t>CBIN0808A</t>
  </si>
  <si>
    <t>317094</t>
  </si>
  <si>
    <t>253373</t>
  </si>
  <si>
    <t>BARB035320250003</t>
  </si>
  <si>
    <t>304309</t>
  </si>
  <si>
    <t>283916</t>
  </si>
  <si>
    <t>BARB330020260001</t>
  </si>
  <si>
    <t>309522</t>
  </si>
  <si>
    <t>283996</t>
  </si>
  <si>
    <t>BARB023620260001</t>
  </si>
  <si>
    <t>309530</t>
  </si>
  <si>
    <t>Pardi, Gujarat</t>
  </si>
  <si>
    <t>283997</t>
  </si>
  <si>
    <t>BARB174120260001</t>
  </si>
  <si>
    <t>309536</t>
  </si>
  <si>
    <t>283995</t>
  </si>
  <si>
    <t>BARB781720260001</t>
  </si>
  <si>
    <t>309540</t>
  </si>
  <si>
    <t>283994</t>
  </si>
  <si>
    <t>BARB781720250002</t>
  </si>
  <si>
    <t>309544</t>
  </si>
  <si>
    <t>272501</t>
  </si>
  <si>
    <t>BARB087820250002</t>
  </si>
  <si>
    <t>309550</t>
  </si>
  <si>
    <t>272502</t>
  </si>
  <si>
    <t>BARB433320250002</t>
  </si>
  <si>
    <t>309556</t>
  </si>
  <si>
    <t>275135</t>
  </si>
  <si>
    <t>BARB358020260001</t>
  </si>
  <si>
    <t>310950</t>
  </si>
  <si>
    <t>286735</t>
  </si>
  <si>
    <t>BARB784520240001</t>
  </si>
  <si>
    <t>312430</t>
  </si>
  <si>
    <t>275977</t>
  </si>
  <si>
    <t>BARB61310500000069</t>
  </si>
  <si>
    <t>312443</t>
  </si>
  <si>
    <t>255167</t>
  </si>
  <si>
    <t>BARB0061319590600001602</t>
  </si>
  <si>
    <t>312451</t>
  </si>
  <si>
    <t>284534</t>
  </si>
  <si>
    <t>BARB259920200122</t>
  </si>
  <si>
    <t>313611</t>
  </si>
  <si>
    <t>69894</t>
  </si>
  <si>
    <t>BARB259920200050</t>
  </si>
  <si>
    <t>313647</t>
  </si>
  <si>
    <t>64203</t>
  </si>
  <si>
    <t>BARB0RAJUBHAI</t>
  </si>
  <si>
    <t>313739</t>
  </si>
  <si>
    <t>242620</t>
  </si>
  <si>
    <t>BARBVJKILP2026000</t>
  </si>
  <si>
    <t>314461</t>
  </si>
  <si>
    <t>284696</t>
  </si>
  <si>
    <t>BARB0SHAHASHISHBHAI</t>
  </si>
  <si>
    <t>314519</t>
  </si>
  <si>
    <t>281958</t>
  </si>
  <si>
    <t>BARB741120250001</t>
  </si>
  <si>
    <t>314870</t>
  </si>
  <si>
    <t>286235</t>
  </si>
  <si>
    <t>BARB6135MAHESH</t>
  </si>
  <si>
    <t>314889</t>
  </si>
  <si>
    <t>285869</t>
  </si>
  <si>
    <t>CBIN12165006</t>
  </si>
  <si>
    <t>314947</t>
  </si>
  <si>
    <t>203646</t>
  </si>
  <si>
    <t>CBIN12169899</t>
  </si>
  <si>
    <t>314962</t>
  </si>
  <si>
    <t>203643</t>
  </si>
  <si>
    <t>BARBBANASHADOBE</t>
  </si>
  <si>
    <t>315637</t>
  </si>
  <si>
    <t>286722</t>
  </si>
  <si>
    <t>BARBVJSABAELISWA</t>
  </si>
  <si>
    <t>315885</t>
  </si>
  <si>
    <t>286723</t>
  </si>
  <si>
    <t>BARBVJSABAELISWA1</t>
  </si>
  <si>
    <t>315905</t>
  </si>
  <si>
    <t>286724</t>
  </si>
  <si>
    <t>BARBVJSABARAJEEV</t>
  </si>
  <si>
    <t>315917</t>
  </si>
  <si>
    <t>286708</t>
  </si>
  <si>
    <t>BARBVJSABARASHAD</t>
  </si>
  <si>
    <t>315972</t>
  </si>
  <si>
    <t>286707</t>
  </si>
  <si>
    <t>BARBVJSABAHISHAMMOHAMMED</t>
  </si>
  <si>
    <t>315976</t>
  </si>
  <si>
    <t>286730</t>
  </si>
  <si>
    <t>BARB663220260001</t>
  </si>
  <si>
    <t>316333</t>
  </si>
  <si>
    <t>Nalloor, Tamil Nadu</t>
  </si>
  <si>
    <t>273171</t>
  </si>
  <si>
    <t>BARB663220240001</t>
  </si>
  <si>
    <t>316358</t>
  </si>
  <si>
    <t>Killiyoor, Tamil Nadu</t>
  </si>
  <si>
    <t>213050</t>
  </si>
  <si>
    <t>BARB2505YOA064652</t>
  </si>
  <si>
    <t>316541</t>
  </si>
  <si>
    <t>281761</t>
  </si>
  <si>
    <t>BARB3421ZVC078481</t>
  </si>
  <si>
    <t>316604</t>
  </si>
  <si>
    <t>Pattamundai, Odisha</t>
  </si>
  <si>
    <t>274285</t>
  </si>
  <si>
    <t>BARB8561LP4064537</t>
  </si>
  <si>
    <t>316653</t>
  </si>
  <si>
    <t>242478</t>
  </si>
  <si>
    <t>BARBROHITKUMAR</t>
  </si>
  <si>
    <t>316798</t>
  </si>
  <si>
    <t>287666</t>
  </si>
  <si>
    <t>PSIBRJM9139910</t>
  </si>
  <si>
    <t>312235</t>
  </si>
  <si>
    <t>256546</t>
  </si>
  <si>
    <t>CNRB1837261000109</t>
  </si>
  <si>
    <t>315942</t>
  </si>
  <si>
    <t>273795</t>
  </si>
  <si>
    <t>CNRB24958517427001</t>
  </si>
  <si>
    <t>315954</t>
  </si>
  <si>
    <t>Bobbili, Andhra Pradesh</t>
  </si>
  <si>
    <t>279978</t>
  </si>
  <si>
    <t>IOBA1656SURESH</t>
  </si>
  <si>
    <t>314689</t>
  </si>
  <si>
    <t>30-06-2026 00:00</t>
  </si>
  <si>
    <t>30-06-2026 18:00</t>
  </si>
  <si>
    <t>229198</t>
  </si>
  <si>
    <t>CNRBNARYANASWAMYKC</t>
  </si>
  <si>
    <t>313849</t>
  </si>
  <si>
    <t>Dargajogihalli, Karnataka</t>
  </si>
  <si>
    <t>30-06-2026 10:00</t>
  </si>
  <si>
    <t>30-06-2026 10:30</t>
  </si>
  <si>
    <t>278454</t>
  </si>
  <si>
    <t>CNRB305637938</t>
  </si>
  <si>
    <t>312630</t>
  </si>
  <si>
    <t>30-06-2026 11:00</t>
  </si>
  <si>
    <t>250969</t>
  </si>
  <si>
    <t>CNRB2526</t>
  </si>
  <si>
    <t>313260</t>
  </si>
  <si>
    <t>205344</t>
  </si>
  <si>
    <t>CNRBRAJANPAZHANIVEL</t>
  </si>
  <si>
    <t>309712</t>
  </si>
  <si>
    <t>Bhuvanagiri, Tamil Nadu</t>
  </si>
  <si>
    <t>30-06-2026 12:00</t>
  </si>
  <si>
    <t>263284</t>
  </si>
  <si>
    <t>CNRBNISHALCC</t>
  </si>
  <si>
    <t>309723</t>
  </si>
  <si>
    <t>Chidambaram, Tamil Nadu</t>
  </si>
  <si>
    <t>230501</t>
  </si>
  <si>
    <t>CNRBmubarakali</t>
  </si>
  <si>
    <t>309735</t>
  </si>
  <si>
    <t>Annamalai Nagar, Tamil Nadu</t>
  </si>
  <si>
    <t>223837</t>
  </si>
  <si>
    <t>CNRB328932182</t>
  </si>
  <si>
    <t>305412</t>
  </si>
  <si>
    <t>30-06-2026 14:00</t>
  </si>
  <si>
    <t>285785</t>
  </si>
  <si>
    <t>CNRB6694</t>
  </si>
  <si>
    <t>312145</t>
  </si>
  <si>
    <t>278805</t>
  </si>
  <si>
    <t>CNRB8442</t>
  </si>
  <si>
    <t>312267</t>
  </si>
  <si>
    <t>240058</t>
  </si>
  <si>
    <t>CNRB4662</t>
  </si>
  <si>
    <t>312268</t>
  </si>
  <si>
    <t>239890</t>
  </si>
  <si>
    <t>CNRB7538</t>
  </si>
  <si>
    <t>312274</t>
  </si>
  <si>
    <t>242176</t>
  </si>
  <si>
    <t>CNRB8822</t>
  </si>
  <si>
    <t>312290</t>
  </si>
  <si>
    <t>205244</t>
  </si>
  <si>
    <t>CNRB8659</t>
  </si>
  <si>
    <t>312305</t>
  </si>
  <si>
    <t>Mau, Uttar Pradesh</t>
  </si>
  <si>
    <t>228237</t>
  </si>
  <si>
    <t>CNRB3417</t>
  </si>
  <si>
    <t>312314</t>
  </si>
  <si>
    <t>Lar, Uttar Pradesh</t>
  </si>
  <si>
    <t>278813</t>
  </si>
  <si>
    <t>CNRB47754</t>
  </si>
  <si>
    <t>312858</t>
  </si>
  <si>
    <t>219341</t>
  </si>
  <si>
    <t>BARB599920260012</t>
  </si>
  <si>
    <t>315842</t>
  </si>
  <si>
    <t>273994</t>
  </si>
  <si>
    <t>PUNB832504122025</t>
  </si>
  <si>
    <t>302619</t>
  </si>
  <si>
    <t>30-06-2026 16:00</t>
  </si>
  <si>
    <t>266344</t>
  </si>
  <si>
    <t>SBIN200037496554</t>
  </si>
  <si>
    <t>303670</t>
  </si>
  <si>
    <t>284848</t>
  </si>
  <si>
    <t>IDIB58004931559</t>
  </si>
  <si>
    <t>305192</t>
  </si>
  <si>
    <t>285788</t>
  </si>
  <si>
    <t>CNRB22322835901</t>
  </si>
  <si>
    <t>310071</t>
  </si>
  <si>
    <t>Londa, Karnataka</t>
  </si>
  <si>
    <t>255644</t>
  </si>
  <si>
    <t>SBIN200064135034</t>
  </si>
  <si>
    <t>310115</t>
  </si>
  <si>
    <t>286066</t>
  </si>
  <si>
    <t>SBIN200072405016</t>
  </si>
  <si>
    <t>310179</t>
  </si>
  <si>
    <t>286078</t>
  </si>
  <si>
    <t>SBIN200021873248</t>
  </si>
  <si>
    <t>310190</t>
  </si>
  <si>
    <t>286074</t>
  </si>
  <si>
    <t>SBIN200019658130</t>
  </si>
  <si>
    <t>310266</t>
  </si>
  <si>
    <t>251943</t>
  </si>
  <si>
    <t>IOBA265101</t>
  </si>
  <si>
    <t>310727</t>
  </si>
  <si>
    <t>Manvi, Karnataka</t>
  </si>
  <si>
    <t>286672</t>
  </si>
  <si>
    <t>IOBA299402</t>
  </si>
  <si>
    <t>314695</t>
  </si>
  <si>
    <t>256247</t>
  </si>
  <si>
    <t>IOBA2855001</t>
  </si>
  <si>
    <t>314799</t>
  </si>
  <si>
    <t>71816</t>
  </si>
  <si>
    <t>IOBA285502</t>
  </si>
  <si>
    <t>314830</t>
  </si>
  <si>
    <t>287405</t>
  </si>
  <si>
    <t>IOBAANVARDEEN</t>
  </si>
  <si>
    <t>316434</t>
  </si>
  <si>
    <t>265057</t>
  </si>
  <si>
    <t>SBIN200058143390</t>
  </si>
  <si>
    <t>317261</t>
  </si>
  <si>
    <t>286762</t>
  </si>
  <si>
    <t>SBIN200033651030</t>
  </si>
  <si>
    <t>317272</t>
  </si>
  <si>
    <t>262299</t>
  </si>
  <si>
    <t>IDIB3346273611</t>
  </si>
  <si>
    <t>307642</t>
  </si>
  <si>
    <t>30-06-2026 17:00</t>
  </si>
  <si>
    <t>278168</t>
  </si>
  <si>
    <t>CBIN02822941</t>
  </si>
  <si>
    <t>309178</t>
  </si>
  <si>
    <t>286262</t>
  </si>
  <si>
    <t>CNRB6201053562010535</t>
  </si>
  <si>
    <t>313648</t>
  </si>
  <si>
    <t>211857</t>
  </si>
  <si>
    <t>CBIN703193</t>
  </si>
  <si>
    <t>317831</t>
  </si>
  <si>
    <t>279504</t>
  </si>
  <si>
    <t>CBIN703194</t>
  </si>
  <si>
    <t>317833</t>
  </si>
  <si>
    <t>279370</t>
  </si>
  <si>
    <t>CBIN703195</t>
  </si>
  <si>
    <t>317835</t>
  </si>
  <si>
    <t>279345</t>
  </si>
  <si>
    <t>CBIN703135</t>
  </si>
  <si>
    <t>317836</t>
  </si>
  <si>
    <t>199176</t>
  </si>
  <si>
    <t>CBIN703103</t>
  </si>
  <si>
    <t>317838</t>
  </si>
  <si>
    <t>185746</t>
  </si>
  <si>
    <t>IOBA1656SIVAKUMAR</t>
  </si>
  <si>
    <t>314788</t>
  </si>
  <si>
    <t>30-06-2026 19:00</t>
  </si>
  <si>
    <t>229210</t>
  </si>
  <si>
    <t>IOBA1318SELVAKUMARS1</t>
  </si>
  <si>
    <t>314811</t>
  </si>
  <si>
    <t>276928</t>
  </si>
  <si>
    <t>IOBA1318SELVAKUMART1</t>
  </si>
  <si>
    <t>314821</t>
  </si>
  <si>
    <t>276918</t>
  </si>
  <si>
    <t>IOBA1318VIJAYSADHANA</t>
  </si>
  <si>
    <t>314824</t>
  </si>
  <si>
    <t>263493</t>
  </si>
  <si>
    <t>CNRB112443577b</t>
  </si>
  <si>
    <t>294967</t>
  </si>
  <si>
    <t>30-06-2026 11:30</t>
  </si>
  <si>
    <t>254526</t>
  </si>
  <si>
    <t>CNRBMOHSAJID</t>
  </si>
  <si>
    <t>305102</t>
  </si>
  <si>
    <t>188756</t>
  </si>
  <si>
    <t>CNRBASHOK</t>
  </si>
  <si>
    <t>311415</t>
  </si>
  <si>
    <t>Chethipuzha, Kerala</t>
  </si>
  <si>
    <t>278072</t>
  </si>
  <si>
    <t>CNRBNAJMA</t>
  </si>
  <si>
    <t>311435</t>
  </si>
  <si>
    <t>272664</t>
  </si>
  <si>
    <t>CNRBSHAHNAWAJ</t>
  </si>
  <si>
    <t>311440</t>
  </si>
  <si>
    <t>Gangoh, Uttar Pradesh</t>
  </si>
  <si>
    <t>207797</t>
  </si>
  <si>
    <t>CNRBJAMES</t>
  </si>
  <si>
    <t>311472</t>
  </si>
  <si>
    <t>279411</t>
  </si>
  <si>
    <t>CNRBjohnsonkp</t>
  </si>
  <si>
    <t>311485</t>
  </si>
  <si>
    <t>259741</t>
  </si>
  <si>
    <t>CNRBmanaf</t>
  </si>
  <si>
    <t>311495</t>
  </si>
  <si>
    <t>Pallippuram, Kerala</t>
  </si>
  <si>
    <t>268445</t>
  </si>
  <si>
    <t>CNRB112601900</t>
  </si>
  <si>
    <t>311508</t>
  </si>
  <si>
    <t>271259</t>
  </si>
  <si>
    <t>CNRBNESTRADING</t>
  </si>
  <si>
    <t>311537</t>
  </si>
  <si>
    <t>Kattakampal, Kerala</t>
  </si>
  <si>
    <t>268888</t>
  </si>
  <si>
    <t>CNRBRohit</t>
  </si>
  <si>
    <t>311679</t>
  </si>
  <si>
    <t>256525</t>
  </si>
  <si>
    <t>CNRBjijoy</t>
  </si>
  <si>
    <t>311792</t>
  </si>
  <si>
    <t>254547</t>
  </si>
  <si>
    <t>CNRB106123206A</t>
  </si>
  <si>
    <t>311873</t>
  </si>
  <si>
    <t>Kodur, Kerala</t>
  </si>
  <si>
    <t>208586</t>
  </si>
  <si>
    <t>CNRBSMITHA</t>
  </si>
  <si>
    <t>311943</t>
  </si>
  <si>
    <t>Puthenvelikkara, Kerala</t>
  </si>
  <si>
    <t>250327</t>
  </si>
  <si>
    <t>CNRBsyam</t>
  </si>
  <si>
    <t>311996</t>
  </si>
  <si>
    <t>247801</t>
  </si>
  <si>
    <t>CNRBsyam1</t>
  </si>
  <si>
    <t>312032</t>
  </si>
  <si>
    <t>247802</t>
  </si>
  <si>
    <t>CNRBSYAM2</t>
  </si>
  <si>
    <t>312068</t>
  </si>
  <si>
    <t>247803</t>
  </si>
  <si>
    <t>CNRB316958266002</t>
  </si>
  <si>
    <t>312397</t>
  </si>
  <si>
    <t>265942</t>
  </si>
  <si>
    <t>CNRB0702261005312</t>
  </si>
  <si>
    <t>312399</t>
  </si>
  <si>
    <t>249204</t>
  </si>
  <si>
    <t>CNRB67133217</t>
  </si>
  <si>
    <t>312491</t>
  </si>
  <si>
    <t>Senur, Tamil Nadu</t>
  </si>
  <si>
    <t>248307</t>
  </si>
  <si>
    <t>CNRB101760575</t>
  </si>
  <si>
    <t>312697</t>
  </si>
  <si>
    <t>286557</t>
  </si>
  <si>
    <t>CNRB310802112</t>
  </si>
  <si>
    <t>312782</t>
  </si>
  <si>
    <t>255384</t>
  </si>
  <si>
    <t>CNRB101125226</t>
  </si>
  <si>
    <t>312911</t>
  </si>
  <si>
    <t>283681</t>
  </si>
  <si>
    <t>CNRB10112522601</t>
  </si>
  <si>
    <t>312915</t>
  </si>
  <si>
    <t>283684</t>
  </si>
  <si>
    <t>CNRB13190S6</t>
  </si>
  <si>
    <t>312957</t>
  </si>
  <si>
    <t>Gopavaram, Andhra Pradesh</t>
  </si>
  <si>
    <t>287065</t>
  </si>
  <si>
    <t>CNRB13190S11</t>
  </si>
  <si>
    <t>312959</t>
  </si>
  <si>
    <t>287066</t>
  </si>
  <si>
    <t>CNRB13190S4</t>
  </si>
  <si>
    <t>312960</t>
  </si>
  <si>
    <t>287067</t>
  </si>
  <si>
    <t>CNRB13190S3</t>
  </si>
  <si>
    <t>312961</t>
  </si>
  <si>
    <t>287068</t>
  </si>
  <si>
    <t>CNRB13190S2</t>
  </si>
  <si>
    <t>312962</t>
  </si>
  <si>
    <t>287069</t>
  </si>
  <si>
    <t>CNRB13190S7</t>
  </si>
  <si>
    <t>312963</t>
  </si>
  <si>
    <t>287070</t>
  </si>
  <si>
    <t>CNRB13190S8</t>
  </si>
  <si>
    <t>312964</t>
  </si>
  <si>
    <t>287072</t>
  </si>
  <si>
    <t>CNRB13190S9</t>
  </si>
  <si>
    <t>312965</t>
  </si>
  <si>
    <t>287073</t>
  </si>
  <si>
    <t>CNRB13190S5</t>
  </si>
  <si>
    <t>312968</t>
  </si>
  <si>
    <t>287074</t>
  </si>
  <si>
    <t>CNRB13190S10</t>
  </si>
  <si>
    <t>312969</t>
  </si>
  <si>
    <t>287076</t>
  </si>
  <si>
    <t>CNRB32409275601</t>
  </si>
  <si>
    <t>313063</t>
  </si>
  <si>
    <t>Pudukkottai, Tamil Nadu</t>
  </si>
  <si>
    <t>282219</t>
  </si>
  <si>
    <t>CNRB1207740000457</t>
  </si>
  <si>
    <t>313194</t>
  </si>
  <si>
    <t>Beltangadi, Karnataka</t>
  </si>
  <si>
    <t>254917</t>
  </si>
  <si>
    <t>CNRB01209740000050</t>
  </si>
  <si>
    <t>313198</t>
  </si>
  <si>
    <t>218658</t>
  </si>
  <si>
    <t>CNRB215130695</t>
  </si>
  <si>
    <t>313207</t>
  </si>
  <si>
    <t>205299</t>
  </si>
  <si>
    <t>CNRB223693488</t>
  </si>
  <si>
    <t>313215</t>
  </si>
  <si>
    <t>Kuvettu, Karnataka</t>
  </si>
  <si>
    <t>205294</t>
  </si>
  <si>
    <t>CNRB1569740000081</t>
  </si>
  <si>
    <t>313233</t>
  </si>
  <si>
    <t>220701</t>
  </si>
  <si>
    <t>CNRB0253432645</t>
  </si>
  <si>
    <t>313283</t>
  </si>
  <si>
    <t>279424</t>
  </si>
  <si>
    <t>CNRB014097400000437</t>
  </si>
  <si>
    <t>313288</t>
  </si>
  <si>
    <t>225120</t>
  </si>
  <si>
    <t>CNRB223693547</t>
  </si>
  <si>
    <t>313317</t>
  </si>
  <si>
    <t>201665</t>
  </si>
  <si>
    <t>CNRB258809698</t>
  </si>
  <si>
    <t>313322</t>
  </si>
  <si>
    <t>198907</t>
  </si>
  <si>
    <t>CNRBPRABHUN</t>
  </si>
  <si>
    <t>313325</t>
  </si>
  <si>
    <t>251342</t>
  </si>
  <si>
    <t>CNRB257137955</t>
  </si>
  <si>
    <t>313333</t>
  </si>
  <si>
    <t>200327</t>
  </si>
  <si>
    <t>CNRB01769740000137</t>
  </si>
  <si>
    <t>313342</t>
  </si>
  <si>
    <t>242788</t>
  </si>
  <si>
    <t>CNRB221444924</t>
  </si>
  <si>
    <t>313345</t>
  </si>
  <si>
    <t>205369</t>
  </si>
  <si>
    <t>CNRB01209970000207</t>
  </si>
  <si>
    <t>313358</t>
  </si>
  <si>
    <t>274747</t>
  </si>
  <si>
    <t>CNRB2749619005400</t>
  </si>
  <si>
    <t>313365</t>
  </si>
  <si>
    <t>270016</t>
  </si>
  <si>
    <t>CNRB01407740000244</t>
  </si>
  <si>
    <t>313369</t>
  </si>
  <si>
    <t>247975</t>
  </si>
  <si>
    <t>CNRB110944978</t>
  </si>
  <si>
    <t>313378</t>
  </si>
  <si>
    <t>205245</t>
  </si>
  <si>
    <t>CNRBSATVIKINDUSTRIES</t>
  </si>
  <si>
    <t>313441</t>
  </si>
  <si>
    <t>Dhone, Andhra Pradesh</t>
  </si>
  <si>
    <t>253944</t>
  </si>
  <si>
    <t>CNRBVENKATA</t>
  </si>
  <si>
    <t>313561</t>
  </si>
  <si>
    <t>Tiruchanur, Andhra Pradesh</t>
  </si>
  <si>
    <t>280964</t>
  </si>
  <si>
    <t>CNRB023177374</t>
  </si>
  <si>
    <t>313963</t>
  </si>
  <si>
    <t>251233</t>
  </si>
  <si>
    <t>CNRB1083714882</t>
  </si>
  <si>
    <t>313964</t>
  </si>
  <si>
    <t>243037</t>
  </si>
  <si>
    <t>CNRB01869730000166</t>
  </si>
  <si>
    <t>313996</t>
  </si>
  <si>
    <t>Tonse East, Karnataka</t>
  </si>
  <si>
    <t>280189</t>
  </si>
  <si>
    <t>CNRB257802179</t>
  </si>
  <si>
    <t>314149</t>
  </si>
  <si>
    <t>246901</t>
  </si>
  <si>
    <t>CNRB257802179B04</t>
  </si>
  <si>
    <t>314508</t>
  </si>
  <si>
    <t>247308</t>
  </si>
  <si>
    <t>CNRB41071400000590</t>
  </si>
  <si>
    <t>314600</t>
  </si>
  <si>
    <t>Chennithala, Kerala</t>
  </si>
  <si>
    <t>248537</t>
  </si>
  <si>
    <t>CNRB41079160000266</t>
  </si>
  <si>
    <t>314601</t>
  </si>
  <si>
    <t>248538</t>
  </si>
  <si>
    <t>CNRB255592597</t>
  </si>
  <si>
    <t>314602</t>
  </si>
  <si>
    <t>Chendamangalam, Kerala</t>
  </si>
  <si>
    <t>248544</t>
  </si>
  <si>
    <t>CNRB121563805RLB</t>
  </si>
  <si>
    <t>314814</t>
  </si>
  <si>
    <t>Thorapadi, Tamil Nadu</t>
  </si>
  <si>
    <t>244240</t>
  </si>
  <si>
    <t>CNRB100163227A</t>
  </si>
  <si>
    <t>314927</t>
  </si>
  <si>
    <t>252613</t>
  </si>
  <si>
    <t>CNRBHARIKUMARS</t>
  </si>
  <si>
    <t>315884</t>
  </si>
  <si>
    <t>286492</t>
  </si>
  <si>
    <t>CNRB100163227B</t>
  </si>
  <si>
    <t>316065</t>
  </si>
  <si>
    <t>252615</t>
  </si>
  <si>
    <t>CNRB100163227C</t>
  </si>
  <si>
    <t>316092</t>
  </si>
  <si>
    <t>252619</t>
  </si>
  <si>
    <t>CNRB100163227D</t>
  </si>
  <si>
    <t>316106</t>
  </si>
  <si>
    <t>Natham, Tamil Nadu</t>
  </si>
  <si>
    <t>252621</t>
  </si>
  <si>
    <t>CNRB100163227E</t>
  </si>
  <si>
    <t>316122</t>
  </si>
  <si>
    <t>252622</t>
  </si>
  <si>
    <t>CNRB100163227F</t>
  </si>
  <si>
    <t>316130</t>
  </si>
  <si>
    <t>252626</t>
  </si>
  <si>
    <t>CNRB77985434001</t>
  </si>
  <si>
    <t>316173</t>
  </si>
  <si>
    <t>243913</t>
  </si>
  <si>
    <t>CNRB77985434</t>
  </si>
  <si>
    <t>316192</t>
  </si>
  <si>
    <t>243912</t>
  </si>
  <si>
    <t>CNRB98048692</t>
  </si>
  <si>
    <t>316284</t>
  </si>
  <si>
    <t>203540</t>
  </si>
  <si>
    <t>CNRB980486922</t>
  </si>
  <si>
    <t>316322</t>
  </si>
  <si>
    <t>203542</t>
  </si>
  <si>
    <t>CNRB980486923</t>
  </si>
  <si>
    <t>316331</t>
  </si>
  <si>
    <t>203546</t>
  </si>
  <si>
    <t>CNRB2488914381</t>
  </si>
  <si>
    <t>316348</t>
  </si>
  <si>
    <t>277410</t>
  </si>
  <si>
    <t>CNRB123456</t>
  </si>
  <si>
    <t>316456</t>
  </si>
  <si>
    <t>201918</t>
  </si>
  <si>
    <t>CNRB48112</t>
  </si>
  <si>
    <t>316539</t>
  </si>
  <si>
    <t>201990</t>
  </si>
  <si>
    <t>CNRB55202526</t>
  </si>
  <si>
    <t>316549</t>
  </si>
  <si>
    <t>202000</t>
  </si>
  <si>
    <t>CNRB236121445</t>
  </si>
  <si>
    <t>316553</t>
  </si>
  <si>
    <t>202001</t>
  </si>
  <si>
    <t>CNRB2361633</t>
  </si>
  <si>
    <t>316556</t>
  </si>
  <si>
    <t>202003</t>
  </si>
  <si>
    <t>CNRBCAMBRIYATHAIYUR</t>
  </si>
  <si>
    <t>316571</t>
  </si>
  <si>
    <t>243601</t>
  </si>
  <si>
    <t>CNRBCAMBRIYATHIRUVIDANTHA</t>
  </si>
  <si>
    <t>316574</t>
  </si>
  <si>
    <t>243602</t>
  </si>
  <si>
    <t>CNRBRADHIKAMAN</t>
  </si>
  <si>
    <t>316594</t>
  </si>
  <si>
    <t>280217</t>
  </si>
  <si>
    <t>CNRB3071915993</t>
  </si>
  <si>
    <t>317519</t>
  </si>
  <si>
    <t>Soro, Odisha</t>
  </si>
  <si>
    <t>239514</t>
  </si>
  <si>
    <t>CNRB125055612</t>
  </si>
  <si>
    <t>314161</t>
  </si>
  <si>
    <t>186543</t>
  </si>
  <si>
    <t>CNRB93510805</t>
  </si>
  <si>
    <t>314201</t>
  </si>
  <si>
    <t>Peddapuram, Andhra Pradesh</t>
  </si>
  <si>
    <t>255117</t>
  </si>
  <si>
    <t>CNRB251088755</t>
  </si>
  <si>
    <t>314287</t>
  </si>
  <si>
    <t>201554</t>
  </si>
  <si>
    <t>CNRB249352857</t>
  </si>
  <si>
    <t>314294</t>
  </si>
  <si>
    <t>Jagampeta, Andhra Pradesh</t>
  </si>
  <si>
    <t>200127</t>
  </si>
  <si>
    <t>IOBA0031THOTAPU1</t>
  </si>
  <si>
    <t>314759</t>
  </si>
  <si>
    <t>Draksharamam, Andhra Pradesh</t>
  </si>
  <si>
    <t>269956</t>
  </si>
  <si>
    <t>IOBA0031THOTAPU2</t>
  </si>
  <si>
    <t>314774</t>
  </si>
  <si>
    <t>269954</t>
  </si>
  <si>
    <t>CNRBCOOTTONLAND</t>
  </si>
  <si>
    <t>312387</t>
  </si>
  <si>
    <t>279538</t>
  </si>
  <si>
    <t>CNRB0003153</t>
  </si>
  <si>
    <t>312416</t>
  </si>
  <si>
    <t>Chelambra, Kerala</t>
  </si>
  <si>
    <t>246355</t>
  </si>
  <si>
    <t>CNRBMUHAMMEDAREEKAT</t>
  </si>
  <si>
    <t>312474</t>
  </si>
  <si>
    <t>279346</t>
  </si>
  <si>
    <t>CNRBARSHIYA</t>
  </si>
  <si>
    <t>313841</t>
  </si>
  <si>
    <t>269797</t>
  </si>
  <si>
    <t>CNRBABHISHEKTR</t>
  </si>
  <si>
    <t>313856</t>
  </si>
  <si>
    <t>278747</t>
  </si>
  <si>
    <t>CNRB14412BAGG</t>
  </si>
  <si>
    <t>301168</t>
  </si>
  <si>
    <t>271670</t>
  </si>
  <si>
    <t>CNRBArm0108</t>
  </si>
  <si>
    <t>305296</t>
  </si>
  <si>
    <t>171178</t>
  </si>
  <si>
    <t>CNRB89926294</t>
  </si>
  <si>
    <t>305983</t>
  </si>
  <si>
    <t>285574</t>
  </si>
  <si>
    <t>CNRB218467682</t>
  </si>
  <si>
    <t>306482</t>
  </si>
  <si>
    <t>baindoor, Karnataka</t>
  </si>
  <si>
    <t>286025</t>
  </si>
  <si>
    <t>CNRB31582123</t>
  </si>
  <si>
    <t>308096</t>
  </si>
  <si>
    <t>265905</t>
  </si>
  <si>
    <t>CNRB315821237</t>
  </si>
  <si>
    <t>308109</t>
  </si>
  <si>
    <t>265896</t>
  </si>
  <si>
    <t>CNRBROHITKESHARWANI</t>
  </si>
  <si>
    <t>308593</t>
  </si>
  <si>
    <t>261202</t>
  </si>
  <si>
    <t>CNRBRISHABHV</t>
  </si>
  <si>
    <t>308603</t>
  </si>
  <si>
    <t>259409</t>
  </si>
  <si>
    <t>CNRB92928119</t>
  </si>
  <si>
    <t>308652</t>
  </si>
  <si>
    <t>260829</t>
  </si>
  <si>
    <t>CNRBFLAT401</t>
  </si>
  <si>
    <t>308668</t>
  </si>
  <si>
    <t>251506</t>
  </si>
  <si>
    <t>CNRB308506774</t>
  </si>
  <si>
    <t>308686</t>
  </si>
  <si>
    <t>276049</t>
  </si>
  <si>
    <t>CNRBFLANO101</t>
  </si>
  <si>
    <t>308707</t>
  </si>
  <si>
    <t>254822</t>
  </si>
  <si>
    <t>CNRB10263103601</t>
  </si>
  <si>
    <t>308716</t>
  </si>
  <si>
    <t>276202</t>
  </si>
  <si>
    <t>CNRB102631036LALITHA</t>
  </si>
  <si>
    <t>308753</t>
  </si>
  <si>
    <t>276167</t>
  </si>
  <si>
    <t>CNRBFLAT2106</t>
  </si>
  <si>
    <t>308768</t>
  </si>
  <si>
    <t>251511</t>
  </si>
  <si>
    <t>CNRB001820003</t>
  </si>
  <si>
    <t>308775</t>
  </si>
  <si>
    <t>243760</t>
  </si>
  <si>
    <t>CNRB12428728</t>
  </si>
  <si>
    <t>308787</t>
  </si>
  <si>
    <t>244791</t>
  </si>
  <si>
    <t>CNRB124287283</t>
  </si>
  <si>
    <t>308814</t>
  </si>
  <si>
    <t>244786</t>
  </si>
  <si>
    <t>CNRB322540716</t>
  </si>
  <si>
    <t>308927</t>
  </si>
  <si>
    <t>283048</t>
  </si>
  <si>
    <t>CNRBFLT304</t>
  </si>
  <si>
    <t>309613</t>
  </si>
  <si>
    <t>250709</t>
  </si>
  <si>
    <t>CNRBFLAT303</t>
  </si>
  <si>
    <t>309641</t>
  </si>
  <si>
    <t>250707</t>
  </si>
  <si>
    <t>CNRBFLA304</t>
  </si>
  <si>
    <t>309667</t>
  </si>
  <si>
    <t>250408</t>
  </si>
  <si>
    <t>CNRB305231033FLAT201</t>
  </si>
  <si>
    <t>309685</t>
  </si>
  <si>
    <t>258049</t>
  </si>
  <si>
    <t>CNRB305231033</t>
  </si>
  <si>
    <t>309707</t>
  </si>
  <si>
    <t>258047</t>
  </si>
  <si>
    <t>CNRB125005234862</t>
  </si>
  <si>
    <t>309741</t>
  </si>
  <si>
    <t>Pallippuram Alappuzha, Kerala</t>
  </si>
  <si>
    <t>278407</t>
  </si>
  <si>
    <t>CNRBFLAT101</t>
  </si>
  <si>
    <t>309756</t>
  </si>
  <si>
    <t>248465</t>
  </si>
  <si>
    <t>CNRB312999230</t>
  </si>
  <si>
    <t>309866</t>
  </si>
  <si>
    <t>279099</t>
  </si>
  <si>
    <t>CNRBPANNA111</t>
  </si>
  <si>
    <t>310220</t>
  </si>
  <si>
    <t>260633</t>
  </si>
  <si>
    <t>CNRBNITIN303</t>
  </si>
  <si>
    <t>310275</t>
  </si>
  <si>
    <t>260653</t>
  </si>
  <si>
    <t>CNRB15467000201</t>
  </si>
  <si>
    <t>310310</t>
  </si>
  <si>
    <t>284602</t>
  </si>
  <si>
    <t>CNRB21000002</t>
  </si>
  <si>
    <t>310316</t>
  </si>
  <si>
    <t>244414</t>
  </si>
  <si>
    <t>CNRBSANTOSHTELI</t>
  </si>
  <si>
    <t>310328</t>
  </si>
  <si>
    <t>255969</t>
  </si>
  <si>
    <t>CNRBPARMESH511</t>
  </si>
  <si>
    <t>310337</t>
  </si>
  <si>
    <t>279097</t>
  </si>
  <si>
    <t>CNRBSWAPNIL404</t>
  </si>
  <si>
    <t>310342</t>
  </si>
  <si>
    <t>255974</t>
  </si>
  <si>
    <t>CNRBPARMESH703</t>
  </si>
  <si>
    <t>310350</t>
  </si>
  <si>
    <t>279107</t>
  </si>
  <si>
    <t>CNRBSWAPNILKINI</t>
  </si>
  <si>
    <t>310371</t>
  </si>
  <si>
    <t>255971</t>
  </si>
  <si>
    <t>CNRB41097730000092</t>
  </si>
  <si>
    <t>310374</t>
  </si>
  <si>
    <t>206965</t>
  </si>
  <si>
    <t>CNRBSHYAMBAHADUR</t>
  </si>
  <si>
    <t>310383</t>
  </si>
  <si>
    <t>279210</t>
  </si>
  <si>
    <t>CNRBSANDEEPYADAV</t>
  </si>
  <si>
    <t>310411</t>
  </si>
  <si>
    <t>258138</t>
  </si>
  <si>
    <t>CNRBSHILPAPANDEY</t>
  </si>
  <si>
    <t>310420</t>
  </si>
  <si>
    <t>261211</t>
  </si>
  <si>
    <t>CNRBkunthu</t>
  </si>
  <si>
    <t>310441</t>
  </si>
  <si>
    <t>286630</t>
  </si>
  <si>
    <t>CNRBRAJESHNACHANKAR</t>
  </si>
  <si>
    <t>310447</t>
  </si>
  <si>
    <t>278517</t>
  </si>
  <si>
    <t>CNRBDADASAHEB</t>
  </si>
  <si>
    <t>310484</t>
  </si>
  <si>
    <t>248561</t>
  </si>
  <si>
    <t>CNRBARMPRITI</t>
  </si>
  <si>
    <t>310577</t>
  </si>
  <si>
    <t>264049</t>
  </si>
  <si>
    <t>CNRBARMPRITIKHADSE</t>
  </si>
  <si>
    <t>310581</t>
  </si>
  <si>
    <t>264047</t>
  </si>
  <si>
    <t>CNRB123575913</t>
  </si>
  <si>
    <t>310611</t>
  </si>
  <si>
    <t>269927</t>
  </si>
  <si>
    <t>CNRBBHOIRENTER</t>
  </si>
  <si>
    <t>310622</t>
  </si>
  <si>
    <t>241359</t>
  </si>
  <si>
    <t>CNRB160000050133</t>
  </si>
  <si>
    <t>310745</t>
  </si>
  <si>
    <t>264827</t>
  </si>
  <si>
    <t>CNRB1063RAMA</t>
  </si>
  <si>
    <t>310776</t>
  </si>
  <si>
    <t>284003</t>
  </si>
  <si>
    <t>CNRB69077874</t>
  </si>
  <si>
    <t>310842</t>
  </si>
  <si>
    <t>Shikaripura, Karnataka</t>
  </si>
  <si>
    <t>243756</t>
  </si>
  <si>
    <t>CNRB41129740000116</t>
  </si>
  <si>
    <t>311002</t>
  </si>
  <si>
    <t>Aroor, Kerala</t>
  </si>
  <si>
    <t>208306</t>
  </si>
  <si>
    <t>CNRB3587619000018</t>
  </si>
  <si>
    <t>311109</t>
  </si>
  <si>
    <t>206963</t>
  </si>
  <si>
    <t>CNRB252084782</t>
  </si>
  <si>
    <t>311533</t>
  </si>
  <si>
    <t>Ankola, Karnataka</t>
  </si>
  <si>
    <t>184923</t>
  </si>
  <si>
    <t>CNRB106724568</t>
  </si>
  <si>
    <t>314488</t>
  </si>
  <si>
    <t>271590</t>
  </si>
  <si>
    <t>CNRB313672597</t>
  </si>
  <si>
    <t>311739</t>
  </si>
  <si>
    <t>Nannambra, Kerala</t>
  </si>
  <si>
    <t>242473</t>
  </si>
  <si>
    <t>CNRB1990662000012</t>
  </si>
  <si>
    <t>311994</t>
  </si>
  <si>
    <t>185299</t>
  </si>
  <si>
    <t>CNRBMANJUNATHAMOGAVEERA</t>
  </si>
  <si>
    <t>312000</t>
  </si>
  <si>
    <t>Koteshwar, Karnataka</t>
  </si>
  <si>
    <t>252334</t>
  </si>
  <si>
    <t>CNRB6147261000030b</t>
  </si>
  <si>
    <t>312007</t>
  </si>
  <si>
    <t>250578</t>
  </si>
  <si>
    <t>CNRB1990662000035</t>
  </si>
  <si>
    <t>312013</t>
  </si>
  <si>
    <t>227767</t>
  </si>
  <si>
    <t>CNRB6147261000030a</t>
  </si>
  <si>
    <t>312036</t>
  </si>
  <si>
    <t>250579</t>
  </si>
  <si>
    <t>CNRB02909330000012</t>
  </si>
  <si>
    <t>312075</t>
  </si>
  <si>
    <t>266628</t>
  </si>
  <si>
    <t>CNRB6019285000003</t>
  </si>
  <si>
    <t>312081</t>
  </si>
  <si>
    <t>212255</t>
  </si>
  <si>
    <t>CNRB322110592</t>
  </si>
  <si>
    <t>312224</t>
  </si>
  <si>
    <t>248461</t>
  </si>
  <si>
    <t>CNRB322105921</t>
  </si>
  <si>
    <t>312227</t>
  </si>
  <si>
    <t>248485</t>
  </si>
  <si>
    <t>CNRBARMANILVADGAMA</t>
  </si>
  <si>
    <t>312364</t>
  </si>
  <si>
    <t>273134</t>
  </si>
  <si>
    <t>CNRB117048266</t>
  </si>
  <si>
    <t>312371</t>
  </si>
  <si>
    <t>244207</t>
  </si>
  <si>
    <t>CNRB318225723</t>
  </si>
  <si>
    <t>312373</t>
  </si>
  <si>
    <t>255544</t>
  </si>
  <si>
    <t>CNRB317124432F14031404</t>
  </si>
  <si>
    <t>312378</t>
  </si>
  <si>
    <t>249457</t>
  </si>
  <si>
    <t>CNRBBHARATRAJFLAT301</t>
  </si>
  <si>
    <t>312379</t>
  </si>
  <si>
    <t>265327</t>
  </si>
  <si>
    <t>CNRB317124432F801</t>
  </si>
  <si>
    <t>312381</t>
  </si>
  <si>
    <t>249447</t>
  </si>
  <si>
    <t>CNRB23414883</t>
  </si>
  <si>
    <t>312395</t>
  </si>
  <si>
    <t>247671</t>
  </si>
  <si>
    <t>CNRBARMSUMAN</t>
  </si>
  <si>
    <t>312412</t>
  </si>
  <si>
    <t>271822</t>
  </si>
  <si>
    <t>CNRBARMVIJAYSHARMA</t>
  </si>
  <si>
    <t>312426</t>
  </si>
  <si>
    <t>248416</t>
  </si>
  <si>
    <t>CNRB110136713SRIRAMTRADER</t>
  </si>
  <si>
    <t>312448</t>
  </si>
  <si>
    <t>246787</t>
  </si>
  <si>
    <t>CNRB119261339RADHAGROUPS</t>
  </si>
  <si>
    <t>312747</t>
  </si>
  <si>
    <t>Nellikuppam, Tamil Nadu</t>
  </si>
  <si>
    <t>265345</t>
  </si>
  <si>
    <t>CNRB93447983JAYAPRAKASH</t>
  </si>
  <si>
    <t>312752</t>
  </si>
  <si>
    <t>Sirkali, Tamil Nadu</t>
  </si>
  <si>
    <t>248672</t>
  </si>
  <si>
    <t>CNRB117830627SRILAKSHMIKR</t>
  </si>
  <si>
    <t>312784</t>
  </si>
  <si>
    <t>Pillaiarkuppam, Puducherry</t>
  </si>
  <si>
    <t>252037</t>
  </si>
  <si>
    <t>CNRB117830627SRILAKSHMIK2</t>
  </si>
  <si>
    <t>312792</t>
  </si>
  <si>
    <t>252039</t>
  </si>
  <si>
    <t>CNRBARM01029</t>
  </si>
  <si>
    <t>313205</t>
  </si>
  <si>
    <t>Silvassa, Dadra &amp; Nagar Haveli &amp; Daman &amp; Diu</t>
  </si>
  <si>
    <t>187374</t>
  </si>
  <si>
    <t>CNRBARM01028</t>
  </si>
  <si>
    <t>313216</t>
  </si>
  <si>
    <t>187366</t>
  </si>
  <si>
    <t>CNRBARM01027</t>
  </si>
  <si>
    <t>313224</t>
  </si>
  <si>
    <t>187355</t>
  </si>
  <si>
    <t>CNRB98992579</t>
  </si>
  <si>
    <t>313235</t>
  </si>
  <si>
    <t>255532</t>
  </si>
  <si>
    <t>CNRB316133683VGS3</t>
  </si>
  <si>
    <t>313262</t>
  </si>
  <si>
    <t>257253</t>
  </si>
  <si>
    <t>CNRBARM0155</t>
  </si>
  <si>
    <t>313287</t>
  </si>
  <si>
    <t>233999</t>
  </si>
  <si>
    <t>CNRBARMDEEPAK</t>
  </si>
  <si>
    <t>313334</t>
  </si>
  <si>
    <t>246404</t>
  </si>
  <si>
    <t>CNRB66269187THIRUMA201225</t>
  </si>
  <si>
    <t>313407</t>
  </si>
  <si>
    <t>268720</t>
  </si>
  <si>
    <t>CNRBPRAGATI103</t>
  </si>
  <si>
    <t>313805</t>
  </si>
  <si>
    <t>260647</t>
  </si>
  <si>
    <t>CNRBRANJEET402</t>
  </si>
  <si>
    <t>313807</t>
  </si>
  <si>
    <t>257193</t>
  </si>
  <si>
    <t>CNRBSHALIGRAM404</t>
  </si>
  <si>
    <t>314061</t>
  </si>
  <si>
    <t>244529</t>
  </si>
  <si>
    <t>CNRBSHALIGRAM401</t>
  </si>
  <si>
    <t>314062</t>
  </si>
  <si>
    <t>244527</t>
  </si>
  <si>
    <t>CNRB826USHA</t>
  </si>
  <si>
    <t>314205</t>
  </si>
  <si>
    <t>267493</t>
  </si>
  <si>
    <t>CNRB6215SURESH</t>
  </si>
  <si>
    <t>314229</t>
  </si>
  <si>
    <t>Chekkiad, Kerala</t>
  </si>
  <si>
    <t>265116</t>
  </si>
  <si>
    <t>CNRB1908PAVITHRAN</t>
  </si>
  <si>
    <t>314313</t>
  </si>
  <si>
    <t>Iringal, Kerala</t>
  </si>
  <si>
    <t>280320</t>
  </si>
  <si>
    <t>CNRB122207742</t>
  </si>
  <si>
    <t>314399</t>
  </si>
  <si>
    <t>250774</t>
  </si>
  <si>
    <t>CNRB07022025</t>
  </si>
  <si>
    <t>314415</t>
  </si>
  <si>
    <t>229175</t>
  </si>
  <si>
    <t>CNRBARM010123</t>
  </si>
  <si>
    <t>314427</t>
  </si>
  <si>
    <t>225107</t>
  </si>
  <si>
    <t>CNRB64884053</t>
  </si>
  <si>
    <t>314435</t>
  </si>
  <si>
    <t>Ranjangaon MIDC, Maharashtra</t>
  </si>
  <si>
    <t>219160</t>
  </si>
  <si>
    <t>CNRB261632951</t>
  </si>
  <si>
    <t>314446</t>
  </si>
  <si>
    <t>224126</t>
  </si>
  <si>
    <t>CNRB260863830</t>
  </si>
  <si>
    <t>314466</t>
  </si>
  <si>
    <t>191106</t>
  </si>
  <si>
    <t>CNRB67407395001</t>
  </si>
  <si>
    <t>314470</t>
  </si>
  <si>
    <t>170558</t>
  </si>
  <si>
    <t>CNRBMUKESHAGENCY</t>
  </si>
  <si>
    <t>314597</t>
  </si>
  <si>
    <t>259469</t>
  </si>
  <si>
    <t>CNRB34091042ASIANWINNER</t>
  </si>
  <si>
    <t>314858</t>
  </si>
  <si>
    <t>Mukkam, Kerala</t>
  </si>
  <si>
    <t>201655</t>
  </si>
  <si>
    <t>CNRB996JAFF</t>
  </si>
  <si>
    <t>314900</t>
  </si>
  <si>
    <t>278911</t>
  </si>
  <si>
    <t>CNRB5968JALE</t>
  </si>
  <si>
    <t>314910</t>
  </si>
  <si>
    <t>274045</t>
  </si>
  <si>
    <t>CNRB303018602002</t>
  </si>
  <si>
    <t>314925</t>
  </si>
  <si>
    <t>189575</t>
  </si>
  <si>
    <t>CNRB2772JIJEESH</t>
  </si>
  <si>
    <t>314930</t>
  </si>
  <si>
    <t>280095</t>
  </si>
  <si>
    <t>CNRB0001103</t>
  </si>
  <si>
    <t>314993</t>
  </si>
  <si>
    <t>Perungulam, Tamil Nadu</t>
  </si>
  <si>
    <t>246615</t>
  </si>
  <si>
    <t>CNRBOMSAIREALESTATE3</t>
  </si>
  <si>
    <t>316444</t>
  </si>
  <si>
    <t>Vaijapur, Maharashtra</t>
  </si>
  <si>
    <t>237569</t>
  </si>
  <si>
    <t>CNRB254267188001</t>
  </si>
  <si>
    <t>314345</t>
  </si>
  <si>
    <t>Patti, Uttar Pradesh</t>
  </si>
  <si>
    <t>197628</t>
  </si>
  <si>
    <t>CNRB301483920001</t>
  </si>
  <si>
    <t>314397</t>
  </si>
  <si>
    <t>283196</t>
  </si>
  <si>
    <t>CNRB25534357201</t>
  </si>
  <si>
    <t>314425</t>
  </si>
  <si>
    <t>Musafirkhana, Uttar Pradesh</t>
  </si>
  <si>
    <t>253290</t>
  </si>
  <si>
    <t>CNRBALAJIOIL</t>
  </si>
  <si>
    <t>302244</t>
  </si>
  <si>
    <t>30-06-2026 13:00</t>
  </si>
  <si>
    <t>240699</t>
  </si>
  <si>
    <t>CNRBSHREERAMCONST1</t>
  </si>
  <si>
    <t>302347</t>
  </si>
  <si>
    <t>279687</t>
  </si>
  <si>
    <t>IOBA1301GSGS</t>
  </si>
  <si>
    <t>307045</t>
  </si>
  <si>
    <t>284761</t>
  </si>
  <si>
    <t>IOBA1301MMU</t>
  </si>
  <si>
    <t>307061</t>
  </si>
  <si>
    <t>Chitkul, Telangana</t>
  </si>
  <si>
    <t>285835</t>
  </si>
  <si>
    <t>CNRBHARIOMSINGH1</t>
  </si>
  <si>
    <t>309906</t>
  </si>
  <si>
    <t>280673</t>
  </si>
  <si>
    <t>CNRBGAURAVMAHESHWARI</t>
  </si>
  <si>
    <t>309916</t>
  </si>
  <si>
    <t>240636</t>
  </si>
  <si>
    <t>IOBA1301PSK</t>
  </si>
  <si>
    <t>310493</t>
  </si>
  <si>
    <t>285841</t>
  </si>
  <si>
    <t>CNRBAKASHBANGLE</t>
  </si>
  <si>
    <t>310660</t>
  </si>
  <si>
    <t>187053</t>
  </si>
  <si>
    <t>CNRBSVRENTERPRISES</t>
  </si>
  <si>
    <t>310686</t>
  </si>
  <si>
    <t>257551</t>
  </si>
  <si>
    <t>CNRBDEVIKAP2</t>
  </si>
  <si>
    <t>311248</t>
  </si>
  <si>
    <t>275577</t>
  </si>
  <si>
    <t>CNRBGARGOILP2</t>
  </si>
  <si>
    <t>311295</t>
  </si>
  <si>
    <t>Dholpur, Rajasthan</t>
  </si>
  <si>
    <t>238189</t>
  </si>
  <si>
    <t>CNRBSHRIRAMTRADINGP2</t>
  </si>
  <si>
    <t>311310</t>
  </si>
  <si>
    <t>269334</t>
  </si>
  <si>
    <t>CNRBSHRIRAMTRADING</t>
  </si>
  <si>
    <t>311317</t>
  </si>
  <si>
    <t>269302</t>
  </si>
  <si>
    <t>CNRBJBTRADERS</t>
  </si>
  <si>
    <t>311388</t>
  </si>
  <si>
    <t>266135</t>
  </si>
  <si>
    <t>CNRBRSENTERPRISES</t>
  </si>
  <si>
    <t>311390</t>
  </si>
  <si>
    <t>266075</t>
  </si>
  <si>
    <t>CNRBVARDANPUBLICATION</t>
  </si>
  <si>
    <t>311393</t>
  </si>
  <si>
    <t>266110</t>
  </si>
  <si>
    <t>PSIB114Anjum</t>
  </si>
  <si>
    <t>312313</t>
  </si>
  <si>
    <t>188952</t>
  </si>
  <si>
    <t>CNRBSHREEBALAJEEIRON</t>
  </si>
  <si>
    <t>312339</t>
  </si>
  <si>
    <t>233917</t>
  </si>
  <si>
    <t>CNRB1855206</t>
  </si>
  <si>
    <t>312788</t>
  </si>
  <si>
    <t>286925</t>
  </si>
  <si>
    <t>CNRB1855266</t>
  </si>
  <si>
    <t>312790</t>
  </si>
  <si>
    <t>286911</t>
  </si>
  <si>
    <t>CNRB1855233</t>
  </si>
  <si>
    <t>312796</t>
  </si>
  <si>
    <t>286912</t>
  </si>
  <si>
    <t>CNRB1855299</t>
  </si>
  <si>
    <t>312809</t>
  </si>
  <si>
    <t>286924</t>
  </si>
  <si>
    <t>CNRB18552301</t>
  </si>
  <si>
    <t>312817</t>
  </si>
  <si>
    <t>286923</t>
  </si>
  <si>
    <t>CNRBMBSCONSTRUCTIONS</t>
  </si>
  <si>
    <t>312886</t>
  </si>
  <si>
    <t>279776</t>
  </si>
  <si>
    <t>CNRBVKCHEMICALS</t>
  </si>
  <si>
    <t>312890</t>
  </si>
  <si>
    <t>229521</t>
  </si>
  <si>
    <t>CNRBRADHEYCONSTRUCTION</t>
  </si>
  <si>
    <t>312899</t>
  </si>
  <si>
    <t>266193</t>
  </si>
  <si>
    <t>CNRBKRISHNAELECTROP</t>
  </si>
  <si>
    <t>313950</t>
  </si>
  <si>
    <t>287254</t>
  </si>
  <si>
    <t>IOBA30064</t>
  </si>
  <si>
    <t>315376</t>
  </si>
  <si>
    <t>287520</t>
  </si>
  <si>
    <t>IOBA30063</t>
  </si>
  <si>
    <t>315381</t>
  </si>
  <si>
    <t>287517</t>
  </si>
  <si>
    <t>IOBA30062</t>
  </si>
  <si>
    <t>315388</t>
  </si>
  <si>
    <t>287513</t>
  </si>
  <si>
    <t>IOBA30061</t>
  </si>
  <si>
    <t>315392</t>
  </si>
  <si>
    <t>287507</t>
  </si>
  <si>
    <t>IOBA1933CNARESHH</t>
  </si>
  <si>
    <t>316228</t>
  </si>
  <si>
    <t>Hindupur, Andhra Pradesh</t>
  </si>
  <si>
    <t>262872</t>
  </si>
  <si>
    <t>PSIB0000780</t>
  </si>
  <si>
    <t>316778</t>
  </si>
  <si>
    <t>280871</t>
  </si>
  <si>
    <t>PSIB0621002</t>
  </si>
  <si>
    <t>317061</t>
  </si>
  <si>
    <t>192510</t>
  </si>
  <si>
    <t>IOBA1344MUTHUPAZHANI</t>
  </si>
  <si>
    <t>317359</t>
  </si>
  <si>
    <t>Singampuneri, Tamil Nadu</t>
  </si>
  <si>
    <t>264861</t>
  </si>
  <si>
    <t>IOBA2303SENTHILD</t>
  </si>
  <si>
    <t>317369</t>
  </si>
  <si>
    <t>201204</t>
  </si>
  <si>
    <t>IOBA1852002</t>
  </si>
  <si>
    <t>304431</t>
  </si>
  <si>
    <t>285586</t>
  </si>
  <si>
    <t>CNRB309418825</t>
  </si>
  <si>
    <t>306789</t>
  </si>
  <si>
    <t>PERATTA, Kerala</t>
  </si>
  <si>
    <t>274015</t>
  </si>
  <si>
    <t>CNRB96666148</t>
  </si>
  <si>
    <t>309485</t>
  </si>
  <si>
    <t>Mellahalli, Karnataka</t>
  </si>
  <si>
    <t>286461</t>
  </si>
  <si>
    <t>CNRBXSPAGRO2</t>
  </si>
  <si>
    <t>312376</t>
  </si>
  <si>
    <t>Nagamangala, Karnataka</t>
  </si>
  <si>
    <t>247500</t>
  </si>
  <si>
    <t>IOBA0192002</t>
  </si>
  <si>
    <t>313278</t>
  </si>
  <si>
    <t>277534</t>
  </si>
  <si>
    <t>SBINRENEXMALAD</t>
  </si>
  <si>
    <t>307837</t>
  </si>
  <si>
    <t>30-06-2026 15:00</t>
  </si>
  <si>
    <t>285666</t>
  </si>
  <si>
    <t>IOBA1774NISHTHA</t>
  </si>
  <si>
    <t>312678</t>
  </si>
  <si>
    <t>215169</t>
  </si>
  <si>
    <t>IOBA2801samasultana</t>
  </si>
  <si>
    <t>312687</t>
  </si>
  <si>
    <t>271521</t>
  </si>
  <si>
    <t>IOBA2801mdakram</t>
  </si>
  <si>
    <t>312690</t>
  </si>
  <si>
    <t>271503</t>
  </si>
  <si>
    <t>SBIN000177601</t>
  </si>
  <si>
    <t>314547</t>
  </si>
  <si>
    <t>283676</t>
  </si>
  <si>
    <t>MAHBARBJAGANNATH1</t>
  </si>
  <si>
    <t>316982</t>
  </si>
  <si>
    <t>287403</t>
  </si>
  <si>
    <t>MAHBARBOMYASHODA</t>
  </si>
  <si>
    <t>316989</t>
  </si>
  <si>
    <t>287425</t>
  </si>
  <si>
    <t>PUNB904700ABA29006018</t>
  </si>
  <si>
    <t>303520</t>
  </si>
  <si>
    <t>Salasar, Rajasthan</t>
  </si>
  <si>
    <t>284562</t>
  </si>
  <si>
    <t>SBIN200056735054</t>
  </si>
  <si>
    <t>305029</t>
  </si>
  <si>
    <t>285274</t>
  </si>
  <si>
    <t>SBIN200013922728</t>
  </si>
  <si>
    <t>305030</t>
  </si>
  <si>
    <t>141265</t>
  </si>
  <si>
    <t>SBIN1015111202503</t>
  </si>
  <si>
    <t>305665</t>
  </si>
  <si>
    <t>263239</t>
  </si>
  <si>
    <t>PUNBAC461314780</t>
  </si>
  <si>
    <t>305952</t>
  </si>
  <si>
    <t>285915</t>
  </si>
  <si>
    <t>PUNBABA29001305</t>
  </si>
  <si>
    <t>305964</t>
  </si>
  <si>
    <t>285910</t>
  </si>
  <si>
    <t>PUNB8325HETALI</t>
  </si>
  <si>
    <t>306435</t>
  </si>
  <si>
    <t>285755</t>
  </si>
  <si>
    <t>PUNBABA4040871701</t>
  </si>
  <si>
    <t>306941</t>
  </si>
  <si>
    <t>286085</t>
  </si>
  <si>
    <t>SBIN200005845366</t>
  </si>
  <si>
    <t>306959</t>
  </si>
  <si>
    <t>249515</t>
  </si>
  <si>
    <t>SBIN200009769691</t>
  </si>
  <si>
    <t>306966</t>
  </si>
  <si>
    <t>262624</t>
  </si>
  <si>
    <t>PUNBABAA4040871702</t>
  </si>
  <si>
    <t>306968</t>
  </si>
  <si>
    <t>286095</t>
  </si>
  <si>
    <t>SBIN200011742041</t>
  </si>
  <si>
    <t>306981</t>
  </si>
  <si>
    <t>86878</t>
  </si>
  <si>
    <t>PUNBABA40317413</t>
  </si>
  <si>
    <t>307588</t>
  </si>
  <si>
    <t>285798</t>
  </si>
  <si>
    <t>PUNBLQT0021754RI23736844</t>
  </si>
  <si>
    <t>307718</t>
  </si>
  <si>
    <t>286261</t>
  </si>
  <si>
    <t>SBIN200050430263</t>
  </si>
  <si>
    <t>308742</t>
  </si>
  <si>
    <t>Chhotaudepur, Gujarat</t>
  </si>
  <si>
    <t>285520</t>
  </si>
  <si>
    <t>PUNBABA40373810</t>
  </si>
  <si>
    <t>308878</t>
  </si>
  <si>
    <t>244908</t>
  </si>
  <si>
    <t>PUNBIZZ010076</t>
  </si>
  <si>
    <t>310102</t>
  </si>
  <si>
    <t>286526</t>
  </si>
  <si>
    <t>IDIBE020AnwarSadiq</t>
  </si>
  <si>
    <t>310126</t>
  </si>
  <si>
    <t>286571</t>
  </si>
  <si>
    <t>IDIB30430267950</t>
  </si>
  <si>
    <t>310446</t>
  </si>
  <si>
    <t>122232</t>
  </si>
  <si>
    <t>PUNB83250222021</t>
  </si>
  <si>
    <t>312298</t>
  </si>
  <si>
    <t>179544</t>
  </si>
  <si>
    <t>PUNBO39390674ABA37968524</t>
  </si>
  <si>
    <t>313402</t>
  </si>
  <si>
    <t>Merces, Goa</t>
  </si>
  <si>
    <t>282499</t>
  </si>
  <si>
    <t>PUNBKDI0023775KD10255935</t>
  </si>
  <si>
    <t>313411</t>
  </si>
  <si>
    <t>Salvador Do Mundo, Goa</t>
  </si>
  <si>
    <t>231435</t>
  </si>
  <si>
    <t>PUNBKDI002418J6A10005218</t>
  </si>
  <si>
    <t>313435</t>
  </si>
  <si>
    <t>Benaulim, Goa</t>
  </si>
  <si>
    <t>262180</t>
  </si>
  <si>
    <t>PUNBEIK005787E8A94400221</t>
  </si>
  <si>
    <t>313437</t>
  </si>
  <si>
    <t>234433</t>
  </si>
  <si>
    <t>PUNBO70294116ABA37755974</t>
  </si>
  <si>
    <t>313442</t>
  </si>
  <si>
    <t>234313</t>
  </si>
  <si>
    <t>PUNBO71460925ABA47514083</t>
  </si>
  <si>
    <t>313446</t>
  </si>
  <si>
    <t>231374</t>
  </si>
  <si>
    <t>PUNBO70967837ABA47514095</t>
  </si>
  <si>
    <t>313449</t>
  </si>
  <si>
    <t>234312</t>
  </si>
  <si>
    <t>PUNB4004UDAY</t>
  </si>
  <si>
    <t>313458</t>
  </si>
  <si>
    <t>173808</t>
  </si>
  <si>
    <t>PUNBO22292620ABA37884012</t>
  </si>
  <si>
    <t>313468</t>
  </si>
  <si>
    <t>282497</t>
  </si>
  <si>
    <t>PUNBO22292620ABA38014299</t>
  </si>
  <si>
    <t>313479</t>
  </si>
  <si>
    <t>282491</t>
  </si>
  <si>
    <t>PUNBLQT0012214RI17653964</t>
  </si>
  <si>
    <t>313491</t>
  </si>
  <si>
    <t>271669</t>
  </si>
  <si>
    <t>PUNBLQT0014464RI23623347B</t>
  </si>
  <si>
    <t>313496</t>
  </si>
  <si>
    <t>271671</t>
  </si>
  <si>
    <t>PUNBLQT0015014RI16079463</t>
  </si>
  <si>
    <t>313498</t>
  </si>
  <si>
    <t>Mahad, Maharashtra</t>
  </si>
  <si>
    <t>233242</t>
  </si>
  <si>
    <t>PUNBLQT0011024RI23623347A</t>
  </si>
  <si>
    <t>313501</t>
  </si>
  <si>
    <t>271662</t>
  </si>
  <si>
    <t>PUNB103810VIMAL</t>
  </si>
  <si>
    <t>313502</t>
  </si>
  <si>
    <t>173822</t>
  </si>
  <si>
    <t>IDIB30299942640</t>
  </si>
  <si>
    <t>313840</t>
  </si>
  <si>
    <t>280500</t>
  </si>
  <si>
    <t>PUNB0009900GD1</t>
  </si>
  <si>
    <t>313975</t>
  </si>
  <si>
    <t>180219</t>
  </si>
  <si>
    <t>CBIN70060098</t>
  </si>
  <si>
    <t>313991</t>
  </si>
  <si>
    <t>255245</t>
  </si>
  <si>
    <t>SBIN000P6</t>
  </si>
  <si>
    <t>314453</t>
  </si>
  <si>
    <t>278161</t>
  </si>
  <si>
    <t>SBIN000P10435</t>
  </si>
  <si>
    <t>314462</t>
  </si>
  <si>
    <t>278182</t>
  </si>
  <si>
    <t>SBIN200017729205</t>
  </si>
  <si>
    <t>314498</t>
  </si>
  <si>
    <t>3325</t>
  </si>
  <si>
    <t>PUNBU5859967101</t>
  </si>
  <si>
    <t>314563</t>
  </si>
  <si>
    <t>255328</t>
  </si>
  <si>
    <t>PUNBXZB9600264</t>
  </si>
  <si>
    <t>314566</t>
  </si>
  <si>
    <t>175978</t>
  </si>
  <si>
    <t>PUNB8302106</t>
  </si>
  <si>
    <t>314569</t>
  </si>
  <si>
    <t>185689</t>
  </si>
  <si>
    <t>PUNB83250259</t>
  </si>
  <si>
    <t>314630</t>
  </si>
  <si>
    <t>185937</t>
  </si>
  <si>
    <t>PUNBSUBHASH001</t>
  </si>
  <si>
    <t>314667</t>
  </si>
  <si>
    <t>266158</t>
  </si>
  <si>
    <t>PUNB83250154</t>
  </si>
  <si>
    <t>314678</t>
  </si>
  <si>
    <t>177985</t>
  </si>
  <si>
    <t>PUNB83250962021</t>
  </si>
  <si>
    <t>314692</t>
  </si>
  <si>
    <t>179551</t>
  </si>
  <si>
    <t>PUNBSUBHASH101</t>
  </si>
  <si>
    <t>314697</t>
  </si>
  <si>
    <t>266143</t>
  </si>
  <si>
    <t>PUNB83250260</t>
  </si>
  <si>
    <t>314711</t>
  </si>
  <si>
    <t>185938</t>
  </si>
  <si>
    <t>PUNB83250255</t>
  </si>
  <si>
    <t>314725</t>
  </si>
  <si>
    <t>172391</t>
  </si>
  <si>
    <t>PUNB83250253</t>
  </si>
  <si>
    <t>314730</t>
  </si>
  <si>
    <t>185608</t>
  </si>
  <si>
    <t>PUNB8325NANGARE</t>
  </si>
  <si>
    <t>314738</t>
  </si>
  <si>
    <t>Borivali Tarf Rahur, Maharashtra</t>
  </si>
  <si>
    <t>274879</t>
  </si>
  <si>
    <t>PUNB8325178</t>
  </si>
  <si>
    <t>314753</t>
  </si>
  <si>
    <t>173863</t>
  </si>
  <si>
    <t>PUNBBC8325SAWLAN</t>
  </si>
  <si>
    <t>314761</t>
  </si>
  <si>
    <t>184513</t>
  </si>
  <si>
    <t>PUNB8325179</t>
  </si>
  <si>
    <t>314763</t>
  </si>
  <si>
    <t>173864</t>
  </si>
  <si>
    <t>PUNB83250225</t>
  </si>
  <si>
    <t>314783</t>
  </si>
  <si>
    <t>177675</t>
  </si>
  <si>
    <t>PUNB83250226</t>
  </si>
  <si>
    <t>314785</t>
  </si>
  <si>
    <t>177676</t>
  </si>
  <si>
    <t>PUNB83250269</t>
  </si>
  <si>
    <t>314786</t>
  </si>
  <si>
    <t>201386</t>
  </si>
  <si>
    <t>PUNB83250247</t>
  </si>
  <si>
    <t>314803</t>
  </si>
  <si>
    <t>214504</t>
  </si>
  <si>
    <t>PUNBO71097354ABA29007644</t>
  </si>
  <si>
    <t>314827</t>
  </si>
  <si>
    <t>265050</t>
  </si>
  <si>
    <t>PUNBRAJENDRAUPADHYE</t>
  </si>
  <si>
    <t>315051</t>
  </si>
  <si>
    <t>253681</t>
  </si>
  <si>
    <t>PUNB83250165</t>
  </si>
  <si>
    <t>315216</t>
  </si>
  <si>
    <t>177992</t>
  </si>
  <si>
    <t>PUNBRISHABHFLAT</t>
  </si>
  <si>
    <t>315473</t>
  </si>
  <si>
    <t>263645</t>
  </si>
  <si>
    <t>PUNBABA37978495</t>
  </si>
  <si>
    <t>315537</t>
  </si>
  <si>
    <t>266872</t>
  </si>
  <si>
    <t>MAHBADITIIRR</t>
  </si>
  <si>
    <t>315553</t>
  </si>
  <si>
    <t>287218</t>
  </si>
  <si>
    <t>MAHBADITIIRRMAVALPLOT</t>
  </si>
  <si>
    <t>315561</t>
  </si>
  <si>
    <t>Kamshet, Maharashtra</t>
  </si>
  <si>
    <t>287191</t>
  </si>
  <si>
    <t>MAHBADITIIRRPUNEOFFICE</t>
  </si>
  <si>
    <t>315566</t>
  </si>
  <si>
    <t>287206</t>
  </si>
  <si>
    <t>MAHBADITIIRRINDORE</t>
  </si>
  <si>
    <t>315570</t>
  </si>
  <si>
    <t>287214</t>
  </si>
  <si>
    <t>CRGB777051351469</t>
  </si>
  <si>
    <t>315653</t>
  </si>
  <si>
    <t>287225</t>
  </si>
  <si>
    <t>CRGB77034796240</t>
  </si>
  <si>
    <t>315655</t>
  </si>
  <si>
    <t>287217</t>
  </si>
  <si>
    <t>CRGB777057652212</t>
  </si>
  <si>
    <t>315658</t>
  </si>
  <si>
    <t>287098</t>
  </si>
  <si>
    <t>PUNBC00975711</t>
  </si>
  <si>
    <t>315803</t>
  </si>
  <si>
    <t>Bilpahari, West Bengal</t>
  </si>
  <si>
    <t>249392</t>
  </si>
  <si>
    <t>PUNBADC10298704</t>
  </si>
  <si>
    <t>315838</t>
  </si>
  <si>
    <t>192708</t>
  </si>
  <si>
    <t>PUNBOCB63222712</t>
  </si>
  <si>
    <t>315848</t>
  </si>
  <si>
    <t>227476</t>
  </si>
  <si>
    <t>PUNB8325PARAV</t>
  </si>
  <si>
    <t>316077</t>
  </si>
  <si>
    <t>179542</t>
  </si>
  <si>
    <t>PUNB82820138</t>
  </si>
  <si>
    <t>316094</t>
  </si>
  <si>
    <t>178125</t>
  </si>
  <si>
    <t>PUNB82820139</t>
  </si>
  <si>
    <t>316117</t>
  </si>
  <si>
    <t>178126</t>
  </si>
  <si>
    <t>IOBA0564GURUANU</t>
  </si>
  <si>
    <t>316138</t>
  </si>
  <si>
    <t>111147</t>
  </si>
  <si>
    <t>IOBA2980ARSHADWARSI</t>
  </si>
  <si>
    <t>316156</t>
  </si>
  <si>
    <t>277603</t>
  </si>
  <si>
    <t>IOBAMEE0435RIZWA</t>
  </si>
  <si>
    <t>316163</t>
  </si>
  <si>
    <t>88464</t>
  </si>
  <si>
    <t>IOBAMEE0435FAYYA</t>
  </si>
  <si>
    <t>316183</t>
  </si>
  <si>
    <t>121371</t>
  </si>
  <si>
    <t>PUNB3762</t>
  </si>
  <si>
    <t>316204</t>
  </si>
  <si>
    <t>255139</t>
  </si>
  <si>
    <t>IOBA3244anujtent1</t>
  </si>
  <si>
    <t>316210</t>
  </si>
  <si>
    <t>271795</t>
  </si>
  <si>
    <t>IOBA3244anujtent4</t>
  </si>
  <si>
    <t>316230</t>
  </si>
  <si>
    <t>271809</t>
  </si>
  <si>
    <t>IOBA2980ASLAMARSHAD</t>
  </si>
  <si>
    <t>316247</t>
  </si>
  <si>
    <t>277620</t>
  </si>
  <si>
    <t>IOBA2980riyaztraders</t>
  </si>
  <si>
    <t>316260</t>
  </si>
  <si>
    <t>274436</t>
  </si>
  <si>
    <t>IOBA2980RSSCOPYBINDING</t>
  </si>
  <si>
    <t>316265</t>
  </si>
  <si>
    <t>277616</t>
  </si>
  <si>
    <t>IOBA0434pritamsingh</t>
  </si>
  <si>
    <t>316377</t>
  </si>
  <si>
    <t>226914</t>
  </si>
  <si>
    <t>IOBASAH434BHAGAT</t>
  </si>
  <si>
    <t>316448</t>
  </si>
  <si>
    <t>65869</t>
  </si>
  <si>
    <t>IOBA1063RAJATDHI</t>
  </si>
  <si>
    <t>316559</t>
  </si>
  <si>
    <t>220792</t>
  </si>
  <si>
    <t>IOBASME2981VINA</t>
  </si>
  <si>
    <t>316570</t>
  </si>
  <si>
    <t>673</t>
  </si>
  <si>
    <t>IOBA2800JAVEDALAM</t>
  </si>
  <si>
    <t>316591</t>
  </si>
  <si>
    <t>Chandausi, Uttar Pradesh</t>
  </si>
  <si>
    <t>274447</t>
  </si>
  <si>
    <t>PUNB82220141</t>
  </si>
  <si>
    <t>317050</t>
  </si>
  <si>
    <t>177244</t>
  </si>
  <si>
    <t>PUNBC0043714902</t>
  </si>
  <si>
    <t>317264</t>
  </si>
  <si>
    <t>280014</t>
  </si>
  <si>
    <t>PUNBC0043714904</t>
  </si>
  <si>
    <t>317271</t>
  </si>
  <si>
    <t>280034</t>
  </si>
  <si>
    <t>PUNBC0043714905</t>
  </si>
  <si>
    <t>317276</t>
  </si>
  <si>
    <t>280044</t>
  </si>
  <si>
    <t>PUNBC0043714906</t>
  </si>
  <si>
    <t>317278</t>
  </si>
  <si>
    <t>280050</t>
  </si>
  <si>
    <t>PUNBC0043714907</t>
  </si>
  <si>
    <t>317281</t>
  </si>
  <si>
    <t>280054</t>
  </si>
  <si>
    <t>PUNBC0043714909</t>
  </si>
  <si>
    <t>317286</t>
  </si>
  <si>
    <t>280063</t>
  </si>
  <si>
    <t>PUNBC0043714910</t>
  </si>
  <si>
    <t>317288</t>
  </si>
  <si>
    <t>280069</t>
  </si>
  <si>
    <t>PUNBC0043714908</t>
  </si>
  <si>
    <t>317290</t>
  </si>
  <si>
    <t>280077</t>
  </si>
  <si>
    <t>IDIB30159987693</t>
  </si>
  <si>
    <t>317544</t>
  </si>
  <si>
    <t>26053</t>
  </si>
  <si>
    <t>PUNBGCF014259</t>
  </si>
  <si>
    <t>317626</t>
  </si>
  <si>
    <t>233079</t>
  </si>
  <si>
    <t>PUNB6240</t>
  </si>
  <si>
    <t>317952</t>
  </si>
  <si>
    <t>Sheohar, Bihar</t>
  </si>
  <si>
    <t>174745</t>
  </si>
  <si>
    <t>PUNB4700MOHIND01</t>
  </si>
  <si>
    <t>318044</t>
  </si>
  <si>
    <t>287023</t>
  </si>
  <si>
    <t>PUNB38370294</t>
  </si>
  <si>
    <t>318140</t>
  </si>
  <si>
    <t>177273</t>
  </si>
  <si>
    <t>PUNB38370290</t>
  </si>
  <si>
    <t>318146</t>
  </si>
  <si>
    <t>Kheta Sarai, Uttar Pradesh</t>
  </si>
  <si>
    <t>187723</t>
  </si>
  <si>
    <t>PUNB38370287</t>
  </si>
  <si>
    <t>318168</t>
  </si>
  <si>
    <t>177281</t>
  </si>
  <si>
    <t>SBIN0VSA769</t>
  </si>
  <si>
    <t>318222</t>
  </si>
  <si>
    <t>Vijayapuri South, Andhra Pradesh</t>
  </si>
  <si>
    <t>287546</t>
  </si>
  <si>
    <t>IDIBKOZHSHINOJ</t>
  </si>
  <si>
    <t>301789</t>
  </si>
  <si>
    <t>Mahe, Puducherry</t>
  </si>
  <si>
    <t>216109</t>
  </si>
  <si>
    <t>IDIBMOROSHAJ</t>
  </si>
  <si>
    <t>303132</t>
  </si>
  <si>
    <t>213463</t>
  </si>
  <si>
    <t>IDIB30432798731</t>
  </si>
  <si>
    <t>303249</t>
  </si>
  <si>
    <t>251827</t>
  </si>
  <si>
    <t>CNRB86657032</t>
  </si>
  <si>
    <t>314843</t>
  </si>
  <si>
    <t>240296</t>
  </si>
  <si>
    <t>BKIDCHDARB42</t>
  </si>
  <si>
    <t>315547</t>
  </si>
  <si>
    <t>286600</t>
  </si>
  <si>
    <t>IDIB6644482681</t>
  </si>
  <si>
    <t>315851</t>
  </si>
  <si>
    <t>33612</t>
  </si>
  <si>
    <t>IDIB7605195492</t>
  </si>
  <si>
    <t>315857</t>
  </si>
  <si>
    <t>277490</t>
  </si>
  <si>
    <t>IDIB50462618452</t>
  </si>
  <si>
    <t>315933</t>
  </si>
  <si>
    <t>Kesinga, Odisha</t>
  </si>
  <si>
    <t>123440</t>
  </si>
  <si>
    <t>BKID705075110000099</t>
  </si>
  <si>
    <t>316013</t>
  </si>
  <si>
    <t>287669</t>
  </si>
  <si>
    <t>UCBAJORH1007010</t>
  </si>
  <si>
    <t>316053</t>
  </si>
  <si>
    <t>237021</t>
  </si>
  <si>
    <t>UCBAJOR</t>
  </si>
  <si>
    <t>316054</t>
  </si>
  <si>
    <t>Jonai Bazar, Assam</t>
  </si>
  <si>
    <t>271549</t>
  </si>
  <si>
    <t>CBIN1667</t>
  </si>
  <si>
    <t>317676</t>
  </si>
  <si>
    <t>Industrial Area Ramganj Mandi, Rajasthan</t>
  </si>
  <si>
    <t>259127</t>
  </si>
  <si>
    <t>CBIN1657</t>
  </si>
  <si>
    <t>317741</t>
  </si>
  <si>
    <t>Suket, Rajasthan</t>
  </si>
  <si>
    <t>278890</t>
  </si>
  <si>
    <t>CBIN028119503</t>
  </si>
  <si>
    <t>317771</t>
  </si>
  <si>
    <t>225846</t>
  </si>
  <si>
    <t>CBIN0456</t>
  </si>
  <si>
    <t>317807</t>
  </si>
  <si>
    <t>Bundi, Rajasthan</t>
  </si>
  <si>
    <t>278878</t>
  </si>
  <si>
    <t>CBIN4525</t>
  </si>
  <si>
    <t>317823</t>
  </si>
  <si>
    <t>278979</t>
  </si>
  <si>
    <t>CBIN155702</t>
  </si>
  <si>
    <t>317824</t>
  </si>
  <si>
    <t>259078</t>
  </si>
  <si>
    <t>CBIN1557</t>
  </si>
  <si>
    <t>317826</t>
  </si>
  <si>
    <t>258911</t>
  </si>
  <si>
    <t>CBIN5001</t>
  </si>
  <si>
    <t>317953</t>
  </si>
  <si>
    <t>278963</t>
  </si>
  <si>
    <t>CBIN0457</t>
  </si>
  <si>
    <t>318113</t>
  </si>
  <si>
    <t>278984</t>
  </si>
  <si>
    <t>CNRB227131249</t>
  </si>
  <si>
    <t>283989</t>
  </si>
  <si>
    <t>Indi, Karnataka</t>
  </si>
  <si>
    <t>200194</t>
  </si>
  <si>
    <t>CNRB0066187069</t>
  </si>
  <si>
    <t>300246</t>
  </si>
  <si>
    <t>Jangaon, Telangana</t>
  </si>
  <si>
    <t>232159</t>
  </si>
  <si>
    <t>CNRB25490320201</t>
  </si>
  <si>
    <t>300346</t>
  </si>
  <si>
    <t>279003</t>
  </si>
  <si>
    <t>CNRB6036786201</t>
  </si>
  <si>
    <t>302386</t>
  </si>
  <si>
    <t>206060</t>
  </si>
  <si>
    <t>CNRB95389984</t>
  </si>
  <si>
    <t>304980</t>
  </si>
  <si>
    <t>238353</t>
  </si>
  <si>
    <t>CNRB228187968</t>
  </si>
  <si>
    <t>305040</t>
  </si>
  <si>
    <t>264107</t>
  </si>
  <si>
    <t>CNRB308499211</t>
  </si>
  <si>
    <t>305111</t>
  </si>
  <si>
    <t>285737</t>
  </si>
  <si>
    <t>CNRB126750730</t>
  </si>
  <si>
    <t>305120</t>
  </si>
  <si>
    <t>Athiyannur, Kerala</t>
  </si>
  <si>
    <t>285750</t>
  </si>
  <si>
    <t>CNRB93281316</t>
  </si>
  <si>
    <t>305133</t>
  </si>
  <si>
    <t>Kulathummal, Kerala</t>
  </si>
  <si>
    <t>285757</t>
  </si>
  <si>
    <t>CNRB242209110</t>
  </si>
  <si>
    <t>306774</t>
  </si>
  <si>
    <t>Chirakkal, Kerala</t>
  </si>
  <si>
    <t>285381</t>
  </si>
  <si>
    <t>CNRB111268109</t>
  </si>
  <si>
    <t>309099</t>
  </si>
  <si>
    <t>277646</t>
  </si>
  <si>
    <t>CNRB105121572</t>
  </si>
  <si>
    <t>309248</t>
  </si>
  <si>
    <t>Irikkur, Kerala</t>
  </si>
  <si>
    <t>262839</t>
  </si>
  <si>
    <t>CNRB85290977</t>
  </si>
  <si>
    <t>309262</t>
  </si>
  <si>
    <t>Anakkayam, Kerala</t>
  </si>
  <si>
    <t>281451</t>
  </si>
  <si>
    <t>CNRBARCHANA</t>
  </si>
  <si>
    <t>309672</t>
  </si>
  <si>
    <t>Chandgad, Maharashtra</t>
  </si>
  <si>
    <t>265631</t>
  </si>
  <si>
    <t>CNRB0094060159</t>
  </si>
  <si>
    <t>310415</t>
  </si>
  <si>
    <t>Pochampalle, Telangana</t>
  </si>
  <si>
    <t>262009</t>
  </si>
  <si>
    <t>CNRB313559997</t>
  </si>
  <si>
    <t>310918</t>
  </si>
  <si>
    <t>Anthoor, Kerala</t>
  </si>
  <si>
    <t>278575</t>
  </si>
  <si>
    <t>CNRB310611007</t>
  </si>
  <si>
    <t>310942</t>
  </si>
  <si>
    <t>282994</t>
  </si>
  <si>
    <t>CNRB111765262</t>
  </si>
  <si>
    <t>311333</t>
  </si>
  <si>
    <t>236206</t>
  </si>
  <si>
    <t>CNRB80620040</t>
  </si>
  <si>
    <t>311363</t>
  </si>
  <si>
    <t>254204</t>
  </si>
  <si>
    <t>CNRBHYDNOR027</t>
  </si>
  <si>
    <t>311364</t>
  </si>
  <si>
    <t>240874</t>
  </si>
  <si>
    <t>CNRB00109245282</t>
  </si>
  <si>
    <t>311374</t>
  </si>
  <si>
    <t>240904</t>
  </si>
  <si>
    <t>CNRB12668383931072025</t>
  </si>
  <si>
    <t>311380</t>
  </si>
  <si>
    <t>250791</t>
  </si>
  <si>
    <t>CNRB323650314</t>
  </si>
  <si>
    <t>311394</t>
  </si>
  <si>
    <t>266046</t>
  </si>
  <si>
    <t>SBIN200051220623</t>
  </si>
  <si>
    <t>311598</t>
  </si>
  <si>
    <t>286082</t>
  </si>
  <si>
    <t>CNRB0025423529604</t>
  </si>
  <si>
    <t>311640</t>
  </si>
  <si>
    <t>Kodad, Telangana</t>
  </si>
  <si>
    <t>240915</t>
  </si>
  <si>
    <t>CNRB0025423529605</t>
  </si>
  <si>
    <t>311648</t>
  </si>
  <si>
    <t>240914</t>
  </si>
  <si>
    <t>CNRB0025423529606</t>
  </si>
  <si>
    <t>311658</t>
  </si>
  <si>
    <t>240913</t>
  </si>
  <si>
    <t>CNRB0025423529607</t>
  </si>
  <si>
    <t>311666</t>
  </si>
  <si>
    <t>240922</t>
  </si>
  <si>
    <t>CNRB0025423529608</t>
  </si>
  <si>
    <t>311673</t>
  </si>
  <si>
    <t>240921</t>
  </si>
  <si>
    <t>CNRB75853690</t>
  </si>
  <si>
    <t>311765</t>
  </si>
  <si>
    <t>238363</t>
  </si>
  <si>
    <t>CNRB23013200401</t>
  </si>
  <si>
    <t>311805</t>
  </si>
  <si>
    <t>Dharapadavedu, Tamil Nadu</t>
  </si>
  <si>
    <t>280474</t>
  </si>
  <si>
    <t>CNRBU250737371</t>
  </si>
  <si>
    <t>311823</t>
  </si>
  <si>
    <t>Tirumala, Andhra Pradesh</t>
  </si>
  <si>
    <t>279586</t>
  </si>
  <si>
    <t>CNRB246545429</t>
  </si>
  <si>
    <t>311839</t>
  </si>
  <si>
    <t>283341</t>
  </si>
  <si>
    <t>CNRBSUBRAMANYAM</t>
  </si>
  <si>
    <t>311937</t>
  </si>
  <si>
    <t>286071</t>
  </si>
  <si>
    <t>CNRB100004524</t>
  </si>
  <si>
    <t>311955</t>
  </si>
  <si>
    <t>199037</t>
  </si>
  <si>
    <t>CNRB242185576</t>
  </si>
  <si>
    <t>311969</t>
  </si>
  <si>
    <t>238965</t>
  </si>
  <si>
    <t>CNRB260560073</t>
  </si>
  <si>
    <t>311974</t>
  </si>
  <si>
    <t>283305</t>
  </si>
  <si>
    <t>CNRB253801641</t>
  </si>
  <si>
    <t>311978</t>
  </si>
  <si>
    <t>263863</t>
  </si>
  <si>
    <t>CNRB2591339831</t>
  </si>
  <si>
    <t>311990</t>
  </si>
  <si>
    <t>282337</t>
  </si>
  <si>
    <t>CNRB83079520</t>
  </si>
  <si>
    <t>311999</t>
  </si>
  <si>
    <t>Doghat, Uttar Pradesh</t>
  </si>
  <si>
    <t>236490</t>
  </si>
  <si>
    <t>CNRB2495685661</t>
  </si>
  <si>
    <t>312003</t>
  </si>
  <si>
    <t>Baghpat, Uttar Pradesh</t>
  </si>
  <si>
    <t>284704</t>
  </si>
  <si>
    <t>CNRB240196671</t>
  </si>
  <si>
    <t>312010</t>
  </si>
  <si>
    <t>229882</t>
  </si>
  <si>
    <t>CNRB257611987</t>
  </si>
  <si>
    <t>312021</t>
  </si>
  <si>
    <t>198080</t>
  </si>
  <si>
    <t>CNRB105952402</t>
  </si>
  <si>
    <t>312059</t>
  </si>
  <si>
    <t>198339</t>
  </si>
  <si>
    <t>CNRB309938741</t>
  </si>
  <si>
    <t>312067</t>
  </si>
  <si>
    <t>229640</t>
  </si>
  <si>
    <t>CNRB117403311</t>
  </si>
  <si>
    <t>312085</t>
  </si>
  <si>
    <t>198713</t>
  </si>
  <si>
    <t>CNRB247771679</t>
  </si>
  <si>
    <t>312110</t>
  </si>
  <si>
    <t>254183</t>
  </si>
  <si>
    <t>CNRB42081570000046</t>
  </si>
  <si>
    <t>312123</t>
  </si>
  <si>
    <t>Vadakara, Kerala</t>
  </si>
  <si>
    <t>197626</t>
  </si>
  <si>
    <t>CNRB118790861</t>
  </si>
  <si>
    <t>312127</t>
  </si>
  <si>
    <t>Thiagadurgam, Tamil Nadu</t>
  </si>
  <si>
    <t>254245</t>
  </si>
  <si>
    <t>CNRB317070005</t>
  </si>
  <si>
    <t>312129</t>
  </si>
  <si>
    <t>244781</t>
  </si>
  <si>
    <t>CNRB254959498</t>
  </si>
  <si>
    <t>312142</t>
  </si>
  <si>
    <t>267415</t>
  </si>
  <si>
    <t>CNRB1193401791</t>
  </si>
  <si>
    <t>312150</t>
  </si>
  <si>
    <t>POOKKOTTUMPADAM, Kerala</t>
  </si>
  <si>
    <t>278971</t>
  </si>
  <si>
    <t>CNRB250448217</t>
  </si>
  <si>
    <t>312152</t>
  </si>
  <si>
    <t>235353</t>
  </si>
  <si>
    <t>CNRB124745583</t>
  </si>
  <si>
    <t>312169</t>
  </si>
  <si>
    <t>212712</t>
  </si>
  <si>
    <t>CNRB311377246D</t>
  </si>
  <si>
    <t>312176</t>
  </si>
  <si>
    <t>227408</t>
  </si>
  <si>
    <t>CNRB122648687</t>
  </si>
  <si>
    <t>312197</t>
  </si>
  <si>
    <t>227581</t>
  </si>
  <si>
    <t>CNRB118615718</t>
  </si>
  <si>
    <t>312209</t>
  </si>
  <si>
    <t>229621</t>
  </si>
  <si>
    <t>CNRB257883666</t>
  </si>
  <si>
    <t>312215</t>
  </si>
  <si>
    <t>227612</t>
  </si>
  <si>
    <t>CNRB77834475</t>
  </si>
  <si>
    <t>312222</t>
  </si>
  <si>
    <t>Sankari, Tamil Nadu</t>
  </si>
  <si>
    <t>213186</t>
  </si>
  <si>
    <t>CNRB119794436</t>
  </si>
  <si>
    <t>312223</t>
  </si>
  <si>
    <t>213097</t>
  </si>
  <si>
    <t>CNRB103502801</t>
  </si>
  <si>
    <t>312226</t>
  </si>
  <si>
    <t>260989</t>
  </si>
  <si>
    <t>CNRB117917116</t>
  </si>
  <si>
    <t>312229</t>
  </si>
  <si>
    <t>207029</t>
  </si>
  <si>
    <t>CNRB119674543</t>
  </si>
  <si>
    <t>312230</t>
  </si>
  <si>
    <t>Kadayampatti, Tamil Nadu</t>
  </si>
  <si>
    <t>260996</t>
  </si>
  <si>
    <t>CNRB121655908</t>
  </si>
  <si>
    <t>312234</t>
  </si>
  <si>
    <t>249262</t>
  </si>
  <si>
    <t>CNRB252611825</t>
  </si>
  <si>
    <t>312236</t>
  </si>
  <si>
    <t>249766</t>
  </si>
  <si>
    <t>CNRB123478217</t>
  </si>
  <si>
    <t>312239</t>
  </si>
  <si>
    <t>226845</t>
  </si>
  <si>
    <t>CNRB122327797</t>
  </si>
  <si>
    <t>312241</t>
  </si>
  <si>
    <t>263304</t>
  </si>
  <si>
    <t>CNRB116906003</t>
  </si>
  <si>
    <t>312246</t>
  </si>
  <si>
    <t>260999</t>
  </si>
  <si>
    <t>CNRB105311539</t>
  </si>
  <si>
    <t>312251</t>
  </si>
  <si>
    <t>275457</t>
  </si>
  <si>
    <t>CNRB122436263</t>
  </si>
  <si>
    <t>312253</t>
  </si>
  <si>
    <t>Pethanaickenpalayam, Tamil Nadu</t>
  </si>
  <si>
    <t>237412</t>
  </si>
  <si>
    <t>CNRB258669670</t>
  </si>
  <si>
    <t>312283</t>
  </si>
  <si>
    <t>251331</t>
  </si>
  <si>
    <t>CNRB56458122</t>
  </si>
  <si>
    <t>312309</t>
  </si>
  <si>
    <t>243361</t>
  </si>
  <si>
    <t>CNRB05032026002</t>
  </si>
  <si>
    <t>312322</t>
  </si>
  <si>
    <t>278592</t>
  </si>
  <si>
    <t>CNRB05032026001</t>
  </si>
  <si>
    <t>312337</t>
  </si>
  <si>
    <t>278580</t>
  </si>
  <si>
    <t>CNRB11022026001</t>
  </si>
  <si>
    <t>312344</t>
  </si>
  <si>
    <t>275266</t>
  </si>
  <si>
    <t>CNRB112926035</t>
  </si>
  <si>
    <t>312407</t>
  </si>
  <si>
    <t>257791</t>
  </si>
  <si>
    <t>CNRB85317928</t>
  </si>
  <si>
    <t>312417</t>
  </si>
  <si>
    <t>254228</t>
  </si>
  <si>
    <t>CNRB116798022</t>
  </si>
  <si>
    <t>312423</t>
  </si>
  <si>
    <t>234394</t>
  </si>
  <si>
    <t>CNRB227246670</t>
  </si>
  <si>
    <t>312429</t>
  </si>
  <si>
    <t>226909</t>
  </si>
  <si>
    <t>CNRB229065939</t>
  </si>
  <si>
    <t>312436</t>
  </si>
  <si>
    <t>250268</t>
  </si>
  <si>
    <t>CNRB219522058</t>
  </si>
  <si>
    <t>312452</t>
  </si>
  <si>
    <t>250233</t>
  </si>
  <si>
    <t>CNRB114114729</t>
  </si>
  <si>
    <t>312456</t>
  </si>
  <si>
    <t>232245</t>
  </si>
  <si>
    <t>CNRB249328264</t>
  </si>
  <si>
    <t>312463</t>
  </si>
  <si>
    <t>237386</t>
  </si>
  <si>
    <t>CNRB255838329</t>
  </si>
  <si>
    <t>312470</t>
  </si>
  <si>
    <t>Ulundurpet, Tamil Nadu</t>
  </si>
  <si>
    <t>250289</t>
  </si>
  <si>
    <t>CNRB309654825</t>
  </si>
  <si>
    <t>312479</t>
  </si>
  <si>
    <t>Thiruvennainallur, Tamil Nadu</t>
  </si>
  <si>
    <t>279804</t>
  </si>
  <si>
    <t>CNRB119182415</t>
  </si>
  <si>
    <t>312487</t>
  </si>
  <si>
    <t>250221</t>
  </si>
  <si>
    <t>CNRB115493376</t>
  </si>
  <si>
    <t>312494</t>
  </si>
  <si>
    <t>Vazhapadi, Tamil Nadu</t>
  </si>
  <si>
    <t>250029</t>
  </si>
  <si>
    <t>CNRB117997474</t>
  </si>
  <si>
    <t>312511</t>
  </si>
  <si>
    <t>257878</t>
  </si>
  <si>
    <t>CNRB110269510</t>
  </si>
  <si>
    <t>312515</t>
  </si>
  <si>
    <t>212711</t>
  </si>
  <si>
    <t>CNRBSAMASUDDIN</t>
  </si>
  <si>
    <t>312529</t>
  </si>
  <si>
    <t>Farah, Uttar Pradesh</t>
  </si>
  <si>
    <t>242887</t>
  </si>
  <si>
    <t>CNRB22092025001</t>
  </si>
  <si>
    <t>312709</t>
  </si>
  <si>
    <t>Basavana Bagevadi, Karnataka</t>
  </si>
  <si>
    <t>256948</t>
  </si>
  <si>
    <t>CNRB00006565</t>
  </si>
  <si>
    <t>312714</t>
  </si>
  <si>
    <t>245902</t>
  </si>
  <si>
    <t>CNRB220606498</t>
  </si>
  <si>
    <t>312737</t>
  </si>
  <si>
    <t>217894</t>
  </si>
  <si>
    <t>CNRB304329087</t>
  </si>
  <si>
    <t>312741</t>
  </si>
  <si>
    <t>278483</t>
  </si>
  <si>
    <t>CNRB102941949</t>
  </si>
  <si>
    <t>312745</t>
  </si>
  <si>
    <t>200668</t>
  </si>
  <si>
    <t>CNRB0757003</t>
  </si>
  <si>
    <t>312755</t>
  </si>
  <si>
    <t>240105</t>
  </si>
  <si>
    <t>CNRB04122025002</t>
  </si>
  <si>
    <t>312783</t>
  </si>
  <si>
    <t>266433</t>
  </si>
  <si>
    <t>CNRB0847662000048</t>
  </si>
  <si>
    <t>312789</t>
  </si>
  <si>
    <t>189909</t>
  </si>
  <si>
    <t>CNRB000NAYAN</t>
  </si>
  <si>
    <t>312803</t>
  </si>
  <si>
    <t>282601</t>
  </si>
  <si>
    <t>CNRB24888155501</t>
  </si>
  <si>
    <t>312807</t>
  </si>
  <si>
    <t>262657</t>
  </si>
  <si>
    <t>CNRB11211184801</t>
  </si>
  <si>
    <t>312854</t>
  </si>
  <si>
    <t>Arani, Tamil Nadu</t>
  </si>
  <si>
    <t>244685</t>
  </si>
  <si>
    <t>CNRB113974183</t>
  </si>
  <si>
    <t>312868</t>
  </si>
  <si>
    <t>Iroopara, Kerala</t>
  </si>
  <si>
    <t>241024</t>
  </si>
  <si>
    <t>CNRB8205565301</t>
  </si>
  <si>
    <t>312876</t>
  </si>
  <si>
    <t>262642</t>
  </si>
  <si>
    <t>CNRB200</t>
  </si>
  <si>
    <t>312882</t>
  </si>
  <si>
    <t>Vrindavan, Uttar Pradesh</t>
  </si>
  <si>
    <t>188189</t>
  </si>
  <si>
    <t>CNRB5078078801</t>
  </si>
  <si>
    <t>312894</t>
  </si>
  <si>
    <t>Kaveripakkam, Tamil Nadu</t>
  </si>
  <si>
    <t>223941</t>
  </si>
  <si>
    <t>CNRB24901963101</t>
  </si>
  <si>
    <t>312902</t>
  </si>
  <si>
    <t>223619</t>
  </si>
  <si>
    <t>CNRB21061681201</t>
  </si>
  <si>
    <t>312907</t>
  </si>
  <si>
    <t>240988</t>
  </si>
  <si>
    <t>CNRB5729536801</t>
  </si>
  <si>
    <t>312912</t>
  </si>
  <si>
    <t>222377</t>
  </si>
  <si>
    <t>CNRBSHIBINA</t>
  </si>
  <si>
    <t>312914</t>
  </si>
  <si>
    <t>256341</t>
  </si>
  <si>
    <t>CNRB2015</t>
  </si>
  <si>
    <t>312918</t>
  </si>
  <si>
    <t>189376</t>
  </si>
  <si>
    <t>CNRB25076547501</t>
  </si>
  <si>
    <t>312929</t>
  </si>
  <si>
    <t>260719</t>
  </si>
  <si>
    <t>CNRB10973993201</t>
  </si>
  <si>
    <t>312932</t>
  </si>
  <si>
    <t>256398</t>
  </si>
  <si>
    <t>CNRB9027686801</t>
  </si>
  <si>
    <t>312978</t>
  </si>
  <si>
    <t>278062</t>
  </si>
  <si>
    <t>CNRB123831408</t>
  </si>
  <si>
    <t>312980</t>
  </si>
  <si>
    <t>260891</t>
  </si>
  <si>
    <t>CNRB22658663101</t>
  </si>
  <si>
    <t>312982</t>
  </si>
  <si>
    <t>256651</t>
  </si>
  <si>
    <t>CNRB113191268</t>
  </si>
  <si>
    <t>312984</t>
  </si>
  <si>
    <t>243125</t>
  </si>
  <si>
    <t>CNRB8086702701</t>
  </si>
  <si>
    <t>312985</t>
  </si>
  <si>
    <t>260060</t>
  </si>
  <si>
    <t>CNRB7726148901</t>
  </si>
  <si>
    <t>312990</t>
  </si>
  <si>
    <t>256655</t>
  </si>
  <si>
    <t>CNRB9589228401</t>
  </si>
  <si>
    <t>312991</t>
  </si>
  <si>
    <t>266684</t>
  </si>
  <si>
    <t>CNRB1043343281</t>
  </si>
  <si>
    <t>313036</t>
  </si>
  <si>
    <t>241004</t>
  </si>
  <si>
    <t>CNRB1043343282</t>
  </si>
  <si>
    <t>313037</t>
  </si>
  <si>
    <t>241005</t>
  </si>
  <si>
    <t>CNRB1043343283</t>
  </si>
  <si>
    <t>313038</t>
  </si>
  <si>
    <t>241006</t>
  </si>
  <si>
    <t>CNRB253120096</t>
  </si>
  <si>
    <t>313108</t>
  </si>
  <si>
    <t>245980</t>
  </si>
  <si>
    <t>CNRB8157918901</t>
  </si>
  <si>
    <t>313167</t>
  </si>
  <si>
    <t>Kalambur, Tamil Nadu</t>
  </si>
  <si>
    <t>233200</t>
  </si>
  <si>
    <t>CNRB319051366</t>
  </si>
  <si>
    <t>313213</t>
  </si>
  <si>
    <t>265673</t>
  </si>
  <si>
    <t>CNRB119700585</t>
  </si>
  <si>
    <t>313350</t>
  </si>
  <si>
    <t>200015</t>
  </si>
  <si>
    <t>CNRB245359646</t>
  </si>
  <si>
    <t>313379</t>
  </si>
  <si>
    <t>230228</t>
  </si>
  <si>
    <t>CNRB974726902</t>
  </si>
  <si>
    <t>313386</t>
  </si>
  <si>
    <t>282448</t>
  </si>
  <si>
    <t>CNRB94326933</t>
  </si>
  <si>
    <t>313494</t>
  </si>
  <si>
    <t>Cheleri, Kerala</t>
  </si>
  <si>
    <t>240189</t>
  </si>
  <si>
    <t>CNRB113769689C</t>
  </si>
  <si>
    <t>313530</t>
  </si>
  <si>
    <t>253037</t>
  </si>
  <si>
    <t>CNRB3262002</t>
  </si>
  <si>
    <t>313559</t>
  </si>
  <si>
    <t>255931</t>
  </si>
  <si>
    <t>CNRB1440019</t>
  </si>
  <si>
    <t>313569</t>
  </si>
  <si>
    <t>244728</t>
  </si>
  <si>
    <t>CNRB1890003</t>
  </si>
  <si>
    <t>313578</t>
  </si>
  <si>
    <t>Edakalinadu, Tamil Nadu</t>
  </si>
  <si>
    <t>225534</t>
  </si>
  <si>
    <t>CNRB2806001</t>
  </si>
  <si>
    <t>313586</t>
  </si>
  <si>
    <t>222391</t>
  </si>
  <si>
    <t>CNRB65664987C</t>
  </si>
  <si>
    <t>313593</t>
  </si>
  <si>
    <t>244626</t>
  </si>
  <si>
    <t>CNRB65664987D</t>
  </si>
  <si>
    <t>313613</t>
  </si>
  <si>
    <t>244714</t>
  </si>
  <si>
    <t>CNRBVEERA</t>
  </si>
  <si>
    <t>313665</t>
  </si>
  <si>
    <t>286069</t>
  </si>
  <si>
    <t>CNRBVEERA3</t>
  </si>
  <si>
    <t>313673</t>
  </si>
  <si>
    <t>286068</t>
  </si>
  <si>
    <t>CNRBVEERA2</t>
  </si>
  <si>
    <t>313684</t>
  </si>
  <si>
    <t>286067</t>
  </si>
  <si>
    <t>CNRB108371488</t>
  </si>
  <si>
    <t>313972</t>
  </si>
  <si>
    <t>251961</t>
  </si>
  <si>
    <t>CNRB25482162701</t>
  </si>
  <si>
    <t>314041</t>
  </si>
  <si>
    <t>280181</t>
  </si>
  <si>
    <t>CNRB3497101831114</t>
  </si>
  <si>
    <t>314060</t>
  </si>
  <si>
    <t>243009</t>
  </si>
  <si>
    <t>CNRB107775799</t>
  </si>
  <si>
    <t>314063</t>
  </si>
  <si>
    <t>243015</t>
  </si>
  <si>
    <t>CNRB313433764</t>
  </si>
  <si>
    <t>314065</t>
  </si>
  <si>
    <t>276767</t>
  </si>
  <si>
    <t>CNRB260240604</t>
  </si>
  <si>
    <t>314230</t>
  </si>
  <si>
    <t>279328</t>
  </si>
  <si>
    <t>CNRB253153134</t>
  </si>
  <si>
    <t>314238</t>
  </si>
  <si>
    <t>243132</t>
  </si>
  <si>
    <t>CNRB20722064501</t>
  </si>
  <si>
    <t>314312</t>
  </si>
  <si>
    <t>264206</t>
  </si>
  <si>
    <t>CNRB108620031B</t>
  </si>
  <si>
    <t>314340</t>
  </si>
  <si>
    <t>192551</t>
  </si>
  <si>
    <t>CNRB311509845</t>
  </si>
  <si>
    <t>314359</t>
  </si>
  <si>
    <t>244854</t>
  </si>
  <si>
    <t>CNRB1237285025317A</t>
  </si>
  <si>
    <t>314369</t>
  </si>
  <si>
    <t>Ammapettai, Tamil Nadu</t>
  </si>
  <si>
    <t>192071</t>
  </si>
  <si>
    <t>CNRB12516659101</t>
  </si>
  <si>
    <t>314373</t>
  </si>
  <si>
    <t>280205</t>
  </si>
  <si>
    <t>CNRB1192824591</t>
  </si>
  <si>
    <t>314394</t>
  </si>
  <si>
    <t>241584</t>
  </si>
  <si>
    <t>CNRB935172141</t>
  </si>
  <si>
    <t>314404</t>
  </si>
  <si>
    <t>240999</t>
  </si>
  <si>
    <t>CNRB82003498</t>
  </si>
  <si>
    <t>314598</t>
  </si>
  <si>
    <t>Cheriyamundam, Kerala</t>
  </si>
  <si>
    <t>244782</t>
  </si>
  <si>
    <t>CNRB314359726</t>
  </si>
  <si>
    <t>314758</t>
  </si>
  <si>
    <t>270968</t>
  </si>
  <si>
    <t>CNRB314359726LB</t>
  </si>
  <si>
    <t>314802</t>
  </si>
  <si>
    <t>270998</t>
  </si>
  <si>
    <t>CNRB313428546</t>
  </si>
  <si>
    <t>314850</t>
  </si>
  <si>
    <t>252565</t>
  </si>
  <si>
    <t>CNRB160000540497</t>
  </si>
  <si>
    <t>314855</t>
  </si>
  <si>
    <t>243108</t>
  </si>
  <si>
    <t>CNRB11146708</t>
  </si>
  <si>
    <t>314859</t>
  </si>
  <si>
    <t>243545</t>
  </si>
  <si>
    <t>CNRB26000570201</t>
  </si>
  <si>
    <t>314864</t>
  </si>
  <si>
    <t>272007</t>
  </si>
  <si>
    <t>CNRB21802706</t>
  </si>
  <si>
    <t>314869</t>
  </si>
  <si>
    <t>243036</t>
  </si>
  <si>
    <t>CNRB2790105568505</t>
  </si>
  <si>
    <t>314871</t>
  </si>
  <si>
    <t>Alamcode, Kerala</t>
  </si>
  <si>
    <t>243008</t>
  </si>
  <si>
    <t>CNRB8926747001</t>
  </si>
  <si>
    <t>314876</t>
  </si>
  <si>
    <t>KADAKKAL, Kerala</t>
  </si>
  <si>
    <t>280147</t>
  </si>
  <si>
    <t>CNRB322239620</t>
  </si>
  <si>
    <t>314906</t>
  </si>
  <si>
    <t>287357</t>
  </si>
  <si>
    <t>CNRB109754519I</t>
  </si>
  <si>
    <t>315116</t>
  </si>
  <si>
    <t>278315</t>
  </si>
  <si>
    <t>CNRB109754519II</t>
  </si>
  <si>
    <t>315125</t>
  </si>
  <si>
    <t>278317</t>
  </si>
  <si>
    <t>CNRB109754519III</t>
  </si>
  <si>
    <t>315132</t>
  </si>
  <si>
    <t>278318</t>
  </si>
  <si>
    <t>CNRB109754519IV</t>
  </si>
  <si>
    <t>315142</t>
  </si>
  <si>
    <t>Damalerimuthur, Tamil Nadu</t>
  </si>
  <si>
    <t>278319</t>
  </si>
  <si>
    <t>CNRB109754519V</t>
  </si>
  <si>
    <t>315150</t>
  </si>
  <si>
    <t>Velankanni, Tamil Nadu</t>
  </si>
  <si>
    <t>278320</t>
  </si>
  <si>
    <t>CNRB71535722</t>
  </si>
  <si>
    <t>315291</t>
  </si>
  <si>
    <t>273333</t>
  </si>
  <si>
    <t>CNRB238269345</t>
  </si>
  <si>
    <t>315298</t>
  </si>
  <si>
    <t>Nandur Kesartigi Industrial Area, Karnataka</t>
  </si>
  <si>
    <t>247691</t>
  </si>
  <si>
    <t>CNRB62102727</t>
  </si>
  <si>
    <t>315315</t>
  </si>
  <si>
    <t>Sedam, Karnataka</t>
  </si>
  <si>
    <t>245536</t>
  </si>
  <si>
    <t>CNRB231517650</t>
  </si>
  <si>
    <t>315322</t>
  </si>
  <si>
    <t>279922</t>
  </si>
  <si>
    <t>CNRB23645712101</t>
  </si>
  <si>
    <t>315330</t>
  </si>
  <si>
    <t>266825</t>
  </si>
  <si>
    <t>CNRB103881977</t>
  </si>
  <si>
    <t>315333</t>
  </si>
  <si>
    <t>Shahabad ACC, Karnataka</t>
  </si>
  <si>
    <t>248144</t>
  </si>
  <si>
    <t>CNRB77080719</t>
  </si>
  <si>
    <t>315380</t>
  </si>
  <si>
    <t>Panayam, Kerala</t>
  </si>
  <si>
    <t>264693</t>
  </si>
  <si>
    <t>CNRB103184622</t>
  </si>
  <si>
    <t>315395</t>
  </si>
  <si>
    <t>264426</t>
  </si>
  <si>
    <t>CNRB11260003001</t>
  </si>
  <si>
    <t>315415</t>
  </si>
  <si>
    <t>276290</t>
  </si>
  <si>
    <t>CNRB307518525</t>
  </si>
  <si>
    <t>315416</t>
  </si>
  <si>
    <t>243116</t>
  </si>
  <si>
    <t>CNRB113465579C</t>
  </si>
  <si>
    <t>315477</t>
  </si>
  <si>
    <t>217984</t>
  </si>
  <si>
    <t>CNRB94560953</t>
  </si>
  <si>
    <t>315545</t>
  </si>
  <si>
    <t>202393</t>
  </si>
  <si>
    <t>CNRB201792677LB</t>
  </si>
  <si>
    <t>315975</t>
  </si>
  <si>
    <t>287638</t>
  </si>
  <si>
    <t>CNRB325303908POOJA02</t>
  </si>
  <si>
    <t>316352</t>
  </si>
  <si>
    <t>265621</t>
  </si>
  <si>
    <t>CNRB325303908POOJA01</t>
  </si>
  <si>
    <t>316367</t>
  </si>
  <si>
    <t>265615</t>
  </si>
  <si>
    <t>CNRBA259075183</t>
  </si>
  <si>
    <t>316394</t>
  </si>
  <si>
    <t>286985</t>
  </si>
  <si>
    <t>CNRB28839149ILANGOVALEN</t>
  </si>
  <si>
    <t>316485</t>
  </si>
  <si>
    <t>241703</t>
  </si>
  <si>
    <t>CNRB313868907ALIYA1</t>
  </si>
  <si>
    <t>316580</t>
  </si>
  <si>
    <t>284160</t>
  </si>
  <si>
    <t>CNRB314475741SARKKARI1</t>
  </si>
  <si>
    <t>316585</t>
  </si>
  <si>
    <t>284165</t>
  </si>
  <si>
    <t>CNRB12273391102</t>
  </si>
  <si>
    <t>310276</t>
  </si>
  <si>
    <t>30-06-2026 13:30</t>
  </si>
  <si>
    <t>284081</t>
  </si>
  <si>
    <t>CNRB12273391101</t>
  </si>
  <si>
    <t>310281</t>
  </si>
  <si>
    <t>284080</t>
  </si>
  <si>
    <t>CNRB12273391103</t>
  </si>
  <si>
    <t>310282</t>
  </si>
  <si>
    <t>284082</t>
  </si>
  <si>
    <t>CNRB90936029</t>
  </si>
  <si>
    <t>311318</t>
  </si>
  <si>
    <t>267231</t>
  </si>
  <si>
    <t>CNRB123498477</t>
  </si>
  <si>
    <t>313810</t>
  </si>
  <si>
    <t>284132</t>
  </si>
  <si>
    <t>PUNB91B26724712</t>
  </si>
  <si>
    <t>315527</t>
  </si>
  <si>
    <t>30-06-2026 15:30</t>
  </si>
  <si>
    <t>230445</t>
  </si>
  <si>
    <t>PUNB42R56608079</t>
  </si>
  <si>
    <t>315639</t>
  </si>
  <si>
    <t>180277</t>
  </si>
  <si>
    <t>PUNBU63885017</t>
  </si>
  <si>
    <t>315645</t>
  </si>
  <si>
    <t>Kanaidighi, Marishda, West Bengal</t>
  </si>
  <si>
    <t>259661</t>
  </si>
  <si>
    <t>CNRB95617953A</t>
  </si>
  <si>
    <t>315754</t>
  </si>
  <si>
    <t>04-08-2026 12:30</t>
  </si>
  <si>
    <t>247211</t>
  </si>
  <si>
    <t>CNRB14452001</t>
  </si>
  <si>
    <t>300616</t>
  </si>
  <si>
    <t>279665</t>
  </si>
  <si>
    <t>CNRB6820MAHARASHTRA</t>
  </si>
  <si>
    <t>306477</t>
  </si>
  <si>
    <t>Deoli, Maharashtra</t>
  </si>
  <si>
    <t>250330</t>
  </si>
  <si>
    <t>CNRBNGP15250SONANASHIK</t>
  </si>
  <si>
    <t>308867</t>
  </si>
  <si>
    <t>241218</t>
  </si>
  <si>
    <t>CNRBGALAXY</t>
  </si>
  <si>
    <t>310280</t>
  </si>
  <si>
    <t>Annur, Tamil Nadu</t>
  </si>
  <si>
    <t>276931</t>
  </si>
  <si>
    <t>CNRB6820MAHARASHTRA1</t>
  </si>
  <si>
    <t>310864</t>
  </si>
  <si>
    <t>250335</t>
  </si>
  <si>
    <t>CNRB118975937001</t>
  </si>
  <si>
    <t>311404</t>
  </si>
  <si>
    <t>276773</t>
  </si>
  <si>
    <t>CNRB308816181</t>
  </si>
  <si>
    <t>311608</t>
  </si>
  <si>
    <t>Arumanai, Tamil Nadu</t>
  </si>
  <si>
    <t>244717</t>
  </si>
  <si>
    <t>CNRBAFZAL</t>
  </si>
  <si>
    <t>312136</t>
  </si>
  <si>
    <t>282298</t>
  </si>
  <si>
    <t>CNRBISWARAYYA</t>
  </si>
  <si>
    <t>312178</t>
  </si>
  <si>
    <t>Khanapur, Karnataka</t>
  </si>
  <si>
    <t>255921</t>
  </si>
  <si>
    <t>CNRB113438225002</t>
  </si>
  <si>
    <t>312185</t>
  </si>
  <si>
    <t>Periyakulam, Tamil Nadu</t>
  </si>
  <si>
    <t>241511</t>
  </si>
  <si>
    <t>CNRBPARWATI</t>
  </si>
  <si>
    <t>312200</t>
  </si>
  <si>
    <t>249030</t>
  </si>
  <si>
    <t>CNRB55805</t>
  </si>
  <si>
    <t>312272</t>
  </si>
  <si>
    <t>229516</t>
  </si>
  <si>
    <t>CNRBramling</t>
  </si>
  <si>
    <t>312287</t>
  </si>
  <si>
    <t>279280</t>
  </si>
  <si>
    <t>CNRBIMATAJ</t>
  </si>
  <si>
    <t>312292</t>
  </si>
  <si>
    <t>263549</t>
  </si>
  <si>
    <t>CNRBJAYAK</t>
  </si>
  <si>
    <t>312304</t>
  </si>
  <si>
    <t>259823</t>
  </si>
  <si>
    <t>CNRBCHANMAVIN</t>
  </si>
  <si>
    <t>312315</t>
  </si>
  <si>
    <t>275581</t>
  </si>
  <si>
    <t>CNRB1056702</t>
  </si>
  <si>
    <t>312321</t>
  </si>
  <si>
    <t>202935</t>
  </si>
  <si>
    <t>CNRB59601</t>
  </si>
  <si>
    <t>312388</t>
  </si>
  <si>
    <t>200755</t>
  </si>
  <si>
    <t>CNRB237212498</t>
  </si>
  <si>
    <t>312424</t>
  </si>
  <si>
    <t>Thiruvithancode, Tamil Nadu</t>
  </si>
  <si>
    <t>246743</t>
  </si>
  <si>
    <t>CNRB11381099001</t>
  </si>
  <si>
    <t>312434</t>
  </si>
  <si>
    <t>268658</t>
  </si>
  <si>
    <t>CNRB95598596001</t>
  </si>
  <si>
    <t>312437</t>
  </si>
  <si>
    <t>Adiramapattinam, Tamil Nadu</t>
  </si>
  <si>
    <t>241504</t>
  </si>
  <si>
    <t>CNRB95598596002</t>
  </si>
  <si>
    <t>312444</t>
  </si>
  <si>
    <t>241499</t>
  </si>
  <si>
    <t>CNRBMANIK</t>
  </si>
  <si>
    <t>312736</t>
  </si>
  <si>
    <t>245946</t>
  </si>
  <si>
    <t>CNRB1054201</t>
  </si>
  <si>
    <t>312744</t>
  </si>
  <si>
    <t>201705</t>
  </si>
  <si>
    <t>CNRBLATTE</t>
  </si>
  <si>
    <t>312751</t>
  </si>
  <si>
    <t>262540</t>
  </si>
  <si>
    <t>CNRB1051403</t>
  </si>
  <si>
    <t>312761</t>
  </si>
  <si>
    <t>218296</t>
  </si>
  <si>
    <t>CNRB1050602</t>
  </si>
  <si>
    <t>312779</t>
  </si>
  <si>
    <t>Ramdurg, Karnataka</t>
  </si>
  <si>
    <t>225321</t>
  </si>
  <si>
    <t>CNRB69102</t>
  </si>
  <si>
    <t>312799</t>
  </si>
  <si>
    <t>201718</t>
  </si>
  <si>
    <t>CNRB69101</t>
  </si>
  <si>
    <t>312824</t>
  </si>
  <si>
    <t>200773</t>
  </si>
  <si>
    <t>CNRB1051902</t>
  </si>
  <si>
    <t>312897</t>
  </si>
  <si>
    <t>225311</t>
  </si>
  <si>
    <t>CNRBthomas</t>
  </si>
  <si>
    <t>313043</t>
  </si>
  <si>
    <t>Kaliyakkavilai, Tamil Nadu</t>
  </si>
  <si>
    <t>241687</t>
  </si>
  <si>
    <t>CNRBSWATIR</t>
  </si>
  <si>
    <t>313093</t>
  </si>
  <si>
    <t>260907</t>
  </si>
  <si>
    <t>CNRB69105</t>
  </si>
  <si>
    <t>313157</t>
  </si>
  <si>
    <t>235651</t>
  </si>
  <si>
    <t>CNRBLAXMIP</t>
  </si>
  <si>
    <t>313467</t>
  </si>
  <si>
    <t>282745</t>
  </si>
  <si>
    <t>CNRBSHRAWANJPRASAD</t>
  </si>
  <si>
    <t>313472</t>
  </si>
  <si>
    <t>244701</t>
  </si>
  <si>
    <t>CNRBSURAJTRA1</t>
  </si>
  <si>
    <t>313493</t>
  </si>
  <si>
    <t>244709</t>
  </si>
  <si>
    <t>CNRBKAMLESHWAHANE</t>
  </si>
  <si>
    <t>313506</t>
  </si>
  <si>
    <t>286318</t>
  </si>
  <si>
    <t>CNRB1051702</t>
  </si>
  <si>
    <t>313543</t>
  </si>
  <si>
    <t>218295</t>
  </si>
  <si>
    <t>CNRBFAKIR</t>
  </si>
  <si>
    <t>313554</t>
  </si>
  <si>
    <t>279250</t>
  </si>
  <si>
    <t>CNRBTULSAMMA</t>
  </si>
  <si>
    <t>313570</t>
  </si>
  <si>
    <t>246017</t>
  </si>
  <si>
    <t>CNRB1056701</t>
  </si>
  <si>
    <t>313722</t>
  </si>
  <si>
    <t>202931</t>
  </si>
  <si>
    <t>CNRB064936511</t>
  </si>
  <si>
    <t>314492</t>
  </si>
  <si>
    <t>Annanji, Tamil Nadu</t>
  </si>
  <si>
    <t>283452</t>
  </si>
  <si>
    <t>CNRB58003</t>
  </si>
  <si>
    <t>314996</t>
  </si>
  <si>
    <t>218290</t>
  </si>
  <si>
    <t>CNRB79099378</t>
  </si>
  <si>
    <t>317346</t>
  </si>
  <si>
    <t>201415</t>
  </si>
  <si>
    <t>CNRB216453606</t>
  </si>
  <si>
    <t>307507</t>
  </si>
  <si>
    <t>244188</t>
  </si>
  <si>
    <t>CNRB92428221</t>
  </si>
  <si>
    <t>307527</t>
  </si>
  <si>
    <t>242314</t>
  </si>
  <si>
    <t>CNRB28899924</t>
  </si>
  <si>
    <t>307538</t>
  </si>
  <si>
    <t>242331</t>
  </si>
  <si>
    <t>CNRB246589450</t>
  </si>
  <si>
    <t>307576</t>
  </si>
  <si>
    <t>242335</t>
  </si>
  <si>
    <t>CNRB69062445</t>
  </si>
  <si>
    <t>307597</t>
  </si>
  <si>
    <t>242499</t>
  </si>
  <si>
    <t>CNRB69189660</t>
  </si>
  <si>
    <t>307604</t>
  </si>
  <si>
    <t>242317</t>
  </si>
  <si>
    <t>CNRB240063448</t>
  </si>
  <si>
    <t>307614</t>
  </si>
  <si>
    <t>242326</t>
  </si>
  <si>
    <t>CNRB249285390</t>
  </si>
  <si>
    <t>307624</t>
  </si>
  <si>
    <t>242329</t>
  </si>
  <si>
    <t>CNRB242965919</t>
  </si>
  <si>
    <t>307626</t>
  </si>
  <si>
    <t>242323</t>
  </si>
  <si>
    <t>CNRB568341590</t>
  </si>
  <si>
    <t>307639</t>
  </si>
  <si>
    <t>255153</t>
  </si>
  <si>
    <t>CNRB123638813</t>
  </si>
  <si>
    <t>309869</t>
  </si>
  <si>
    <t>Chintamani, Karnataka</t>
  </si>
  <si>
    <t>242324</t>
  </si>
  <si>
    <t>CNRBNAGA</t>
  </si>
  <si>
    <t>312018</t>
  </si>
  <si>
    <t>201872</t>
  </si>
  <si>
    <t>CNRBBIRCH2</t>
  </si>
  <si>
    <t>312034</t>
  </si>
  <si>
    <t>Manpur, Madhya Pradesh</t>
  </si>
  <si>
    <t>279439</t>
  </si>
  <si>
    <t>CNRB222307677</t>
  </si>
  <si>
    <t>313169</t>
  </si>
  <si>
    <t>Balkundi Industrial Area, Karnataka</t>
  </si>
  <si>
    <t>212125</t>
  </si>
  <si>
    <t>CNRB236085706</t>
  </si>
  <si>
    <t>313268</t>
  </si>
  <si>
    <t>Mudhol, Karnataka</t>
  </si>
  <si>
    <t>197580</t>
  </si>
  <si>
    <t>CNRB227198515</t>
  </si>
  <si>
    <t>313292</t>
  </si>
  <si>
    <t>Hungund, Karnataka</t>
  </si>
  <si>
    <t>270081</t>
  </si>
  <si>
    <t>CNRB240196452</t>
  </si>
  <si>
    <t>313307</t>
  </si>
  <si>
    <t>238472</t>
  </si>
  <si>
    <t>CNRB17806921</t>
  </si>
  <si>
    <t>313452</t>
  </si>
  <si>
    <t>264530</t>
  </si>
  <si>
    <t>CNRB254697</t>
  </si>
  <si>
    <t>313465</t>
  </si>
  <si>
    <t>276250</t>
  </si>
  <si>
    <t>CNRB2546210</t>
  </si>
  <si>
    <t>313474</t>
  </si>
  <si>
    <t>Industrial Area Rudhi Bhavsingpura, Madhya Pradesh</t>
  </si>
  <si>
    <t>259602</t>
  </si>
  <si>
    <t>CNRB17801286</t>
  </si>
  <si>
    <t>313485</t>
  </si>
  <si>
    <t>Bhicholi Hapsi, Madhya Pradesh</t>
  </si>
  <si>
    <t>276172</t>
  </si>
  <si>
    <t>CNRBVIJAYAMOHITE</t>
  </si>
  <si>
    <t>314472</t>
  </si>
  <si>
    <t>Latur, Maharashtra</t>
  </si>
  <si>
    <t>287207</t>
  </si>
  <si>
    <t>CNRB1833001</t>
  </si>
  <si>
    <t>313321</t>
  </si>
  <si>
    <t>Kumher, Rajasthan</t>
  </si>
  <si>
    <t>189029</t>
  </si>
  <si>
    <t>CNRB242199176</t>
  </si>
  <si>
    <t>314413</t>
  </si>
  <si>
    <t>TONK, Rajasthan</t>
  </si>
  <si>
    <t>238623</t>
  </si>
  <si>
    <t>SBIN200034571388</t>
  </si>
  <si>
    <t>306848</t>
  </si>
  <si>
    <t>274531</t>
  </si>
  <si>
    <t>CNRB160000907917</t>
  </si>
  <si>
    <t>310105</t>
  </si>
  <si>
    <t>Thrikkodithanam, Kerala</t>
  </si>
  <si>
    <t>242751</t>
  </si>
  <si>
    <t>SBIN200014853723</t>
  </si>
  <si>
    <t>313064</t>
  </si>
  <si>
    <t>256013</t>
  </si>
  <si>
    <t>SBIN20000812648</t>
  </si>
  <si>
    <t>314388</t>
  </si>
  <si>
    <t>Curchorem, Goa</t>
  </si>
  <si>
    <t>259351</t>
  </si>
  <si>
    <t>SBIN200065380288</t>
  </si>
  <si>
    <t>314513</t>
  </si>
  <si>
    <t>258161</t>
  </si>
  <si>
    <t>UBINHYDKOT5866</t>
  </si>
  <si>
    <t>310162</t>
  </si>
  <si>
    <t>Farooqnagar, Telangana</t>
  </si>
  <si>
    <t>285977</t>
  </si>
  <si>
    <t>UBINHYDKOT5040</t>
  </si>
  <si>
    <t>311979</t>
  </si>
  <si>
    <t>273945</t>
  </si>
  <si>
    <t>UBINHYDARB9957</t>
  </si>
  <si>
    <t>314981</t>
  </si>
  <si>
    <t>32909</t>
  </si>
  <si>
    <t>UBINHYDARB5258B</t>
  </si>
  <si>
    <t>315098</t>
  </si>
  <si>
    <t>112693</t>
  </si>
  <si>
    <t>UBINHYDARB3907</t>
  </si>
  <si>
    <t>315313</t>
  </si>
  <si>
    <t>216130</t>
  </si>
  <si>
    <t>UBINHYDARB0228A</t>
  </si>
  <si>
    <t>315332</t>
  </si>
  <si>
    <t>232142</t>
  </si>
  <si>
    <t>UBINHYDARB0228B</t>
  </si>
  <si>
    <t>315336</t>
  </si>
  <si>
    <t>232143</t>
  </si>
  <si>
    <t>UBINHYDARB0228C</t>
  </si>
  <si>
    <t>315339</t>
  </si>
  <si>
    <t>232144</t>
  </si>
  <si>
    <t>UBINHYDARB3172</t>
  </si>
  <si>
    <t>315633</t>
  </si>
  <si>
    <t>99549</t>
  </si>
  <si>
    <t>UBINHYDARB0413</t>
  </si>
  <si>
    <t>315638</t>
  </si>
  <si>
    <t>235703</t>
  </si>
  <si>
    <t>UBINDELSAM1788</t>
  </si>
  <si>
    <t>316161</t>
  </si>
  <si>
    <t>Chhata, Uttar Pradesh</t>
  </si>
  <si>
    <t>277468</t>
  </si>
  <si>
    <t>CNRBVIJAYASHIVA</t>
  </si>
  <si>
    <t>301680</t>
  </si>
  <si>
    <t>Chennimalai, Tamil Nadu</t>
  </si>
  <si>
    <t>284894</t>
  </si>
  <si>
    <t>CNRB112189302</t>
  </si>
  <si>
    <t>304865</t>
  </si>
  <si>
    <t>285645</t>
  </si>
  <si>
    <t>CNRB205301a</t>
  </si>
  <si>
    <t>305628</t>
  </si>
  <si>
    <t>Pinagwan, Haryana</t>
  </si>
  <si>
    <t>285848</t>
  </si>
  <si>
    <t>CNRB2380261006195</t>
  </si>
  <si>
    <t>308853</t>
  </si>
  <si>
    <t>Pudussery, Kerala</t>
  </si>
  <si>
    <t>191117</t>
  </si>
  <si>
    <t>CNRB2380261006195C</t>
  </si>
  <si>
    <t>308871</t>
  </si>
  <si>
    <t>191167</t>
  </si>
  <si>
    <t>CNRB2380261006195H</t>
  </si>
  <si>
    <t>308909</t>
  </si>
  <si>
    <t>191213</t>
  </si>
  <si>
    <t>CNRB2380261006195A</t>
  </si>
  <si>
    <t>308919</t>
  </si>
  <si>
    <t>191133</t>
  </si>
  <si>
    <t>CNRB2380261006195E</t>
  </si>
  <si>
    <t>308934</t>
  </si>
  <si>
    <t>191175</t>
  </si>
  <si>
    <t>CNRB2380261006195F</t>
  </si>
  <si>
    <t>308953</t>
  </si>
  <si>
    <t>191183</t>
  </si>
  <si>
    <t>CNRB2380261006195B</t>
  </si>
  <si>
    <t>308962</t>
  </si>
  <si>
    <t>191139</t>
  </si>
  <si>
    <t>CNRB2380261006195J</t>
  </si>
  <si>
    <t>308969</t>
  </si>
  <si>
    <t>191224</t>
  </si>
  <si>
    <t>CNRB2380261006195D</t>
  </si>
  <si>
    <t>309054</t>
  </si>
  <si>
    <t>191169</t>
  </si>
  <si>
    <t>CNRBRAJBOOK</t>
  </si>
  <si>
    <t>311000</t>
  </si>
  <si>
    <t>286736</t>
  </si>
  <si>
    <t>CNRBOMENTPRISES</t>
  </si>
  <si>
    <t>311019</t>
  </si>
  <si>
    <t>286729</t>
  </si>
  <si>
    <t>CNRBKISSANFLAT</t>
  </si>
  <si>
    <t>311366</t>
  </si>
  <si>
    <t>262932</t>
  </si>
  <si>
    <t>CNRBKISSAN1</t>
  </si>
  <si>
    <t>311373</t>
  </si>
  <si>
    <t>262930</t>
  </si>
  <si>
    <t>CNRBGUDIAHL</t>
  </si>
  <si>
    <t>312325</t>
  </si>
  <si>
    <t>246844</t>
  </si>
  <si>
    <t>CNRB255136003</t>
  </si>
  <si>
    <t>312925</t>
  </si>
  <si>
    <t>243665</t>
  </si>
  <si>
    <t>CNRB18837</t>
  </si>
  <si>
    <t>312931</t>
  </si>
  <si>
    <t>259300</t>
  </si>
  <si>
    <t>CNRBJOANANJELIAN</t>
  </si>
  <si>
    <t>313046</t>
  </si>
  <si>
    <t>Keeranur, Tamil Nadu</t>
  </si>
  <si>
    <t>240577</t>
  </si>
  <si>
    <t>CNRBHEMAVATHI</t>
  </si>
  <si>
    <t>313082</t>
  </si>
  <si>
    <t>279429</t>
  </si>
  <si>
    <t>CNRBGANDHI</t>
  </si>
  <si>
    <t>313107</t>
  </si>
  <si>
    <t>278428</t>
  </si>
  <si>
    <t>CNRB921061030017</t>
  </si>
  <si>
    <t>315131</t>
  </si>
  <si>
    <t>250512</t>
  </si>
  <si>
    <t>CNRB214346195</t>
  </si>
  <si>
    <t>311093</t>
  </si>
  <si>
    <t>30-06-2026 14:30</t>
  </si>
  <si>
    <t>199711</t>
  </si>
  <si>
    <t>CNRB244569715</t>
  </si>
  <si>
    <t>311101</t>
  </si>
  <si>
    <t>Rahata, Maharashtra</t>
  </si>
  <si>
    <t>204939</t>
  </si>
  <si>
    <t>CNRB105787216001</t>
  </si>
  <si>
    <t>311217</t>
  </si>
  <si>
    <t>260641</t>
  </si>
  <si>
    <t>CNRB236334617</t>
  </si>
  <si>
    <t>311223</t>
  </si>
  <si>
    <t>200690</t>
  </si>
  <si>
    <t>CNRB36028468HOUSE</t>
  </si>
  <si>
    <t>311228</t>
  </si>
  <si>
    <t>248419</t>
  </si>
  <si>
    <t>CNRB234969669</t>
  </si>
  <si>
    <t>311236</t>
  </si>
  <si>
    <t>199216</t>
  </si>
  <si>
    <t>CNRB105124368001</t>
  </si>
  <si>
    <t>311266</t>
  </si>
  <si>
    <t>243068</t>
  </si>
  <si>
    <t>CNRB55097219XHL</t>
  </si>
  <si>
    <t>311323</t>
  </si>
  <si>
    <t>247208</t>
  </si>
  <si>
    <t>CNRB116223129003</t>
  </si>
  <si>
    <t>311337</t>
  </si>
  <si>
    <t>Jamkhed, Maharashtra</t>
  </si>
  <si>
    <t>253239</t>
  </si>
  <si>
    <t>CNRB54364805</t>
  </si>
  <si>
    <t>311342</t>
  </si>
  <si>
    <t>283086</t>
  </si>
  <si>
    <t>CNRB202464298</t>
  </si>
  <si>
    <t>312168</t>
  </si>
  <si>
    <t>228472</t>
  </si>
  <si>
    <t>CBIN028425801</t>
  </si>
  <si>
    <t>314247</t>
  </si>
  <si>
    <t>Kundam, Madhya Pradesh</t>
  </si>
  <si>
    <t>260570</t>
  </si>
  <si>
    <t>CBIN028368901</t>
  </si>
  <si>
    <t>314279</t>
  </si>
  <si>
    <t>271232</t>
  </si>
  <si>
    <t>CBIN0281986SAKSHAM</t>
  </si>
  <si>
    <t>316694</t>
  </si>
  <si>
    <t>287799</t>
  </si>
  <si>
    <t>CNRB105890502</t>
  </si>
  <si>
    <t>305622</t>
  </si>
  <si>
    <t>Gejjalagere Industrial Area, Karnataka</t>
  </si>
  <si>
    <t>285856</t>
  </si>
  <si>
    <t>CNRB105890502A</t>
  </si>
  <si>
    <t>305627</t>
  </si>
  <si>
    <t>285859</t>
  </si>
  <si>
    <t>CNRB105890502B</t>
  </si>
  <si>
    <t>305632</t>
  </si>
  <si>
    <t>285861</t>
  </si>
  <si>
    <t>CNRB206611582</t>
  </si>
  <si>
    <t>312635</t>
  </si>
  <si>
    <t>Vaghodia, Gujarat</t>
  </si>
  <si>
    <t>202568</t>
  </si>
  <si>
    <t>CNRB3247843944</t>
  </si>
  <si>
    <t>315840</t>
  </si>
  <si>
    <t>Kadi, Gujarat</t>
  </si>
  <si>
    <t>269865</t>
  </si>
  <si>
    <t>CNRB3247843945</t>
  </si>
  <si>
    <t>315863</t>
  </si>
  <si>
    <t>269866</t>
  </si>
  <si>
    <t>CNRB3247843946</t>
  </si>
  <si>
    <t>315865</t>
  </si>
  <si>
    <t>269867</t>
  </si>
  <si>
    <t>IOBA203800081</t>
  </si>
  <si>
    <t>309660</t>
  </si>
  <si>
    <t>166704</t>
  </si>
  <si>
    <t>UCBAKANP30500015</t>
  </si>
  <si>
    <t>312549</t>
  </si>
  <si>
    <t>286596</t>
  </si>
  <si>
    <t>UCBAKANP30500014</t>
  </si>
  <si>
    <t>312568</t>
  </si>
  <si>
    <t>286587</t>
  </si>
  <si>
    <t>UCBAKANP11480001</t>
  </si>
  <si>
    <t>312598</t>
  </si>
  <si>
    <t>Rasra, Uttar Pradesh</t>
  </si>
  <si>
    <t>286612</t>
  </si>
  <si>
    <t>UCBAKANP07440003</t>
  </si>
  <si>
    <t>312873</t>
  </si>
  <si>
    <t>286604</t>
  </si>
  <si>
    <t>UCBAMEER02320014</t>
  </si>
  <si>
    <t>317419</t>
  </si>
  <si>
    <t>230857</t>
  </si>
  <si>
    <t>UCBAMEER31690002</t>
  </si>
  <si>
    <t>317436</t>
  </si>
  <si>
    <t>Budaun, Uttar Pradesh</t>
  </si>
  <si>
    <t>248309</t>
  </si>
  <si>
    <t>UCBAMEER31760006</t>
  </si>
  <si>
    <t>317441</t>
  </si>
  <si>
    <t>262920</t>
  </si>
  <si>
    <t>UCBAMEER02320003</t>
  </si>
  <si>
    <t>317455</t>
  </si>
  <si>
    <t>55268</t>
  </si>
  <si>
    <t>UCBAMEER18760002</t>
  </si>
  <si>
    <t>317466</t>
  </si>
  <si>
    <t>230865</t>
  </si>
  <si>
    <t>UCBAMEER18760006</t>
  </si>
  <si>
    <t>317474</t>
  </si>
  <si>
    <t>261903</t>
  </si>
  <si>
    <t>UCBAMEER03320013</t>
  </si>
  <si>
    <t>317492</t>
  </si>
  <si>
    <t>252817</t>
  </si>
  <si>
    <t>UCBAMEER02280001</t>
  </si>
  <si>
    <t>317499</t>
  </si>
  <si>
    <t>56524</t>
  </si>
  <si>
    <t>UCBAMEER02040003</t>
  </si>
  <si>
    <t>317642</t>
  </si>
  <si>
    <t>262820</t>
  </si>
  <si>
    <t>UCBAMEER02320009</t>
  </si>
  <si>
    <t>318291</t>
  </si>
  <si>
    <t>68505</t>
  </si>
  <si>
    <t>CNRB46507740001946</t>
  </si>
  <si>
    <t>288917</t>
  </si>
  <si>
    <t>282836</t>
  </si>
  <si>
    <t>CNRB43559970000045</t>
  </si>
  <si>
    <t>309829</t>
  </si>
  <si>
    <t>185913</t>
  </si>
  <si>
    <t>CNRB4666619000024</t>
  </si>
  <si>
    <t>309836</t>
  </si>
  <si>
    <t>186450</t>
  </si>
  <si>
    <t>CNRB43517740000247</t>
  </si>
  <si>
    <t>309850</t>
  </si>
  <si>
    <t>252616</t>
  </si>
  <si>
    <t>CNRB3870619000011</t>
  </si>
  <si>
    <t>309878</t>
  </si>
  <si>
    <t>275573</t>
  </si>
  <si>
    <t>CNRB6018619000050</t>
  </si>
  <si>
    <t>310151</t>
  </si>
  <si>
    <t>190638</t>
  </si>
  <si>
    <t>CNRB114061901283801</t>
  </si>
  <si>
    <t>310188</t>
  </si>
  <si>
    <t>Aimanam, Kerala</t>
  </si>
  <si>
    <t>275299</t>
  </si>
  <si>
    <t>CNRB5636773000004</t>
  </si>
  <si>
    <t>310210</t>
  </si>
  <si>
    <t>Pala, Kerala</t>
  </si>
  <si>
    <t>190687</t>
  </si>
  <si>
    <t>CNRB43547210000307</t>
  </si>
  <si>
    <t>310228</t>
  </si>
  <si>
    <t>Athirampuzha, Kerala</t>
  </si>
  <si>
    <t>249066</t>
  </si>
  <si>
    <t>CNRB46508010009837</t>
  </si>
  <si>
    <t>310236</t>
  </si>
  <si>
    <t>260913</t>
  </si>
  <si>
    <t>CNRB0722619022449</t>
  </si>
  <si>
    <t>310251</t>
  </si>
  <si>
    <t>275600</t>
  </si>
  <si>
    <t>CNRB46509340000010</t>
  </si>
  <si>
    <t>310258</t>
  </si>
  <si>
    <t>277489</t>
  </si>
  <si>
    <t>CNRB4650801000998301</t>
  </si>
  <si>
    <t>310394</t>
  </si>
  <si>
    <t>272194</t>
  </si>
  <si>
    <t>CNRB43509740000504</t>
  </si>
  <si>
    <t>310432</t>
  </si>
  <si>
    <t>198505</t>
  </si>
  <si>
    <t>CNRB4673619000014</t>
  </si>
  <si>
    <t>310477</t>
  </si>
  <si>
    <t>242564</t>
  </si>
  <si>
    <t>IOBA299401</t>
  </si>
  <si>
    <t>314728</t>
  </si>
  <si>
    <t>255764</t>
  </si>
  <si>
    <t>CNRB313660649</t>
  </si>
  <si>
    <t>316841</t>
  </si>
  <si>
    <t>260025</t>
  </si>
  <si>
    <t>CNRBKKMANUFAC</t>
  </si>
  <si>
    <t>314254</t>
  </si>
  <si>
    <t>Akbarpur, Uttar Pradesh</t>
  </si>
  <si>
    <t>187158</t>
  </si>
  <si>
    <t>CNRB0SIMNA0BRICK</t>
  </si>
  <si>
    <t>314275</t>
  </si>
  <si>
    <t>Ashrafpur Kichhauchha, Uttar Pradesh</t>
  </si>
  <si>
    <t>258679</t>
  </si>
  <si>
    <t>CNRB0AJ0SUPREME</t>
  </si>
  <si>
    <t>314304</t>
  </si>
  <si>
    <t>231216</t>
  </si>
  <si>
    <t>CNRB0PAPPU</t>
  </si>
  <si>
    <t>314344</t>
  </si>
  <si>
    <t>268947</t>
  </si>
  <si>
    <t>CNRBsantoshgujrati</t>
  </si>
  <si>
    <t>314353</t>
  </si>
  <si>
    <t>186547</t>
  </si>
  <si>
    <t>CNRBSK0ENTPERPRISES</t>
  </si>
  <si>
    <t>314362</t>
  </si>
  <si>
    <t>Harraiya, Uttar Pradesh</t>
  </si>
  <si>
    <t>223930</t>
  </si>
  <si>
    <t>CNRBSUNILKUMAR18656</t>
  </si>
  <si>
    <t>314368</t>
  </si>
  <si>
    <t>198987</t>
  </si>
  <si>
    <t>CNRBgujrati</t>
  </si>
  <si>
    <t>314374</t>
  </si>
  <si>
    <t>Maghar, Uttar Pradesh</t>
  </si>
  <si>
    <t>186519</t>
  </si>
  <si>
    <t>BARB612920240014</t>
  </si>
  <si>
    <t>308612</t>
  </si>
  <si>
    <t>200076</t>
  </si>
  <si>
    <t>BARB612920240047</t>
  </si>
  <si>
    <t>308622</t>
  </si>
  <si>
    <t>200871</t>
  </si>
  <si>
    <t>BARB612920240073</t>
  </si>
  <si>
    <t>308636</t>
  </si>
  <si>
    <t>207252</t>
  </si>
  <si>
    <t>BARB612920240081</t>
  </si>
  <si>
    <t>308644</t>
  </si>
  <si>
    <t>227001</t>
  </si>
  <si>
    <t>BARB612920240049</t>
  </si>
  <si>
    <t>308648</t>
  </si>
  <si>
    <t>201388</t>
  </si>
  <si>
    <t>BARB3388202501</t>
  </si>
  <si>
    <t>308667</t>
  </si>
  <si>
    <t>279831</t>
  </si>
  <si>
    <t>BARB6042RAMASWAMY</t>
  </si>
  <si>
    <t>310749</t>
  </si>
  <si>
    <t>242232</t>
  </si>
  <si>
    <t>BARB061432024003</t>
  </si>
  <si>
    <t>315960</t>
  </si>
  <si>
    <t>122006</t>
  </si>
  <si>
    <t>BARBAYAZSHAIKH</t>
  </si>
  <si>
    <t>315966</t>
  </si>
  <si>
    <t>245395</t>
  </si>
  <si>
    <t>BARBRAKESH</t>
  </si>
  <si>
    <t>315971</t>
  </si>
  <si>
    <t>219928</t>
  </si>
  <si>
    <t>BARB0VJANDH</t>
  </si>
  <si>
    <t>316154</t>
  </si>
  <si>
    <t>219914</t>
  </si>
  <si>
    <t>BARB061432024010</t>
  </si>
  <si>
    <t>316162</t>
  </si>
  <si>
    <t>198590</t>
  </si>
  <si>
    <t>BARBRAMESHSONAR</t>
  </si>
  <si>
    <t>316171</t>
  </si>
  <si>
    <t>245375</t>
  </si>
  <si>
    <t>BARBMANISHAFLAT201</t>
  </si>
  <si>
    <t>316186</t>
  </si>
  <si>
    <t>254931</t>
  </si>
  <si>
    <t>BARBDHRUVGIRJA</t>
  </si>
  <si>
    <t>316189</t>
  </si>
  <si>
    <t>254939</t>
  </si>
  <si>
    <t>BARBPRITIPAWAR</t>
  </si>
  <si>
    <t>316195</t>
  </si>
  <si>
    <t>254941</t>
  </si>
  <si>
    <t>BARBSANDEEPPATILFLAT404</t>
  </si>
  <si>
    <t>316202</t>
  </si>
  <si>
    <t>279719</t>
  </si>
  <si>
    <t>BARBSAJIDASHRAFFLAT01</t>
  </si>
  <si>
    <t>316205</t>
  </si>
  <si>
    <t>279842</t>
  </si>
  <si>
    <t>BARBSAJIDASHRAFFLAT201</t>
  </si>
  <si>
    <t>316212</t>
  </si>
  <si>
    <t>279838</t>
  </si>
  <si>
    <t>BARBSAHILFATHEFLAT305</t>
  </si>
  <si>
    <t>316217</t>
  </si>
  <si>
    <t>278527</t>
  </si>
  <si>
    <t>BARBPUREALUMINIUMFLAT103</t>
  </si>
  <si>
    <t>316232</t>
  </si>
  <si>
    <t>279694</t>
  </si>
  <si>
    <t>BARBRAKESHMANUKUMARSHAH</t>
  </si>
  <si>
    <t>316289</t>
  </si>
  <si>
    <t>279733</t>
  </si>
  <si>
    <t>BARBVIKASHSINGH</t>
  </si>
  <si>
    <t>316290</t>
  </si>
  <si>
    <t>254654</t>
  </si>
  <si>
    <t>BARBDIWAKARSHETTY</t>
  </si>
  <si>
    <t>316293</t>
  </si>
  <si>
    <t>258265</t>
  </si>
  <si>
    <t>BARBVINODMESTRY</t>
  </si>
  <si>
    <t>316306</t>
  </si>
  <si>
    <t>254935</t>
  </si>
  <si>
    <t>BARBBAKHTAWARFLAT302</t>
  </si>
  <si>
    <t>316314</t>
  </si>
  <si>
    <t>254649</t>
  </si>
  <si>
    <t>BARBANSTAREBELLOFLAT01</t>
  </si>
  <si>
    <t>316584</t>
  </si>
  <si>
    <t>279727</t>
  </si>
  <si>
    <t>BARBDATTATRAYFLATC104</t>
  </si>
  <si>
    <t>316618</t>
  </si>
  <si>
    <t>287769</t>
  </si>
  <si>
    <t>BARBNAZIYABEGUMKHAN</t>
  </si>
  <si>
    <t>313951</t>
  </si>
  <si>
    <t>284623</t>
  </si>
  <si>
    <t>BARBSARAUR124</t>
  </si>
  <si>
    <t>313954</t>
  </si>
  <si>
    <t>64300</t>
  </si>
  <si>
    <t>BARBDNYANESHWARSOLUNKE</t>
  </si>
  <si>
    <t>313957</t>
  </si>
  <si>
    <t>273497</t>
  </si>
  <si>
    <t>BARBSHAIKHLIYAKAT</t>
  </si>
  <si>
    <t>313979</t>
  </si>
  <si>
    <t>273506</t>
  </si>
  <si>
    <t>BARBSUMAIYYA01</t>
  </si>
  <si>
    <t>314069</t>
  </si>
  <si>
    <t>123163</t>
  </si>
  <si>
    <t>BARBPRAKASHPATNI</t>
  </si>
  <si>
    <t>314071</t>
  </si>
  <si>
    <t>271121</t>
  </si>
  <si>
    <t>BARBSARAUR060</t>
  </si>
  <si>
    <t>314082</t>
  </si>
  <si>
    <t>6726</t>
  </si>
  <si>
    <t>BARBNASRINBEGUM</t>
  </si>
  <si>
    <t>314085</t>
  </si>
  <si>
    <t>279549</t>
  </si>
  <si>
    <t>BARBSARAUR065</t>
  </si>
  <si>
    <t>314095</t>
  </si>
  <si>
    <t>58867</t>
  </si>
  <si>
    <t>BARBPOTDARTEN953</t>
  </si>
  <si>
    <t>314113</t>
  </si>
  <si>
    <t>257169</t>
  </si>
  <si>
    <t>BARBSARAUR122</t>
  </si>
  <si>
    <t>314136</t>
  </si>
  <si>
    <t>52890</t>
  </si>
  <si>
    <t>BARBPOTDARTEN952</t>
  </si>
  <si>
    <t>314298</t>
  </si>
  <si>
    <t>107421</t>
  </si>
  <si>
    <t>IDIB0IA1</t>
  </si>
  <si>
    <t>312520</t>
  </si>
  <si>
    <t>Sadak Arjuni, Maharashtra</t>
  </si>
  <si>
    <t>01-07-2026 10:00</t>
  </si>
  <si>
    <t>01-07-2026 17:00</t>
  </si>
  <si>
    <t>261764</t>
  </si>
  <si>
    <t>IDIB0IA2</t>
  </si>
  <si>
    <t>312537</t>
  </si>
  <si>
    <t>Gondia, Maharashtra</t>
  </si>
  <si>
    <t>261766</t>
  </si>
  <si>
    <t>IBKL175084266602</t>
  </si>
  <si>
    <t>311122</t>
  </si>
  <si>
    <t>Irba, Jharkhand</t>
  </si>
  <si>
    <t>01-07-2026 11:00</t>
  </si>
  <si>
    <t>01-07-2026 13:00</t>
  </si>
  <si>
    <t>286588</t>
  </si>
  <si>
    <t>CNRBALFAENTERPRISES</t>
  </si>
  <si>
    <t>315604</t>
  </si>
  <si>
    <t>Balotra, Rajasthan</t>
  </si>
  <si>
    <t>285675</t>
  </si>
  <si>
    <t>SBIN42123912620</t>
  </si>
  <si>
    <t>306776</t>
  </si>
  <si>
    <t>01-07-2026 16:00</t>
  </si>
  <si>
    <t>285682</t>
  </si>
  <si>
    <t>SBIN41258004369</t>
  </si>
  <si>
    <t>306777</t>
  </si>
  <si>
    <t>Tenali, Andhra Pradesh</t>
  </si>
  <si>
    <t>285678</t>
  </si>
  <si>
    <t>PUNBADC10047415</t>
  </si>
  <si>
    <t>316087</t>
  </si>
  <si>
    <t>280213</t>
  </si>
  <si>
    <t>SBIN200005711769</t>
  </si>
  <si>
    <t>315504</t>
  </si>
  <si>
    <t>01-07-2026 12:00</t>
  </si>
  <si>
    <t>259655</t>
  </si>
  <si>
    <t>SBIN0200030434799</t>
  </si>
  <si>
    <t>313470</t>
  </si>
  <si>
    <t>280089</t>
  </si>
  <si>
    <t>SBIN200065071341</t>
  </si>
  <si>
    <t>313475</t>
  </si>
  <si>
    <t>247658</t>
  </si>
  <si>
    <t>SBIN200076334024</t>
  </si>
  <si>
    <t>313514</t>
  </si>
  <si>
    <t>244925</t>
  </si>
  <si>
    <t>SBIN200013943376</t>
  </si>
  <si>
    <t>313517</t>
  </si>
  <si>
    <t>118988</t>
  </si>
  <si>
    <t>SBIN200065547837</t>
  </si>
  <si>
    <t>313520</t>
  </si>
  <si>
    <t>256448</t>
  </si>
  <si>
    <t>SBIN200010080546</t>
  </si>
  <si>
    <t>313524</t>
  </si>
  <si>
    <t>248139</t>
  </si>
  <si>
    <t>SBIN0200017590740</t>
  </si>
  <si>
    <t>313526</t>
  </si>
  <si>
    <t>Additional Vinchur MIDC, Maharashtra</t>
  </si>
  <si>
    <t>280068</t>
  </si>
  <si>
    <t>SBIN0200017584699</t>
  </si>
  <si>
    <t>313535</t>
  </si>
  <si>
    <t>280045</t>
  </si>
  <si>
    <t>SBIN200026562491</t>
  </si>
  <si>
    <t>313541</t>
  </si>
  <si>
    <t>218756</t>
  </si>
  <si>
    <t>SBIN200062400763</t>
  </si>
  <si>
    <t>313674</t>
  </si>
  <si>
    <t>236012</t>
  </si>
  <si>
    <t>BARBCHODISETTY</t>
  </si>
  <si>
    <t>302633</t>
  </si>
  <si>
    <t>01-07-2026 14:00</t>
  </si>
  <si>
    <t>01-07-2026 18:00</t>
  </si>
  <si>
    <t>285217</t>
  </si>
  <si>
    <t>IDIB3344000043</t>
  </si>
  <si>
    <t>306286</t>
  </si>
  <si>
    <t>Fatehpur, Uttar Pradesh</t>
  </si>
  <si>
    <t>02-07-2026 10:00</t>
  </si>
  <si>
    <t>02-07-2026 16:00</t>
  </si>
  <si>
    <t>285996</t>
  </si>
  <si>
    <t>IDIB07703048842B</t>
  </si>
  <si>
    <t>308389</t>
  </si>
  <si>
    <t>Siddipet, Telangana</t>
  </si>
  <si>
    <t>285783</t>
  </si>
  <si>
    <t>IDIB07703048842A</t>
  </si>
  <si>
    <t>308393</t>
  </si>
  <si>
    <t>285752</t>
  </si>
  <si>
    <t>CNRBABM</t>
  </si>
  <si>
    <t>306186</t>
  </si>
  <si>
    <t>02-07-2026 10:30</t>
  </si>
  <si>
    <t>02-07-2026 11:30</t>
  </si>
  <si>
    <t>197433</t>
  </si>
  <si>
    <t>CNRB220240588</t>
  </si>
  <si>
    <t>313944</t>
  </si>
  <si>
    <t>249202</t>
  </si>
  <si>
    <t>UBINCHEDRT0349</t>
  </si>
  <si>
    <t>317663</t>
  </si>
  <si>
    <t>02-07-2026 11:00</t>
  </si>
  <si>
    <t>02-07-2026 12:00</t>
  </si>
  <si>
    <t>287665</t>
  </si>
  <si>
    <t>SBINDILIPSHARDA</t>
  </si>
  <si>
    <t>307203</t>
  </si>
  <si>
    <t>02-07-2026 15:00</t>
  </si>
  <si>
    <t>285896</t>
  </si>
  <si>
    <t>SBIN67349599770</t>
  </si>
  <si>
    <t>312888</t>
  </si>
  <si>
    <t>281827</t>
  </si>
  <si>
    <t>SBIN200011861886</t>
  </si>
  <si>
    <t>190494</t>
  </si>
  <si>
    <t>181666</t>
  </si>
  <si>
    <t>SBIN200069497530</t>
  </si>
  <si>
    <t>190519</t>
  </si>
  <si>
    <t>188445</t>
  </si>
  <si>
    <t>SBIN78151465078</t>
  </si>
  <si>
    <t>305114</t>
  </si>
  <si>
    <t>285208</t>
  </si>
  <si>
    <t>SBIN78151802537</t>
  </si>
  <si>
    <t>310821</t>
  </si>
  <si>
    <t>260948</t>
  </si>
  <si>
    <t>SBIN2023818856</t>
  </si>
  <si>
    <t>315066</t>
  </si>
  <si>
    <t>225160</t>
  </si>
  <si>
    <t>SBINC77728753275</t>
  </si>
  <si>
    <t>315274</t>
  </si>
  <si>
    <t>283457</t>
  </si>
  <si>
    <t>SBIN0005181VPL04</t>
  </si>
  <si>
    <t>312214</t>
  </si>
  <si>
    <t>02-07-2026 17:00</t>
  </si>
  <si>
    <t>286413</t>
  </si>
  <si>
    <t>SBIN0005181OKS36</t>
  </si>
  <si>
    <t>312225</t>
  </si>
  <si>
    <t>286423</t>
  </si>
  <si>
    <t>SBIN0005181AP201</t>
  </si>
  <si>
    <t>312238</t>
  </si>
  <si>
    <t>286456</t>
  </si>
  <si>
    <t>SBIN0005181KH606</t>
  </si>
  <si>
    <t>312369</t>
  </si>
  <si>
    <t>286490</t>
  </si>
  <si>
    <t>SBINSHANKARCHUNDAWAT</t>
  </si>
  <si>
    <t>306487</t>
  </si>
  <si>
    <t>02-07-2026 14:00</t>
  </si>
  <si>
    <t>284029</t>
  </si>
  <si>
    <t>SBINMEGHASONAWANE</t>
  </si>
  <si>
    <t>306488</t>
  </si>
  <si>
    <t>284016</t>
  </si>
  <si>
    <t>SBINANKITARAMCHANDANI</t>
  </si>
  <si>
    <t>306492</t>
  </si>
  <si>
    <t>284020</t>
  </si>
  <si>
    <t>SBINANKITARAMCHANDANIF7</t>
  </si>
  <si>
    <t>306494</t>
  </si>
  <si>
    <t>284072</t>
  </si>
  <si>
    <t>BARBSARBES32</t>
  </si>
  <si>
    <t>313644</t>
  </si>
  <si>
    <t>02-07-2026 18:00</t>
  </si>
  <si>
    <t>285539</t>
  </si>
  <si>
    <t>CNRB0009321</t>
  </si>
  <si>
    <t>306438</t>
  </si>
  <si>
    <t>Margao, Goa</t>
  </si>
  <si>
    <t>02-07-2026 14:30</t>
  </si>
  <si>
    <t>284710</t>
  </si>
  <si>
    <t>CNRB311911223</t>
  </si>
  <si>
    <t>314008</t>
  </si>
  <si>
    <t>03-07-2026 10:00</t>
  </si>
  <si>
    <t>03-07-2026 13:00</t>
  </si>
  <si>
    <t>240280</t>
  </si>
  <si>
    <t>CNRB247409059001</t>
  </si>
  <si>
    <t>314016</t>
  </si>
  <si>
    <t>Mohammadabad, Uttar Pradesh</t>
  </si>
  <si>
    <t>240432</t>
  </si>
  <si>
    <t>CNRB326184728</t>
  </si>
  <si>
    <t>314023</t>
  </si>
  <si>
    <t>282728</t>
  </si>
  <si>
    <t>CNRB9826</t>
  </si>
  <si>
    <t>314088</t>
  </si>
  <si>
    <t>240424</t>
  </si>
  <si>
    <t>CNRB308293997</t>
  </si>
  <si>
    <t>314094</t>
  </si>
  <si>
    <t>186211</t>
  </si>
  <si>
    <t>CNRBomcommuni</t>
  </si>
  <si>
    <t>314243</t>
  </si>
  <si>
    <t>240423</t>
  </si>
  <si>
    <t>CNRBPAWANGEETA</t>
  </si>
  <si>
    <t>314259</t>
  </si>
  <si>
    <t>240628</t>
  </si>
  <si>
    <t>CNRB74401987</t>
  </si>
  <si>
    <t>314261</t>
  </si>
  <si>
    <t>285280</t>
  </si>
  <si>
    <t>CNRB114035475</t>
  </si>
  <si>
    <t>314284</t>
  </si>
  <si>
    <t>249603</t>
  </si>
  <si>
    <t>CNRB126566813</t>
  </si>
  <si>
    <t>317551</t>
  </si>
  <si>
    <t>03-07-2026 11:00</t>
  </si>
  <si>
    <t>03-07-2026 12:00</t>
  </si>
  <si>
    <t>270899</t>
  </si>
  <si>
    <t>PUNB05130030</t>
  </si>
  <si>
    <t>318003</t>
  </si>
  <si>
    <t>257509</t>
  </si>
  <si>
    <t>IOBA1301MNJS</t>
  </si>
  <si>
    <t>316703</t>
  </si>
  <si>
    <t>283290</t>
  </si>
  <si>
    <t>MAHBAHOKSAWALFLAT302</t>
  </si>
  <si>
    <t>314724</t>
  </si>
  <si>
    <t>03-07-2026 15:00</t>
  </si>
  <si>
    <t>286656</t>
  </si>
  <si>
    <t>SBIN46054732</t>
  </si>
  <si>
    <t>315384</t>
  </si>
  <si>
    <t>237250</t>
  </si>
  <si>
    <t>IOBASHIVPRASAD</t>
  </si>
  <si>
    <t>315946</t>
  </si>
  <si>
    <t>286011</t>
  </si>
  <si>
    <t>IOBARAMSURESH</t>
  </si>
  <si>
    <t>315957</t>
  </si>
  <si>
    <t>286003</t>
  </si>
  <si>
    <t>IOBAPAVAN</t>
  </si>
  <si>
    <t>315962</t>
  </si>
  <si>
    <t>286000</t>
  </si>
  <si>
    <t>IOBAMEERADEVI</t>
  </si>
  <si>
    <t>315964</t>
  </si>
  <si>
    <t>286007</t>
  </si>
  <si>
    <t>IOBAKUMARVERMA</t>
  </si>
  <si>
    <t>315970</t>
  </si>
  <si>
    <t>286005</t>
  </si>
  <si>
    <t>IOBAGURUINAM</t>
  </si>
  <si>
    <t>315974</t>
  </si>
  <si>
    <t>285976</t>
  </si>
  <si>
    <t>SBIN200012109674</t>
  </si>
  <si>
    <t>304270</t>
  </si>
  <si>
    <t>03-07-2026 16:00</t>
  </si>
  <si>
    <t>241537</t>
  </si>
  <si>
    <t>SBIN200006100590</t>
  </si>
  <si>
    <t>304451</t>
  </si>
  <si>
    <t>PATTAZHI, Kerala</t>
  </si>
  <si>
    <t>281697</t>
  </si>
  <si>
    <t>SBIN200050453596</t>
  </si>
  <si>
    <t>307253</t>
  </si>
  <si>
    <t>285892</t>
  </si>
  <si>
    <t>CNRBHEMKHOLEN</t>
  </si>
  <si>
    <t>312945</t>
  </si>
  <si>
    <t>Churachandpur, Manipur</t>
  </si>
  <si>
    <t>239294</t>
  </si>
  <si>
    <t>SBIN00187PSANDHYARANI</t>
  </si>
  <si>
    <t>316049</t>
  </si>
  <si>
    <t>248801</t>
  </si>
  <si>
    <t>SBIN001295388</t>
  </si>
  <si>
    <t>311852</t>
  </si>
  <si>
    <t>03-07-2026 17:00</t>
  </si>
  <si>
    <t>281779</t>
  </si>
  <si>
    <t>CNRB120927432</t>
  </si>
  <si>
    <t>315203</t>
  </si>
  <si>
    <t>Nagda, Madhya Pradesh</t>
  </si>
  <si>
    <t>03-07-2026 14:00</t>
  </si>
  <si>
    <t>170505</t>
  </si>
  <si>
    <t>CNRB125610034</t>
  </si>
  <si>
    <t>315213</t>
  </si>
  <si>
    <t>199166</t>
  </si>
  <si>
    <t>UBINHYDSEC7955</t>
  </si>
  <si>
    <t>308836</t>
  </si>
  <si>
    <t>286379</t>
  </si>
  <si>
    <t>UBINHYDSEC1783</t>
  </si>
  <si>
    <t>308848</t>
  </si>
  <si>
    <t>286377</t>
  </si>
  <si>
    <t>UBINHYDSEC9606</t>
  </si>
  <si>
    <t>310485</t>
  </si>
  <si>
    <t>51788</t>
  </si>
  <si>
    <t>BARBJK3V00220</t>
  </si>
  <si>
    <t>305785</t>
  </si>
  <si>
    <t>285888</t>
  </si>
  <si>
    <t>BARBJK3V07615</t>
  </si>
  <si>
    <t>305799</t>
  </si>
  <si>
    <t>285887</t>
  </si>
  <si>
    <t>BARB59882026000027</t>
  </si>
  <si>
    <t>316941</t>
  </si>
  <si>
    <t>03-07-2026 18:00</t>
  </si>
  <si>
    <t>287841</t>
  </si>
  <si>
    <t>BARB59882026000029</t>
  </si>
  <si>
    <t>317568</t>
  </si>
  <si>
    <t>287918</t>
  </si>
  <si>
    <t>SBIN00064432</t>
  </si>
  <si>
    <t>313176</t>
  </si>
  <si>
    <t>Raiganj, West Bengal</t>
  </si>
  <si>
    <t>286903</t>
  </si>
  <si>
    <t>SBINPAVITHRA</t>
  </si>
  <si>
    <t>315609</t>
  </si>
  <si>
    <t>04-07-2026 10:00</t>
  </si>
  <si>
    <t>04-07-2026 16:00</t>
  </si>
  <si>
    <t>282174</t>
  </si>
  <si>
    <t>SBINLAFRANCEP199</t>
  </si>
  <si>
    <t>315664</t>
  </si>
  <si>
    <t>Puducherry, Puducherry</t>
  </si>
  <si>
    <t>277380</t>
  </si>
  <si>
    <t>CNRB102776022</t>
  </si>
  <si>
    <t>316010</t>
  </si>
  <si>
    <t>Navoor, Karnataka</t>
  </si>
  <si>
    <t>04-07-2026 10:30</t>
  </si>
  <si>
    <t>04-07-2026 11:30</t>
  </si>
  <si>
    <t>251337</t>
  </si>
  <si>
    <t>CNRB84852520</t>
  </si>
  <si>
    <t>318034</t>
  </si>
  <si>
    <t>201903</t>
  </si>
  <si>
    <t>CNRBNAVATHO02</t>
  </si>
  <si>
    <t>316179</t>
  </si>
  <si>
    <t>04-07-2026 11:00</t>
  </si>
  <si>
    <t>04-07-2026 12:00</t>
  </si>
  <si>
    <t>240311</t>
  </si>
  <si>
    <t>SBIN9082406355</t>
  </si>
  <si>
    <t>314000</t>
  </si>
  <si>
    <t>04-07-2026 15:30</t>
  </si>
  <si>
    <t>256426</t>
  </si>
  <si>
    <t>SBIN78278404655</t>
  </si>
  <si>
    <t>314040</t>
  </si>
  <si>
    <t>256673</t>
  </si>
  <si>
    <t>SBIN90081571059</t>
  </si>
  <si>
    <t>315016</t>
  </si>
  <si>
    <t>255066</t>
  </si>
  <si>
    <t>CNRBHYDNOR0061</t>
  </si>
  <si>
    <t>306255</t>
  </si>
  <si>
    <t>04-07-2026 12:30</t>
  </si>
  <si>
    <t>285969</t>
  </si>
  <si>
    <t>CNRBHYDNOR0062</t>
  </si>
  <si>
    <t>306268</t>
  </si>
  <si>
    <t>285975</t>
  </si>
  <si>
    <t>CNRBHYDNOR0065</t>
  </si>
  <si>
    <t>306278</t>
  </si>
  <si>
    <t>285978</t>
  </si>
  <si>
    <t>CNRB318523001</t>
  </si>
  <si>
    <t>313191</t>
  </si>
  <si>
    <t>265975</t>
  </si>
  <si>
    <t>CNRB251768816</t>
  </si>
  <si>
    <t>313203</t>
  </si>
  <si>
    <t>254219</t>
  </si>
  <si>
    <t>CNRB65679007</t>
  </si>
  <si>
    <t>312467</t>
  </si>
  <si>
    <t>Bamangachhi, West Bengal</t>
  </si>
  <si>
    <t>04-07-2026 13:30</t>
  </si>
  <si>
    <t>198519</t>
  </si>
  <si>
    <t>CNRBKIRANENTERPRISE</t>
  </si>
  <si>
    <t>312473</t>
  </si>
  <si>
    <t>Nalahati, West Bengal</t>
  </si>
  <si>
    <t>245012</t>
  </si>
  <si>
    <t>CNRB240520431</t>
  </si>
  <si>
    <t>312488</t>
  </si>
  <si>
    <t>Sonamukhi, West Bengal</t>
  </si>
  <si>
    <t>275190</t>
  </si>
  <si>
    <t>CNRB2938895000014</t>
  </si>
  <si>
    <t>312531</t>
  </si>
  <si>
    <t>245029</t>
  </si>
  <si>
    <t>CNRBPRASEN</t>
  </si>
  <si>
    <t>312539</t>
  </si>
  <si>
    <t>245340</t>
  </si>
  <si>
    <t>CNRB3092717053B</t>
  </si>
  <si>
    <t>312550</t>
  </si>
  <si>
    <t>264096</t>
  </si>
  <si>
    <t>CNRB100449734</t>
  </si>
  <si>
    <t>312564</t>
  </si>
  <si>
    <t>255431</t>
  </si>
  <si>
    <t>CNRBRAVIKUMARTANTI</t>
  </si>
  <si>
    <t>312569</t>
  </si>
  <si>
    <t>245344</t>
  </si>
  <si>
    <t>CNRB239093148</t>
  </si>
  <si>
    <t>312576</t>
  </si>
  <si>
    <t>268286</t>
  </si>
  <si>
    <t>CNRBSAGARBANIK</t>
  </si>
  <si>
    <t>312672</t>
  </si>
  <si>
    <t>245404</t>
  </si>
  <si>
    <t>ICICI0202</t>
  </si>
  <si>
    <t>308211</t>
  </si>
  <si>
    <t>ICICI BANK LIMITED</t>
  </si>
  <si>
    <t>04-07-2026 13:00</t>
  </si>
  <si>
    <t>285897</t>
  </si>
  <si>
    <t>PSIB00901610221E</t>
  </si>
  <si>
    <t>317978</t>
  </si>
  <si>
    <t>04-07-2026 15:00</t>
  </si>
  <si>
    <t>113638</t>
  </si>
  <si>
    <t>PSIB00901610221F</t>
  </si>
  <si>
    <t>317966</t>
  </si>
  <si>
    <t>35020</t>
  </si>
  <si>
    <t>BARB37112025004</t>
  </si>
  <si>
    <t>317461</t>
  </si>
  <si>
    <t>04-07-2026 14:00</t>
  </si>
  <si>
    <t>04-07-2026 18:00</t>
  </si>
  <si>
    <t>223616</t>
  </si>
  <si>
    <t>BARBBOMMAKANTI</t>
  </si>
  <si>
    <t>306580</t>
  </si>
  <si>
    <t>06-07-2026 10:00</t>
  </si>
  <si>
    <t>06-07-2026 17:00</t>
  </si>
  <si>
    <t>284138</t>
  </si>
  <si>
    <t>SBIN3550800435</t>
  </si>
  <si>
    <t>307531</t>
  </si>
  <si>
    <t>278348</t>
  </si>
  <si>
    <t>IOBA203800103</t>
  </si>
  <si>
    <t>314875</t>
  </si>
  <si>
    <t>47974</t>
  </si>
  <si>
    <t>BARBHAMILPURRAJ</t>
  </si>
  <si>
    <t>317053</t>
  </si>
  <si>
    <t>283170</t>
  </si>
  <si>
    <t>CNRB73058483</t>
  </si>
  <si>
    <t>310169</t>
  </si>
  <si>
    <t>06-07-2026 11:00</t>
  </si>
  <si>
    <t>06-07-2026 12:00</t>
  </si>
  <si>
    <t>286544</t>
  </si>
  <si>
    <t>CNRBYADAV</t>
  </si>
  <si>
    <t>308701</t>
  </si>
  <si>
    <t>Saidpur, Uttar Pradesh</t>
  </si>
  <si>
    <t>06-07-2026 14:00</t>
  </si>
  <si>
    <t>286347</t>
  </si>
  <si>
    <t>CNRBOMSAIR</t>
  </si>
  <si>
    <t>308720</t>
  </si>
  <si>
    <t>286342</t>
  </si>
  <si>
    <t>CNRBSMGTEX</t>
  </si>
  <si>
    <t>308729</t>
  </si>
  <si>
    <t>286280</t>
  </si>
  <si>
    <t>IOBA3233REKHA</t>
  </si>
  <si>
    <t>307408</t>
  </si>
  <si>
    <t>06-07-2026 15:00</t>
  </si>
  <si>
    <t>286185</t>
  </si>
  <si>
    <t>SBIN100000205529</t>
  </si>
  <si>
    <t>303775</t>
  </si>
  <si>
    <t>06-07-2026 16:00</t>
  </si>
  <si>
    <t>54416</t>
  </si>
  <si>
    <t>SBIN100000208245</t>
  </si>
  <si>
    <t>303783</t>
  </si>
  <si>
    <t>1929</t>
  </si>
  <si>
    <t>SBIN100000210899</t>
  </si>
  <si>
    <t>303791</t>
  </si>
  <si>
    <t>Amballoor, Kerala</t>
  </si>
  <si>
    <t>69650</t>
  </si>
  <si>
    <t>SBIN200030319522</t>
  </si>
  <si>
    <t>308514</t>
  </si>
  <si>
    <t>268984</t>
  </si>
  <si>
    <t>SBIN39970407682</t>
  </si>
  <si>
    <t>308802</t>
  </si>
  <si>
    <t>229251</t>
  </si>
  <si>
    <t>SBIN39974212363</t>
  </si>
  <si>
    <t>308806</t>
  </si>
  <si>
    <t>229255</t>
  </si>
  <si>
    <t>SBIN200084453282</t>
  </si>
  <si>
    <t>314985</t>
  </si>
  <si>
    <t>VELLANAD, Kerala</t>
  </si>
  <si>
    <t>279839</t>
  </si>
  <si>
    <t>IDIB1000183404A</t>
  </si>
  <si>
    <t>317028</t>
  </si>
  <si>
    <t>182069</t>
  </si>
  <si>
    <t>CNRB69920784</t>
  </si>
  <si>
    <t>311134</t>
  </si>
  <si>
    <t>06-07-2026 11:30</t>
  </si>
  <si>
    <t>06-07-2026 12:30</t>
  </si>
  <si>
    <t>246549</t>
  </si>
  <si>
    <t>CNRB11351593HOUSE</t>
  </si>
  <si>
    <t>306030</t>
  </si>
  <si>
    <t>06-07-2026 14:30</t>
  </si>
  <si>
    <t>285942</t>
  </si>
  <si>
    <t>CNRB116606998</t>
  </si>
  <si>
    <t>317921</t>
  </si>
  <si>
    <t>203534</t>
  </si>
  <si>
    <t>CNRB107919465</t>
  </si>
  <si>
    <t>317939</t>
  </si>
  <si>
    <t>203989</t>
  </si>
  <si>
    <t>CNRB55640773</t>
  </si>
  <si>
    <t>317972</t>
  </si>
  <si>
    <t>250036</t>
  </si>
  <si>
    <t>CNRB51041401162LAN</t>
  </si>
  <si>
    <t>317987</t>
  </si>
  <si>
    <t>256113</t>
  </si>
  <si>
    <t>CNRB520032588168</t>
  </si>
  <si>
    <t>317994</t>
  </si>
  <si>
    <t>243188</t>
  </si>
  <si>
    <t>CNRB252734258</t>
  </si>
  <si>
    <t>317997</t>
  </si>
  <si>
    <t>237675</t>
  </si>
  <si>
    <t>CNRBP37929136</t>
  </si>
  <si>
    <t>318000</t>
  </si>
  <si>
    <t>247203</t>
  </si>
  <si>
    <t>CNRB208450251</t>
  </si>
  <si>
    <t>318010</t>
  </si>
  <si>
    <t>200691</t>
  </si>
  <si>
    <t>CNRB104382842</t>
  </si>
  <si>
    <t>318022</t>
  </si>
  <si>
    <t>Igatpuri, Maharashtra</t>
  </si>
  <si>
    <t>234329</t>
  </si>
  <si>
    <t>CNRB89377594</t>
  </si>
  <si>
    <t>318035</t>
  </si>
  <si>
    <t>204038</t>
  </si>
  <si>
    <t>CNRB1410619001941001</t>
  </si>
  <si>
    <t>318055</t>
  </si>
  <si>
    <t>247212</t>
  </si>
  <si>
    <t>BARBYGA073229</t>
  </si>
  <si>
    <t>310182</t>
  </si>
  <si>
    <t>06-07-2026 18:00</t>
  </si>
  <si>
    <t>286548</t>
  </si>
  <si>
    <t>CNRBROOPNINEW</t>
  </si>
  <si>
    <t>309747</t>
  </si>
  <si>
    <t>07-07-2026 10:00</t>
  </si>
  <si>
    <t>07-07-2026 12:00</t>
  </si>
  <si>
    <t>263028</t>
  </si>
  <si>
    <t>CNRBDEVANATHAN</t>
  </si>
  <si>
    <t>309769</t>
  </si>
  <si>
    <t>255742</t>
  </si>
  <si>
    <t>CNRBMOHINDEEN</t>
  </si>
  <si>
    <t>309789</t>
  </si>
  <si>
    <t>223067</t>
  </si>
  <si>
    <t>CNRBANBARASI</t>
  </si>
  <si>
    <t>309802</t>
  </si>
  <si>
    <t>Industrial Estate Thirubuvanai, Puducherry</t>
  </si>
  <si>
    <t>223098</t>
  </si>
  <si>
    <t>IDIB7685057593</t>
  </si>
  <si>
    <t>308413</t>
  </si>
  <si>
    <t>07-07-2026 16:00</t>
  </si>
  <si>
    <t>286330</t>
  </si>
  <si>
    <t>IDIB50229967759</t>
  </si>
  <si>
    <t>309902</t>
  </si>
  <si>
    <t>Arambag, West Bengal</t>
  </si>
  <si>
    <t>286147</t>
  </si>
  <si>
    <t>SBIN78427133812</t>
  </si>
  <si>
    <t>315407</t>
  </si>
  <si>
    <t>Pavaratty, Kerala</t>
  </si>
  <si>
    <t>278180</t>
  </si>
  <si>
    <t>PUNB7DK79260378</t>
  </si>
  <si>
    <t>316134</t>
  </si>
  <si>
    <t>Vellimalai, Tamil Nadu</t>
  </si>
  <si>
    <t>262305</t>
  </si>
  <si>
    <t>PUNBP27001</t>
  </si>
  <si>
    <t>316529</t>
  </si>
  <si>
    <t>286659</t>
  </si>
  <si>
    <t>PUNB00P4001</t>
  </si>
  <si>
    <t>316537</t>
  </si>
  <si>
    <t>286654</t>
  </si>
  <si>
    <t>PUNBOOP3001</t>
  </si>
  <si>
    <t>316551</t>
  </si>
  <si>
    <t>286648</t>
  </si>
  <si>
    <t>PUNB7DK78502898</t>
  </si>
  <si>
    <t>317348</t>
  </si>
  <si>
    <t>Kanniyakumari, Tamil Nadu</t>
  </si>
  <si>
    <t>255701</t>
  </si>
  <si>
    <t>PUNB0MEENAKSHI</t>
  </si>
  <si>
    <t>317350</t>
  </si>
  <si>
    <t>212610</t>
  </si>
  <si>
    <t>PUNB0ATULRAVAT</t>
  </si>
  <si>
    <t>317353</t>
  </si>
  <si>
    <t>202892</t>
  </si>
  <si>
    <t>PUNB0MEERADEVI</t>
  </si>
  <si>
    <t>317358</t>
  </si>
  <si>
    <t>231926</t>
  </si>
  <si>
    <t>PUNB01RAVIKUMARI</t>
  </si>
  <si>
    <t>317367</t>
  </si>
  <si>
    <t>278119</t>
  </si>
  <si>
    <t>PUNB0MADHO</t>
  </si>
  <si>
    <t>317378</t>
  </si>
  <si>
    <t>231943</t>
  </si>
  <si>
    <t>PUNB0VISHNUCONSTRU</t>
  </si>
  <si>
    <t>317382</t>
  </si>
  <si>
    <t>231935</t>
  </si>
  <si>
    <t>PUNB0VIRENDRASINGH</t>
  </si>
  <si>
    <t>317400</t>
  </si>
  <si>
    <t>231923</t>
  </si>
  <si>
    <t>PUNBMOHDNASEEM</t>
  </si>
  <si>
    <t>317406</t>
  </si>
  <si>
    <t>287634</t>
  </si>
  <si>
    <t>PUNBPARASDAS1</t>
  </si>
  <si>
    <t>317412</t>
  </si>
  <si>
    <t>262631</t>
  </si>
  <si>
    <t>PUNBPARASDAS2</t>
  </si>
  <si>
    <t>317416</t>
  </si>
  <si>
    <t>262632</t>
  </si>
  <si>
    <t>PUNBPARASDAS3</t>
  </si>
  <si>
    <t>317418</t>
  </si>
  <si>
    <t>262633</t>
  </si>
  <si>
    <t>PUNBPARASDAS4</t>
  </si>
  <si>
    <t>317421</t>
  </si>
  <si>
    <t>262634</t>
  </si>
  <si>
    <t>PUNB3JA57382779</t>
  </si>
  <si>
    <t>317428</t>
  </si>
  <si>
    <t>237626</t>
  </si>
  <si>
    <t>PUNBPARASDAS5</t>
  </si>
  <si>
    <t>317430</t>
  </si>
  <si>
    <t>262635</t>
  </si>
  <si>
    <t>PUNB0SATENDRAPUSHPENDRA</t>
  </si>
  <si>
    <t>317434</t>
  </si>
  <si>
    <t>216884</t>
  </si>
  <si>
    <t>PUNB2TB56213163</t>
  </si>
  <si>
    <t>317892</t>
  </si>
  <si>
    <t>Sundarapandianpattinam, Tamil Nadu</t>
  </si>
  <si>
    <t>179290</t>
  </si>
  <si>
    <t>PUNB7DK81697128</t>
  </si>
  <si>
    <t>317895</t>
  </si>
  <si>
    <t>281500</t>
  </si>
  <si>
    <t>PUNB7DK80606778</t>
  </si>
  <si>
    <t>317899</t>
  </si>
  <si>
    <t>272896</t>
  </si>
  <si>
    <t>PUNB4XL27896636</t>
  </si>
  <si>
    <t>317901</t>
  </si>
  <si>
    <t>179244</t>
  </si>
  <si>
    <t>PUNBABA40389717</t>
  </si>
  <si>
    <t>317910</t>
  </si>
  <si>
    <t>180023</t>
  </si>
  <si>
    <t>PUNB2TW62257738</t>
  </si>
  <si>
    <t>317967</t>
  </si>
  <si>
    <t>235885</t>
  </si>
  <si>
    <t>PUNB2TW62280243</t>
  </si>
  <si>
    <t>317979</t>
  </si>
  <si>
    <t>Virudhunagar, Tamil Nadu</t>
  </si>
  <si>
    <t>235882</t>
  </si>
  <si>
    <t>PUNBISMAILMURTZA</t>
  </si>
  <si>
    <t>318072</t>
  </si>
  <si>
    <t>07-07-2026 17:00</t>
  </si>
  <si>
    <t>288079</t>
  </si>
  <si>
    <t>PUNBANANDKUMBHAR</t>
  </si>
  <si>
    <t>318261</t>
  </si>
  <si>
    <t>Chitgoppa, Karnataka</t>
  </si>
  <si>
    <t>288167</t>
  </si>
  <si>
    <t>CNRB85810726</t>
  </si>
  <si>
    <t>307457</t>
  </si>
  <si>
    <t>Bantwal, Karnataka</t>
  </si>
  <si>
    <t>07-07-2026 10:30</t>
  </si>
  <si>
    <t>07-07-2026 11:30</t>
  </si>
  <si>
    <t>286060</t>
  </si>
  <si>
    <t>CNRB00VINAYAKAGRANITES1</t>
  </si>
  <si>
    <t>315760</t>
  </si>
  <si>
    <t>Kandukur, Andhra Pradesh</t>
  </si>
  <si>
    <t>253901</t>
  </si>
  <si>
    <t>CNRBVINAYAKAGRANITES2</t>
  </si>
  <si>
    <t>315812</t>
  </si>
  <si>
    <t>253904</t>
  </si>
  <si>
    <t>CNRB117212509</t>
  </si>
  <si>
    <t>316055</t>
  </si>
  <si>
    <t>255621</t>
  </si>
  <si>
    <t>CNRB312324986</t>
  </si>
  <si>
    <t>316057</t>
  </si>
  <si>
    <t>275986</t>
  </si>
  <si>
    <t>CNRBHARIPRASAD</t>
  </si>
  <si>
    <t>316355</t>
  </si>
  <si>
    <t>275717</t>
  </si>
  <si>
    <t>CNRB42969422</t>
  </si>
  <si>
    <t>316893</t>
  </si>
  <si>
    <t>248004</t>
  </si>
  <si>
    <t>CNRB113452077</t>
  </si>
  <si>
    <t>316907</t>
  </si>
  <si>
    <t>248007</t>
  </si>
  <si>
    <t>CNRB99995492</t>
  </si>
  <si>
    <t>316913</t>
  </si>
  <si>
    <t>248011</t>
  </si>
  <si>
    <t>CNRB86805377</t>
  </si>
  <si>
    <t>316918</t>
  </si>
  <si>
    <t>Virajpete, Karnataka</t>
  </si>
  <si>
    <t>239990</t>
  </si>
  <si>
    <t>CNRBRAINTERNATIONAL</t>
  </si>
  <si>
    <t>316930</t>
  </si>
  <si>
    <t>282509</t>
  </si>
  <si>
    <t>CNRBMETLABS</t>
  </si>
  <si>
    <t>316188</t>
  </si>
  <si>
    <t>07-07-2026 11:00</t>
  </si>
  <si>
    <t>284019</t>
  </si>
  <si>
    <t>CNRB249117045</t>
  </si>
  <si>
    <t>316870</t>
  </si>
  <si>
    <t>258034</t>
  </si>
  <si>
    <t>CNRB321391609</t>
  </si>
  <si>
    <t>316881</t>
  </si>
  <si>
    <t>269941</t>
  </si>
  <si>
    <t>IOBA2942SWM01</t>
  </si>
  <si>
    <t>308412</t>
  </si>
  <si>
    <t>07-07-2026 13:00</t>
  </si>
  <si>
    <t>276165</t>
  </si>
  <si>
    <t>PUNBR43884634</t>
  </si>
  <si>
    <t>309826</t>
  </si>
  <si>
    <t>07-07-2026 14:00</t>
  </si>
  <si>
    <t>286530</t>
  </si>
  <si>
    <t>SBIN077715488432</t>
  </si>
  <si>
    <t>306174</t>
  </si>
  <si>
    <t>183067</t>
  </si>
  <si>
    <t>PUNBKNLR15534803</t>
  </si>
  <si>
    <t>306285</t>
  </si>
  <si>
    <t>284547</t>
  </si>
  <si>
    <t>PUNBIZC61613284</t>
  </si>
  <si>
    <t>306333</t>
  </si>
  <si>
    <t>285922</t>
  </si>
  <si>
    <t>SBIN200012262614</t>
  </si>
  <si>
    <t>306544</t>
  </si>
  <si>
    <t>278694</t>
  </si>
  <si>
    <t>SBIN200052359984</t>
  </si>
  <si>
    <t>306551</t>
  </si>
  <si>
    <t>278708</t>
  </si>
  <si>
    <t>SBIN200007337501</t>
  </si>
  <si>
    <t>306561</t>
  </si>
  <si>
    <t>278851</t>
  </si>
  <si>
    <t>PUNBPUNBABA47898353</t>
  </si>
  <si>
    <t>306705</t>
  </si>
  <si>
    <t>285001</t>
  </si>
  <si>
    <t>PUNBPUNBABA37858351</t>
  </si>
  <si>
    <t>306711</t>
  </si>
  <si>
    <t>284821</t>
  </si>
  <si>
    <t>PUNBPUNBABA37749666</t>
  </si>
  <si>
    <t>306724</t>
  </si>
  <si>
    <t>284830</t>
  </si>
  <si>
    <t>PUNBPUNBABA37749671</t>
  </si>
  <si>
    <t>306733</t>
  </si>
  <si>
    <t>284831</t>
  </si>
  <si>
    <t>PUNBPUNBABA37749669</t>
  </si>
  <si>
    <t>306737</t>
  </si>
  <si>
    <t>284961</t>
  </si>
  <si>
    <t>PUNBPUNBABA37749670</t>
  </si>
  <si>
    <t>306747</t>
  </si>
  <si>
    <t>284965</t>
  </si>
  <si>
    <t>PUNBPUNBABA37749667</t>
  </si>
  <si>
    <t>306761</t>
  </si>
  <si>
    <t>284992</t>
  </si>
  <si>
    <t>PUNBPUNBABA37749668</t>
  </si>
  <si>
    <t>306768</t>
  </si>
  <si>
    <t>284997</t>
  </si>
  <si>
    <t>SBIN200026289722</t>
  </si>
  <si>
    <t>306814</t>
  </si>
  <si>
    <t>76937</t>
  </si>
  <si>
    <t>SBIN200071112294</t>
  </si>
  <si>
    <t>307120</t>
  </si>
  <si>
    <t>285885</t>
  </si>
  <si>
    <t>PUNBABA40345538</t>
  </si>
  <si>
    <t>307460</t>
  </si>
  <si>
    <t>286194</t>
  </si>
  <si>
    <t>SBIN00532JANAKBHAISHAH</t>
  </si>
  <si>
    <t>309582</t>
  </si>
  <si>
    <t>286466</t>
  </si>
  <si>
    <t>SBIN0531NAVINBHAICHAUDHRY</t>
  </si>
  <si>
    <t>309586</t>
  </si>
  <si>
    <t>286452</t>
  </si>
  <si>
    <t>SBIN00439UDAYMAKDANI</t>
  </si>
  <si>
    <t>309591</t>
  </si>
  <si>
    <t>286442</t>
  </si>
  <si>
    <t>IOBA1305A125S3</t>
  </si>
  <si>
    <t>310189</t>
  </si>
  <si>
    <t>285621</t>
  </si>
  <si>
    <t>CBIN1993CHOOLAIBRAHADHA01</t>
  </si>
  <si>
    <t>311441</t>
  </si>
  <si>
    <t>Karaikkudi, Tamil Nadu</t>
  </si>
  <si>
    <t>286809</t>
  </si>
  <si>
    <t>PUNB2K861255785</t>
  </si>
  <si>
    <t>311874</t>
  </si>
  <si>
    <t>286871</t>
  </si>
  <si>
    <t>PUNBABA40316511</t>
  </si>
  <si>
    <t>311875</t>
  </si>
  <si>
    <t>286868</t>
  </si>
  <si>
    <t>PUNBABA40334921</t>
  </si>
  <si>
    <t>311877</t>
  </si>
  <si>
    <t>286865</t>
  </si>
  <si>
    <t>PUNBABA40316228A</t>
  </si>
  <si>
    <t>311950</t>
  </si>
  <si>
    <t>Hanskunda, West Bengal</t>
  </si>
  <si>
    <t>286885</t>
  </si>
  <si>
    <t>PUNBMUA67921379A</t>
  </si>
  <si>
    <t>311991</t>
  </si>
  <si>
    <t>286889</t>
  </si>
  <si>
    <t>PUNBSultana</t>
  </si>
  <si>
    <t>312056</t>
  </si>
  <si>
    <t>284972</t>
  </si>
  <si>
    <t>PUNBCS6041NEELAMBER1</t>
  </si>
  <si>
    <t>312699</t>
  </si>
  <si>
    <t>253903</t>
  </si>
  <si>
    <t>PUNBCS6041NEELAMBER2</t>
  </si>
  <si>
    <t>312702</t>
  </si>
  <si>
    <t>253906</t>
  </si>
  <si>
    <t>PUNBCS6041NEELAMBER3</t>
  </si>
  <si>
    <t>312704</t>
  </si>
  <si>
    <t>257904</t>
  </si>
  <si>
    <t>PUNBCS6041VIRAV1</t>
  </si>
  <si>
    <t>312712</t>
  </si>
  <si>
    <t>182718</t>
  </si>
  <si>
    <t>PUNBCS6041PRINCE</t>
  </si>
  <si>
    <t>312717</t>
  </si>
  <si>
    <t>201045</t>
  </si>
  <si>
    <t>PUNBCS6041IMRAN</t>
  </si>
  <si>
    <t>312735</t>
  </si>
  <si>
    <t>207281</t>
  </si>
  <si>
    <t>PUNBABA40405225</t>
  </si>
  <si>
    <t>313490</t>
  </si>
  <si>
    <t>173633</t>
  </si>
  <si>
    <t>PUNBCS6041SULABH</t>
  </si>
  <si>
    <t>313640</t>
  </si>
  <si>
    <t>208276</t>
  </si>
  <si>
    <t>PUNBChitra</t>
  </si>
  <si>
    <t>314496</t>
  </si>
  <si>
    <t>286995</t>
  </si>
  <si>
    <t>PUNBMANISHAGH</t>
  </si>
  <si>
    <t>314509</t>
  </si>
  <si>
    <t>286753</t>
  </si>
  <si>
    <t>PUNBABA36642724</t>
  </si>
  <si>
    <t>314652</t>
  </si>
  <si>
    <t>179105</t>
  </si>
  <si>
    <t>PUNBABA38064965</t>
  </si>
  <si>
    <t>314665</t>
  </si>
  <si>
    <t>185654</t>
  </si>
  <si>
    <t>PUNB5JH48912679</t>
  </si>
  <si>
    <t>314676</t>
  </si>
  <si>
    <t>263860</t>
  </si>
  <si>
    <t>PUNB018732372</t>
  </si>
  <si>
    <t>314790</t>
  </si>
  <si>
    <t>208596</t>
  </si>
  <si>
    <t>PUNBKNLR05261158</t>
  </si>
  <si>
    <t>315555</t>
  </si>
  <si>
    <t>287544</t>
  </si>
  <si>
    <t>PUNB29X27957193</t>
  </si>
  <si>
    <t>315680</t>
  </si>
  <si>
    <t>287552</t>
  </si>
  <si>
    <t>PUNBRASHID</t>
  </si>
  <si>
    <t>316398</t>
  </si>
  <si>
    <t>234948</t>
  </si>
  <si>
    <t>PUNB000042</t>
  </si>
  <si>
    <t>316480</t>
  </si>
  <si>
    <t>178817</t>
  </si>
  <si>
    <t>PUNB1T763811358</t>
  </si>
  <si>
    <t>316500</t>
  </si>
  <si>
    <t>276106</t>
  </si>
  <si>
    <t>PUNB36120536</t>
  </si>
  <si>
    <t>316513</t>
  </si>
  <si>
    <t>177469</t>
  </si>
  <si>
    <t>PUNBFD255809725</t>
  </si>
  <si>
    <t>316522</t>
  </si>
  <si>
    <t>229357</t>
  </si>
  <si>
    <t>PUNB4WF58823074</t>
  </si>
  <si>
    <t>316527</t>
  </si>
  <si>
    <t>215196</t>
  </si>
  <si>
    <t>BARBBKI076702</t>
  </si>
  <si>
    <t>316579</t>
  </si>
  <si>
    <t>Zahirabad, Telangana</t>
  </si>
  <si>
    <t>287784</t>
  </si>
  <si>
    <t>PUNB10</t>
  </si>
  <si>
    <t>316593</t>
  </si>
  <si>
    <t>287789</t>
  </si>
  <si>
    <t>SBIN62403519960</t>
  </si>
  <si>
    <t>316699</t>
  </si>
  <si>
    <t>282295</t>
  </si>
  <si>
    <t>PUNBABA40484249</t>
  </si>
  <si>
    <t>316727</t>
  </si>
  <si>
    <t>176956</t>
  </si>
  <si>
    <t>SBIN78426520846</t>
  </si>
  <si>
    <t>316730</t>
  </si>
  <si>
    <t>286155</t>
  </si>
  <si>
    <t>PUNBABA4048424901</t>
  </si>
  <si>
    <t>316752</t>
  </si>
  <si>
    <t>263770</t>
  </si>
  <si>
    <t>PUNBPAPPUENT</t>
  </si>
  <si>
    <t>316851</t>
  </si>
  <si>
    <t>237467</t>
  </si>
  <si>
    <t>PUNBSAJALDUTTA</t>
  </si>
  <si>
    <t>316945</t>
  </si>
  <si>
    <t>176075</t>
  </si>
  <si>
    <t>PUNBANANDADAS</t>
  </si>
  <si>
    <t>316946</t>
  </si>
  <si>
    <t>283955</t>
  </si>
  <si>
    <t>PUNBPIYUSHGH</t>
  </si>
  <si>
    <t>316952</t>
  </si>
  <si>
    <t>227562</t>
  </si>
  <si>
    <t>PUNBPRASANTAMON</t>
  </si>
  <si>
    <t>316961</t>
  </si>
  <si>
    <t>174522</t>
  </si>
  <si>
    <t>PUNBABA40351911</t>
  </si>
  <si>
    <t>317056</t>
  </si>
  <si>
    <t>265130</t>
  </si>
  <si>
    <t>PUNBABA4043664801</t>
  </si>
  <si>
    <t>317062</t>
  </si>
  <si>
    <t>255019</t>
  </si>
  <si>
    <t>PUNBABA4043664802</t>
  </si>
  <si>
    <t>317070</t>
  </si>
  <si>
    <t>255018</t>
  </si>
  <si>
    <t>PUNB4L459306103</t>
  </si>
  <si>
    <t>317076</t>
  </si>
  <si>
    <t>GOALDOBE, West Bengal</t>
  </si>
  <si>
    <t>265164</t>
  </si>
  <si>
    <t>SBIN01245NB</t>
  </si>
  <si>
    <t>317132</t>
  </si>
  <si>
    <t>287876</t>
  </si>
  <si>
    <t>PUNBU60598565</t>
  </si>
  <si>
    <t>317133</t>
  </si>
  <si>
    <t>Basirhat, West Bengal</t>
  </si>
  <si>
    <t>172113</t>
  </si>
  <si>
    <t>PUNB59W25083465</t>
  </si>
  <si>
    <t>317145</t>
  </si>
  <si>
    <t>272761</t>
  </si>
  <si>
    <t>PUNBDEHMMBM01</t>
  </si>
  <si>
    <t>317279</t>
  </si>
  <si>
    <t>271307</t>
  </si>
  <si>
    <t>PUNBMAHEK340800</t>
  </si>
  <si>
    <t>317491</t>
  </si>
  <si>
    <t>284483</t>
  </si>
  <si>
    <t>SBIN001295311395</t>
  </si>
  <si>
    <t>317602</t>
  </si>
  <si>
    <t>269507</t>
  </si>
  <si>
    <t>PUNB3513AANDA1</t>
  </si>
  <si>
    <t>318135</t>
  </si>
  <si>
    <t>175516</t>
  </si>
  <si>
    <t>PUNB82010022244</t>
  </si>
  <si>
    <t>316315</t>
  </si>
  <si>
    <t>189676</t>
  </si>
  <si>
    <t>PUNB82010022255</t>
  </si>
  <si>
    <t>316330</t>
  </si>
  <si>
    <t>202381</t>
  </si>
  <si>
    <t>PUNB82010022299</t>
  </si>
  <si>
    <t>316336</t>
  </si>
  <si>
    <t>233314</t>
  </si>
  <si>
    <t>PUNB82010022348</t>
  </si>
  <si>
    <t>316499</t>
  </si>
  <si>
    <t>272085</t>
  </si>
  <si>
    <t>PUNB82010022347</t>
  </si>
  <si>
    <t>316502</t>
  </si>
  <si>
    <t>272084</t>
  </si>
  <si>
    <t>PUNB82010022349</t>
  </si>
  <si>
    <t>316506</t>
  </si>
  <si>
    <t>272010</t>
  </si>
  <si>
    <t>PUNB82010022351</t>
  </si>
  <si>
    <t>316515</t>
  </si>
  <si>
    <t>Amanganj Chhatarpur, Madhya Pradesh</t>
  </si>
  <si>
    <t>271960</t>
  </si>
  <si>
    <t>PUNB82010022352</t>
  </si>
  <si>
    <t>316518</t>
  </si>
  <si>
    <t>271956</t>
  </si>
  <si>
    <t>SBIN01245RATAN</t>
  </si>
  <si>
    <t>316742</t>
  </si>
  <si>
    <t>287809</t>
  </si>
  <si>
    <t>IDIB50121086116A</t>
  </si>
  <si>
    <t>317803</t>
  </si>
  <si>
    <t>288045</t>
  </si>
  <si>
    <t>IDIB50121086116B</t>
  </si>
  <si>
    <t>317806</t>
  </si>
  <si>
    <t>288048</t>
  </si>
  <si>
    <t>BARB94502026002</t>
  </si>
  <si>
    <t>303284</t>
  </si>
  <si>
    <t>07-07-2026 18:00</t>
  </si>
  <si>
    <t>285379</t>
  </si>
  <si>
    <t>SBIN00495SN</t>
  </si>
  <si>
    <t>317144</t>
  </si>
  <si>
    <t>07-07-2026 11:01</t>
  </si>
  <si>
    <t>287890</t>
  </si>
  <si>
    <t>CNRB161602</t>
  </si>
  <si>
    <t>314252</t>
  </si>
  <si>
    <t>Karurppur, Tamil Nadu</t>
  </si>
  <si>
    <t>206555</t>
  </si>
  <si>
    <t>CNRB329715419</t>
  </si>
  <si>
    <t>311471</t>
  </si>
  <si>
    <t>07-07-2026 12:30</t>
  </si>
  <si>
    <t>286814</t>
  </si>
  <si>
    <t>CNRB98037640001</t>
  </si>
  <si>
    <t>310100</t>
  </si>
  <si>
    <t>07-07-2026 13:30</t>
  </si>
  <si>
    <t>286428</t>
  </si>
  <si>
    <t>CNRB123346438</t>
  </si>
  <si>
    <t>312405</t>
  </si>
  <si>
    <t>286635</t>
  </si>
  <si>
    <t>CNRB20605462</t>
  </si>
  <si>
    <t>312433</t>
  </si>
  <si>
    <t>286639</t>
  </si>
  <si>
    <t>CNRB314059523LB</t>
  </si>
  <si>
    <t>312442</t>
  </si>
  <si>
    <t>Murshidabad, West Bengal</t>
  </si>
  <si>
    <t>286651</t>
  </si>
  <si>
    <t>CNRB314059523LAND</t>
  </si>
  <si>
    <t>312449</t>
  </si>
  <si>
    <t>286655</t>
  </si>
  <si>
    <t>CNRB311379761</t>
  </si>
  <si>
    <t>313590</t>
  </si>
  <si>
    <t>259185</t>
  </si>
  <si>
    <t>CNRB87564256</t>
  </si>
  <si>
    <t>313603</t>
  </si>
  <si>
    <t>267218</t>
  </si>
  <si>
    <t>CNRB107506948TUZAMMELHOQ</t>
  </si>
  <si>
    <t>314175</t>
  </si>
  <si>
    <t>Harharia Chak, West Bengal</t>
  </si>
  <si>
    <t>279790</t>
  </si>
  <si>
    <t>CNRB312300733</t>
  </si>
  <si>
    <t>314804</t>
  </si>
  <si>
    <t>Sadigachhi, West Bengal</t>
  </si>
  <si>
    <t>275263</t>
  </si>
  <si>
    <t>CNRB11975080803</t>
  </si>
  <si>
    <t>314819</t>
  </si>
  <si>
    <t>246994</t>
  </si>
  <si>
    <t>CNRB123513492D6</t>
  </si>
  <si>
    <t>314841</t>
  </si>
  <si>
    <t>265430</t>
  </si>
  <si>
    <t>CNRB00197720011</t>
  </si>
  <si>
    <t>314884</t>
  </si>
  <si>
    <t>245376</t>
  </si>
  <si>
    <t>CNRB87564256B</t>
  </si>
  <si>
    <t>314895</t>
  </si>
  <si>
    <t>287296</t>
  </si>
  <si>
    <t>CNRB11975080801</t>
  </si>
  <si>
    <t>316769</t>
  </si>
  <si>
    <t>245015</t>
  </si>
  <si>
    <t>CNRB20611543WF</t>
  </si>
  <si>
    <t>316775</t>
  </si>
  <si>
    <t>266328</t>
  </si>
  <si>
    <t>PUNB196600ACHARYAMEDICAL1</t>
  </si>
  <si>
    <t>310554</t>
  </si>
  <si>
    <t>07-07-2026 15:30</t>
  </si>
  <si>
    <t>286594</t>
  </si>
  <si>
    <t>CNRBSRPACKAGING2</t>
  </si>
  <si>
    <t>312658</t>
  </si>
  <si>
    <t>Industrial Growth Centre Borgaon, Madhya Pradesh</t>
  </si>
  <si>
    <t>287001</t>
  </si>
  <si>
    <t>PUNBEE0189047509</t>
  </si>
  <si>
    <t>309991</t>
  </si>
  <si>
    <t>286533</t>
  </si>
  <si>
    <t>PUNBRAJESHSOHRAMAU</t>
  </si>
  <si>
    <t>313655</t>
  </si>
  <si>
    <t>284682</t>
  </si>
  <si>
    <t>PUNBVARSHA</t>
  </si>
  <si>
    <t>314184</t>
  </si>
  <si>
    <t>284842</t>
  </si>
  <si>
    <t>PUNBU47618236001</t>
  </si>
  <si>
    <t>316558</t>
  </si>
  <si>
    <t>Jalpaiguri, West Bengal</t>
  </si>
  <si>
    <t>233060</t>
  </si>
  <si>
    <t>PUNBC00447052001</t>
  </si>
  <si>
    <t>316598</t>
  </si>
  <si>
    <t>231530</t>
  </si>
  <si>
    <t>BARB604020210012</t>
  </si>
  <si>
    <t>316143</t>
  </si>
  <si>
    <t>20220</t>
  </si>
  <si>
    <t>CNRBCAUVERYAGENCIES</t>
  </si>
  <si>
    <t>305842</t>
  </si>
  <si>
    <t>285870</t>
  </si>
  <si>
    <t>BARBNANDY401</t>
  </si>
  <si>
    <t>308118</t>
  </si>
  <si>
    <t>284635</t>
  </si>
  <si>
    <t>BARBNANDY303</t>
  </si>
  <si>
    <t>308148</t>
  </si>
  <si>
    <t>284632</t>
  </si>
  <si>
    <t>BARBBLRC155</t>
  </si>
  <si>
    <t>304902</t>
  </si>
  <si>
    <t>285709</t>
  </si>
  <si>
    <t>BARBGAJANANA</t>
  </si>
  <si>
    <t>305383</t>
  </si>
  <si>
    <t>285791</t>
  </si>
  <si>
    <t>BARB6042SAKTHIVELN</t>
  </si>
  <si>
    <t>305481</t>
  </si>
  <si>
    <t>285730</t>
  </si>
  <si>
    <t>BARB4501RAMKU</t>
  </si>
  <si>
    <t>305936</t>
  </si>
  <si>
    <t>Sathyamangalam, Tamil Nadu</t>
  </si>
  <si>
    <t>285907</t>
  </si>
  <si>
    <t>BARBBLRC113</t>
  </si>
  <si>
    <t>306387</t>
  </si>
  <si>
    <t>226803</t>
  </si>
  <si>
    <t>BARBBLRC157</t>
  </si>
  <si>
    <t>306397</t>
  </si>
  <si>
    <t>285953</t>
  </si>
  <si>
    <t>BARBPJA06728202</t>
  </si>
  <si>
    <t>307628</t>
  </si>
  <si>
    <t>286198</t>
  </si>
  <si>
    <t>BARB76442026001</t>
  </si>
  <si>
    <t>308518</t>
  </si>
  <si>
    <t>286203</t>
  </si>
  <si>
    <t>BARB601520260001</t>
  </si>
  <si>
    <t>309435</t>
  </si>
  <si>
    <t>286399</t>
  </si>
  <si>
    <t>BARB0DASARATHI</t>
  </si>
  <si>
    <t>309673</t>
  </si>
  <si>
    <t>286446</t>
  </si>
  <si>
    <t>BARB0BALUNKI</t>
  </si>
  <si>
    <t>309711</t>
  </si>
  <si>
    <t>286441</t>
  </si>
  <si>
    <t>BARB0RATIKANTRAY</t>
  </si>
  <si>
    <t>309720</t>
  </si>
  <si>
    <t>286437</t>
  </si>
  <si>
    <t>BARBDILLIPKPRADHAN</t>
  </si>
  <si>
    <t>309732</t>
  </si>
  <si>
    <t>286436</t>
  </si>
  <si>
    <t>BARB612720260001</t>
  </si>
  <si>
    <t>309742</t>
  </si>
  <si>
    <t>Thandla, Madhya Pradesh</t>
  </si>
  <si>
    <t>286113</t>
  </si>
  <si>
    <t>BARB551520250001</t>
  </si>
  <si>
    <t>309917</t>
  </si>
  <si>
    <t>Purnea, Bihar</t>
  </si>
  <si>
    <t>254844</t>
  </si>
  <si>
    <t>BARB551520250002</t>
  </si>
  <si>
    <t>309925</t>
  </si>
  <si>
    <t>254845</t>
  </si>
  <si>
    <t>BARB0DIPTIMAYEE</t>
  </si>
  <si>
    <t>310391</t>
  </si>
  <si>
    <t>286443</t>
  </si>
  <si>
    <t>BARB602820230010</t>
  </si>
  <si>
    <t>312044</t>
  </si>
  <si>
    <t>Pannaipuram, Tamil Nadu</t>
  </si>
  <si>
    <t>105438</t>
  </si>
  <si>
    <t>BARB602820250005</t>
  </si>
  <si>
    <t>313450</t>
  </si>
  <si>
    <t>249702</t>
  </si>
  <si>
    <t>BARB7000MAHEN</t>
  </si>
  <si>
    <t>313630</t>
  </si>
  <si>
    <t>Kolathur, Tamil Nadu</t>
  </si>
  <si>
    <t>269260</t>
  </si>
  <si>
    <t>BARBVJRAPUFRAMES2026</t>
  </si>
  <si>
    <t>314502</t>
  </si>
  <si>
    <t>287202</t>
  </si>
  <si>
    <t>BARBVJKATHMUNIRAJU</t>
  </si>
  <si>
    <t>315266</t>
  </si>
  <si>
    <t>286716</t>
  </si>
  <si>
    <t>BARB515420250001</t>
  </si>
  <si>
    <t>315480</t>
  </si>
  <si>
    <t>254841</t>
  </si>
  <si>
    <t>BARB802120250002</t>
  </si>
  <si>
    <t>315485</t>
  </si>
  <si>
    <t>254847</t>
  </si>
  <si>
    <t>BARBNMK064252</t>
  </si>
  <si>
    <t>315523</t>
  </si>
  <si>
    <t>282832</t>
  </si>
  <si>
    <t>BARBP5A063245</t>
  </si>
  <si>
    <t>315539</t>
  </si>
  <si>
    <t>282856</t>
  </si>
  <si>
    <t>BARBGLI066465</t>
  </si>
  <si>
    <t>315549</t>
  </si>
  <si>
    <t>202332</t>
  </si>
  <si>
    <t>BARBDYQ001669</t>
  </si>
  <si>
    <t>315628</t>
  </si>
  <si>
    <t>282820</t>
  </si>
  <si>
    <t>BARBCUX074618</t>
  </si>
  <si>
    <t>315632</t>
  </si>
  <si>
    <t>282824</t>
  </si>
  <si>
    <t>BARB023008049</t>
  </si>
  <si>
    <t>315636</t>
  </si>
  <si>
    <t>Kim, Gujarat</t>
  </si>
  <si>
    <t>202329</t>
  </si>
  <si>
    <t>BARB7271DBJAYAROHIT</t>
  </si>
  <si>
    <t>315646</t>
  </si>
  <si>
    <t>286709</t>
  </si>
  <si>
    <t>BARBP5A069813</t>
  </si>
  <si>
    <t>315649</t>
  </si>
  <si>
    <t>202347</t>
  </si>
  <si>
    <t>BARBHKY000660</t>
  </si>
  <si>
    <t>315689</t>
  </si>
  <si>
    <t>217858</t>
  </si>
  <si>
    <t>BARB012603854</t>
  </si>
  <si>
    <t>315691</t>
  </si>
  <si>
    <t>202267</t>
  </si>
  <si>
    <t>BARBNE1D19283</t>
  </si>
  <si>
    <t>315707</t>
  </si>
  <si>
    <t>282816</t>
  </si>
  <si>
    <t>BARBHQA100458</t>
  </si>
  <si>
    <t>315731</t>
  </si>
  <si>
    <t>282818</t>
  </si>
  <si>
    <t>BARBKJ1063466</t>
  </si>
  <si>
    <t>315737</t>
  </si>
  <si>
    <t>Valia Jhagadia GNFC Scooter Project Area, Gujarat</t>
  </si>
  <si>
    <t>282854</t>
  </si>
  <si>
    <t>BARB2GB067853</t>
  </si>
  <si>
    <t>315745</t>
  </si>
  <si>
    <t>202328</t>
  </si>
  <si>
    <t>BARBKOMARAGIRI</t>
  </si>
  <si>
    <t>315908</t>
  </si>
  <si>
    <t>Ramachandrapuram, Andhra Pradesh</t>
  </si>
  <si>
    <t>286914</t>
  </si>
  <si>
    <t>BARBBLRC139</t>
  </si>
  <si>
    <t>315991</t>
  </si>
  <si>
    <t>Nanjangud, Karnataka</t>
  </si>
  <si>
    <t>262143</t>
  </si>
  <si>
    <t>BARB0SARGOR27</t>
  </si>
  <si>
    <t>316484</t>
  </si>
  <si>
    <t>Belthara Road, Uttar Pradesh</t>
  </si>
  <si>
    <t>279288</t>
  </si>
  <si>
    <t>BARB394220260001</t>
  </si>
  <si>
    <t>317175</t>
  </si>
  <si>
    <t>Khetia, Madhya Pradesh</t>
  </si>
  <si>
    <t>270423</t>
  </si>
  <si>
    <t>BARBVJABHISONI01</t>
  </si>
  <si>
    <t>317332</t>
  </si>
  <si>
    <t>287221</t>
  </si>
  <si>
    <t>BARB602820260001</t>
  </si>
  <si>
    <t>317657</t>
  </si>
  <si>
    <t>Hanumanthampatti, Tamil Nadu</t>
  </si>
  <si>
    <t>287075</t>
  </si>
  <si>
    <t>BARBBDJAYAKAVERAPPA</t>
  </si>
  <si>
    <t>317740</t>
  </si>
  <si>
    <t>286704</t>
  </si>
  <si>
    <t>BARB167720250002</t>
  </si>
  <si>
    <t>317825</t>
  </si>
  <si>
    <t>Alikherva, Gujarat</t>
  </si>
  <si>
    <t>237355</t>
  </si>
  <si>
    <t>BARB167720240001</t>
  </si>
  <si>
    <t>317827</t>
  </si>
  <si>
    <t>214091</t>
  </si>
  <si>
    <t>BARB114020250002</t>
  </si>
  <si>
    <t>317828</t>
  </si>
  <si>
    <t>239851</t>
  </si>
  <si>
    <t>BARB570420250008</t>
  </si>
  <si>
    <t>317829</t>
  </si>
  <si>
    <t>247511</t>
  </si>
  <si>
    <t>BARB570420260002</t>
  </si>
  <si>
    <t>317830</t>
  </si>
  <si>
    <t>274725</t>
  </si>
  <si>
    <t>BARB570420240004</t>
  </si>
  <si>
    <t>317832</t>
  </si>
  <si>
    <t>207390</t>
  </si>
  <si>
    <t>BARB570420250007</t>
  </si>
  <si>
    <t>317834</t>
  </si>
  <si>
    <t>228726</t>
  </si>
  <si>
    <t>BARB020620250002</t>
  </si>
  <si>
    <t>317837</t>
  </si>
  <si>
    <t>228722</t>
  </si>
  <si>
    <t>BARB088020230001</t>
  </si>
  <si>
    <t>317839</t>
  </si>
  <si>
    <t>Nasvadi, Gujarat</t>
  </si>
  <si>
    <t>232736</t>
  </si>
  <si>
    <t>BARB088020240001</t>
  </si>
  <si>
    <t>317841</t>
  </si>
  <si>
    <t>214086</t>
  </si>
  <si>
    <t>BARB115520260001</t>
  </si>
  <si>
    <t>317843</t>
  </si>
  <si>
    <t>274726</t>
  </si>
  <si>
    <t>BARB43142228</t>
  </si>
  <si>
    <t>318150</t>
  </si>
  <si>
    <t>221539</t>
  </si>
  <si>
    <t>BARBSARBESSAIKRUPAPROP4</t>
  </si>
  <si>
    <t>318188</t>
  </si>
  <si>
    <t>254003</t>
  </si>
  <si>
    <t>BARB78890500000095</t>
  </si>
  <si>
    <t>318298</t>
  </si>
  <si>
    <t>286847</t>
  </si>
  <si>
    <t>BARBBLRC154</t>
  </si>
  <si>
    <t>318312</t>
  </si>
  <si>
    <t>284462</t>
  </si>
  <si>
    <t>BARBSARBESKAVERIPROP</t>
  </si>
  <si>
    <t>318363</t>
  </si>
  <si>
    <t>269773</t>
  </si>
  <si>
    <t>IDIBM2997639742721</t>
  </si>
  <si>
    <t>310038</t>
  </si>
  <si>
    <t>08-07-2026 10:00</t>
  </si>
  <si>
    <t>08-07-2026 16:00</t>
  </si>
  <si>
    <t>243951</t>
  </si>
  <si>
    <t>IDIB6695987397A</t>
  </si>
  <si>
    <t>314970</t>
  </si>
  <si>
    <t>256362</t>
  </si>
  <si>
    <t>SBIN200022596383</t>
  </si>
  <si>
    <t>314977</t>
  </si>
  <si>
    <t>282989</t>
  </si>
  <si>
    <t>IDIB6695987397B</t>
  </si>
  <si>
    <t>315001</t>
  </si>
  <si>
    <t>256440</t>
  </si>
  <si>
    <t>IDIB30498958417</t>
  </si>
  <si>
    <t>304419</t>
  </si>
  <si>
    <t>08-07-2026 17:00</t>
  </si>
  <si>
    <t>257078</t>
  </si>
  <si>
    <t>IDIB30257596266</t>
  </si>
  <si>
    <t>305370</t>
  </si>
  <si>
    <t>Rajpipla, Gujarat</t>
  </si>
  <si>
    <t>208510</t>
  </si>
  <si>
    <t>IDIB50448189552</t>
  </si>
  <si>
    <t>317316</t>
  </si>
  <si>
    <t>112568</t>
  </si>
  <si>
    <t>IBKL2175RCNK</t>
  </si>
  <si>
    <t>318376</t>
  </si>
  <si>
    <t>08-07-2026 10:30</t>
  </si>
  <si>
    <t>08-07-2026 11:30</t>
  </si>
  <si>
    <t>288069</t>
  </si>
  <si>
    <t>PUNBABA40435215</t>
  </si>
  <si>
    <t>308325</t>
  </si>
  <si>
    <t>08-07-2026 11:00</t>
  </si>
  <si>
    <t>08-07-2026 12:00</t>
  </si>
  <si>
    <t>173634</t>
  </si>
  <si>
    <t>IOBA1033SG</t>
  </si>
  <si>
    <t>308421</t>
  </si>
  <si>
    <t>08-07-2026 13:00</t>
  </si>
  <si>
    <t>286139</t>
  </si>
  <si>
    <t>SBIN200035725801</t>
  </si>
  <si>
    <t>312774</t>
  </si>
  <si>
    <t>287057</t>
  </si>
  <si>
    <t>IDIB04076RAJ01</t>
  </si>
  <si>
    <t>314133</t>
  </si>
  <si>
    <t>262503</t>
  </si>
  <si>
    <t>IDIB04076RAJ02</t>
  </si>
  <si>
    <t>314148</t>
  </si>
  <si>
    <t>262506</t>
  </si>
  <si>
    <t>SBIN200023685963</t>
  </si>
  <si>
    <t>315071</t>
  </si>
  <si>
    <t>240337</t>
  </si>
  <si>
    <t>PUNBPWC9591317</t>
  </si>
  <si>
    <t>315668</t>
  </si>
  <si>
    <t>271373</t>
  </si>
  <si>
    <t>IDIB30424893578</t>
  </si>
  <si>
    <t>315826</t>
  </si>
  <si>
    <t>Karoran, Punjab</t>
  </si>
  <si>
    <t>283820</t>
  </si>
  <si>
    <t>IDIB3042489357</t>
  </si>
  <si>
    <t>315836</t>
  </si>
  <si>
    <t>283822</t>
  </si>
  <si>
    <t>IDIB304248935</t>
  </si>
  <si>
    <t>315843</t>
  </si>
  <si>
    <t>283824</t>
  </si>
  <si>
    <t>PUNB2992001</t>
  </si>
  <si>
    <t>315891</t>
  </si>
  <si>
    <t>178288</t>
  </si>
  <si>
    <t>SBIN200032674282</t>
  </si>
  <si>
    <t>316544</t>
  </si>
  <si>
    <t>85794</t>
  </si>
  <si>
    <t>SBIN200057878978</t>
  </si>
  <si>
    <t>316557</t>
  </si>
  <si>
    <t>279298</t>
  </si>
  <si>
    <t>SBIN00BTL</t>
  </si>
  <si>
    <t>316595</t>
  </si>
  <si>
    <t>287735</t>
  </si>
  <si>
    <t>IDIB30202292739</t>
  </si>
  <si>
    <t>304919</t>
  </si>
  <si>
    <t>Darjeeling, West Bengal</t>
  </si>
  <si>
    <t>285258</t>
  </si>
  <si>
    <t>IDIB6927410547</t>
  </si>
  <si>
    <t>316763</t>
  </si>
  <si>
    <t>Chatrapur, Odisha</t>
  </si>
  <si>
    <t>96385</t>
  </si>
  <si>
    <t>IDIB6715225421</t>
  </si>
  <si>
    <t>317565</t>
  </si>
  <si>
    <t>275333</t>
  </si>
  <si>
    <t>IDIB7806932063</t>
  </si>
  <si>
    <t>317569</t>
  </si>
  <si>
    <t>273113</t>
  </si>
  <si>
    <t>IDIB7533930745</t>
  </si>
  <si>
    <t>317571</t>
  </si>
  <si>
    <t>284085</t>
  </si>
  <si>
    <t>IDIB6703882231</t>
  </si>
  <si>
    <t>317693</t>
  </si>
  <si>
    <t>288041</t>
  </si>
  <si>
    <t>IDIB5029733216A</t>
  </si>
  <si>
    <t>317800</t>
  </si>
  <si>
    <t>288054</t>
  </si>
  <si>
    <t>CNRB124652660INDUSTRIAL</t>
  </si>
  <si>
    <t>314731</t>
  </si>
  <si>
    <t>08-07-2026 12:30</t>
  </si>
  <si>
    <t>273899</t>
  </si>
  <si>
    <t>CNRB115541068</t>
  </si>
  <si>
    <t>314760</t>
  </si>
  <si>
    <t>Perumkulam, Kerala</t>
  </si>
  <si>
    <t>275757</t>
  </si>
  <si>
    <t>CNRB115541068P2</t>
  </si>
  <si>
    <t>314794</t>
  </si>
  <si>
    <t>275758</t>
  </si>
  <si>
    <t>BARB961201</t>
  </si>
  <si>
    <t>304901</t>
  </si>
  <si>
    <t>250224</t>
  </si>
  <si>
    <t>CNRB117103750</t>
  </si>
  <si>
    <t>316786</t>
  </si>
  <si>
    <t>08-07-2026 15:00</t>
  </si>
  <si>
    <t>241669</t>
  </si>
  <si>
    <t>CNRB115299474MEHUL</t>
  </si>
  <si>
    <t>316791</t>
  </si>
  <si>
    <t>219963</t>
  </si>
  <si>
    <t>CNRB241094948001</t>
  </si>
  <si>
    <t>316816</t>
  </si>
  <si>
    <t>273955</t>
  </si>
  <si>
    <t>CNRB241094948002</t>
  </si>
  <si>
    <t>316819</t>
  </si>
  <si>
    <t>273960</t>
  </si>
  <si>
    <t>CNRB97499681004</t>
  </si>
  <si>
    <t>316826</t>
  </si>
  <si>
    <t>274482</t>
  </si>
  <si>
    <t>CNRB327861415</t>
  </si>
  <si>
    <t>316836</t>
  </si>
  <si>
    <t>269596</t>
  </si>
  <si>
    <t>BARB3646OJX067371</t>
  </si>
  <si>
    <t>310158</t>
  </si>
  <si>
    <t>08-07-2026 14:00</t>
  </si>
  <si>
    <t>08-07-2026 18:00</t>
  </si>
  <si>
    <t>282056</t>
  </si>
  <si>
    <t>BARB04301</t>
  </si>
  <si>
    <t>313685</t>
  </si>
  <si>
    <t>287192</t>
  </si>
  <si>
    <t>CNRBVEERTEJA</t>
  </si>
  <si>
    <t>317465</t>
  </si>
  <si>
    <t>Dudu, Rajasthan</t>
  </si>
  <si>
    <t>244864</t>
  </si>
  <si>
    <t>CNRBLAV404ARIHANT</t>
  </si>
  <si>
    <t>307658</t>
  </si>
  <si>
    <t>09-07-2026 00:00</t>
  </si>
  <si>
    <t>09-07-2026 12:00</t>
  </si>
  <si>
    <t>286242</t>
  </si>
  <si>
    <t>BKIDPUNE260</t>
  </si>
  <si>
    <t>317644</t>
  </si>
  <si>
    <t>09-07-2026 10:00</t>
  </si>
  <si>
    <t>09-07-2026 16:00</t>
  </si>
  <si>
    <t>219076</t>
  </si>
  <si>
    <t>BKID9210000898</t>
  </si>
  <si>
    <t>316849</t>
  </si>
  <si>
    <t>Panhala, Maharashtra</t>
  </si>
  <si>
    <t>09-07-2026 16:30</t>
  </si>
  <si>
    <t>223595</t>
  </si>
  <si>
    <t>BKIDRISING</t>
  </si>
  <si>
    <t>306618</t>
  </si>
  <si>
    <t>09-07-2026 17:00</t>
  </si>
  <si>
    <t>286048</t>
  </si>
  <si>
    <t>BKIDAHUJA</t>
  </si>
  <si>
    <t>314001</t>
  </si>
  <si>
    <t>287266</t>
  </si>
  <si>
    <t>SBIN200056828020</t>
  </si>
  <si>
    <t>314720</t>
  </si>
  <si>
    <t>127788</t>
  </si>
  <si>
    <t>SBIN200026631293</t>
  </si>
  <si>
    <t>314754</t>
  </si>
  <si>
    <t>217034</t>
  </si>
  <si>
    <t>SBIN200017320549</t>
  </si>
  <si>
    <t>314769</t>
  </si>
  <si>
    <t>217036</t>
  </si>
  <si>
    <t>BKID9020000244</t>
  </si>
  <si>
    <t>316812</t>
  </si>
  <si>
    <t>223713</t>
  </si>
  <si>
    <t>BKID90210000182</t>
  </si>
  <si>
    <t>316827</t>
  </si>
  <si>
    <t>223721</t>
  </si>
  <si>
    <t>BKID092175110000188</t>
  </si>
  <si>
    <t>316834</t>
  </si>
  <si>
    <t>93255</t>
  </si>
  <si>
    <t>BKID16097511228</t>
  </si>
  <si>
    <t>316855</t>
  </si>
  <si>
    <t>Jaysingpur, Maharashtra</t>
  </si>
  <si>
    <t>252521</t>
  </si>
  <si>
    <t>BKID1609000005</t>
  </si>
  <si>
    <t>316861</t>
  </si>
  <si>
    <t>223742</t>
  </si>
  <si>
    <t>BKID1520751155</t>
  </si>
  <si>
    <t>316877</t>
  </si>
  <si>
    <t>Palus, Maharashtra</t>
  </si>
  <si>
    <t>260516</t>
  </si>
  <si>
    <t>BKID09207511660</t>
  </si>
  <si>
    <t>316886</t>
  </si>
  <si>
    <t>285023</t>
  </si>
  <si>
    <t>BKID0920R2</t>
  </si>
  <si>
    <t>316888</t>
  </si>
  <si>
    <t>205947</t>
  </si>
  <si>
    <t>BKID09037511757</t>
  </si>
  <si>
    <t>316895</t>
  </si>
  <si>
    <t>285030</t>
  </si>
  <si>
    <t>BKID9030000742</t>
  </si>
  <si>
    <t>316912</t>
  </si>
  <si>
    <t>223613</t>
  </si>
  <si>
    <t>BKIDKOP01</t>
  </si>
  <si>
    <t>316916</t>
  </si>
  <si>
    <t>223074</t>
  </si>
  <si>
    <t>BKIDpalusus02</t>
  </si>
  <si>
    <t>316925</t>
  </si>
  <si>
    <t>216590</t>
  </si>
  <si>
    <t>BKID1675751164</t>
  </si>
  <si>
    <t>316928</t>
  </si>
  <si>
    <t>252399</t>
  </si>
  <si>
    <t>BKID09017511434</t>
  </si>
  <si>
    <t>316934</t>
  </si>
  <si>
    <t>252666</t>
  </si>
  <si>
    <t>BKID09017511620</t>
  </si>
  <si>
    <t>316957</t>
  </si>
  <si>
    <t>252662</t>
  </si>
  <si>
    <t>BKID09017511430</t>
  </si>
  <si>
    <t>316963</t>
  </si>
  <si>
    <t>Malwan, Maharashtra</t>
  </si>
  <si>
    <t>252672</t>
  </si>
  <si>
    <t>BKIDSHAHUPURI01</t>
  </si>
  <si>
    <t>316968</t>
  </si>
  <si>
    <t>223043</t>
  </si>
  <si>
    <t>BKID091075110000519</t>
  </si>
  <si>
    <t>316972</t>
  </si>
  <si>
    <t>Shiroli MIDC, Maharashtra</t>
  </si>
  <si>
    <t>285071</t>
  </si>
  <si>
    <t>BKID09106261115</t>
  </si>
  <si>
    <t>316977</t>
  </si>
  <si>
    <t>252443</t>
  </si>
  <si>
    <t>BKID09107511497</t>
  </si>
  <si>
    <t>316981</t>
  </si>
  <si>
    <t>252583</t>
  </si>
  <si>
    <t>BKIDVISH001</t>
  </si>
  <si>
    <t>316985</t>
  </si>
  <si>
    <t>230234</t>
  </si>
  <si>
    <t>BKIDKOL090210</t>
  </si>
  <si>
    <t>316991</t>
  </si>
  <si>
    <t>219704</t>
  </si>
  <si>
    <t>BKID090200003</t>
  </si>
  <si>
    <t>316993</t>
  </si>
  <si>
    <t>207749</t>
  </si>
  <si>
    <t>BKID9020000011</t>
  </si>
  <si>
    <t>317000</t>
  </si>
  <si>
    <t>223582</t>
  </si>
  <si>
    <t>BKID0949751120</t>
  </si>
  <si>
    <t>317001</t>
  </si>
  <si>
    <t>243956</t>
  </si>
  <si>
    <t>BKID15057511121</t>
  </si>
  <si>
    <t>317005</t>
  </si>
  <si>
    <t>Uran Islampur, Maharashtra</t>
  </si>
  <si>
    <t>252545</t>
  </si>
  <si>
    <t>BKID09007511730</t>
  </si>
  <si>
    <t>317010</t>
  </si>
  <si>
    <t>278437</t>
  </si>
  <si>
    <t>BKID16097511223</t>
  </si>
  <si>
    <t>317013</t>
  </si>
  <si>
    <t>252519</t>
  </si>
  <si>
    <t>BKID151900001</t>
  </si>
  <si>
    <t>317017</t>
  </si>
  <si>
    <t>Tasgaon, Maharashtra</t>
  </si>
  <si>
    <t>207884</t>
  </si>
  <si>
    <t>BKID09217511131</t>
  </si>
  <si>
    <t>317018</t>
  </si>
  <si>
    <t>279069</t>
  </si>
  <si>
    <t>BKID16097511242</t>
  </si>
  <si>
    <t>317021</t>
  </si>
  <si>
    <t>252538</t>
  </si>
  <si>
    <t>BKIDKASBAB05</t>
  </si>
  <si>
    <t>317025</t>
  </si>
  <si>
    <t>223130</t>
  </si>
  <si>
    <t>BKID094775110000176</t>
  </si>
  <si>
    <t>317029</t>
  </si>
  <si>
    <t>190184</t>
  </si>
  <si>
    <t>BKID1510751159</t>
  </si>
  <si>
    <t>317038</t>
  </si>
  <si>
    <t>279302</t>
  </si>
  <si>
    <t>BKIDPU0503001</t>
  </si>
  <si>
    <t>317041</t>
  </si>
  <si>
    <t>287728</t>
  </si>
  <si>
    <t>BKIDPU0542001</t>
  </si>
  <si>
    <t>317051</t>
  </si>
  <si>
    <t>287706</t>
  </si>
  <si>
    <t>BKIDGH0553001</t>
  </si>
  <si>
    <t>317054</t>
  </si>
  <si>
    <t>287580</t>
  </si>
  <si>
    <t>BKIDGH0517001</t>
  </si>
  <si>
    <t>317060</t>
  </si>
  <si>
    <t>287604</t>
  </si>
  <si>
    <t>BKIDPU0621001</t>
  </si>
  <si>
    <t>317064</t>
  </si>
  <si>
    <t>287708</t>
  </si>
  <si>
    <t>BKIDGH0608001</t>
  </si>
  <si>
    <t>317066</t>
  </si>
  <si>
    <t>287608</t>
  </si>
  <si>
    <t>BKIDGH0613001</t>
  </si>
  <si>
    <t>317071</t>
  </si>
  <si>
    <t>287576</t>
  </si>
  <si>
    <t>BKIDGH0613002</t>
  </si>
  <si>
    <t>317074</t>
  </si>
  <si>
    <t>287583</t>
  </si>
  <si>
    <t>BKIDGH0613003</t>
  </si>
  <si>
    <t>317077</t>
  </si>
  <si>
    <t>287592</t>
  </si>
  <si>
    <t>BKIDGH0537001</t>
  </si>
  <si>
    <t>317101</t>
  </si>
  <si>
    <t>287620</t>
  </si>
  <si>
    <t>BKIDGH052001</t>
  </si>
  <si>
    <t>317106</t>
  </si>
  <si>
    <t>287614</t>
  </si>
  <si>
    <t>BKIDPU0508001</t>
  </si>
  <si>
    <t>317111</t>
  </si>
  <si>
    <t>287857</t>
  </si>
  <si>
    <t>BKIDKASBAB06</t>
  </si>
  <si>
    <t>317535</t>
  </si>
  <si>
    <t>223145</t>
  </si>
  <si>
    <t>BKIDPU0602001</t>
  </si>
  <si>
    <t>317538</t>
  </si>
  <si>
    <t>287898</t>
  </si>
  <si>
    <t>BKIDPUNE317</t>
  </si>
  <si>
    <t>317609</t>
  </si>
  <si>
    <t>250916</t>
  </si>
  <si>
    <t>BKIDPUNE263</t>
  </si>
  <si>
    <t>317613</t>
  </si>
  <si>
    <t>Bhor, Maharashtra</t>
  </si>
  <si>
    <t>219104</t>
  </si>
  <si>
    <t>BKIDPUNE333</t>
  </si>
  <si>
    <t>317631</t>
  </si>
  <si>
    <t>Baramati, Maharashtra</t>
  </si>
  <si>
    <t>262556</t>
  </si>
  <si>
    <t>BKIDPUNE323</t>
  </si>
  <si>
    <t>317636</t>
  </si>
  <si>
    <t>251017</t>
  </si>
  <si>
    <t>BKIDPUNE249</t>
  </si>
  <si>
    <t>317655</t>
  </si>
  <si>
    <t>Lavasa, Maharashtra</t>
  </si>
  <si>
    <t>201503</t>
  </si>
  <si>
    <t>BKIDPUNE266</t>
  </si>
  <si>
    <t>317667</t>
  </si>
  <si>
    <t>222935</t>
  </si>
  <si>
    <t>BKIDPUNE344</t>
  </si>
  <si>
    <t>317683</t>
  </si>
  <si>
    <t>272172</t>
  </si>
  <si>
    <t>BKIDPUNE338</t>
  </si>
  <si>
    <t>317692</t>
  </si>
  <si>
    <t>270220</t>
  </si>
  <si>
    <t>BKIDPUNE282</t>
  </si>
  <si>
    <t>317703</t>
  </si>
  <si>
    <t>Junnar, Maharashtra</t>
  </si>
  <si>
    <t>223354</t>
  </si>
  <si>
    <t>BKIDPUNE262</t>
  </si>
  <si>
    <t>317734</t>
  </si>
  <si>
    <t>219102</t>
  </si>
  <si>
    <t>BKIDPU0607001</t>
  </si>
  <si>
    <t>317788</t>
  </si>
  <si>
    <t>287699</t>
  </si>
  <si>
    <t>BKIDGH083001</t>
  </si>
  <si>
    <t>317790</t>
  </si>
  <si>
    <t>287572</t>
  </si>
  <si>
    <t>BKID0912311081837</t>
  </si>
  <si>
    <t>317794</t>
  </si>
  <si>
    <t>288021</t>
  </si>
  <si>
    <t>BKID1609206361412</t>
  </si>
  <si>
    <t>317801</t>
  </si>
  <si>
    <t>288031</t>
  </si>
  <si>
    <t>BKID0947005574359</t>
  </si>
  <si>
    <t>317805</t>
  </si>
  <si>
    <t>288006</t>
  </si>
  <si>
    <t>BKID0926184108785</t>
  </si>
  <si>
    <t>318131</t>
  </si>
  <si>
    <t>Ajara, Maharashtra</t>
  </si>
  <si>
    <t>287995</t>
  </si>
  <si>
    <t>BKID0926115303746</t>
  </si>
  <si>
    <t>318137</t>
  </si>
  <si>
    <t>288110</t>
  </si>
  <si>
    <t>BKID0926107041384</t>
  </si>
  <si>
    <t>318341</t>
  </si>
  <si>
    <t>288125</t>
  </si>
  <si>
    <t>BKID0926205917552</t>
  </si>
  <si>
    <t>318351</t>
  </si>
  <si>
    <t>288133</t>
  </si>
  <si>
    <t>BKID1510026441619</t>
  </si>
  <si>
    <t>318359</t>
  </si>
  <si>
    <t>288137</t>
  </si>
  <si>
    <t>BKID0924115477988</t>
  </si>
  <si>
    <t>318362</t>
  </si>
  <si>
    <t>Malkapur Kolhapur, Maharashtra</t>
  </si>
  <si>
    <t>288154</t>
  </si>
  <si>
    <t>BKID0902309002686</t>
  </si>
  <si>
    <t>318364</t>
  </si>
  <si>
    <t>288159</t>
  </si>
  <si>
    <t>BKID1510118149843</t>
  </si>
  <si>
    <t>318366</t>
  </si>
  <si>
    <t>288162</t>
  </si>
  <si>
    <t>BKID0949199264797</t>
  </si>
  <si>
    <t>318368</t>
  </si>
  <si>
    <t>288169</t>
  </si>
  <si>
    <t>BKID0903161147321</t>
  </si>
  <si>
    <t>318370</t>
  </si>
  <si>
    <t>288170</t>
  </si>
  <si>
    <t>BKID0901195309533</t>
  </si>
  <si>
    <t>318373</t>
  </si>
  <si>
    <t>288184</t>
  </si>
  <si>
    <t>BKID0901196478199</t>
  </si>
  <si>
    <t>318379</t>
  </si>
  <si>
    <t>288198</t>
  </si>
  <si>
    <t>IBKL162</t>
  </si>
  <si>
    <t>309360</t>
  </si>
  <si>
    <t>09-07-2026 10:30</t>
  </si>
  <si>
    <t>09-07-2026 11:30</t>
  </si>
  <si>
    <t>286419</t>
  </si>
  <si>
    <t>CNRB313459831</t>
  </si>
  <si>
    <t>178431</t>
  </si>
  <si>
    <t>256688</t>
  </si>
  <si>
    <t>CNRB313459831A</t>
  </si>
  <si>
    <t>178444</t>
  </si>
  <si>
    <t>256714</t>
  </si>
  <si>
    <t>CNRB100860586A</t>
  </si>
  <si>
    <t>315253</t>
  </si>
  <si>
    <t>204150</t>
  </si>
  <si>
    <t>IOBA006601</t>
  </si>
  <si>
    <t>316075</t>
  </si>
  <si>
    <t>09-07-2026 13:30</t>
  </si>
  <si>
    <t>242167</t>
  </si>
  <si>
    <t>SBIN001295391</t>
  </si>
  <si>
    <t>305801</t>
  </si>
  <si>
    <t>09-07-2026 11:00</t>
  </si>
  <si>
    <t>285485</t>
  </si>
  <si>
    <t>SBIN001295392</t>
  </si>
  <si>
    <t>305813</t>
  </si>
  <si>
    <t>285488</t>
  </si>
  <si>
    <t>SBIN001295393</t>
  </si>
  <si>
    <t>305862</t>
  </si>
  <si>
    <t>285489</t>
  </si>
  <si>
    <t>SBIN0INJ11240</t>
  </si>
  <si>
    <t>308972</t>
  </si>
  <si>
    <t>286031</t>
  </si>
  <si>
    <t>SBIN77989004500</t>
  </si>
  <si>
    <t>310886</t>
  </si>
  <si>
    <t>286183</t>
  </si>
  <si>
    <t>SBIN043613678787</t>
  </si>
  <si>
    <t>311504</t>
  </si>
  <si>
    <t>286438</t>
  </si>
  <si>
    <t>SBIN78575324272</t>
  </si>
  <si>
    <t>313106</t>
  </si>
  <si>
    <t>287114</t>
  </si>
  <si>
    <t>SBIN001295394</t>
  </si>
  <si>
    <t>313725</t>
  </si>
  <si>
    <t>285492</t>
  </si>
  <si>
    <t>SBINPEEJAYAGROP6</t>
  </si>
  <si>
    <t>314683</t>
  </si>
  <si>
    <t>112524</t>
  </si>
  <si>
    <t>IOBA0442DEEPAK</t>
  </si>
  <si>
    <t>316736</t>
  </si>
  <si>
    <t>Kundli, Haryana</t>
  </si>
  <si>
    <t>207547</t>
  </si>
  <si>
    <t>SBIN78282558087</t>
  </si>
  <si>
    <t>317257</t>
  </si>
  <si>
    <t>282222</t>
  </si>
  <si>
    <t>SBIN64267SAISURYA2</t>
  </si>
  <si>
    <t>317791</t>
  </si>
  <si>
    <t>248562</t>
  </si>
  <si>
    <t>BKIDAKO164</t>
  </si>
  <si>
    <t>309201</t>
  </si>
  <si>
    <t>223156</t>
  </si>
  <si>
    <t>BKIDBULD04</t>
  </si>
  <si>
    <t>309203</t>
  </si>
  <si>
    <t>240099</t>
  </si>
  <si>
    <t>BKIDGOR40</t>
  </si>
  <si>
    <t>309205</t>
  </si>
  <si>
    <t>222805</t>
  </si>
  <si>
    <t>BKIDVIDBAM02</t>
  </si>
  <si>
    <t>309207</t>
  </si>
  <si>
    <t>Ballarpur, Maharashtra</t>
  </si>
  <si>
    <t>232079</t>
  </si>
  <si>
    <t>BKIDVIDBUL01</t>
  </si>
  <si>
    <t>309209</t>
  </si>
  <si>
    <t>185248</t>
  </si>
  <si>
    <t>BKIDVIDRAJ01</t>
  </si>
  <si>
    <t>309211</t>
  </si>
  <si>
    <t>207867</t>
  </si>
  <si>
    <t>BKIDBABURAJU</t>
  </si>
  <si>
    <t>309212</t>
  </si>
  <si>
    <t>283007</t>
  </si>
  <si>
    <t>BKIDBABUVISHAL</t>
  </si>
  <si>
    <t>309213</t>
  </si>
  <si>
    <t>283008</t>
  </si>
  <si>
    <t>BKIDJGRAMESH</t>
  </si>
  <si>
    <t>309214</t>
  </si>
  <si>
    <t>283012</t>
  </si>
  <si>
    <t>BKIDJGASLAM</t>
  </si>
  <si>
    <t>309215</t>
  </si>
  <si>
    <t>283010</t>
  </si>
  <si>
    <t>BKIDJGRAVI</t>
  </si>
  <si>
    <t>309219</t>
  </si>
  <si>
    <t>283009</t>
  </si>
  <si>
    <t>BKIDSANJAYOCHANI</t>
  </si>
  <si>
    <t>311948</t>
  </si>
  <si>
    <t>286641</t>
  </si>
  <si>
    <t>BKIDCHITRA</t>
  </si>
  <si>
    <t>311980</t>
  </si>
  <si>
    <t>286610</t>
  </si>
  <si>
    <t>BKIDJAICHAND</t>
  </si>
  <si>
    <t>313439</t>
  </si>
  <si>
    <t>286636</t>
  </si>
  <si>
    <t>BKID2507202501</t>
  </si>
  <si>
    <t>313821</t>
  </si>
  <si>
    <t>Kodala, Odisha</t>
  </si>
  <si>
    <t>246857</t>
  </si>
  <si>
    <t>BKID000000079</t>
  </si>
  <si>
    <t>313853</t>
  </si>
  <si>
    <t>Khategaon, Madhya Pradesh</t>
  </si>
  <si>
    <t>231906</t>
  </si>
  <si>
    <t>BKIDWIRURRAJESH</t>
  </si>
  <si>
    <t>314995</t>
  </si>
  <si>
    <t>284058</t>
  </si>
  <si>
    <t>BKIDGONDRAVINDRA</t>
  </si>
  <si>
    <t>315000</t>
  </si>
  <si>
    <t>Gondpipri, Maharashtra</t>
  </si>
  <si>
    <t>283975</t>
  </si>
  <si>
    <t>BKID1486SHIVANI</t>
  </si>
  <si>
    <t>315035</t>
  </si>
  <si>
    <t>150425</t>
  </si>
  <si>
    <t>BKID1486SANTOSH</t>
  </si>
  <si>
    <t>315043</t>
  </si>
  <si>
    <t>Mouje Anjanvel, Maharashtra</t>
  </si>
  <si>
    <t>26818</t>
  </si>
  <si>
    <t>BKID1486PANCHAL</t>
  </si>
  <si>
    <t>315047</t>
  </si>
  <si>
    <t>235637</t>
  </si>
  <si>
    <t>BKID1411MAKARAND</t>
  </si>
  <si>
    <t>315069</t>
  </si>
  <si>
    <t>285631</t>
  </si>
  <si>
    <t>BKID1455RAHUL</t>
  </si>
  <si>
    <t>315073</t>
  </si>
  <si>
    <t>222993</t>
  </si>
  <si>
    <t>BKID000563202</t>
  </si>
  <si>
    <t>315087</t>
  </si>
  <si>
    <t>Jangareddigudem, Andhra Pradesh</t>
  </si>
  <si>
    <t>283866</t>
  </si>
  <si>
    <t>BKID1455FIROZ</t>
  </si>
  <si>
    <t>315090</t>
  </si>
  <si>
    <t>222991</t>
  </si>
  <si>
    <t>BKID1455RAJENDRA</t>
  </si>
  <si>
    <t>315101</t>
  </si>
  <si>
    <t>285445</t>
  </si>
  <si>
    <t>BKID1455AMAR</t>
  </si>
  <si>
    <t>315107</t>
  </si>
  <si>
    <t>222992</t>
  </si>
  <si>
    <t>BKID000076101</t>
  </si>
  <si>
    <t>315134</t>
  </si>
  <si>
    <t>201275</t>
  </si>
  <si>
    <t>BKID000070901</t>
  </si>
  <si>
    <t>315399</t>
  </si>
  <si>
    <t>65000</t>
  </si>
  <si>
    <t>BKID1455UDAY2</t>
  </si>
  <si>
    <t>315470</t>
  </si>
  <si>
    <t>285237</t>
  </si>
  <si>
    <t>BKID1455KHALFE</t>
  </si>
  <si>
    <t>315475</t>
  </si>
  <si>
    <t>74192</t>
  </si>
  <si>
    <t>BKID1455SAIMAN</t>
  </si>
  <si>
    <t>315478</t>
  </si>
  <si>
    <t>235638</t>
  </si>
  <si>
    <t>BKID1455UDAY1</t>
  </si>
  <si>
    <t>315481</t>
  </si>
  <si>
    <t>285229</t>
  </si>
  <si>
    <t>BKID1440FASCINATION</t>
  </si>
  <si>
    <t>315483</t>
  </si>
  <si>
    <t>211565</t>
  </si>
  <si>
    <t>BKIDASBAGS</t>
  </si>
  <si>
    <t>315484</t>
  </si>
  <si>
    <t>252120</t>
  </si>
  <si>
    <t>BKID1484HANBAR</t>
  </si>
  <si>
    <t>315490</t>
  </si>
  <si>
    <t>219745</t>
  </si>
  <si>
    <t>BKID1484MLOKARE</t>
  </si>
  <si>
    <t>315492</t>
  </si>
  <si>
    <t>76824</t>
  </si>
  <si>
    <t>BKID1484NARKAR</t>
  </si>
  <si>
    <t>315496</t>
  </si>
  <si>
    <t>285421</t>
  </si>
  <si>
    <t>BKIDKALAMNAKALE1</t>
  </si>
  <si>
    <t>315507</t>
  </si>
  <si>
    <t>187397</t>
  </si>
  <si>
    <t>BKIDCHANDRASHEKHAR</t>
  </si>
  <si>
    <t>315509</t>
  </si>
  <si>
    <t>286618</t>
  </si>
  <si>
    <t>BKIDETHNICS</t>
  </si>
  <si>
    <t>315518</t>
  </si>
  <si>
    <t>223158</t>
  </si>
  <si>
    <t>BKID1484SHASHI</t>
  </si>
  <si>
    <t>315532</t>
  </si>
  <si>
    <t>25905</t>
  </si>
  <si>
    <t>BKID1484BASAVRAJ</t>
  </si>
  <si>
    <t>315536</t>
  </si>
  <si>
    <t>285582</t>
  </si>
  <si>
    <t>BKID1484SACHIN</t>
  </si>
  <si>
    <t>315542</t>
  </si>
  <si>
    <t>32711</t>
  </si>
  <si>
    <t>BKIDMADHU1</t>
  </si>
  <si>
    <t>315564</t>
  </si>
  <si>
    <t>199108</t>
  </si>
  <si>
    <t>BKIDYASHA1</t>
  </si>
  <si>
    <t>315572</t>
  </si>
  <si>
    <t>199086</t>
  </si>
  <si>
    <t>BKIDKULKARNI</t>
  </si>
  <si>
    <t>315578</t>
  </si>
  <si>
    <t>259217</t>
  </si>
  <si>
    <t>BKIDNILAWAR1</t>
  </si>
  <si>
    <t>315583</t>
  </si>
  <si>
    <t>239924</t>
  </si>
  <si>
    <t>BKID0000710001</t>
  </si>
  <si>
    <t>315590</t>
  </si>
  <si>
    <t>65988</t>
  </si>
  <si>
    <t>BKIDFOKMARE</t>
  </si>
  <si>
    <t>315600</t>
  </si>
  <si>
    <t>252145</t>
  </si>
  <si>
    <t>BKIDRAJPUT</t>
  </si>
  <si>
    <t>315607</t>
  </si>
  <si>
    <t>282104</t>
  </si>
  <si>
    <t>BKIDHATWAR</t>
  </si>
  <si>
    <t>315613</t>
  </si>
  <si>
    <t>Ramtek, Maharashtra</t>
  </si>
  <si>
    <t>220359</t>
  </si>
  <si>
    <t>BKIDJALMANISHA1</t>
  </si>
  <si>
    <t>315651</t>
  </si>
  <si>
    <t>287543</t>
  </si>
  <si>
    <t>BKIDJALSACHIN1</t>
  </si>
  <si>
    <t>315666</t>
  </si>
  <si>
    <t>286850</t>
  </si>
  <si>
    <t>BKID1484SIDDHAR</t>
  </si>
  <si>
    <t>315696</t>
  </si>
  <si>
    <t>133781</t>
  </si>
  <si>
    <t>BKID1484VISHAL</t>
  </si>
  <si>
    <t>315700</t>
  </si>
  <si>
    <t>219760</t>
  </si>
  <si>
    <t>BKID000071404</t>
  </si>
  <si>
    <t>315713</t>
  </si>
  <si>
    <t>Barshi, Maharashtra</t>
  </si>
  <si>
    <t>215456</t>
  </si>
  <si>
    <t>BKID000070608</t>
  </si>
  <si>
    <t>315734</t>
  </si>
  <si>
    <t>267007</t>
  </si>
  <si>
    <t>BKIDAURAUME1</t>
  </si>
  <si>
    <t>315741</t>
  </si>
  <si>
    <t>256178</t>
  </si>
  <si>
    <t>BKIDAURAUME2</t>
  </si>
  <si>
    <t>315755</t>
  </si>
  <si>
    <t>256177</t>
  </si>
  <si>
    <t>BKID1484SAJID</t>
  </si>
  <si>
    <t>315767</t>
  </si>
  <si>
    <t>285039</t>
  </si>
  <si>
    <t>BKID1471RAVINDRA</t>
  </si>
  <si>
    <t>315772</t>
  </si>
  <si>
    <t>285247</t>
  </si>
  <si>
    <t>BKID1449SALEEM</t>
  </si>
  <si>
    <t>315775</t>
  </si>
  <si>
    <t>286508</t>
  </si>
  <si>
    <t>BKID1403VIJAY</t>
  </si>
  <si>
    <t>315785</t>
  </si>
  <si>
    <t>Madangad, Maharashtra</t>
  </si>
  <si>
    <t>212174</t>
  </si>
  <si>
    <t>BKID1403MEERA</t>
  </si>
  <si>
    <t>315787</t>
  </si>
  <si>
    <t>212164</t>
  </si>
  <si>
    <t>BKID1463KASTURE</t>
  </si>
  <si>
    <t>315791</t>
  </si>
  <si>
    <t>86073</t>
  </si>
  <si>
    <t>BKID1463SHAIKH</t>
  </si>
  <si>
    <t>315804</t>
  </si>
  <si>
    <t>116580</t>
  </si>
  <si>
    <t>BKID1463BHALCHANDRA</t>
  </si>
  <si>
    <t>315807</t>
  </si>
  <si>
    <t>224894</t>
  </si>
  <si>
    <t>BKID1463BAGBAN</t>
  </si>
  <si>
    <t>315818</t>
  </si>
  <si>
    <t>75794</t>
  </si>
  <si>
    <t>BKID1463DARVE</t>
  </si>
  <si>
    <t>315820</t>
  </si>
  <si>
    <t>206338</t>
  </si>
  <si>
    <t>BKID1480VILAS</t>
  </si>
  <si>
    <t>315824</t>
  </si>
  <si>
    <t>219875</t>
  </si>
  <si>
    <t>BKID000070603</t>
  </si>
  <si>
    <t>315831</t>
  </si>
  <si>
    <t>Kumbhari, Maharashtra</t>
  </si>
  <si>
    <t>15330</t>
  </si>
  <si>
    <t>BKID1496RAMA</t>
  </si>
  <si>
    <t>315832</t>
  </si>
  <si>
    <t>219764</t>
  </si>
  <si>
    <t>BKID1451SUVARNA</t>
  </si>
  <si>
    <t>315846</t>
  </si>
  <si>
    <t>15914</t>
  </si>
  <si>
    <t>BKID1451JITE</t>
  </si>
  <si>
    <t>315858</t>
  </si>
  <si>
    <t>205528</t>
  </si>
  <si>
    <t>BKID000070605</t>
  </si>
  <si>
    <t>315859</t>
  </si>
  <si>
    <t>53636</t>
  </si>
  <si>
    <t>BKID1477RAJENDRA</t>
  </si>
  <si>
    <t>315864</t>
  </si>
  <si>
    <t>285588</t>
  </si>
  <si>
    <t>BKID1475ASHOK</t>
  </si>
  <si>
    <t>315869</t>
  </si>
  <si>
    <t>285585</t>
  </si>
  <si>
    <t>BKID000070116</t>
  </si>
  <si>
    <t>315938</t>
  </si>
  <si>
    <t>267006</t>
  </si>
  <si>
    <t>BKID1408LODHA</t>
  </si>
  <si>
    <t>315980</t>
  </si>
  <si>
    <t>73111</t>
  </si>
  <si>
    <t>BKID1408REVA</t>
  </si>
  <si>
    <t>316008</t>
  </si>
  <si>
    <t>205425</t>
  </si>
  <si>
    <t>BKID1408RAJENDRA</t>
  </si>
  <si>
    <t>316012</t>
  </si>
  <si>
    <t>205403</t>
  </si>
  <si>
    <t>BKID000070808</t>
  </si>
  <si>
    <t>316076</t>
  </si>
  <si>
    <t>201299</t>
  </si>
  <si>
    <t>BKID000070815</t>
  </si>
  <si>
    <t>316089</t>
  </si>
  <si>
    <t>267008</t>
  </si>
  <si>
    <t>BKID000064501</t>
  </si>
  <si>
    <t>316137</t>
  </si>
  <si>
    <t>287401</t>
  </si>
  <si>
    <t>BKID000073801</t>
  </si>
  <si>
    <t>316283</t>
  </si>
  <si>
    <t>Akkalkot, Maharashtra</t>
  </si>
  <si>
    <t>223381</t>
  </si>
  <si>
    <t>BKID1470PAKARAM</t>
  </si>
  <si>
    <t>316307</t>
  </si>
  <si>
    <t>Lanja, Maharashtra</t>
  </si>
  <si>
    <t>219792</t>
  </si>
  <si>
    <t>BKID1400NITINPALKAR</t>
  </si>
  <si>
    <t>316310</t>
  </si>
  <si>
    <t>285206</t>
  </si>
  <si>
    <t>BKID1400TUKARAM</t>
  </si>
  <si>
    <t>316311</t>
  </si>
  <si>
    <t>286234</t>
  </si>
  <si>
    <t>BKID1400NITINBERDE</t>
  </si>
  <si>
    <t>316313</t>
  </si>
  <si>
    <t>285578</t>
  </si>
  <si>
    <t>BKID1400RAKESH</t>
  </si>
  <si>
    <t>316316</t>
  </si>
  <si>
    <t>285426</t>
  </si>
  <si>
    <t>BKID1400UMESH</t>
  </si>
  <si>
    <t>316319</t>
  </si>
  <si>
    <t>41132</t>
  </si>
  <si>
    <t>BKID14000VIPLAV</t>
  </si>
  <si>
    <t>316325</t>
  </si>
  <si>
    <t>285188</t>
  </si>
  <si>
    <t>BKID1421BHARAT</t>
  </si>
  <si>
    <t>316343</t>
  </si>
  <si>
    <t>224886</t>
  </si>
  <si>
    <t>BKID1421TEJARAM</t>
  </si>
  <si>
    <t>316353</t>
  </si>
  <si>
    <t>277189</t>
  </si>
  <si>
    <t>BKID1479Mahesh</t>
  </si>
  <si>
    <t>316364</t>
  </si>
  <si>
    <t>286504</t>
  </si>
  <si>
    <t>BKID1478PRAVIN</t>
  </si>
  <si>
    <t>316369</t>
  </si>
  <si>
    <t>Vijay Durg, Maharashtra</t>
  </si>
  <si>
    <t>285433</t>
  </si>
  <si>
    <t>BKIDMDUPALBHA</t>
  </si>
  <si>
    <t>316451</t>
  </si>
  <si>
    <t>277634</t>
  </si>
  <si>
    <t>BKID000071201</t>
  </si>
  <si>
    <t>316512</t>
  </si>
  <si>
    <t>Mangalvedha, Maharashtra</t>
  </si>
  <si>
    <t>46944</t>
  </si>
  <si>
    <t>BKIDSHIRDIASHOK1</t>
  </si>
  <si>
    <t>316540</t>
  </si>
  <si>
    <t>262424</t>
  </si>
  <si>
    <t>BKIDSHIVASUNITHA01</t>
  </si>
  <si>
    <t>316543</t>
  </si>
  <si>
    <t>273177</t>
  </si>
  <si>
    <t>BKIDSFGIRISH1</t>
  </si>
  <si>
    <t>316554</t>
  </si>
  <si>
    <t>251217</t>
  </si>
  <si>
    <t>BKID000071202</t>
  </si>
  <si>
    <t>316560</t>
  </si>
  <si>
    <t>57610</t>
  </si>
  <si>
    <t>BKIDNASIK6</t>
  </si>
  <si>
    <t>316565</t>
  </si>
  <si>
    <t>69393</t>
  </si>
  <si>
    <t>BKIDJLAVARSHA1</t>
  </si>
  <si>
    <t>316573</t>
  </si>
  <si>
    <t>Jafrabad, Maharashtra</t>
  </si>
  <si>
    <t>228379</t>
  </si>
  <si>
    <t>BKIDSBNARAYAN1</t>
  </si>
  <si>
    <t>316576</t>
  </si>
  <si>
    <t>222737</t>
  </si>
  <si>
    <t>BKIDSHIVAMADHU1</t>
  </si>
  <si>
    <t>316596</t>
  </si>
  <si>
    <t>251983</t>
  </si>
  <si>
    <t>BKIDCSNBALIRAM1</t>
  </si>
  <si>
    <t>316602</t>
  </si>
  <si>
    <t>222279</t>
  </si>
  <si>
    <t>BKIDSUCHANDA1</t>
  </si>
  <si>
    <t>316606</t>
  </si>
  <si>
    <t>205331</t>
  </si>
  <si>
    <t>BKIDAURSANJAY1</t>
  </si>
  <si>
    <t>316612</t>
  </si>
  <si>
    <t>251444</t>
  </si>
  <si>
    <t>BKIDSHIUCHND01</t>
  </si>
  <si>
    <t>316614</t>
  </si>
  <si>
    <t>212309</t>
  </si>
  <si>
    <t>BKIDAURYATISH1</t>
  </si>
  <si>
    <t>316621</t>
  </si>
  <si>
    <t>251454</t>
  </si>
  <si>
    <t>BKIDSATKRUSHNA1</t>
  </si>
  <si>
    <t>316623</t>
  </si>
  <si>
    <t>251498</t>
  </si>
  <si>
    <t>BKIDDEOSAMADHAN01</t>
  </si>
  <si>
    <t>316628</t>
  </si>
  <si>
    <t>Bhagur, Maharashtra</t>
  </si>
  <si>
    <t>239879</t>
  </si>
  <si>
    <t>BKIDRINGRAM1</t>
  </si>
  <si>
    <t>316636</t>
  </si>
  <si>
    <t>262419</t>
  </si>
  <si>
    <t>BKIDINDPRAKASH01</t>
  </si>
  <si>
    <t>316637</t>
  </si>
  <si>
    <t>239889</t>
  </si>
  <si>
    <t>BKIDJGNREKHA1</t>
  </si>
  <si>
    <t>316644</t>
  </si>
  <si>
    <t>222675</t>
  </si>
  <si>
    <t>BKIDINDMANISHA01</t>
  </si>
  <si>
    <t>316712</t>
  </si>
  <si>
    <t>239883</t>
  </si>
  <si>
    <t>BKID000070903</t>
  </si>
  <si>
    <t>316716</t>
  </si>
  <si>
    <t>287800</t>
  </si>
  <si>
    <t>BKIDKOPERPARJANE1</t>
  </si>
  <si>
    <t>316721</t>
  </si>
  <si>
    <t>Kopargaon, Maharashtra</t>
  </si>
  <si>
    <t>277218</t>
  </si>
  <si>
    <t>BKIDRANANJI1</t>
  </si>
  <si>
    <t>316882</t>
  </si>
  <si>
    <t>283931</t>
  </si>
  <si>
    <t>BKIDRANGAYAT</t>
  </si>
  <si>
    <t>316940</t>
  </si>
  <si>
    <t>287846</t>
  </si>
  <si>
    <t>BKID000065018</t>
  </si>
  <si>
    <t>316967</t>
  </si>
  <si>
    <t>287847</t>
  </si>
  <si>
    <t>BKID000065017</t>
  </si>
  <si>
    <t>316974</t>
  </si>
  <si>
    <t>287839</t>
  </si>
  <si>
    <t>BKIDPU0601</t>
  </si>
  <si>
    <t>317108</t>
  </si>
  <si>
    <t>287734</t>
  </si>
  <si>
    <t>BKIDVJA27012502</t>
  </si>
  <si>
    <t>317155</t>
  </si>
  <si>
    <t>221487</t>
  </si>
  <si>
    <t>BKIDSIERUPALI01</t>
  </si>
  <si>
    <t>317502</t>
  </si>
  <si>
    <t>80564</t>
  </si>
  <si>
    <t>BKIDSIERAJU01</t>
  </si>
  <si>
    <t>317545</t>
  </si>
  <si>
    <t>78218</t>
  </si>
  <si>
    <t>BKIDDHULEBHOI1</t>
  </si>
  <si>
    <t>317554</t>
  </si>
  <si>
    <t>284919</t>
  </si>
  <si>
    <t>BKIDDLEAJAY1</t>
  </si>
  <si>
    <t>317562</t>
  </si>
  <si>
    <t>222782</t>
  </si>
  <si>
    <t>BKIDCHALISDINESH1</t>
  </si>
  <si>
    <t>317564</t>
  </si>
  <si>
    <t>284901</t>
  </si>
  <si>
    <t>BKIDINDIRASANKET1</t>
  </si>
  <si>
    <t>317572</t>
  </si>
  <si>
    <t>284911</t>
  </si>
  <si>
    <t>BKIDDEOLALIYOGESH1</t>
  </si>
  <si>
    <t>317574</t>
  </si>
  <si>
    <t>284922</t>
  </si>
  <si>
    <t>BKIDCSNCHITRABAI1</t>
  </si>
  <si>
    <t>317580</t>
  </si>
  <si>
    <t>222342</t>
  </si>
  <si>
    <t>BKIDJALRAVINDRA01</t>
  </si>
  <si>
    <t>317587</t>
  </si>
  <si>
    <t>287822</t>
  </si>
  <si>
    <t>BKIDNSKRDDEEPAK01</t>
  </si>
  <si>
    <t>317593</t>
  </si>
  <si>
    <t>287870</t>
  </si>
  <si>
    <t>BKIDSHUDPRITESH1</t>
  </si>
  <si>
    <t>317600</t>
  </si>
  <si>
    <t>287905</t>
  </si>
  <si>
    <t>BKIDNASIK9</t>
  </si>
  <si>
    <t>317632</t>
  </si>
  <si>
    <t>12730</t>
  </si>
  <si>
    <t>BKIDANANDSHUBHAM01</t>
  </si>
  <si>
    <t>317704</t>
  </si>
  <si>
    <t>287844</t>
  </si>
  <si>
    <t>BKIDYEOLASACHIN1</t>
  </si>
  <si>
    <t>317775</t>
  </si>
  <si>
    <t>288052</t>
  </si>
  <si>
    <t>BKID70183</t>
  </si>
  <si>
    <t>318280</t>
  </si>
  <si>
    <t>Domariyaganj, Uttar Pradesh</t>
  </si>
  <si>
    <t>216306</t>
  </si>
  <si>
    <t>BKID70182</t>
  </si>
  <si>
    <t>318285</t>
  </si>
  <si>
    <t>216301</t>
  </si>
  <si>
    <t>BKID7018102</t>
  </si>
  <si>
    <t>318292</t>
  </si>
  <si>
    <t>213254</t>
  </si>
  <si>
    <t>BKID787856</t>
  </si>
  <si>
    <t>318297</t>
  </si>
  <si>
    <t>275765</t>
  </si>
  <si>
    <t>SBIN200058186306</t>
  </si>
  <si>
    <t>308629</t>
  </si>
  <si>
    <t>272314</t>
  </si>
  <si>
    <t>SBIN200088017075</t>
  </si>
  <si>
    <t>309235</t>
  </si>
  <si>
    <t>280214</t>
  </si>
  <si>
    <t>SBIN200054739368</t>
  </si>
  <si>
    <t>309240</t>
  </si>
  <si>
    <t>282676</t>
  </si>
  <si>
    <t>SBIN200061183769</t>
  </si>
  <si>
    <t>309245</t>
  </si>
  <si>
    <t>285077</t>
  </si>
  <si>
    <t>SBIN200050496414</t>
  </si>
  <si>
    <t>309249</t>
  </si>
  <si>
    <t>285083</t>
  </si>
  <si>
    <t>SBIN200051519445</t>
  </si>
  <si>
    <t>309251</t>
  </si>
  <si>
    <t>271494</t>
  </si>
  <si>
    <t>SBIN200051525332</t>
  </si>
  <si>
    <t>309257</t>
  </si>
  <si>
    <t>271512</t>
  </si>
  <si>
    <t>SBIN200073134160</t>
  </si>
  <si>
    <t>309263</t>
  </si>
  <si>
    <t>279960</t>
  </si>
  <si>
    <t>SBIN200078288854</t>
  </si>
  <si>
    <t>309267</t>
  </si>
  <si>
    <t>285131</t>
  </si>
  <si>
    <t>SBIN200079070672</t>
  </si>
  <si>
    <t>309274</t>
  </si>
  <si>
    <t>285133</t>
  </si>
  <si>
    <t>SBIN200069145861</t>
  </si>
  <si>
    <t>309280</t>
  </si>
  <si>
    <t>285137</t>
  </si>
  <si>
    <t>SBIN0200069145861</t>
  </si>
  <si>
    <t>309283</t>
  </si>
  <si>
    <t>285145</t>
  </si>
  <si>
    <t>SBIN200057434807</t>
  </si>
  <si>
    <t>309314</t>
  </si>
  <si>
    <t>270501</t>
  </si>
  <si>
    <t>CNRBKALAGARLA</t>
  </si>
  <si>
    <t>316354</t>
  </si>
  <si>
    <t>09-07-2026 13:00</t>
  </si>
  <si>
    <t>09-07-2026 14:00</t>
  </si>
  <si>
    <t>254061</t>
  </si>
  <si>
    <t>IOBAACEMARKETING1</t>
  </si>
  <si>
    <t>315354</t>
  </si>
  <si>
    <t>09-07-2026 15:00</t>
  </si>
  <si>
    <t>287449</t>
  </si>
  <si>
    <t>IOBAACEMARKETING2</t>
  </si>
  <si>
    <t>315365</t>
  </si>
  <si>
    <t>287475</t>
  </si>
  <si>
    <t>UCBA18100510000458Porur</t>
  </si>
  <si>
    <t>311600</t>
  </si>
  <si>
    <t>286669</t>
  </si>
  <si>
    <t>BARB61422025330</t>
  </si>
  <si>
    <t>317540</t>
  </si>
  <si>
    <t>09-07-2026 18:00</t>
  </si>
  <si>
    <t>258904</t>
  </si>
  <si>
    <t>BARB61422025320</t>
  </si>
  <si>
    <t>317577</t>
  </si>
  <si>
    <t>Parbhani, Maharashtra</t>
  </si>
  <si>
    <t>255142</t>
  </si>
  <si>
    <t>CNRB105045356</t>
  </si>
  <si>
    <t>308665</t>
  </si>
  <si>
    <t>10-07-2026 10:00</t>
  </si>
  <si>
    <t>10-07-2026 13:00</t>
  </si>
  <si>
    <t>191576</t>
  </si>
  <si>
    <t>CNRB247863745</t>
  </si>
  <si>
    <t>308697</t>
  </si>
  <si>
    <t>Kheri, Uttar Pradesh</t>
  </si>
  <si>
    <t>212588</t>
  </si>
  <si>
    <t>CNRB67998558</t>
  </si>
  <si>
    <t>308988</t>
  </si>
  <si>
    <t>286375</t>
  </si>
  <si>
    <t>IDIB7259106547</t>
  </si>
  <si>
    <t>308207</t>
  </si>
  <si>
    <t>286313</t>
  </si>
  <si>
    <t>SBIN0200032371483</t>
  </si>
  <si>
    <t>315580</t>
  </si>
  <si>
    <t>264611</t>
  </si>
  <si>
    <t>BARBASAVEGETABLE</t>
  </si>
  <si>
    <t>309444</t>
  </si>
  <si>
    <t>Dharmaram Warangal, Telangana</t>
  </si>
  <si>
    <t>10-07-2026 17:00</t>
  </si>
  <si>
    <t>286368</t>
  </si>
  <si>
    <t>CNRB106709414</t>
  </si>
  <si>
    <t>312648</t>
  </si>
  <si>
    <t>10-07-2026 10:01</t>
  </si>
  <si>
    <t>10-07-2026 12:30</t>
  </si>
  <si>
    <t>287008</t>
  </si>
  <si>
    <t>BARB601420260003</t>
  </si>
  <si>
    <t>306145</t>
  </si>
  <si>
    <t>10-07-2026 10:30</t>
  </si>
  <si>
    <t>285170</t>
  </si>
  <si>
    <t>CNRBBIOPOINTINDIA</t>
  </si>
  <si>
    <t>310616</t>
  </si>
  <si>
    <t>10-07-2026 11:30</t>
  </si>
  <si>
    <t>286598</t>
  </si>
  <si>
    <t>CNRB000VEENADRESSES</t>
  </si>
  <si>
    <t>312047</t>
  </si>
  <si>
    <t>Rayadurg, Andhra Pradesh</t>
  </si>
  <si>
    <t>286499</t>
  </si>
  <si>
    <t>CNRBYUVARAJAREDDY</t>
  </si>
  <si>
    <t>313601</t>
  </si>
  <si>
    <t>287184</t>
  </si>
  <si>
    <t>CNRB106510178</t>
  </si>
  <si>
    <t>313629</t>
  </si>
  <si>
    <t>208417</t>
  </si>
  <si>
    <t>CNRB112942549</t>
  </si>
  <si>
    <t>313686</t>
  </si>
  <si>
    <t>Angul, Odisha</t>
  </si>
  <si>
    <t>246293</t>
  </si>
  <si>
    <t>CNRB678901</t>
  </si>
  <si>
    <t>313689</t>
  </si>
  <si>
    <t>Balangir, Odisha</t>
  </si>
  <si>
    <t>191284</t>
  </si>
  <si>
    <t>CNRB78853253</t>
  </si>
  <si>
    <t>313697</t>
  </si>
  <si>
    <t>Subalaya, Odisha</t>
  </si>
  <si>
    <t>208345</t>
  </si>
  <si>
    <t>CNRB104105507</t>
  </si>
  <si>
    <t>313700</t>
  </si>
  <si>
    <t>Kochinda, Odisha</t>
  </si>
  <si>
    <t>242528</t>
  </si>
  <si>
    <t>IBKL114106</t>
  </si>
  <si>
    <t>317322</t>
  </si>
  <si>
    <t>Gudalur, Tamil Nadu</t>
  </si>
  <si>
    <t>265712</t>
  </si>
  <si>
    <t>IBKL0001141</t>
  </si>
  <si>
    <t>317344</t>
  </si>
  <si>
    <t>232388</t>
  </si>
  <si>
    <t>CNRBKVKREDDY</t>
  </si>
  <si>
    <t>317501</t>
  </si>
  <si>
    <t>281046</t>
  </si>
  <si>
    <t>CNRB26044920902</t>
  </si>
  <si>
    <t>317504</t>
  </si>
  <si>
    <t>Kota, Andhra Pradesh</t>
  </si>
  <si>
    <t>248192</t>
  </si>
  <si>
    <t>CNRB2604492093</t>
  </si>
  <si>
    <t>317505</t>
  </si>
  <si>
    <t>248194</t>
  </si>
  <si>
    <t>CNRB2604492094</t>
  </si>
  <si>
    <t>317557</t>
  </si>
  <si>
    <t>248195</t>
  </si>
  <si>
    <t>CNRB2604492096</t>
  </si>
  <si>
    <t>317561</t>
  </si>
  <si>
    <t>248197</t>
  </si>
  <si>
    <t>CNRB73849564</t>
  </si>
  <si>
    <t>309091</t>
  </si>
  <si>
    <t>10-07-2026 12:00</t>
  </si>
  <si>
    <t>286405</t>
  </si>
  <si>
    <t>CNRBSUBEESHMATTATHUR</t>
  </si>
  <si>
    <t>315076</t>
  </si>
  <si>
    <t>280485</t>
  </si>
  <si>
    <t>CNRBVINEETHA</t>
  </si>
  <si>
    <t>315240</t>
  </si>
  <si>
    <t>287498</t>
  </si>
  <si>
    <t>CNRBSANDHEEP</t>
  </si>
  <si>
    <t>315323</t>
  </si>
  <si>
    <t>287508</t>
  </si>
  <si>
    <t>CNRBBIJUTV</t>
  </si>
  <si>
    <t>315382</t>
  </si>
  <si>
    <t>242699</t>
  </si>
  <si>
    <t>CNRB1908FIROZ</t>
  </si>
  <si>
    <t>315830</t>
  </si>
  <si>
    <t>257375</t>
  </si>
  <si>
    <t>IOBA2586SB</t>
  </si>
  <si>
    <t>316704</t>
  </si>
  <si>
    <t>273252</t>
  </si>
  <si>
    <t>SBIN400035660096</t>
  </si>
  <si>
    <t>307409</t>
  </si>
  <si>
    <t>Keezhattingal, Kerala</t>
  </si>
  <si>
    <t>518</t>
  </si>
  <si>
    <t>SBIN400035659293</t>
  </si>
  <si>
    <t>308203</t>
  </si>
  <si>
    <t>32810</t>
  </si>
  <si>
    <t>SBIN10204SADASIVAM</t>
  </si>
  <si>
    <t>308465</t>
  </si>
  <si>
    <t>271272</t>
  </si>
  <si>
    <t>PUNBSHAHZEB</t>
  </si>
  <si>
    <t>314321</t>
  </si>
  <si>
    <t>287311</t>
  </si>
  <si>
    <t>BKIDCHD126</t>
  </si>
  <si>
    <t>308581</t>
  </si>
  <si>
    <t>Jind, Haryana</t>
  </si>
  <si>
    <t>246217</t>
  </si>
  <si>
    <t>BKIDCHD129</t>
  </si>
  <si>
    <t>308589</t>
  </si>
  <si>
    <t>246213</t>
  </si>
  <si>
    <t>SBIN85024651964</t>
  </si>
  <si>
    <t>312571</t>
  </si>
  <si>
    <t>286425</t>
  </si>
  <si>
    <t>BKIDCHD127</t>
  </si>
  <si>
    <t>315221</t>
  </si>
  <si>
    <t>246216</t>
  </si>
  <si>
    <t>CNRB305174046</t>
  </si>
  <si>
    <t>305995</t>
  </si>
  <si>
    <t>285889</t>
  </si>
  <si>
    <t>CNRB32084038201</t>
  </si>
  <si>
    <t>309358</t>
  </si>
  <si>
    <t>286434</t>
  </si>
  <si>
    <t>CNRB65632715002</t>
  </si>
  <si>
    <t>311306</t>
  </si>
  <si>
    <t>286782</t>
  </si>
  <si>
    <t>CNRB94067870</t>
  </si>
  <si>
    <t>311407</t>
  </si>
  <si>
    <t>Anthiyur, Tamil Nadu</t>
  </si>
  <si>
    <t>286797</t>
  </si>
  <si>
    <t>CNRB313277815</t>
  </si>
  <si>
    <t>312383</t>
  </si>
  <si>
    <t>286988</t>
  </si>
  <si>
    <t>CNRB306089811CHOLA</t>
  </si>
  <si>
    <t>316998</t>
  </si>
  <si>
    <t>267864</t>
  </si>
  <si>
    <t>CNRB301798651joseph</t>
  </si>
  <si>
    <t>318309</t>
  </si>
  <si>
    <t>249050</t>
  </si>
  <si>
    <t>CNRB326845165MADHAVARAO</t>
  </si>
  <si>
    <t>318314</t>
  </si>
  <si>
    <t>255542</t>
  </si>
  <si>
    <t>CNRB311714063SARATH</t>
  </si>
  <si>
    <t>318324</t>
  </si>
  <si>
    <t>273874</t>
  </si>
  <si>
    <t>CNRB318469268LS</t>
  </si>
  <si>
    <t>316817</t>
  </si>
  <si>
    <t>10-07-2026 13:30</t>
  </si>
  <si>
    <t>249493</t>
  </si>
  <si>
    <t>CNRB318469268LB</t>
  </si>
  <si>
    <t>316822</t>
  </si>
  <si>
    <t>249490</t>
  </si>
  <si>
    <t>CNRB63207635</t>
  </si>
  <si>
    <t>316832</t>
  </si>
  <si>
    <t>280558</t>
  </si>
  <si>
    <t>CNRB75426019</t>
  </si>
  <si>
    <t>316840</t>
  </si>
  <si>
    <t>280992</t>
  </si>
  <si>
    <t>CNRB113197041</t>
  </si>
  <si>
    <t>316854</t>
  </si>
  <si>
    <t>259141</t>
  </si>
  <si>
    <t>CNRBAMAREND1</t>
  </si>
  <si>
    <t>316862</t>
  </si>
  <si>
    <t>245362</t>
  </si>
  <si>
    <t>CNRB63833145</t>
  </si>
  <si>
    <t>316874</t>
  </si>
  <si>
    <t>264962</t>
  </si>
  <si>
    <t>CNRB3643001</t>
  </si>
  <si>
    <t>316905</t>
  </si>
  <si>
    <t>245373</t>
  </si>
  <si>
    <t>CNRB253525757</t>
  </si>
  <si>
    <t>316910</t>
  </si>
  <si>
    <t>253010</t>
  </si>
  <si>
    <t>CNRB320686879</t>
  </si>
  <si>
    <t>316955</t>
  </si>
  <si>
    <t>249878</t>
  </si>
  <si>
    <t>CNRB309238113</t>
  </si>
  <si>
    <t>316959</t>
  </si>
  <si>
    <t>Amarshi Kasba, West Bengal</t>
  </si>
  <si>
    <t>265445</t>
  </si>
  <si>
    <t>CNRBMANTUMONDAL</t>
  </si>
  <si>
    <t>316965</t>
  </si>
  <si>
    <t>245383</t>
  </si>
  <si>
    <t>CNRB14850527F302</t>
  </si>
  <si>
    <t>316973</t>
  </si>
  <si>
    <t>261127</t>
  </si>
  <si>
    <t>CNRB14850527F2A</t>
  </si>
  <si>
    <t>316980</t>
  </si>
  <si>
    <t>261136</t>
  </si>
  <si>
    <t>CNRB74083180</t>
  </si>
  <si>
    <t>316984</t>
  </si>
  <si>
    <t>Goasafat, West Bengal</t>
  </si>
  <si>
    <t>251538</t>
  </si>
  <si>
    <t>PSIB744008</t>
  </si>
  <si>
    <t>306094</t>
  </si>
  <si>
    <t>211299</t>
  </si>
  <si>
    <t>PSIB744007</t>
  </si>
  <si>
    <t>306591</t>
  </si>
  <si>
    <t>211297</t>
  </si>
  <si>
    <t>PSIB744006</t>
  </si>
  <si>
    <t>306614</t>
  </si>
  <si>
    <t>211295</t>
  </si>
  <si>
    <t>PSIB744005</t>
  </si>
  <si>
    <t>306636</t>
  </si>
  <si>
    <t>208630</t>
  </si>
  <si>
    <t>PSIB744004</t>
  </si>
  <si>
    <t>306644</t>
  </si>
  <si>
    <t>208626</t>
  </si>
  <si>
    <t>PSIB744001</t>
  </si>
  <si>
    <t>306650</t>
  </si>
  <si>
    <t>208593</t>
  </si>
  <si>
    <t>PSIB744002</t>
  </si>
  <si>
    <t>306657</t>
  </si>
  <si>
    <t>208602</t>
  </si>
  <si>
    <t>PSIB744003</t>
  </si>
  <si>
    <t>306664</t>
  </si>
  <si>
    <t>208616</t>
  </si>
  <si>
    <t>CNRB7111947301</t>
  </si>
  <si>
    <t>310824</t>
  </si>
  <si>
    <t>286700</t>
  </si>
  <si>
    <t>CNRB254664</t>
  </si>
  <si>
    <t>313455</t>
  </si>
  <si>
    <t>10-07-2026 14:00</t>
  </si>
  <si>
    <t>253924</t>
  </si>
  <si>
    <t>SBIN200059019901</t>
  </si>
  <si>
    <t>307635</t>
  </si>
  <si>
    <t>285299</t>
  </si>
  <si>
    <t>SBIN200060087051</t>
  </si>
  <si>
    <t>307643</t>
  </si>
  <si>
    <t>285305</t>
  </si>
  <si>
    <t>CNRBKALIMUDDIN</t>
  </si>
  <si>
    <t>314490</t>
  </si>
  <si>
    <t>287347</t>
  </si>
  <si>
    <t>IOBA203800154</t>
  </si>
  <si>
    <t>311296</t>
  </si>
  <si>
    <t>Polur, Tamil Nadu</t>
  </si>
  <si>
    <t>93289</t>
  </si>
  <si>
    <t>IOBA2038000531</t>
  </si>
  <si>
    <t>311311</t>
  </si>
  <si>
    <t>Desur, Tamil Nadu</t>
  </si>
  <si>
    <t>203717</t>
  </si>
  <si>
    <t>CNRBBHAVISETTI2</t>
  </si>
  <si>
    <t>317968</t>
  </si>
  <si>
    <t>10-07-2026 15:00</t>
  </si>
  <si>
    <t>282738</t>
  </si>
  <si>
    <t>BARBSARMISTHADASH</t>
  </si>
  <si>
    <t>309751</t>
  </si>
  <si>
    <t>Kukudakhandi, Odisha</t>
  </si>
  <si>
    <t>10-07-2026 18:00</t>
  </si>
  <si>
    <t>286435</t>
  </si>
  <si>
    <t>BARB2631GOPIA</t>
  </si>
  <si>
    <t>316184</t>
  </si>
  <si>
    <t>286591</t>
  </si>
  <si>
    <t>BARB2631RAJESHD</t>
  </si>
  <si>
    <t>316203</t>
  </si>
  <si>
    <t>286582</t>
  </si>
  <si>
    <t>BARBVJOXFOCVCARTON</t>
  </si>
  <si>
    <t>317560</t>
  </si>
  <si>
    <t>286714</t>
  </si>
  <si>
    <t>CNRB55930291HL</t>
  </si>
  <si>
    <t>310437</t>
  </si>
  <si>
    <t>11-07-2026 11:00</t>
  </si>
  <si>
    <t>11-07-2026 13:30</t>
  </si>
  <si>
    <t>279334</t>
  </si>
  <si>
    <t>CNRB82275038001</t>
  </si>
  <si>
    <t>310476</t>
  </si>
  <si>
    <t>283414</t>
  </si>
  <si>
    <t>IDIB30243801943</t>
  </si>
  <si>
    <t>310728</t>
  </si>
  <si>
    <t>11-07-2026 17:00</t>
  </si>
  <si>
    <t>286665</t>
  </si>
  <si>
    <t>BARBSIRI</t>
  </si>
  <si>
    <t>317576</t>
  </si>
  <si>
    <t>Bellampalle, Telangana</t>
  </si>
  <si>
    <t>13-07-2026 10:00</t>
  </si>
  <si>
    <t>13-07-2026 17:00</t>
  </si>
  <si>
    <t>286087</t>
  </si>
  <si>
    <t>SBIN200010824079</t>
  </si>
  <si>
    <t>311401</t>
  </si>
  <si>
    <t>13-07-2026 11:00</t>
  </si>
  <si>
    <t>13-07-2026 16:00</t>
  </si>
  <si>
    <t>45344</t>
  </si>
  <si>
    <t>SBIN200000331160</t>
  </si>
  <si>
    <t>311416</t>
  </si>
  <si>
    <t>Kattanam, Kerala</t>
  </si>
  <si>
    <t>261681</t>
  </si>
  <si>
    <t>SBIN200017450001</t>
  </si>
  <si>
    <t>311426</t>
  </si>
  <si>
    <t>72700</t>
  </si>
  <si>
    <t>SBIN200033717571</t>
  </si>
  <si>
    <t>311439</t>
  </si>
  <si>
    <t>264994</t>
  </si>
  <si>
    <t>CNRB24957139</t>
  </si>
  <si>
    <t>311553</t>
  </si>
  <si>
    <t>13-07-2026 11:30</t>
  </si>
  <si>
    <t>13-07-2026 12:30</t>
  </si>
  <si>
    <t>286801</t>
  </si>
  <si>
    <t>CNRB3981261000119A</t>
  </si>
  <si>
    <t>315618</t>
  </si>
  <si>
    <t>Azhikode, Kerala</t>
  </si>
  <si>
    <t>224186</t>
  </si>
  <si>
    <t>CNRBRADHINA828</t>
  </si>
  <si>
    <t>315661</t>
  </si>
  <si>
    <t>262837</t>
  </si>
  <si>
    <t>CNRB118462257001</t>
  </si>
  <si>
    <t>310076</t>
  </si>
  <si>
    <t>13-07-2026 14:30</t>
  </si>
  <si>
    <t>286560</t>
  </si>
  <si>
    <t>CNRB3407988HL</t>
  </si>
  <si>
    <t>318076</t>
  </si>
  <si>
    <t>247939</t>
  </si>
  <si>
    <t>CNRB22962378FLAT</t>
  </si>
  <si>
    <t>318077</t>
  </si>
  <si>
    <t>263908</t>
  </si>
  <si>
    <t>CNRB238486698</t>
  </si>
  <si>
    <t>318080</t>
  </si>
  <si>
    <t>204034</t>
  </si>
  <si>
    <t>BARBVJKILPFRAN01</t>
  </si>
  <si>
    <t>314520</t>
  </si>
  <si>
    <t>13-07-2026 14:00</t>
  </si>
  <si>
    <t>13-07-2026 18:00</t>
  </si>
  <si>
    <t>287361</t>
  </si>
  <si>
    <t>BARBZWI066737</t>
  </si>
  <si>
    <t>317273</t>
  </si>
  <si>
    <t>287751</t>
  </si>
  <si>
    <t>BARBIN5063644</t>
  </si>
  <si>
    <t>317333</t>
  </si>
  <si>
    <t>287776</t>
  </si>
  <si>
    <t>CNRB321561160</t>
  </si>
  <si>
    <t>316702</t>
  </si>
  <si>
    <t>14-07-2026 10:00</t>
  </si>
  <si>
    <t>14-07-2026 13:00</t>
  </si>
  <si>
    <t>279320</t>
  </si>
  <si>
    <t>CNRB112138163</t>
  </si>
  <si>
    <t>316705</t>
  </si>
  <si>
    <t>282779</t>
  </si>
  <si>
    <t>CNRB261413498</t>
  </si>
  <si>
    <t>316707</t>
  </si>
  <si>
    <t>279348</t>
  </si>
  <si>
    <t>CNRB249701901</t>
  </si>
  <si>
    <t>316715</t>
  </si>
  <si>
    <t>208212</t>
  </si>
  <si>
    <t>CNRB119461714</t>
  </si>
  <si>
    <t>316718</t>
  </si>
  <si>
    <t>275743</t>
  </si>
  <si>
    <t>CNRB249701920</t>
  </si>
  <si>
    <t>316723</t>
  </si>
  <si>
    <t>208434</t>
  </si>
  <si>
    <t>CNRB213519292</t>
  </si>
  <si>
    <t>316728</t>
  </si>
  <si>
    <t>Baroun, Uttar Pradesh</t>
  </si>
  <si>
    <t>282739</t>
  </si>
  <si>
    <t>CNRB113684052</t>
  </si>
  <si>
    <t>316738</t>
  </si>
  <si>
    <t>246972</t>
  </si>
  <si>
    <t>CNRB258959093</t>
  </si>
  <si>
    <t>316741</t>
  </si>
  <si>
    <t>191197</t>
  </si>
  <si>
    <t>CNRB118175683</t>
  </si>
  <si>
    <t>316745</t>
  </si>
  <si>
    <t>Alapur, Uttar Pradesh</t>
  </si>
  <si>
    <t>279356</t>
  </si>
  <si>
    <t>CNRB318811702</t>
  </si>
  <si>
    <t>316749</t>
  </si>
  <si>
    <t>270908</t>
  </si>
  <si>
    <t>CNRB116613925</t>
  </si>
  <si>
    <t>316760</t>
  </si>
  <si>
    <t>282776</t>
  </si>
  <si>
    <t>CNRB253476310</t>
  </si>
  <si>
    <t>316781</t>
  </si>
  <si>
    <t>266436</t>
  </si>
  <si>
    <t>CNRB2534763102</t>
  </si>
  <si>
    <t>316784</t>
  </si>
  <si>
    <t>266448</t>
  </si>
  <si>
    <t>CNRB21713034</t>
  </si>
  <si>
    <t>316788</t>
  </si>
  <si>
    <t>199233</t>
  </si>
  <si>
    <t>CNRB115968572</t>
  </si>
  <si>
    <t>316804</t>
  </si>
  <si>
    <t>197790</t>
  </si>
  <si>
    <t>CNRB261487579</t>
  </si>
  <si>
    <t>316806</t>
  </si>
  <si>
    <t>264848</t>
  </si>
  <si>
    <t>CNRB226039949</t>
  </si>
  <si>
    <t>316825</t>
  </si>
  <si>
    <t>270957</t>
  </si>
  <si>
    <t>CNRB123795745</t>
  </si>
  <si>
    <t>316833</t>
  </si>
  <si>
    <t>270920</t>
  </si>
  <si>
    <t>CNRB84102217001</t>
  </si>
  <si>
    <t>316845</t>
  </si>
  <si>
    <t>240272</t>
  </si>
  <si>
    <t>CNRB101262563</t>
  </si>
  <si>
    <t>316850</t>
  </si>
  <si>
    <t>Bakshi Ka Talab, Uttar Pradesh</t>
  </si>
  <si>
    <t>191738</t>
  </si>
  <si>
    <t>CNRB2825SOUMYA</t>
  </si>
  <si>
    <t>316858</t>
  </si>
  <si>
    <t>240440</t>
  </si>
  <si>
    <t>CNRB303450464</t>
  </si>
  <si>
    <t>316864</t>
  </si>
  <si>
    <t>255138</t>
  </si>
  <si>
    <t>CNRB303450464II</t>
  </si>
  <si>
    <t>316878</t>
  </si>
  <si>
    <t>255152</t>
  </si>
  <si>
    <t>CNRB218900221</t>
  </si>
  <si>
    <t>316884</t>
  </si>
  <si>
    <t>264863</t>
  </si>
  <si>
    <t>CNRB60319981LB</t>
  </si>
  <si>
    <t>316892</t>
  </si>
  <si>
    <t>245642</t>
  </si>
  <si>
    <t>CNRB320880207</t>
  </si>
  <si>
    <t>316899</t>
  </si>
  <si>
    <t>283920</t>
  </si>
  <si>
    <t>IDIB50279425195</t>
  </si>
  <si>
    <t>309324</t>
  </si>
  <si>
    <t>14-07-2026 16:00</t>
  </si>
  <si>
    <t>207534</t>
  </si>
  <si>
    <t>IOBA4161146901</t>
  </si>
  <si>
    <t>312258</t>
  </si>
  <si>
    <t>14-07-2026 17:00</t>
  </si>
  <si>
    <t>286916</t>
  </si>
  <si>
    <t>CNRB312731960001</t>
  </si>
  <si>
    <t>311727</t>
  </si>
  <si>
    <t>14-07-2026 10:30</t>
  </si>
  <si>
    <t>14-07-2026 11:30</t>
  </si>
  <si>
    <t>250975</t>
  </si>
  <si>
    <t>CNRB160000551066</t>
  </si>
  <si>
    <t>312312</t>
  </si>
  <si>
    <t>286030</t>
  </si>
  <si>
    <t>CNRB01779740000275</t>
  </si>
  <si>
    <t>312331</t>
  </si>
  <si>
    <t>286036</t>
  </si>
  <si>
    <t>CNRB01409970000039</t>
  </si>
  <si>
    <t>312341</t>
  </si>
  <si>
    <t>262192</t>
  </si>
  <si>
    <t>CNRB01769970000052</t>
  </si>
  <si>
    <t>312489</t>
  </si>
  <si>
    <t>287011</t>
  </si>
  <si>
    <t>CNRB120928714</t>
  </si>
  <si>
    <t>316567</t>
  </si>
  <si>
    <t>14-07-2026 11:00</t>
  </si>
  <si>
    <t>14-07-2026 12:00</t>
  </si>
  <si>
    <t>192240</t>
  </si>
  <si>
    <t>CNRB83367887001</t>
  </si>
  <si>
    <t>316616</t>
  </si>
  <si>
    <t>170562</t>
  </si>
  <si>
    <t>CNRB60411334</t>
  </si>
  <si>
    <t>316622</t>
  </si>
  <si>
    <t>191058</t>
  </si>
  <si>
    <t>CNRB302673444</t>
  </si>
  <si>
    <t>316677</t>
  </si>
  <si>
    <t>223916</t>
  </si>
  <si>
    <t>CNRB257569110</t>
  </si>
  <si>
    <t>316683</t>
  </si>
  <si>
    <t>Tasawade MIDC, Maharashtra</t>
  </si>
  <si>
    <t>224544</t>
  </si>
  <si>
    <t>CNRB301393968</t>
  </si>
  <si>
    <t>316685</t>
  </si>
  <si>
    <t>192251</t>
  </si>
  <si>
    <t>CNRB241287221</t>
  </si>
  <si>
    <t>316710</t>
  </si>
  <si>
    <t>191085</t>
  </si>
  <si>
    <t>CNRB322577575</t>
  </si>
  <si>
    <t>316780</t>
  </si>
  <si>
    <t>273235</t>
  </si>
  <si>
    <t>CNRB82535580001</t>
  </si>
  <si>
    <t>318045</t>
  </si>
  <si>
    <t>170564</t>
  </si>
  <si>
    <t>CNRB78212364</t>
  </si>
  <si>
    <t>318049</t>
  </si>
  <si>
    <t>191862</t>
  </si>
  <si>
    <t>CNRB78212373</t>
  </si>
  <si>
    <t>318052</t>
  </si>
  <si>
    <t>224576</t>
  </si>
  <si>
    <t>CNRB78405582</t>
  </si>
  <si>
    <t>318054</t>
  </si>
  <si>
    <t>215963</t>
  </si>
  <si>
    <t>CNRB302979011</t>
  </si>
  <si>
    <t>318056</t>
  </si>
  <si>
    <t>191145</t>
  </si>
  <si>
    <t>CNRB78212359</t>
  </si>
  <si>
    <t>318060</t>
  </si>
  <si>
    <t>191867</t>
  </si>
  <si>
    <t>CNRB227452250</t>
  </si>
  <si>
    <t>318075</t>
  </si>
  <si>
    <t>192141</t>
  </si>
  <si>
    <t>CNRB204781450</t>
  </si>
  <si>
    <t>318143</t>
  </si>
  <si>
    <t>284619</t>
  </si>
  <si>
    <t>CNRB0004248006</t>
  </si>
  <si>
    <t>313348</t>
  </si>
  <si>
    <t>287152</t>
  </si>
  <si>
    <t>CNRB0003051003</t>
  </si>
  <si>
    <t>316507</t>
  </si>
  <si>
    <t>Barbari AMC Area, Assam</t>
  </si>
  <si>
    <t>258953</t>
  </si>
  <si>
    <t>CNRB0001152002</t>
  </si>
  <si>
    <t>316517</t>
  </si>
  <si>
    <t>246170</t>
  </si>
  <si>
    <t>IOBA2451HAMEED</t>
  </si>
  <si>
    <t>312534</t>
  </si>
  <si>
    <t>Vittal, Karnataka</t>
  </si>
  <si>
    <t>14-07-2026 14:00</t>
  </si>
  <si>
    <t>287017</t>
  </si>
  <si>
    <t>CNRBHGBFLSHOP</t>
  </si>
  <si>
    <t>310722</t>
  </si>
  <si>
    <t>Amarpur, Tripura</t>
  </si>
  <si>
    <t>286671</t>
  </si>
  <si>
    <t>SBIN200066304913</t>
  </si>
  <si>
    <t>313955</t>
  </si>
  <si>
    <t>286058</t>
  </si>
  <si>
    <t>IDIB6826914231</t>
  </si>
  <si>
    <t>309630</t>
  </si>
  <si>
    <t>kanchikacharla, Andhra Pradesh</t>
  </si>
  <si>
    <t>286439</t>
  </si>
  <si>
    <t>CNRB32083037502</t>
  </si>
  <si>
    <t>315414</t>
  </si>
  <si>
    <t>14-07-2026 12:30</t>
  </si>
  <si>
    <t>287231</t>
  </si>
  <si>
    <t>CNRB32083037501</t>
  </si>
  <si>
    <t>315417</t>
  </si>
  <si>
    <t>287185</t>
  </si>
  <si>
    <t>CNRBCKTCR</t>
  </si>
  <si>
    <t>315569</t>
  </si>
  <si>
    <t>Kainoor, Kerala</t>
  </si>
  <si>
    <t>287468</t>
  </si>
  <si>
    <t>CNRBBIHARISINGH</t>
  </si>
  <si>
    <t>317289</t>
  </si>
  <si>
    <t>283627</t>
  </si>
  <si>
    <t>CNRBBUDH</t>
  </si>
  <si>
    <t>317299</t>
  </si>
  <si>
    <t>283626</t>
  </si>
  <si>
    <t>CNRBDSHIVLANI</t>
  </si>
  <si>
    <t>317310</t>
  </si>
  <si>
    <t>283625</t>
  </si>
  <si>
    <t>SBIN200015268005</t>
  </si>
  <si>
    <t>309372</t>
  </si>
  <si>
    <t>274283</t>
  </si>
  <si>
    <t>SBIN200062834416</t>
  </si>
  <si>
    <t>310997</t>
  </si>
  <si>
    <t>286019</t>
  </si>
  <si>
    <t>SBINAMR86775498708</t>
  </si>
  <si>
    <t>312837</t>
  </si>
  <si>
    <t>Barauli, Bihar</t>
  </si>
  <si>
    <t>287081</t>
  </si>
  <si>
    <t>UBINBHOBHC5161</t>
  </si>
  <si>
    <t>306076</t>
  </si>
  <si>
    <t>Vidisha, Madhya Pradesh</t>
  </si>
  <si>
    <t>44664</t>
  </si>
  <si>
    <t>UBINBHOBHC3226</t>
  </si>
  <si>
    <t>306085</t>
  </si>
  <si>
    <t>Maksi, Madhya Pradesh</t>
  </si>
  <si>
    <t>190984</t>
  </si>
  <si>
    <t>UBINMRTDEH1281</t>
  </si>
  <si>
    <t>309447</t>
  </si>
  <si>
    <t>286457</t>
  </si>
  <si>
    <t>UBINCHECHN6142</t>
  </si>
  <si>
    <t>310901</t>
  </si>
  <si>
    <t>46422</t>
  </si>
  <si>
    <t>UBINHYDKOT3449</t>
  </si>
  <si>
    <t>311956</t>
  </si>
  <si>
    <t>286877</t>
  </si>
  <si>
    <t>UBINMUMARB3345</t>
  </si>
  <si>
    <t>312382</t>
  </si>
  <si>
    <t>286785</t>
  </si>
  <si>
    <t>UBINPUNPUE3835</t>
  </si>
  <si>
    <t>312414</t>
  </si>
  <si>
    <t>286996</t>
  </si>
  <si>
    <t>UBINPUNPUE8908</t>
  </si>
  <si>
    <t>312422</t>
  </si>
  <si>
    <t>286993</t>
  </si>
  <si>
    <t>UBINBLRBLS2561</t>
  </si>
  <si>
    <t>312657</t>
  </si>
  <si>
    <t>287013</t>
  </si>
  <si>
    <t>UBINVSKVSK2393</t>
  </si>
  <si>
    <t>313070</t>
  </si>
  <si>
    <t>Bheemunipatnam, Andhra Pradesh</t>
  </si>
  <si>
    <t>287116</t>
  </si>
  <si>
    <t>UBIN2393a</t>
  </si>
  <si>
    <t>313087</t>
  </si>
  <si>
    <t>287119</t>
  </si>
  <si>
    <t>UBINEKLKLM1695</t>
  </si>
  <si>
    <t>313398</t>
  </si>
  <si>
    <t>287040</t>
  </si>
  <si>
    <t>UBINeklklm9367</t>
  </si>
  <si>
    <t>313406</t>
  </si>
  <si>
    <t>KOTTARAKAKRA, Kerala</t>
  </si>
  <si>
    <t>287047</t>
  </si>
  <si>
    <t>UBINVSKVSK6475B</t>
  </si>
  <si>
    <t>314507</t>
  </si>
  <si>
    <t>Anakapalle, Andhra Pradesh</t>
  </si>
  <si>
    <t>287354</t>
  </si>
  <si>
    <t>UBINVSKVSK6475</t>
  </si>
  <si>
    <t>314514</t>
  </si>
  <si>
    <t>287328</t>
  </si>
  <si>
    <t>UBINvskvsk6475a</t>
  </si>
  <si>
    <t>314518</t>
  </si>
  <si>
    <t>287330</t>
  </si>
  <si>
    <t>UBINHYDARB6278</t>
  </si>
  <si>
    <t>314743</t>
  </si>
  <si>
    <t>34353</t>
  </si>
  <si>
    <t>UBINAHMARB1495</t>
  </si>
  <si>
    <t>315020</t>
  </si>
  <si>
    <t>191532</t>
  </si>
  <si>
    <t>UBINAHMARB6533</t>
  </si>
  <si>
    <t>315029</t>
  </si>
  <si>
    <t>212317</t>
  </si>
  <si>
    <t>UBINAHMARB7492</t>
  </si>
  <si>
    <t>315033</t>
  </si>
  <si>
    <t>212315</t>
  </si>
  <si>
    <t>UBINAHMARB8244</t>
  </si>
  <si>
    <t>315044</t>
  </si>
  <si>
    <t>214355</t>
  </si>
  <si>
    <t>UBINAHMARB4987A</t>
  </si>
  <si>
    <t>315053</t>
  </si>
  <si>
    <t>102961</t>
  </si>
  <si>
    <t>UBINMLRBEL7464</t>
  </si>
  <si>
    <t>315373</t>
  </si>
  <si>
    <t>287522</t>
  </si>
  <si>
    <t>UBINHYDARB80387</t>
  </si>
  <si>
    <t>315654</t>
  </si>
  <si>
    <t>Sadasivpet, Telangana</t>
  </si>
  <si>
    <t>287482</t>
  </si>
  <si>
    <t>UBINHYDKHM3043</t>
  </si>
  <si>
    <t>315952</t>
  </si>
  <si>
    <t>287644</t>
  </si>
  <si>
    <t>UBINVSKVSK1775</t>
  </si>
  <si>
    <t>317463</t>
  </si>
  <si>
    <t>287964</t>
  </si>
  <si>
    <t>UBINMUMMUS3568</t>
  </si>
  <si>
    <t>317931</t>
  </si>
  <si>
    <t>287427</t>
  </si>
  <si>
    <t>UBINDELARB5777</t>
  </si>
  <si>
    <t>317971</t>
  </si>
  <si>
    <t>274139</t>
  </si>
  <si>
    <t>UBINMRTDEH5773</t>
  </si>
  <si>
    <t>318067</t>
  </si>
  <si>
    <t>284751</t>
  </si>
  <si>
    <t>UBINMUMARB24279</t>
  </si>
  <si>
    <t>308656</t>
  </si>
  <si>
    <t>21-07-2026 17:00</t>
  </si>
  <si>
    <t>268719</t>
  </si>
  <si>
    <t>SBIN21083001</t>
  </si>
  <si>
    <t>317507</t>
  </si>
  <si>
    <t>281646</t>
  </si>
  <si>
    <t>BARB599920260001</t>
  </si>
  <si>
    <t>315827</t>
  </si>
  <si>
    <t>15-07-2026 10:00</t>
  </si>
  <si>
    <t>15-07-2026 14:00</t>
  </si>
  <si>
    <t>287585</t>
  </si>
  <si>
    <t>CBINLUVIAIMPX</t>
  </si>
  <si>
    <t>316698</t>
  </si>
  <si>
    <t>15-07-2026 16:00</t>
  </si>
  <si>
    <t>287807</t>
  </si>
  <si>
    <t>BARB0605062829</t>
  </si>
  <si>
    <t>313971</t>
  </si>
  <si>
    <t>15-07-2026 18:00</t>
  </si>
  <si>
    <t>285086</t>
  </si>
  <si>
    <t>BARB048506685</t>
  </si>
  <si>
    <t>313978</t>
  </si>
  <si>
    <t>Aquem, Goa</t>
  </si>
  <si>
    <t>285098</t>
  </si>
  <si>
    <t>CNRB324251689</t>
  </si>
  <si>
    <t>311011</t>
  </si>
  <si>
    <t>15-07-2026 10:30</t>
  </si>
  <si>
    <t>15-07-2026 11:30</t>
  </si>
  <si>
    <t>279162</t>
  </si>
  <si>
    <t>CNRBVANSHIKA</t>
  </si>
  <si>
    <t>312039</t>
  </si>
  <si>
    <t>283346</t>
  </si>
  <si>
    <t>CNRBMAUGULJAR</t>
  </si>
  <si>
    <t>312101</t>
  </si>
  <si>
    <t>286899</t>
  </si>
  <si>
    <t>CNRBUNIQUENICE</t>
  </si>
  <si>
    <t>313595</t>
  </si>
  <si>
    <t>287194</t>
  </si>
  <si>
    <t>CNRBVS</t>
  </si>
  <si>
    <t>314848</t>
  </si>
  <si>
    <t>Industrial Area Chinnakurabalapalle, Andhra Pradesh</t>
  </si>
  <si>
    <t>287389</t>
  </si>
  <si>
    <t>CNRB301278626</t>
  </si>
  <si>
    <t>316157</t>
  </si>
  <si>
    <t>287056</t>
  </si>
  <si>
    <t>CNRBSEEMANTHINIJEWEL</t>
  </si>
  <si>
    <t>318083</t>
  </si>
  <si>
    <t>256486</t>
  </si>
  <si>
    <t>CNRBSENTHAABHI</t>
  </si>
  <si>
    <t>307641</t>
  </si>
  <si>
    <t>15-07-2026 11:00</t>
  </si>
  <si>
    <t>15-07-2026 12:00</t>
  </si>
  <si>
    <t>244407</t>
  </si>
  <si>
    <t>CNRBTHIAGAABHI</t>
  </si>
  <si>
    <t>307650</t>
  </si>
  <si>
    <t>244408</t>
  </si>
  <si>
    <t>SBIN40566859302</t>
  </si>
  <si>
    <t>309854</t>
  </si>
  <si>
    <t>15-07-2026 13:00</t>
  </si>
  <si>
    <t>229327</t>
  </si>
  <si>
    <t>IOBA1933SAIKRUPAFURNITURE</t>
  </si>
  <si>
    <t>317294</t>
  </si>
  <si>
    <t>287912</t>
  </si>
  <si>
    <t>IOBA1933ADHINARAYANAPPA2</t>
  </si>
  <si>
    <t>317313</t>
  </si>
  <si>
    <t>Gudibanda, Karnataka</t>
  </si>
  <si>
    <t>287916</t>
  </si>
  <si>
    <t>IOBA0BABURAODAVID</t>
  </si>
  <si>
    <t>312495</t>
  </si>
  <si>
    <t>15-07-2026 15:00</t>
  </si>
  <si>
    <t>287004</t>
  </si>
  <si>
    <t>IOBA0KAVITHA</t>
  </si>
  <si>
    <t>312506</t>
  </si>
  <si>
    <t>286997</t>
  </si>
  <si>
    <t>IOBA0VENKATRAMAN</t>
  </si>
  <si>
    <t>312514</t>
  </si>
  <si>
    <t>287012</t>
  </si>
  <si>
    <t>BARBMACHA</t>
  </si>
  <si>
    <t>312521</t>
  </si>
  <si>
    <t>287018</t>
  </si>
  <si>
    <t>IOBA0THILAGARAJ</t>
  </si>
  <si>
    <t>312523</t>
  </si>
  <si>
    <t>287007</t>
  </si>
  <si>
    <t>MAHBRAICHUR3</t>
  </si>
  <si>
    <t>312624</t>
  </si>
  <si>
    <t>286810</t>
  </si>
  <si>
    <t>MAHBMangalore2</t>
  </si>
  <si>
    <t>313447</t>
  </si>
  <si>
    <t>287167</t>
  </si>
  <si>
    <t>SBIN20005104456</t>
  </si>
  <si>
    <t>309670</t>
  </si>
  <si>
    <t>217920</t>
  </si>
  <si>
    <t>PUNBK4A105536741</t>
  </si>
  <si>
    <t>309985</t>
  </si>
  <si>
    <t>286497</t>
  </si>
  <si>
    <t>PUNBK4A105536742</t>
  </si>
  <si>
    <t>310204</t>
  </si>
  <si>
    <t>286573</t>
  </si>
  <si>
    <t>SBIN0012953045</t>
  </si>
  <si>
    <t>311541</t>
  </si>
  <si>
    <t>286424</t>
  </si>
  <si>
    <t>SBIN0012953046</t>
  </si>
  <si>
    <t>311543</t>
  </si>
  <si>
    <t>286433</t>
  </si>
  <si>
    <t>SBIN200035924420</t>
  </si>
  <si>
    <t>311906</t>
  </si>
  <si>
    <t>28337</t>
  </si>
  <si>
    <t>SBIN200060702473</t>
  </si>
  <si>
    <t>311916</t>
  </si>
  <si>
    <t>213443</t>
  </si>
  <si>
    <t>SBIN200060732118</t>
  </si>
  <si>
    <t>311921</t>
  </si>
  <si>
    <t>200088</t>
  </si>
  <si>
    <t>SBIN200060701261</t>
  </si>
  <si>
    <t>311925</t>
  </si>
  <si>
    <t>200077</t>
  </si>
  <si>
    <t>SBIN200039344095</t>
  </si>
  <si>
    <t>312045</t>
  </si>
  <si>
    <t>236167</t>
  </si>
  <si>
    <t>SBIN200026983958</t>
  </si>
  <si>
    <t>312057</t>
  </si>
  <si>
    <t>236165</t>
  </si>
  <si>
    <t>SBIN200012960073</t>
  </si>
  <si>
    <t>312828</t>
  </si>
  <si>
    <t>285998</t>
  </si>
  <si>
    <t>SBIN0005702</t>
  </si>
  <si>
    <t>314820</t>
  </si>
  <si>
    <t>282730</t>
  </si>
  <si>
    <t>IDIB7108419577S</t>
  </si>
  <si>
    <t>311908</t>
  </si>
  <si>
    <t>Sonapur, Odisha</t>
  </si>
  <si>
    <t>15-07-2026 17:00</t>
  </si>
  <si>
    <t>286867</t>
  </si>
  <si>
    <t>IDIB6656918589</t>
  </si>
  <si>
    <t>316345</t>
  </si>
  <si>
    <t>286876</t>
  </si>
  <si>
    <t>CBINSHEN01</t>
  </si>
  <si>
    <t>310418</t>
  </si>
  <si>
    <t>286421</t>
  </si>
  <si>
    <t>CBINKHA01</t>
  </si>
  <si>
    <t>310439</t>
  </si>
  <si>
    <t>286411</t>
  </si>
  <si>
    <t>CNRB123339887</t>
  </si>
  <si>
    <t>312578</t>
  </si>
  <si>
    <t>15-07-2026 12:30</t>
  </si>
  <si>
    <t>287024</t>
  </si>
  <si>
    <t>MAHBFLAT201ARC</t>
  </si>
  <si>
    <t>309615</t>
  </si>
  <si>
    <t>286429</t>
  </si>
  <si>
    <t>MAHBMASALKUND452</t>
  </si>
  <si>
    <t>309637</t>
  </si>
  <si>
    <t>Umred, Maharashtra</t>
  </si>
  <si>
    <t>286476</t>
  </si>
  <si>
    <t>MAHBMASALKUND302</t>
  </si>
  <si>
    <t>309642</t>
  </si>
  <si>
    <t>286482</t>
  </si>
  <si>
    <t>MAHBMAHAKURLA6566</t>
  </si>
  <si>
    <t>309648</t>
  </si>
  <si>
    <t>Ghugus, Maharashtra</t>
  </si>
  <si>
    <t>286484</t>
  </si>
  <si>
    <t>MAHBCHAMORSHI216</t>
  </si>
  <si>
    <t>309653</t>
  </si>
  <si>
    <t>Ashti Gadchiroli, Maharashtra</t>
  </si>
  <si>
    <t>286489</t>
  </si>
  <si>
    <t>CNRB313103054</t>
  </si>
  <si>
    <t>308819</t>
  </si>
  <si>
    <t>286357</t>
  </si>
  <si>
    <t>CNRB230921364</t>
  </si>
  <si>
    <t>310848</t>
  </si>
  <si>
    <t>239368</t>
  </si>
  <si>
    <t>CBIN4005519806</t>
  </si>
  <si>
    <t>314320</t>
  </si>
  <si>
    <t>Baral, Rajasthan</t>
  </si>
  <si>
    <t>287324</t>
  </si>
  <si>
    <t>CBIN4005991701</t>
  </si>
  <si>
    <t>314325</t>
  </si>
  <si>
    <t>Industrial Area Ukhaliya, Rajasthan</t>
  </si>
  <si>
    <t>287320</t>
  </si>
  <si>
    <t>CBIN4005258457</t>
  </si>
  <si>
    <t>314332</t>
  </si>
  <si>
    <t>287317</t>
  </si>
  <si>
    <t>CBIN4008243800</t>
  </si>
  <si>
    <t>314336</t>
  </si>
  <si>
    <t>287316</t>
  </si>
  <si>
    <t>CBIN8280637325</t>
  </si>
  <si>
    <t>314367</t>
  </si>
  <si>
    <t>287216</t>
  </si>
  <si>
    <t>CNRB247441096</t>
  </si>
  <si>
    <t>311341</t>
  </si>
  <si>
    <t>286786</t>
  </si>
  <si>
    <t>CNRB32023239B</t>
  </si>
  <si>
    <t>313682</t>
  </si>
  <si>
    <t>Bangarapet, Karnataka</t>
  </si>
  <si>
    <t>203372</t>
  </si>
  <si>
    <t>CNRB101687155</t>
  </si>
  <si>
    <t>317379</t>
  </si>
  <si>
    <t>287253</t>
  </si>
  <si>
    <t>CNRB126916265</t>
  </si>
  <si>
    <t>317385</t>
  </si>
  <si>
    <t>287246</t>
  </si>
  <si>
    <t>CNRB124089701</t>
  </si>
  <si>
    <t>317388</t>
  </si>
  <si>
    <t>287251</t>
  </si>
  <si>
    <t>IOBA3747Allahnur</t>
  </si>
  <si>
    <t>309727</t>
  </si>
  <si>
    <t>Sapotra, Rajasthan</t>
  </si>
  <si>
    <t>286496</t>
  </si>
  <si>
    <t>MAHBANBUSELVAM</t>
  </si>
  <si>
    <t>317620</t>
  </si>
  <si>
    <t>Melur, Tamil Nadu</t>
  </si>
  <si>
    <t>288015</t>
  </si>
  <si>
    <t>MAHBSEBASTIANSURESH</t>
  </si>
  <si>
    <t>317629</t>
  </si>
  <si>
    <t>287660</t>
  </si>
  <si>
    <t>MAHBCHELLAPANDI</t>
  </si>
  <si>
    <t>317641</t>
  </si>
  <si>
    <t>287945</t>
  </si>
  <si>
    <t>MAHBJOTHILINGAM</t>
  </si>
  <si>
    <t>317689</t>
  </si>
  <si>
    <t>Thazhakudy, Tamil Nadu</t>
  </si>
  <si>
    <t>287577</t>
  </si>
  <si>
    <t>MAHBJANISHA</t>
  </si>
  <si>
    <t>317700</t>
  </si>
  <si>
    <t>Arumbanur, Tamil Nadu</t>
  </si>
  <si>
    <t>287539</t>
  </si>
  <si>
    <t>MAHBJAYANTHI</t>
  </si>
  <si>
    <t>317705</t>
  </si>
  <si>
    <t>287518</t>
  </si>
  <si>
    <t>MAHBAMBIKAWATHY</t>
  </si>
  <si>
    <t>318001</t>
  </si>
  <si>
    <t>287472</t>
  </si>
  <si>
    <t>CNRB4670619000015</t>
  </si>
  <si>
    <t>310283</t>
  </si>
  <si>
    <t>249057</t>
  </si>
  <si>
    <t>CNRB46508010009991</t>
  </si>
  <si>
    <t>310293</t>
  </si>
  <si>
    <t>282866</t>
  </si>
  <si>
    <t>CNRB43598010006203</t>
  </si>
  <si>
    <t>310304</t>
  </si>
  <si>
    <t>200456</t>
  </si>
  <si>
    <t>BARBKULLUPROPDEEPAKELEC</t>
  </si>
  <si>
    <t>313202</t>
  </si>
  <si>
    <t>287006</t>
  </si>
  <si>
    <t>BARBJYOTSNASUSHILPATIL</t>
  </si>
  <si>
    <t>314308</t>
  </si>
  <si>
    <t>287308</t>
  </si>
  <si>
    <t>CNRB318433290</t>
  </si>
  <si>
    <t>316164</t>
  </si>
  <si>
    <t>244270</t>
  </si>
  <si>
    <t>IDIB30490949067</t>
  </si>
  <si>
    <t>311438</t>
  </si>
  <si>
    <t>Korba, Chhattisgarh</t>
  </si>
  <si>
    <t>16-07-2026 10:00</t>
  </si>
  <si>
    <t>16-07-2026 17:00</t>
  </si>
  <si>
    <t>286803</t>
  </si>
  <si>
    <t>CNRB114621878</t>
  </si>
  <si>
    <t>315358</t>
  </si>
  <si>
    <t>16-07-2026 10:30</t>
  </si>
  <si>
    <t>16-07-2026 11:30</t>
  </si>
  <si>
    <t>283555</t>
  </si>
  <si>
    <t>CNRBRAMACHANDRAIAHBM</t>
  </si>
  <si>
    <t>316148</t>
  </si>
  <si>
    <t>Srinivaspur, Karnataka</t>
  </si>
  <si>
    <t>287322</t>
  </si>
  <si>
    <t>CNRBRAMA</t>
  </si>
  <si>
    <t>316229</t>
  </si>
  <si>
    <t>287336</t>
  </si>
  <si>
    <t>IBKL0000413CHAMOLI</t>
  </si>
  <si>
    <t>315913</t>
  </si>
  <si>
    <t>16-07-2026 11:00</t>
  </si>
  <si>
    <t>16-07-2026 12:00</t>
  </si>
  <si>
    <t>287617</t>
  </si>
  <si>
    <t>IOBA2801RAHUL</t>
  </si>
  <si>
    <t>312845</t>
  </si>
  <si>
    <t>16-07-2026 15:00</t>
  </si>
  <si>
    <t>287051</t>
  </si>
  <si>
    <t>SBIN77804222464</t>
  </si>
  <si>
    <t>312199</t>
  </si>
  <si>
    <t>16-07-2026 16:00</t>
  </si>
  <si>
    <t>285732</t>
  </si>
  <si>
    <t>SBIN77804228239</t>
  </si>
  <si>
    <t>312203</t>
  </si>
  <si>
    <t>285662</t>
  </si>
  <si>
    <t>SBIN78007870773</t>
  </si>
  <si>
    <t>312357</t>
  </si>
  <si>
    <t>286898</t>
  </si>
  <si>
    <t>SBIN78537566759</t>
  </si>
  <si>
    <t>312538</t>
  </si>
  <si>
    <t>287002</t>
  </si>
  <si>
    <t>BARB58150106</t>
  </si>
  <si>
    <t>299499</t>
  </si>
  <si>
    <t>16-07-2026 13:00</t>
  </si>
  <si>
    <t>277008</t>
  </si>
  <si>
    <t>UBINDELARB3269</t>
  </si>
  <si>
    <t>314487</t>
  </si>
  <si>
    <t>Abupur, Uttar Pradesh</t>
  </si>
  <si>
    <t>287351</t>
  </si>
  <si>
    <t>BARB263120200073</t>
  </si>
  <si>
    <t>309116</t>
  </si>
  <si>
    <t>16-07-2026 14:00</t>
  </si>
  <si>
    <t>16-07-2026 18:00</t>
  </si>
  <si>
    <t>45245</t>
  </si>
  <si>
    <t>BARB2631VIJAYALAKSHMI</t>
  </si>
  <si>
    <t>309120</t>
  </si>
  <si>
    <t>212106</t>
  </si>
  <si>
    <t>PUNB2TW232675000</t>
  </si>
  <si>
    <t>313310</t>
  </si>
  <si>
    <t>17-07-2026 10:00</t>
  </si>
  <si>
    <t>287144</t>
  </si>
  <si>
    <t>BARBMANGALTARA1</t>
  </si>
  <si>
    <t>309695</t>
  </si>
  <si>
    <t>17-07-2026 12:00</t>
  </si>
  <si>
    <t>281862</t>
  </si>
  <si>
    <t>IBKL152375386134</t>
  </si>
  <si>
    <t>315554</t>
  </si>
  <si>
    <t>17-07-2026 13:00</t>
  </si>
  <si>
    <t>280532</t>
  </si>
  <si>
    <t>SBIN400013708094</t>
  </si>
  <si>
    <t>308552</t>
  </si>
  <si>
    <t>273057</t>
  </si>
  <si>
    <t>PUNB6J856157947</t>
  </si>
  <si>
    <t>313029</t>
  </si>
  <si>
    <t>286477</t>
  </si>
  <si>
    <t>PUNBABA38127968</t>
  </si>
  <si>
    <t>313949</t>
  </si>
  <si>
    <t>287240</t>
  </si>
  <si>
    <t>PUNBCS6041RUPALI</t>
  </si>
  <si>
    <t>313985</t>
  </si>
  <si>
    <t>186544</t>
  </si>
  <si>
    <t>PUNB8325PRASADKADAM</t>
  </si>
  <si>
    <t>314718</t>
  </si>
  <si>
    <t>266593</t>
  </si>
  <si>
    <t>PUNB83250155</t>
  </si>
  <si>
    <t>314815</t>
  </si>
  <si>
    <t>177993</t>
  </si>
  <si>
    <t>PUNB818601351</t>
  </si>
  <si>
    <t>314883</t>
  </si>
  <si>
    <t>173078</t>
  </si>
  <si>
    <t>SBIN2000SIVATRADERS</t>
  </si>
  <si>
    <t>315457</t>
  </si>
  <si>
    <t>286796</t>
  </si>
  <si>
    <t>PUNBABA40452049</t>
  </si>
  <si>
    <t>315727</t>
  </si>
  <si>
    <t>287289</t>
  </si>
  <si>
    <t>PUNBABA40473668</t>
  </si>
  <si>
    <t>315740</t>
  </si>
  <si>
    <t>287272</t>
  </si>
  <si>
    <t>PUNBRAJESH</t>
  </si>
  <si>
    <t>316069</t>
  </si>
  <si>
    <t>249868</t>
  </si>
  <si>
    <t>SBIN200066651884</t>
  </si>
  <si>
    <t>316080</t>
  </si>
  <si>
    <t>287376</t>
  </si>
  <si>
    <t>PUNB5VG52762441</t>
  </si>
  <si>
    <t>316327</t>
  </si>
  <si>
    <t>274418</t>
  </si>
  <si>
    <t>PUNB5VG48087336</t>
  </si>
  <si>
    <t>316334</t>
  </si>
  <si>
    <t>274428</t>
  </si>
  <si>
    <t>PUNBABA37768213</t>
  </si>
  <si>
    <t>316339</t>
  </si>
  <si>
    <t>Niphad, Maharashtra</t>
  </si>
  <si>
    <t>267064</t>
  </si>
  <si>
    <t>PUNBABA47522027</t>
  </si>
  <si>
    <t>316351</t>
  </si>
  <si>
    <t>279569</t>
  </si>
  <si>
    <t>PUNB9FA10540846</t>
  </si>
  <si>
    <t>316361</t>
  </si>
  <si>
    <t>275403</t>
  </si>
  <si>
    <t>PUNB8288R22751568</t>
  </si>
  <si>
    <t>316403</t>
  </si>
  <si>
    <t>206916</t>
  </si>
  <si>
    <t>PUNBLICHCHHWIFOODS2</t>
  </si>
  <si>
    <t>316447</t>
  </si>
  <si>
    <t>287761</t>
  </si>
  <si>
    <t>PUNBCS6041SUDHI1</t>
  </si>
  <si>
    <t>317401</t>
  </si>
  <si>
    <t>Patalganga, Maharashtra</t>
  </si>
  <si>
    <t>186469</t>
  </si>
  <si>
    <t>PUNBCS6041SUDHI2</t>
  </si>
  <si>
    <t>317407</t>
  </si>
  <si>
    <t>186487</t>
  </si>
  <si>
    <t>PUNB000828800230</t>
  </si>
  <si>
    <t>317617</t>
  </si>
  <si>
    <t>182597</t>
  </si>
  <si>
    <t>PUNB2KA10059091</t>
  </si>
  <si>
    <t>317618</t>
  </si>
  <si>
    <t>275022</t>
  </si>
  <si>
    <t>PUNBABA37980872</t>
  </si>
  <si>
    <t>317623</t>
  </si>
  <si>
    <t>272328</t>
  </si>
  <si>
    <t>PUNBYK256543050</t>
  </si>
  <si>
    <t>317627</t>
  </si>
  <si>
    <t>287041</t>
  </si>
  <si>
    <t>PUNBU08381430</t>
  </si>
  <si>
    <t>317917</t>
  </si>
  <si>
    <t>186135</t>
  </si>
  <si>
    <t>PUNB100039770</t>
  </si>
  <si>
    <t>317920</t>
  </si>
  <si>
    <t>215553</t>
  </si>
  <si>
    <t>PUNBABA40465995</t>
  </si>
  <si>
    <t>317923</t>
  </si>
  <si>
    <t>179469</t>
  </si>
  <si>
    <t>PUNBU44301492</t>
  </si>
  <si>
    <t>318090</t>
  </si>
  <si>
    <t>288095</t>
  </si>
  <si>
    <t>PUNBTQB9520661</t>
  </si>
  <si>
    <t>318157</t>
  </si>
  <si>
    <t>272359</t>
  </si>
  <si>
    <t>PUNB008288TQB10695536</t>
  </si>
  <si>
    <t>318159</t>
  </si>
  <si>
    <t>235025</t>
  </si>
  <si>
    <t>PUNB008288ABA40406844</t>
  </si>
  <si>
    <t>318161</t>
  </si>
  <si>
    <t>223465</t>
  </si>
  <si>
    <t>PUNBTQB10420274</t>
  </si>
  <si>
    <t>318164</t>
  </si>
  <si>
    <t>272339</t>
  </si>
  <si>
    <t>PUNBTQB52160666</t>
  </si>
  <si>
    <t>318166</t>
  </si>
  <si>
    <t>278382</t>
  </si>
  <si>
    <t>PUNBABA37833964</t>
  </si>
  <si>
    <t>318264</t>
  </si>
  <si>
    <t>272724</t>
  </si>
  <si>
    <t>PUNBU60902277</t>
  </si>
  <si>
    <t>318273</t>
  </si>
  <si>
    <t>266859</t>
  </si>
  <si>
    <t>PUNBABA40426321</t>
  </si>
  <si>
    <t>318277</t>
  </si>
  <si>
    <t>278492</t>
  </si>
  <si>
    <t>PUNBABA40341758</t>
  </si>
  <si>
    <t>318279</t>
  </si>
  <si>
    <t>267175</t>
  </si>
  <si>
    <t>PUNBGQR001217</t>
  </si>
  <si>
    <t>317274</t>
  </si>
  <si>
    <t>17-07-2026 17:00</t>
  </si>
  <si>
    <t>286608</t>
  </si>
  <si>
    <t>SBIN200037658440</t>
  </si>
  <si>
    <t>296445</t>
  </si>
  <si>
    <t>221866</t>
  </si>
  <si>
    <t>CNRB105779485</t>
  </si>
  <si>
    <t>309884</t>
  </si>
  <si>
    <t>286463</t>
  </si>
  <si>
    <t>CNRB216951219</t>
  </si>
  <si>
    <t>312457</t>
  </si>
  <si>
    <t>17-07-2026 14:00</t>
  </si>
  <si>
    <t>286994</t>
  </si>
  <si>
    <t>PUNB9O358740912</t>
  </si>
  <si>
    <t>312307</t>
  </si>
  <si>
    <t>286817</t>
  </si>
  <si>
    <t>UCBA05467227</t>
  </si>
  <si>
    <t>316510</t>
  </si>
  <si>
    <t>18-07-2026 10:00</t>
  </si>
  <si>
    <t>18-07-2026 17:00</t>
  </si>
  <si>
    <t>287711</t>
  </si>
  <si>
    <t>IBKL9778888201</t>
  </si>
  <si>
    <t>315576</t>
  </si>
  <si>
    <t>18-07-2026 11:00</t>
  </si>
  <si>
    <t>18-07-2026 12:00</t>
  </si>
  <si>
    <t>287466</t>
  </si>
  <si>
    <t>IBKL100339417</t>
  </si>
  <si>
    <t>315587</t>
  </si>
  <si>
    <t>287437</t>
  </si>
  <si>
    <t>IBKL9778888202</t>
  </si>
  <si>
    <t>315589</t>
  </si>
  <si>
    <t>287469</t>
  </si>
  <si>
    <t>IBKL101334499</t>
  </si>
  <si>
    <t>315594</t>
  </si>
  <si>
    <t>287439</t>
  </si>
  <si>
    <t>IBKL75688296</t>
  </si>
  <si>
    <t>315596</t>
  </si>
  <si>
    <t>Bhuwaneshwar, Maharashtra</t>
  </si>
  <si>
    <t>287459</t>
  </si>
  <si>
    <t>IBKL101334497</t>
  </si>
  <si>
    <t>315605</t>
  </si>
  <si>
    <t>287440</t>
  </si>
  <si>
    <t>IBKL100949250</t>
  </si>
  <si>
    <t>315617</t>
  </si>
  <si>
    <t>287451</t>
  </si>
  <si>
    <t>IBKL79577127</t>
  </si>
  <si>
    <t>315619</t>
  </si>
  <si>
    <t>287454</t>
  </si>
  <si>
    <t>CNRBBAHUBALI5</t>
  </si>
  <si>
    <t>315571</t>
  </si>
  <si>
    <t>Banswara, Rajasthan</t>
  </si>
  <si>
    <t>18-07-2026 13:00</t>
  </si>
  <si>
    <t>287465</t>
  </si>
  <si>
    <t>SBIN200289348869</t>
  </si>
  <si>
    <t>317058</t>
  </si>
  <si>
    <t>18-07-2026 16:00</t>
  </si>
  <si>
    <t>287161</t>
  </si>
  <si>
    <t>CNRB108090226</t>
  </si>
  <si>
    <t>315977</t>
  </si>
  <si>
    <t>Garbeta, West Bengal</t>
  </si>
  <si>
    <t>18-07-2026 11:30</t>
  </si>
  <si>
    <t>18-07-2026 13:30</t>
  </si>
  <si>
    <t>229110</t>
  </si>
  <si>
    <t>CNRB95261250000190</t>
  </si>
  <si>
    <t>315997</t>
  </si>
  <si>
    <t>224334</t>
  </si>
  <si>
    <t>CNRB3714285000001</t>
  </si>
  <si>
    <t>316005</t>
  </si>
  <si>
    <t>205384</t>
  </si>
  <si>
    <t>CNRB95371400000152</t>
  </si>
  <si>
    <t>316011</t>
  </si>
  <si>
    <t>203056</t>
  </si>
  <si>
    <t>CNRB95539910000186</t>
  </si>
  <si>
    <t>316014</t>
  </si>
  <si>
    <t>205391</t>
  </si>
  <si>
    <t>CNRB108142288</t>
  </si>
  <si>
    <t>316018</t>
  </si>
  <si>
    <t>229101</t>
  </si>
  <si>
    <t>CNRB125001999843</t>
  </si>
  <si>
    <t>316019</t>
  </si>
  <si>
    <t>Jhargram, West Bengal</t>
  </si>
  <si>
    <t>215691</t>
  </si>
  <si>
    <t>CNRB5001619000019</t>
  </si>
  <si>
    <t>316022</t>
  </si>
  <si>
    <t>263865</t>
  </si>
  <si>
    <t>CNRB3403840000047</t>
  </si>
  <si>
    <t>316024</t>
  </si>
  <si>
    <t>238327</t>
  </si>
  <si>
    <t>CNRB05531490000015</t>
  </si>
  <si>
    <t>316026</t>
  </si>
  <si>
    <t>199488</t>
  </si>
  <si>
    <t>CNRB104219828</t>
  </si>
  <si>
    <t>316031</t>
  </si>
  <si>
    <t>229148</t>
  </si>
  <si>
    <t>CNRB160000519366</t>
  </si>
  <si>
    <t>316035</t>
  </si>
  <si>
    <t>202603</t>
  </si>
  <si>
    <t>CNRB4103619000063</t>
  </si>
  <si>
    <t>316038</t>
  </si>
  <si>
    <t>203163</t>
  </si>
  <si>
    <t>CNRB3403895000026</t>
  </si>
  <si>
    <t>316042</t>
  </si>
  <si>
    <t>203206</t>
  </si>
  <si>
    <t>CNRB160000273436</t>
  </si>
  <si>
    <t>316045</t>
  </si>
  <si>
    <t>250379</t>
  </si>
  <si>
    <t>CNRB4983619000016</t>
  </si>
  <si>
    <t>316047</t>
  </si>
  <si>
    <t>202073</t>
  </si>
  <si>
    <t>CNRB4093619000049</t>
  </si>
  <si>
    <t>316048</t>
  </si>
  <si>
    <t>203087</t>
  </si>
  <si>
    <t>CNRB97249740000024</t>
  </si>
  <si>
    <t>316083</t>
  </si>
  <si>
    <t>Kharar, West Bengal</t>
  </si>
  <si>
    <t>203143</t>
  </si>
  <si>
    <t>CNRB255914839</t>
  </si>
  <si>
    <t>316091</t>
  </si>
  <si>
    <t>237890</t>
  </si>
  <si>
    <t>CNRB4093271000007</t>
  </si>
  <si>
    <t>316096</t>
  </si>
  <si>
    <t>199467</t>
  </si>
  <si>
    <t>CNRB0190619006124</t>
  </si>
  <si>
    <t>316103</t>
  </si>
  <si>
    <t>247832</t>
  </si>
  <si>
    <t>CNRB5192271000011</t>
  </si>
  <si>
    <t>316107</t>
  </si>
  <si>
    <t>199073</t>
  </si>
  <si>
    <t>CNRB108796814</t>
  </si>
  <si>
    <t>316111</t>
  </si>
  <si>
    <t>229193</t>
  </si>
  <si>
    <t>CNRB3403867000001</t>
  </si>
  <si>
    <t>316116</t>
  </si>
  <si>
    <t>203226</t>
  </si>
  <si>
    <t>CNRB3511619000030</t>
  </si>
  <si>
    <t>316119</t>
  </si>
  <si>
    <t>221093</t>
  </si>
  <si>
    <t>CNRB2938895000004</t>
  </si>
  <si>
    <t>316120</t>
  </si>
  <si>
    <t>203182</t>
  </si>
  <si>
    <t>CNRB5164271000001</t>
  </si>
  <si>
    <t>316121</t>
  </si>
  <si>
    <t>Bargachhia Hooghly, West Bengal</t>
  </si>
  <si>
    <t>203198</t>
  </si>
  <si>
    <t>CNRB3403895000044</t>
  </si>
  <si>
    <t>316124</t>
  </si>
  <si>
    <t>221101</t>
  </si>
  <si>
    <t>CNRB5173619000010</t>
  </si>
  <si>
    <t>316126</t>
  </si>
  <si>
    <t>199147</t>
  </si>
  <si>
    <t>CNRB3714261000111</t>
  </si>
  <si>
    <t>316176</t>
  </si>
  <si>
    <t>205483</t>
  </si>
  <si>
    <t>CNRB000121</t>
  </si>
  <si>
    <t>316258</t>
  </si>
  <si>
    <t>18-07-2026 15:00</t>
  </si>
  <si>
    <t>287731</t>
  </si>
  <si>
    <t>BARBVIJALRAJIV</t>
  </si>
  <si>
    <t>316178</t>
  </si>
  <si>
    <t>18-07-2026 14:00</t>
  </si>
  <si>
    <t>18-07-2026 18:00</t>
  </si>
  <si>
    <t>287709</t>
  </si>
  <si>
    <t>BARBVIJALHIRAL</t>
  </si>
  <si>
    <t>316191</t>
  </si>
  <si>
    <t>287701</t>
  </si>
  <si>
    <t>BARBITARWADEVENDRA</t>
  </si>
  <si>
    <t>317506</t>
  </si>
  <si>
    <t>287712</t>
  </si>
  <si>
    <t>BARBKACCHIWADISANJAY</t>
  </si>
  <si>
    <t>317548</t>
  </si>
  <si>
    <t>287973</t>
  </si>
  <si>
    <t>BARBKACCHIWADIFARHANA</t>
  </si>
  <si>
    <t>317563</t>
  </si>
  <si>
    <t>287951</t>
  </si>
  <si>
    <t>IOBASAALIM01</t>
  </si>
  <si>
    <t>315911</t>
  </si>
  <si>
    <t>20-07-2026 10:30</t>
  </si>
  <si>
    <t>20-07-2026 12:30</t>
  </si>
  <si>
    <t>287612</t>
  </si>
  <si>
    <t>IOBASAALIM02</t>
  </si>
  <si>
    <t>315915</t>
  </si>
  <si>
    <t>287622</t>
  </si>
  <si>
    <t>IOBASAALIM03</t>
  </si>
  <si>
    <t>315922</t>
  </si>
  <si>
    <t>287632</t>
  </si>
  <si>
    <t>CNRBTOMESHWAR</t>
  </si>
  <si>
    <t>312040</t>
  </si>
  <si>
    <t>Butibori, Maharashtra</t>
  </si>
  <si>
    <t>20-07-2026 11:00</t>
  </si>
  <si>
    <t>20-07-2026 12:00</t>
  </si>
  <si>
    <t>286875</t>
  </si>
  <si>
    <t>IOBA1281NABIAGENCIES</t>
  </si>
  <si>
    <t>315876</t>
  </si>
  <si>
    <t>20-07-2026 13:00</t>
  </si>
  <si>
    <t>287624</t>
  </si>
  <si>
    <t>CNRBPRANABESH1</t>
  </si>
  <si>
    <t>315630</t>
  </si>
  <si>
    <t>20-07-2026 11:30</t>
  </si>
  <si>
    <t>20-07-2026 13:30</t>
  </si>
  <si>
    <t>199167</t>
  </si>
  <si>
    <t>CNRBJIBAN1</t>
  </si>
  <si>
    <t>315641</t>
  </si>
  <si>
    <t>206024</t>
  </si>
  <si>
    <t>CNRBCHITTA1</t>
  </si>
  <si>
    <t>315647</t>
  </si>
  <si>
    <t>246993</t>
  </si>
  <si>
    <t>CBIN0620261</t>
  </si>
  <si>
    <t>317761</t>
  </si>
  <si>
    <t>20-07-2026 16:00</t>
  </si>
  <si>
    <t>287824</t>
  </si>
  <si>
    <t>CBIN0620262</t>
  </si>
  <si>
    <t>317765</t>
  </si>
  <si>
    <t>287840</t>
  </si>
  <si>
    <t>CBIN0620264</t>
  </si>
  <si>
    <t>317770</t>
  </si>
  <si>
    <t>287950</t>
  </si>
  <si>
    <t>CBIN0620266</t>
  </si>
  <si>
    <t>317774</t>
  </si>
  <si>
    <t>Tirora, Maharashtra</t>
  </si>
  <si>
    <t>287992</t>
  </si>
  <si>
    <t>CBIN0620265</t>
  </si>
  <si>
    <t>317776</t>
  </si>
  <si>
    <t>287990</t>
  </si>
  <si>
    <t>CNRB123616409001</t>
  </si>
  <si>
    <t>318061</t>
  </si>
  <si>
    <t>20-07-2026 14:30</t>
  </si>
  <si>
    <t>287203</t>
  </si>
  <si>
    <t>CNRB16654123BLDG</t>
  </si>
  <si>
    <t>318064</t>
  </si>
  <si>
    <t>287209</t>
  </si>
  <si>
    <t>CBIN028074203</t>
  </si>
  <si>
    <t>314338</t>
  </si>
  <si>
    <t>20-07-2026 17:00</t>
  </si>
  <si>
    <t>287325</t>
  </si>
  <si>
    <t>BARB0SARGOR22</t>
  </si>
  <si>
    <t>316552</t>
  </si>
  <si>
    <t>Reoti, Uttar Pradesh</t>
  </si>
  <si>
    <t>20-07-2026 14:00</t>
  </si>
  <si>
    <t>20-07-2026 18:00</t>
  </si>
  <si>
    <t>265718</t>
  </si>
  <si>
    <t>BARBSARBES34</t>
  </si>
  <si>
    <t>317729</t>
  </si>
  <si>
    <t>288037</t>
  </si>
  <si>
    <t>CNRB121952028</t>
  </si>
  <si>
    <t>314398</t>
  </si>
  <si>
    <t>21-07-2026 10:00</t>
  </si>
  <si>
    <t>21-07-2026 13:00</t>
  </si>
  <si>
    <t>287333</t>
  </si>
  <si>
    <t>IDIBLDH0277782056</t>
  </si>
  <si>
    <t>316764</t>
  </si>
  <si>
    <t>287819</t>
  </si>
  <si>
    <t>IOBA3641DIVYASRI</t>
  </si>
  <si>
    <t>315901</t>
  </si>
  <si>
    <t>21-07-2026 10:30</t>
  </si>
  <si>
    <t>21-07-2026 12:30</t>
  </si>
  <si>
    <t>287344</t>
  </si>
  <si>
    <t>IOBASAALIM04</t>
  </si>
  <si>
    <t>315926</t>
  </si>
  <si>
    <t>Arcot, Tamil Nadu</t>
  </si>
  <si>
    <t>287646</t>
  </si>
  <si>
    <t>IOBASAALIM05</t>
  </si>
  <si>
    <t>315928</t>
  </si>
  <si>
    <t>Melvisharam, Tamil Nadu</t>
  </si>
  <si>
    <t>287648</t>
  </si>
  <si>
    <t>CNRBKAMALBANSODE</t>
  </si>
  <si>
    <t>314705</t>
  </si>
  <si>
    <t>21-07-2026 11:00</t>
  </si>
  <si>
    <t>21-07-2026 12:00</t>
  </si>
  <si>
    <t>265875</t>
  </si>
  <si>
    <t>CNRBRASHEED11</t>
  </si>
  <si>
    <t>314716</t>
  </si>
  <si>
    <t>271899</t>
  </si>
  <si>
    <t>CNRBNOORMOHD</t>
  </si>
  <si>
    <t>314739</t>
  </si>
  <si>
    <t>244459</t>
  </si>
  <si>
    <t>CNRBOMENGG1</t>
  </si>
  <si>
    <t>314776</t>
  </si>
  <si>
    <t>256195</t>
  </si>
  <si>
    <t>CNRB123120715savvy</t>
  </si>
  <si>
    <t>315117</t>
  </si>
  <si>
    <t>287404</t>
  </si>
  <si>
    <t>CNRB00002300056</t>
  </si>
  <si>
    <t>315321</t>
  </si>
  <si>
    <t>279211</t>
  </si>
  <si>
    <t>CNRB308803126001</t>
  </si>
  <si>
    <t>317067</t>
  </si>
  <si>
    <t>287873</t>
  </si>
  <si>
    <t>CNRB221587204</t>
  </si>
  <si>
    <t>316809</t>
  </si>
  <si>
    <t>21-07-2026 11:30</t>
  </si>
  <si>
    <t>21-07-2026 13:30</t>
  </si>
  <si>
    <t>287763</t>
  </si>
  <si>
    <t>CNRB319519988001</t>
  </si>
  <si>
    <t>317138</t>
  </si>
  <si>
    <t>21-07-2026 15:00</t>
  </si>
  <si>
    <t>287046</t>
  </si>
  <si>
    <t>CNRB328522524001</t>
  </si>
  <si>
    <t>317140</t>
  </si>
  <si>
    <t>287899</t>
  </si>
  <si>
    <t>CNRB327795637001</t>
  </si>
  <si>
    <t>317415</t>
  </si>
  <si>
    <t>287904</t>
  </si>
  <si>
    <t>CNRB112821886</t>
  </si>
  <si>
    <t>314512</t>
  </si>
  <si>
    <t>22-07-2026 10:30</t>
  </si>
  <si>
    <t>22-07-2026 11:30</t>
  </si>
  <si>
    <t>287360</t>
  </si>
  <si>
    <t>CNRB207045742</t>
  </si>
  <si>
    <t>314516</t>
  </si>
  <si>
    <t>287352</t>
  </si>
  <si>
    <t>IDIB6897612827</t>
  </si>
  <si>
    <t>313577</t>
  </si>
  <si>
    <t>22-07-2026 11:00</t>
  </si>
  <si>
    <t>22-07-2026 16:00</t>
  </si>
  <si>
    <t>287190</t>
  </si>
  <si>
    <t>SBIN05254VARRE</t>
  </si>
  <si>
    <t>316746</t>
  </si>
  <si>
    <t>22-07-2026 17:00</t>
  </si>
  <si>
    <t>287409</t>
  </si>
  <si>
    <t>CNRB90249628</t>
  </si>
  <si>
    <t>317065</t>
  </si>
  <si>
    <t>22-07-2026 13:30</t>
  </si>
  <si>
    <t>287861</t>
  </si>
  <si>
    <t>IOBA203800570</t>
  </si>
  <si>
    <t>315461</t>
  </si>
  <si>
    <t>Alangayam, Tamil Nadu</t>
  </si>
  <si>
    <t>22-07-2026 13:00</t>
  </si>
  <si>
    <t>287471</t>
  </si>
  <si>
    <t>BARB612920260003</t>
  </si>
  <si>
    <t>316797</t>
  </si>
  <si>
    <t>22-07-2026 14:00</t>
  </si>
  <si>
    <t>22-07-2026 18:00</t>
  </si>
  <si>
    <t>287826</t>
  </si>
  <si>
    <t>BARB612920240055</t>
  </si>
  <si>
    <t>316950</t>
  </si>
  <si>
    <t>202418</t>
  </si>
  <si>
    <t>BARB612920240056</t>
  </si>
  <si>
    <t>316956</t>
  </si>
  <si>
    <t>202460</t>
  </si>
  <si>
    <t>CNRB113109229</t>
  </si>
  <si>
    <t>317105</t>
  </si>
  <si>
    <t>265514</t>
  </si>
  <si>
    <t>PUNBSHEONATHSINGH</t>
  </si>
  <si>
    <t>302336</t>
  </si>
  <si>
    <t>285104</t>
  </si>
  <si>
    <t>BARBVENKATESHWARLU</t>
  </si>
  <si>
    <t>304455</t>
  </si>
  <si>
    <t>242458</t>
  </si>
  <si>
    <t>BARBSATYANARAYANA</t>
  </si>
  <si>
    <t>304461</t>
  </si>
  <si>
    <t>242452</t>
  </si>
  <si>
    <t>BARBGVR9</t>
  </si>
  <si>
    <t>307416</t>
  </si>
  <si>
    <t>286191</t>
  </si>
  <si>
    <t>BARBGVR8</t>
  </si>
  <si>
    <t>307422</t>
  </si>
  <si>
    <t>286189</t>
  </si>
  <si>
    <t>BARBGVR2</t>
  </si>
  <si>
    <t>307426</t>
  </si>
  <si>
    <t>286158</t>
  </si>
  <si>
    <t>BARBGVR3</t>
  </si>
  <si>
    <t>307432</t>
  </si>
  <si>
    <t>286161</t>
  </si>
  <si>
    <t>BARBGVR4</t>
  </si>
  <si>
    <t>307438</t>
  </si>
  <si>
    <t>286163</t>
  </si>
  <si>
    <t>BARBGVR5</t>
  </si>
  <si>
    <t>307483</t>
  </si>
  <si>
    <t>Attilli, Andhra Pradesh</t>
  </si>
  <si>
    <t>286166</t>
  </si>
  <si>
    <t>BARBGVR6</t>
  </si>
  <si>
    <t>307488</t>
  </si>
  <si>
    <t>286176</t>
  </si>
  <si>
    <t>BARBGVR7</t>
  </si>
  <si>
    <t>307493</t>
  </si>
  <si>
    <t>286188</t>
  </si>
  <si>
    <t>CNRB72705554001</t>
  </si>
  <si>
    <t>316802</t>
  </si>
  <si>
    <t>22-06-2026 16:00</t>
  </si>
  <si>
    <t>253748</t>
  </si>
  <si>
    <t>CNRB300501528001</t>
  </si>
  <si>
    <t>316821</t>
  </si>
  <si>
    <t>248181</t>
  </si>
  <si>
    <t>BARB45130345</t>
  </si>
  <si>
    <t>84769</t>
  </si>
  <si>
    <t>22-06-2026 18:00</t>
  </si>
  <si>
    <t>228074</t>
  </si>
  <si>
    <t>BARB5330120320261</t>
  </si>
  <si>
    <t>294836</t>
  </si>
  <si>
    <t>280232</t>
  </si>
  <si>
    <t>PUNBABA40454494</t>
  </si>
  <si>
    <t>318481</t>
  </si>
  <si>
    <t>262311</t>
  </si>
  <si>
    <t>CNRB241025</t>
  </si>
  <si>
    <t>311714</t>
  </si>
  <si>
    <t>260604</t>
  </si>
  <si>
    <t>BARB0533020260007</t>
  </si>
  <si>
    <t>294837</t>
  </si>
  <si>
    <t>284095</t>
  </si>
  <si>
    <t>BARB533020260008</t>
  </si>
  <si>
    <t>294839</t>
  </si>
  <si>
    <t>284097</t>
  </si>
  <si>
    <t>UBINMRTMFN9476</t>
  </si>
  <si>
    <t>318397</t>
  </si>
  <si>
    <t>274875</t>
  </si>
  <si>
    <t>UCBA10640510000137</t>
  </si>
  <si>
    <t>314655</t>
  </si>
  <si>
    <t>267983</t>
  </si>
  <si>
    <t>UCBA1064229</t>
  </si>
  <si>
    <t>314818</t>
  </si>
  <si>
    <t>256781</t>
  </si>
  <si>
    <t>UCBA106419062025</t>
  </si>
  <si>
    <t>314833</t>
  </si>
  <si>
    <t>245635</t>
  </si>
  <si>
    <t>CNRB259116031</t>
  </si>
  <si>
    <t>312326</t>
  </si>
  <si>
    <t>203415</t>
  </si>
  <si>
    <t>CNRB0309196934</t>
  </si>
  <si>
    <t>312477</t>
  </si>
  <si>
    <t>263251</t>
  </si>
  <si>
    <t>CNRB97917940</t>
  </si>
  <si>
    <t>312558</t>
  </si>
  <si>
    <t>203411</t>
  </si>
  <si>
    <t>CBIN3232260720242</t>
  </si>
  <si>
    <t>318464</t>
  </si>
  <si>
    <t>Jorhat, Assam</t>
  </si>
  <si>
    <t>170399</t>
  </si>
  <si>
    <t>CBIN028BACHANAPET</t>
  </si>
  <si>
    <t>318480</t>
  </si>
  <si>
    <t>Bachannapet, Telangana</t>
  </si>
  <si>
    <t>288082</t>
  </si>
  <si>
    <t>SBIN04107MAXFLEX</t>
  </si>
  <si>
    <t>308910</t>
  </si>
  <si>
    <t>275704</t>
  </si>
  <si>
    <t>CBIN028sanjay</t>
  </si>
  <si>
    <t>318490</t>
  </si>
  <si>
    <t>287816</t>
  </si>
  <si>
    <t>PUNB8262PARULMONDAL</t>
  </si>
  <si>
    <t>318177</t>
  </si>
  <si>
    <t>268294</t>
  </si>
  <si>
    <t>IDIB7581598223A</t>
  </si>
  <si>
    <t>318265</t>
  </si>
  <si>
    <t>255458</t>
  </si>
  <si>
    <t>IDIB7581598223C</t>
  </si>
  <si>
    <t>318275</t>
  </si>
  <si>
    <t>255456</t>
  </si>
  <si>
    <t>BARB599520260003</t>
  </si>
  <si>
    <t>298346</t>
  </si>
  <si>
    <t>Nalsarovar, Gujarat</t>
  </si>
  <si>
    <t>284401</t>
  </si>
  <si>
    <t>BARB599520260006</t>
  </si>
  <si>
    <t>298373</t>
  </si>
  <si>
    <t>Mansa, Gujarat</t>
  </si>
  <si>
    <t>284451</t>
  </si>
  <si>
    <t>BARB599520260004</t>
  </si>
  <si>
    <t>298377</t>
  </si>
  <si>
    <t>284405</t>
  </si>
  <si>
    <t>BARB0587202404</t>
  </si>
  <si>
    <t>300617</t>
  </si>
  <si>
    <t>242590</t>
  </si>
  <si>
    <t>BARB05873246</t>
  </si>
  <si>
    <t>300626</t>
  </si>
  <si>
    <t>203406</t>
  </si>
  <si>
    <t>BARB05872882</t>
  </si>
  <si>
    <t>300631</t>
  </si>
  <si>
    <t>284700</t>
  </si>
  <si>
    <t>BARB05873108</t>
  </si>
  <si>
    <t>300643</t>
  </si>
  <si>
    <t>242595</t>
  </si>
  <si>
    <t>BARB05873361</t>
  </si>
  <si>
    <t>300686</t>
  </si>
  <si>
    <t>284433</t>
  </si>
  <si>
    <t>BARB05873005</t>
  </si>
  <si>
    <t>300692</t>
  </si>
  <si>
    <t>284431</t>
  </si>
  <si>
    <t>BARB05877249</t>
  </si>
  <si>
    <t>300696</t>
  </si>
  <si>
    <t>284427</t>
  </si>
  <si>
    <t>BARB05873081</t>
  </si>
  <si>
    <t>300706</t>
  </si>
  <si>
    <t>284425</t>
  </si>
  <si>
    <t>PUNBABA37801048</t>
  </si>
  <si>
    <t>317420</t>
  </si>
  <si>
    <t>287773</t>
  </si>
  <si>
    <t>PUNBshahid</t>
  </si>
  <si>
    <t>318476</t>
  </si>
  <si>
    <t>Kannauj, Uttar Pradesh</t>
  </si>
  <si>
    <t>277843</t>
  </si>
  <si>
    <t>PUNB0296000KULDE</t>
  </si>
  <si>
    <t>318485</t>
  </si>
  <si>
    <t>179864</t>
  </si>
  <si>
    <t>BARB05876681</t>
  </si>
  <si>
    <t>300710</t>
  </si>
  <si>
    <t>284428</t>
  </si>
  <si>
    <t>BARB05877356</t>
  </si>
  <si>
    <t>300716</t>
  </si>
  <si>
    <t>284424</t>
  </si>
  <si>
    <t>BARB058751141</t>
  </si>
  <si>
    <t>300719</t>
  </si>
  <si>
    <t>284742</t>
  </si>
  <si>
    <t>BARB058751082</t>
  </si>
  <si>
    <t>300722</t>
  </si>
  <si>
    <t>284746</t>
  </si>
  <si>
    <t>BARB05872893</t>
  </si>
  <si>
    <t>300725</t>
  </si>
  <si>
    <t>242596</t>
  </si>
  <si>
    <t>BARB05873644</t>
  </si>
  <si>
    <t>300841</t>
  </si>
  <si>
    <t>284819</t>
  </si>
  <si>
    <t>UBINVSKETA9597</t>
  </si>
  <si>
    <t>318467</t>
  </si>
  <si>
    <t>Chebrole Khandrika, Andhra Pradesh</t>
  </si>
  <si>
    <t>277797</t>
  </si>
  <si>
    <t>UBINVSKETA3348</t>
  </si>
  <si>
    <t>318474</t>
  </si>
  <si>
    <t>123159</t>
  </si>
  <si>
    <t>SBIN88640090275</t>
  </si>
  <si>
    <t>317940</t>
  </si>
  <si>
    <t>250564</t>
  </si>
  <si>
    <t>UCBASURA02778131</t>
  </si>
  <si>
    <t>318507</t>
  </si>
  <si>
    <t>86069</t>
  </si>
  <si>
    <t>IDIB7253150344</t>
  </si>
  <si>
    <t>318482</t>
  </si>
  <si>
    <t>99764</t>
  </si>
  <si>
    <t>IDIB7253150344A</t>
  </si>
  <si>
    <t>318494</t>
  </si>
  <si>
    <t>198346</t>
  </si>
  <si>
    <t>IDIB7158639355</t>
  </si>
  <si>
    <t>318508</t>
  </si>
  <si>
    <t>169716</t>
  </si>
  <si>
    <t>SBIN77987910732</t>
  </si>
  <si>
    <t>318496</t>
  </si>
  <si>
    <t>287723</t>
  </si>
  <si>
    <t>BARBVDA063758</t>
  </si>
  <si>
    <t>301198</t>
  </si>
  <si>
    <t>284906</t>
  </si>
  <si>
    <t>BARB04332748</t>
  </si>
  <si>
    <t>302021</t>
  </si>
  <si>
    <t>284629</t>
  </si>
  <si>
    <t>BARB3680RITHE01</t>
  </si>
  <si>
    <t>302774</t>
  </si>
  <si>
    <t>284707</t>
  </si>
  <si>
    <t>BARB3680RITHE02</t>
  </si>
  <si>
    <t>302777</t>
  </si>
  <si>
    <t>285138</t>
  </si>
  <si>
    <t>BARB0SARSUL202637</t>
  </si>
  <si>
    <t>303277</t>
  </si>
  <si>
    <t>285296</t>
  </si>
  <si>
    <t>BARBBLRC146</t>
  </si>
  <si>
    <t>303434</t>
  </si>
  <si>
    <t>271411</t>
  </si>
  <si>
    <t>BARB709820230001</t>
  </si>
  <si>
    <t>303543</t>
  </si>
  <si>
    <t>Machina, Karnataka</t>
  </si>
  <si>
    <t>46323</t>
  </si>
  <si>
    <t>BARB408905026</t>
  </si>
  <si>
    <t>303648</t>
  </si>
  <si>
    <t>285454</t>
  </si>
  <si>
    <t>BARB022005022</t>
  </si>
  <si>
    <t>303662</t>
  </si>
  <si>
    <t>285457</t>
  </si>
  <si>
    <t>BARB25820260003</t>
  </si>
  <si>
    <t>303739</t>
  </si>
  <si>
    <t>Dabhel, Dadra &amp; Nagar Haveli &amp; Daman &amp; Diu</t>
  </si>
  <si>
    <t>285356</t>
  </si>
  <si>
    <t>BARB2605052026</t>
  </si>
  <si>
    <t>303859</t>
  </si>
  <si>
    <t>285472</t>
  </si>
  <si>
    <t>BARB0SARSUL202638</t>
  </si>
  <si>
    <t>304777</t>
  </si>
  <si>
    <t>Dildarnagar, Uttar Pradesh</t>
  </si>
  <si>
    <t>285667</t>
  </si>
  <si>
    <t>BARBZJY065994</t>
  </si>
  <si>
    <t>304984</t>
  </si>
  <si>
    <t>284154</t>
  </si>
  <si>
    <t>BARBZDUD20173</t>
  </si>
  <si>
    <t>304995</t>
  </si>
  <si>
    <t>284156</t>
  </si>
  <si>
    <t>BARBCUX075460</t>
  </si>
  <si>
    <t>305027</t>
  </si>
  <si>
    <t>284203</t>
  </si>
  <si>
    <t>BARBDYQ021308</t>
  </si>
  <si>
    <t>305054</t>
  </si>
  <si>
    <t>284205</t>
  </si>
  <si>
    <t>BARB2GB072166</t>
  </si>
  <si>
    <t>305168</t>
  </si>
  <si>
    <t>284207</t>
  </si>
  <si>
    <t>BARB3156JAISA</t>
  </si>
  <si>
    <t>305358</t>
  </si>
  <si>
    <t>231254</t>
  </si>
  <si>
    <t>BARB3156KAVIY</t>
  </si>
  <si>
    <t>305418</t>
  </si>
  <si>
    <t>285810</t>
  </si>
  <si>
    <t>BARB3156RANJI</t>
  </si>
  <si>
    <t>305424</t>
  </si>
  <si>
    <t>285807</t>
  </si>
  <si>
    <t>BARBKAKAR79804778</t>
  </si>
  <si>
    <t>305626</t>
  </si>
  <si>
    <t>282131</t>
  </si>
  <si>
    <t>BARB3156SENGU</t>
  </si>
  <si>
    <t>305904</t>
  </si>
  <si>
    <t>231238</t>
  </si>
  <si>
    <t>BARBBLUELINE6042</t>
  </si>
  <si>
    <t>306486</t>
  </si>
  <si>
    <t>257899</t>
  </si>
  <si>
    <t>BARB2766002</t>
  </si>
  <si>
    <t>306566</t>
  </si>
  <si>
    <t>81710</t>
  </si>
  <si>
    <t>PUNB45400010538</t>
  </si>
  <si>
    <t>318445</t>
  </si>
  <si>
    <t>185587</t>
  </si>
  <si>
    <t>PUNBRAJSTEEL2</t>
  </si>
  <si>
    <t>318451</t>
  </si>
  <si>
    <t>255968</t>
  </si>
  <si>
    <t>PUNBRAJSTEEL</t>
  </si>
  <si>
    <t>318455</t>
  </si>
  <si>
    <t>255964</t>
  </si>
  <si>
    <t>PUNB095910MOHDNA</t>
  </si>
  <si>
    <t>318552</t>
  </si>
  <si>
    <t>186383</t>
  </si>
  <si>
    <t>PUNB034800JPSCON</t>
  </si>
  <si>
    <t>318537</t>
  </si>
  <si>
    <t>271609</t>
  </si>
  <si>
    <t>BARB38360129</t>
  </si>
  <si>
    <t>306599</t>
  </si>
  <si>
    <t>226315</t>
  </si>
  <si>
    <t>BARB30042138</t>
  </si>
  <si>
    <t>306607</t>
  </si>
  <si>
    <t>277580</t>
  </si>
  <si>
    <t>SBINREKHA</t>
  </si>
  <si>
    <t>318393</t>
  </si>
  <si>
    <t>Repalle, Andhra Pradesh</t>
  </si>
  <si>
    <t>24-07-2026 16:00</t>
  </si>
  <si>
    <t>282454</t>
  </si>
  <si>
    <t>UBINVSKSKL2668</t>
  </si>
  <si>
    <t>313434</t>
  </si>
  <si>
    <t>Pondura, Andhra Pradesh</t>
  </si>
  <si>
    <t>60554</t>
  </si>
  <si>
    <t>UBINVSKETA1318</t>
  </si>
  <si>
    <t>318462</t>
  </si>
  <si>
    <t>270172</t>
  </si>
  <si>
    <t>UBIN0mrtmfn9491</t>
  </si>
  <si>
    <t>318526</t>
  </si>
  <si>
    <t>288215</t>
  </si>
  <si>
    <t>UBINmrtmfn1866</t>
  </si>
  <si>
    <t>318536</t>
  </si>
  <si>
    <t>288217</t>
  </si>
  <si>
    <t>SBIN90236467636</t>
  </si>
  <si>
    <t>317964</t>
  </si>
  <si>
    <t>249741</t>
  </si>
  <si>
    <t>SBIN200014138249</t>
  </si>
  <si>
    <t>317977</t>
  </si>
  <si>
    <t>249299</t>
  </si>
  <si>
    <t>BKIDKZO88</t>
  </si>
  <si>
    <t>318540</t>
  </si>
  <si>
    <t>263393</t>
  </si>
  <si>
    <t>UCBA02980023</t>
  </si>
  <si>
    <t>318557</t>
  </si>
  <si>
    <t>288233</t>
  </si>
  <si>
    <t>UBINBHUCTA5460C</t>
  </si>
  <si>
    <t>318521</t>
  </si>
  <si>
    <t>198619</t>
  </si>
  <si>
    <t>IDIB6804405592</t>
  </si>
  <si>
    <t>318103</t>
  </si>
  <si>
    <t>182566</t>
  </si>
  <si>
    <t>IDIB7581990390</t>
  </si>
  <si>
    <t>318108</t>
  </si>
  <si>
    <t>255472</t>
  </si>
  <si>
    <t>BARB0EVA</t>
  </si>
  <si>
    <t>318470</t>
  </si>
  <si>
    <t>234398</t>
  </si>
  <si>
    <t>UBINVSKETA2636A</t>
  </si>
  <si>
    <t>318272</t>
  </si>
  <si>
    <t>123150</t>
  </si>
  <si>
    <t>BARB276620200004</t>
  </si>
  <si>
    <t>306615</t>
  </si>
  <si>
    <t>17054</t>
  </si>
  <si>
    <t>BARBHRV009050</t>
  </si>
  <si>
    <t>306619</t>
  </si>
  <si>
    <t>284209</t>
  </si>
  <si>
    <t>BARB276620200003</t>
  </si>
  <si>
    <t>306622</t>
  </si>
  <si>
    <t>1541</t>
  </si>
  <si>
    <t>BARB27665420</t>
  </si>
  <si>
    <t>306629</t>
  </si>
  <si>
    <t>276646</t>
  </si>
  <si>
    <t>BARB45130180</t>
  </si>
  <si>
    <t>306633</t>
  </si>
  <si>
    <t>228071</t>
  </si>
  <si>
    <t>BARBCUX070459</t>
  </si>
  <si>
    <t>306638</t>
  </si>
  <si>
    <t>284210</t>
  </si>
  <si>
    <t>BARB5PA066890</t>
  </si>
  <si>
    <t>306643</t>
  </si>
  <si>
    <t>284213</t>
  </si>
  <si>
    <t>BARB0ARMJAI05</t>
  </si>
  <si>
    <t>307192</t>
  </si>
  <si>
    <t>198430</t>
  </si>
  <si>
    <t>BARB58150046</t>
  </si>
  <si>
    <t>307193</t>
  </si>
  <si>
    <t>Chikhli, Gujarat</t>
  </si>
  <si>
    <t>222818</t>
  </si>
  <si>
    <t>BARB599720260008</t>
  </si>
  <si>
    <t>307362</t>
  </si>
  <si>
    <t>Pithampur, Madhya Pradesh</t>
  </si>
  <si>
    <t>285259</t>
  </si>
  <si>
    <t>BARBDCK064604</t>
  </si>
  <si>
    <t>307622</t>
  </si>
  <si>
    <t>286200</t>
  </si>
  <si>
    <t>BARB0IA066687</t>
  </si>
  <si>
    <t>307634</t>
  </si>
  <si>
    <t>286197</t>
  </si>
  <si>
    <t>BARBKXF067500</t>
  </si>
  <si>
    <t>307901</t>
  </si>
  <si>
    <t>265310</t>
  </si>
  <si>
    <t>BARB20552889312431</t>
  </si>
  <si>
    <t>308121</t>
  </si>
  <si>
    <t>259446</t>
  </si>
  <si>
    <t>BARBVJADYA0001</t>
  </si>
  <si>
    <t>308447</t>
  </si>
  <si>
    <t>235248</t>
  </si>
  <si>
    <t>BARB804220250001</t>
  </si>
  <si>
    <t>308843</t>
  </si>
  <si>
    <t>286270</t>
  </si>
  <si>
    <t>BARB259920250001</t>
  </si>
  <si>
    <t>309056</t>
  </si>
  <si>
    <t>Radhanpur, Gujarat</t>
  </si>
  <si>
    <t>230312</t>
  </si>
  <si>
    <t>BARB259920250002</t>
  </si>
  <si>
    <t>309072</t>
  </si>
  <si>
    <t>230322</t>
  </si>
  <si>
    <t>BARB259920250018</t>
  </si>
  <si>
    <t>309093</t>
  </si>
  <si>
    <t>Rapar, Gujarat</t>
  </si>
  <si>
    <t>239810</t>
  </si>
  <si>
    <t>BARB259920250015</t>
  </si>
  <si>
    <t>309100</t>
  </si>
  <si>
    <t>239768</t>
  </si>
  <si>
    <t>BARB259920250016</t>
  </si>
  <si>
    <t>309102</t>
  </si>
  <si>
    <t>239774</t>
  </si>
  <si>
    <t>BARB0SHARMISTHA</t>
  </si>
  <si>
    <t>309111</t>
  </si>
  <si>
    <t>Khalikote, Odisha</t>
  </si>
  <si>
    <t>285960</t>
  </si>
  <si>
    <t>BARB057320260002</t>
  </si>
  <si>
    <t>310750</t>
  </si>
  <si>
    <t>283002</t>
  </si>
  <si>
    <t>BARBQBAV02524</t>
  </si>
  <si>
    <t>310751</t>
  </si>
  <si>
    <t>222059</t>
  </si>
  <si>
    <t>BARB265220260006</t>
  </si>
  <si>
    <t>310752</t>
  </si>
  <si>
    <t>283004</t>
  </si>
  <si>
    <t>BARB265220240002</t>
  </si>
  <si>
    <t>310753</t>
  </si>
  <si>
    <t>122250</t>
  </si>
  <si>
    <t>BARB081920260002</t>
  </si>
  <si>
    <t>310754</t>
  </si>
  <si>
    <t>283005</t>
  </si>
  <si>
    <t>BARB081920260001</t>
  </si>
  <si>
    <t>310755</t>
  </si>
  <si>
    <t>273724</t>
  </si>
  <si>
    <t>BARB3344202600011</t>
  </si>
  <si>
    <t>310756</t>
  </si>
  <si>
    <t>283230</t>
  </si>
  <si>
    <t>BARBWLCD20562</t>
  </si>
  <si>
    <t>310757</t>
  </si>
  <si>
    <t>222088</t>
  </si>
  <si>
    <t>BARB3344202600012</t>
  </si>
  <si>
    <t>310758</t>
  </si>
  <si>
    <t>283231</t>
  </si>
  <si>
    <t>BARB3344202600013</t>
  </si>
  <si>
    <t>310759</t>
  </si>
  <si>
    <t>283232</t>
  </si>
  <si>
    <t>IDIBP548MANISHA01</t>
  </si>
  <si>
    <t>318563</t>
  </si>
  <si>
    <t>285389</t>
  </si>
  <si>
    <t>UBINPUNAMW6717</t>
  </si>
  <si>
    <t>317103</t>
  </si>
  <si>
    <t>271437</t>
  </si>
  <si>
    <t>UBINPUNAMW3782</t>
  </si>
  <si>
    <t>317962</t>
  </si>
  <si>
    <t>271444</t>
  </si>
  <si>
    <t>UBINPUNAMW6711</t>
  </si>
  <si>
    <t>317970</t>
  </si>
  <si>
    <t>271438</t>
  </si>
  <si>
    <t>UBINMRTMFN9299</t>
  </si>
  <si>
    <t>318395</t>
  </si>
  <si>
    <t>262650</t>
  </si>
  <si>
    <t>UBINMRTMFN3263</t>
  </si>
  <si>
    <t>318396</t>
  </si>
  <si>
    <t>262649</t>
  </si>
  <si>
    <t>UBINMRTMFN3045</t>
  </si>
  <si>
    <t>318399</t>
  </si>
  <si>
    <t>Kandhla, Uttar Pradesh</t>
  </si>
  <si>
    <t>270523</t>
  </si>
  <si>
    <t>UBINMRTMFN3068</t>
  </si>
  <si>
    <t>318401</t>
  </si>
  <si>
    <t>270522</t>
  </si>
  <si>
    <t>UBINMRTMFN0444</t>
  </si>
  <si>
    <t>318403</t>
  </si>
  <si>
    <t>Nakur, Uttar Pradesh</t>
  </si>
  <si>
    <t>272816</t>
  </si>
  <si>
    <t>UBINVJWARB0514B</t>
  </si>
  <si>
    <t>318446</t>
  </si>
  <si>
    <t>285462</t>
  </si>
  <si>
    <t>UBINVJWARB0514A</t>
  </si>
  <si>
    <t>318450</t>
  </si>
  <si>
    <t>285458</t>
  </si>
  <si>
    <t>UBINMRTMFN2484</t>
  </si>
  <si>
    <t>318561</t>
  </si>
  <si>
    <t>288224</t>
  </si>
  <si>
    <t>SBIN200038794294</t>
  </si>
  <si>
    <t>317983</t>
  </si>
  <si>
    <t>273964</t>
  </si>
  <si>
    <t>CBIN0280706</t>
  </si>
  <si>
    <t>318533</t>
  </si>
  <si>
    <t>288231</t>
  </si>
  <si>
    <t>SBINSARBSN202425102</t>
  </si>
  <si>
    <t>318527</t>
  </si>
  <si>
    <t>262155</t>
  </si>
  <si>
    <t>SBINSARB0517306</t>
  </si>
  <si>
    <t>318567</t>
  </si>
  <si>
    <t>250075</t>
  </si>
  <si>
    <t>PUNB8262VEDPRAKASHGUPTA</t>
  </si>
  <si>
    <t>318558</t>
  </si>
  <si>
    <t>Amlagora, West Bengal</t>
  </si>
  <si>
    <t>265560</t>
  </si>
  <si>
    <t>PUNB8762202471</t>
  </si>
  <si>
    <t>318473</t>
  </si>
  <si>
    <t>07-07-2026 15:00</t>
  </si>
  <si>
    <t>183814</t>
  </si>
  <si>
    <t>PUNB8762202403</t>
  </si>
  <si>
    <t>318568</t>
  </si>
  <si>
    <t>171376</t>
  </si>
  <si>
    <t>BARB3344202600009</t>
  </si>
  <si>
    <t>310760</t>
  </si>
  <si>
    <t>275677</t>
  </si>
  <si>
    <t>BARB177320240002</t>
  </si>
  <si>
    <t>310761</t>
  </si>
  <si>
    <t>124013</t>
  </si>
  <si>
    <t>BARB09680001</t>
  </si>
  <si>
    <t>310762</t>
  </si>
  <si>
    <t>202160</t>
  </si>
  <si>
    <t>BARBMWK068100</t>
  </si>
  <si>
    <t>310763</t>
  </si>
  <si>
    <t>222064</t>
  </si>
  <si>
    <t>BARBVUA063240</t>
  </si>
  <si>
    <t>310764</t>
  </si>
  <si>
    <t>231564</t>
  </si>
  <si>
    <t>BARB068691468</t>
  </si>
  <si>
    <t>310765</t>
  </si>
  <si>
    <t>232682</t>
  </si>
  <si>
    <t>BARB62165498</t>
  </si>
  <si>
    <t>310766</t>
  </si>
  <si>
    <t>222082</t>
  </si>
  <si>
    <t>BARBJ1A063492</t>
  </si>
  <si>
    <t>310767</t>
  </si>
  <si>
    <t>222085</t>
  </si>
  <si>
    <t>BARB593320250006</t>
  </si>
  <si>
    <t>310768</t>
  </si>
  <si>
    <t>260092</t>
  </si>
  <si>
    <t>BARBMOX068043</t>
  </si>
  <si>
    <t>310769</t>
  </si>
  <si>
    <t>222073</t>
  </si>
  <si>
    <t>BARBIAX065327</t>
  </si>
  <si>
    <t>310770</t>
  </si>
  <si>
    <t>222058</t>
  </si>
  <si>
    <t>BARB187020260001</t>
  </si>
  <si>
    <t>310771</t>
  </si>
  <si>
    <t>286682</t>
  </si>
  <si>
    <t>BARB063420260001</t>
  </si>
  <si>
    <t>310772</t>
  </si>
  <si>
    <t>286683</t>
  </si>
  <si>
    <t>BARB021220240004</t>
  </si>
  <si>
    <t>310903</t>
  </si>
  <si>
    <t>222045</t>
  </si>
  <si>
    <t>BARB24072025</t>
  </si>
  <si>
    <t>310932</t>
  </si>
  <si>
    <t>249860</t>
  </si>
  <si>
    <t>BARB06122503</t>
  </si>
  <si>
    <t>310940</t>
  </si>
  <si>
    <t>Dabhoi, Gujarat</t>
  </si>
  <si>
    <t>266742</t>
  </si>
  <si>
    <t>BARB098620240003</t>
  </si>
  <si>
    <t>310949</t>
  </si>
  <si>
    <t>225843</t>
  </si>
  <si>
    <t>BARB202583670064</t>
  </si>
  <si>
    <t>310951</t>
  </si>
  <si>
    <t>254435</t>
  </si>
  <si>
    <t>BARB940020240001</t>
  </si>
  <si>
    <t>310961</t>
  </si>
  <si>
    <t>222035</t>
  </si>
  <si>
    <t>BARB353620240002</t>
  </si>
  <si>
    <t>310976</t>
  </si>
  <si>
    <t>216656</t>
  </si>
  <si>
    <t>BARB303720260001</t>
  </si>
  <si>
    <t>311047</t>
  </si>
  <si>
    <t>285837</t>
  </si>
  <si>
    <t>BARB0LAKHIYANIVINODKUMAR</t>
  </si>
  <si>
    <t>311100</t>
  </si>
  <si>
    <t>279802</t>
  </si>
  <si>
    <t>BARBRAJPUTPURANSINH</t>
  </si>
  <si>
    <t>311110</t>
  </si>
  <si>
    <t>271312</t>
  </si>
  <si>
    <t>BARB0002471</t>
  </si>
  <si>
    <t>311245</t>
  </si>
  <si>
    <t>238527</t>
  </si>
  <si>
    <t>BARBBLRC89</t>
  </si>
  <si>
    <t>311545</t>
  </si>
  <si>
    <t>226409</t>
  </si>
  <si>
    <t>BARB599620240325</t>
  </si>
  <si>
    <t>311637</t>
  </si>
  <si>
    <t>283132</t>
  </si>
  <si>
    <t>BARB599620240300</t>
  </si>
  <si>
    <t>311649</t>
  </si>
  <si>
    <t>253750</t>
  </si>
  <si>
    <t>BARB599620240323</t>
  </si>
  <si>
    <t>311654</t>
  </si>
  <si>
    <t>278200</t>
  </si>
  <si>
    <t>BARB599620240329</t>
  </si>
  <si>
    <t>311663</t>
  </si>
  <si>
    <t>284183</t>
  </si>
  <si>
    <t>BARB599620200040</t>
  </si>
  <si>
    <t>311671</t>
  </si>
  <si>
    <t>38756</t>
  </si>
  <si>
    <t>BARBSARSUC22</t>
  </si>
  <si>
    <t>312306</t>
  </si>
  <si>
    <t>99391</t>
  </si>
  <si>
    <t>BARBSARSUC23</t>
  </si>
  <si>
    <t>312390</t>
  </si>
  <si>
    <t>97283</t>
  </si>
  <si>
    <t>BARBSARSUC24</t>
  </si>
  <si>
    <t>312394</t>
  </si>
  <si>
    <t>99451</t>
  </si>
  <si>
    <t>BARBSARSUC25</t>
  </si>
  <si>
    <t>312410</t>
  </si>
  <si>
    <t>103766</t>
  </si>
  <si>
    <t>UBINVSKARB4197A</t>
  </si>
  <si>
    <t>313422</t>
  </si>
  <si>
    <t>253252</t>
  </si>
  <si>
    <t>UBINPUNAMW7163</t>
  </si>
  <si>
    <t>317930</t>
  </si>
  <si>
    <t>249185</t>
  </si>
  <si>
    <t>UBINPUNAMW1371</t>
  </si>
  <si>
    <t>317942</t>
  </si>
  <si>
    <t>249183</t>
  </si>
  <si>
    <t>UBINPUNAMW1023</t>
  </si>
  <si>
    <t>317948</t>
  </si>
  <si>
    <t>246647</t>
  </si>
  <si>
    <t>UBINVSKETA8325</t>
  </si>
  <si>
    <t>318546</t>
  </si>
  <si>
    <t>281431</t>
  </si>
  <si>
    <t>UBINVSKETA8312B</t>
  </si>
  <si>
    <t>318572</t>
  </si>
  <si>
    <t>281419</t>
  </si>
  <si>
    <t>UBINVSKETA6173A</t>
  </si>
  <si>
    <t>318577</t>
  </si>
  <si>
    <t>281413</t>
  </si>
  <si>
    <t>UBINVJWTPT8357</t>
  </si>
  <si>
    <t>318582</t>
  </si>
  <si>
    <t>83961</t>
  </si>
  <si>
    <t>PUNB8262AWEFLOFFSHOP</t>
  </si>
  <si>
    <t>318463</t>
  </si>
  <si>
    <t>265910</t>
  </si>
  <si>
    <t>PUNB8262MOUSUMISEKH</t>
  </si>
  <si>
    <t>318499</t>
  </si>
  <si>
    <t>264196</t>
  </si>
  <si>
    <t>PUNB8262DIAMONDELECTRIC</t>
  </si>
  <si>
    <t>318511</t>
  </si>
  <si>
    <t>Durllabhganj, West Bengal</t>
  </si>
  <si>
    <t>263334</t>
  </si>
  <si>
    <t>PUNB8262AVIJITENTP</t>
  </si>
  <si>
    <t>318519</t>
  </si>
  <si>
    <t>261962</t>
  </si>
  <si>
    <t>PUNB8262SHEFALIENTERPRISE</t>
  </si>
  <si>
    <t>318530</t>
  </si>
  <si>
    <t>260634</t>
  </si>
  <si>
    <t>PUNB8262EXCELLENTZONE</t>
  </si>
  <si>
    <t>318544</t>
  </si>
  <si>
    <t>260610</t>
  </si>
  <si>
    <t>PUNB8262MOHANSALE</t>
  </si>
  <si>
    <t>318553</t>
  </si>
  <si>
    <t>260406</t>
  </si>
  <si>
    <t>BARB60020810202404</t>
  </si>
  <si>
    <t>312462</t>
  </si>
  <si>
    <t>203339</t>
  </si>
  <si>
    <t>BARB60020810202403</t>
  </si>
  <si>
    <t>312485</t>
  </si>
  <si>
    <t>203303</t>
  </si>
  <si>
    <t>BARB600207052502</t>
  </si>
  <si>
    <t>312545</t>
  </si>
  <si>
    <t>237777</t>
  </si>
  <si>
    <t>BARB60022410202402</t>
  </si>
  <si>
    <t>312583</t>
  </si>
  <si>
    <t>203731</t>
  </si>
  <si>
    <t>BARB4190MHX067649</t>
  </si>
  <si>
    <t>312591</t>
  </si>
  <si>
    <t>264379</t>
  </si>
  <si>
    <t>BARB4910ZWH090224</t>
  </si>
  <si>
    <t>312605</t>
  </si>
  <si>
    <t>254979</t>
  </si>
  <si>
    <t>BARB60020810202412</t>
  </si>
  <si>
    <t>312612</t>
  </si>
  <si>
    <t>203464</t>
  </si>
  <si>
    <t>BARB599720260002</t>
  </si>
  <si>
    <t>312666</t>
  </si>
  <si>
    <t>276896</t>
  </si>
  <si>
    <t>BARB599720260004</t>
  </si>
  <si>
    <t>312695</t>
  </si>
  <si>
    <t>Dr Ambedkar Nagar, Madhya Pradesh</t>
  </si>
  <si>
    <t>276991</t>
  </si>
  <si>
    <t>BARB600222052503</t>
  </si>
  <si>
    <t>313053</t>
  </si>
  <si>
    <t>239761</t>
  </si>
  <si>
    <t>BARB6373PA072276</t>
  </si>
  <si>
    <t>313058</t>
  </si>
  <si>
    <t>264380</t>
  </si>
  <si>
    <t>BARB588920210008</t>
  </si>
  <si>
    <t>313117</t>
  </si>
  <si>
    <t>107811</t>
  </si>
  <si>
    <t>BARB03KTR069277</t>
  </si>
  <si>
    <t>313127</t>
  </si>
  <si>
    <t>260929</t>
  </si>
  <si>
    <t>BARB774220240001</t>
  </si>
  <si>
    <t>313161</t>
  </si>
  <si>
    <t>254024</t>
  </si>
  <si>
    <t>BARB315320240002</t>
  </si>
  <si>
    <t>313181</t>
  </si>
  <si>
    <t>264375</t>
  </si>
  <si>
    <t>BARB1527202601</t>
  </si>
  <si>
    <t>313220</t>
  </si>
  <si>
    <t>287129</t>
  </si>
  <si>
    <t>BARB15272025008</t>
  </si>
  <si>
    <t>313230</t>
  </si>
  <si>
    <t>245893</t>
  </si>
  <si>
    <t>BARB152720220006</t>
  </si>
  <si>
    <t>313242</t>
  </si>
  <si>
    <t>132609</t>
  </si>
  <si>
    <t>BARB20241527002</t>
  </si>
  <si>
    <t>313252</t>
  </si>
  <si>
    <t>217504</t>
  </si>
  <si>
    <t>BARB315320240001</t>
  </si>
  <si>
    <t>313286</t>
  </si>
  <si>
    <t>264377</t>
  </si>
  <si>
    <t>BARB315320240003</t>
  </si>
  <si>
    <t>313304</t>
  </si>
  <si>
    <t>264374</t>
  </si>
  <si>
    <t>BARB6002MVC066263</t>
  </si>
  <si>
    <t>313360</t>
  </si>
  <si>
    <t>264750</t>
  </si>
  <si>
    <t>BARBXMI070236</t>
  </si>
  <si>
    <t>313396</t>
  </si>
  <si>
    <t>275561</t>
  </si>
  <si>
    <t>BARB599620240330</t>
  </si>
  <si>
    <t>313959</t>
  </si>
  <si>
    <t>286842</t>
  </si>
  <si>
    <t>BARB020120260001</t>
  </si>
  <si>
    <t>313960</t>
  </si>
  <si>
    <t>286681</t>
  </si>
  <si>
    <t>BARB348720260002</t>
  </si>
  <si>
    <t>313966</t>
  </si>
  <si>
    <t>286680</t>
  </si>
  <si>
    <t>BARB348720260001</t>
  </si>
  <si>
    <t>313969</t>
  </si>
  <si>
    <t>286679</t>
  </si>
  <si>
    <t>BARB599720260003</t>
  </si>
  <si>
    <t>314014</t>
  </si>
  <si>
    <t>276922</t>
  </si>
  <si>
    <t>BARB09332025003</t>
  </si>
  <si>
    <t>314672</t>
  </si>
  <si>
    <t>241852</t>
  </si>
  <si>
    <t>BARB03382026002</t>
  </si>
  <si>
    <t>314686</t>
  </si>
  <si>
    <t>271480</t>
  </si>
  <si>
    <t>BARB20268405002</t>
  </si>
  <si>
    <t>314700</t>
  </si>
  <si>
    <t>279021</t>
  </si>
  <si>
    <t>BARB0ASHWIN</t>
  </si>
  <si>
    <t>314781</t>
  </si>
  <si>
    <t>229452</t>
  </si>
  <si>
    <t>BARB0SARSUL202417</t>
  </si>
  <si>
    <t>314797</t>
  </si>
  <si>
    <t>230518</t>
  </si>
  <si>
    <t>BARB0SARSUL202522</t>
  </si>
  <si>
    <t>314806</t>
  </si>
  <si>
    <t>232566</t>
  </si>
  <si>
    <t>UBINVSKARB4197C</t>
  </si>
  <si>
    <t>313426</t>
  </si>
  <si>
    <t>253254</t>
  </si>
  <si>
    <t>UBINPUNAMW7998</t>
  </si>
  <si>
    <t>317924</t>
  </si>
  <si>
    <t>267632</t>
  </si>
  <si>
    <t>UBINPUNAMW9244</t>
  </si>
  <si>
    <t>317926</t>
  </si>
  <si>
    <t>278831</t>
  </si>
  <si>
    <t>PUNB8303SONA</t>
  </si>
  <si>
    <t>318524</t>
  </si>
  <si>
    <t>288228</t>
  </si>
  <si>
    <t>BARB601020240017</t>
  </si>
  <si>
    <t>314874</t>
  </si>
  <si>
    <t>192343</t>
  </si>
  <si>
    <t>BARBKADIYAMYESU</t>
  </si>
  <si>
    <t>315086</t>
  </si>
  <si>
    <t>Devarapalli, Andhra Pradesh</t>
  </si>
  <si>
    <t>235102</t>
  </si>
  <si>
    <t>BARBSTJOHNSREEJITH</t>
  </si>
  <si>
    <t>315218</t>
  </si>
  <si>
    <t>286713</t>
  </si>
  <si>
    <t>BARBVJBTMBIJESH</t>
  </si>
  <si>
    <t>315242</t>
  </si>
  <si>
    <t>286712</t>
  </si>
  <si>
    <t>BARBHORIZON</t>
  </si>
  <si>
    <t>315624</t>
  </si>
  <si>
    <t>287504</t>
  </si>
  <si>
    <t>BARBSVLMANJUSHA</t>
  </si>
  <si>
    <t>315660</t>
  </si>
  <si>
    <t>262913</t>
  </si>
  <si>
    <t>BARBKOTASAIBABU</t>
  </si>
  <si>
    <t>315783</t>
  </si>
  <si>
    <t>277287</t>
  </si>
  <si>
    <t>BARBVUPPALAPATI</t>
  </si>
  <si>
    <t>315790</t>
  </si>
  <si>
    <t>277284</t>
  </si>
  <si>
    <t>BARBADAPASURESH</t>
  </si>
  <si>
    <t>315873</t>
  </si>
  <si>
    <t>277129</t>
  </si>
  <si>
    <t>BARBGATTICHANDRASEKHAR</t>
  </si>
  <si>
    <t>315879</t>
  </si>
  <si>
    <t>276957</t>
  </si>
  <si>
    <t>BARBKARRISARVESWARA</t>
  </si>
  <si>
    <t>315886</t>
  </si>
  <si>
    <t>276954</t>
  </si>
  <si>
    <t>BARB22062601</t>
  </si>
  <si>
    <t>316016</t>
  </si>
  <si>
    <t>286748</t>
  </si>
  <si>
    <t>BARB307220240001</t>
  </si>
  <si>
    <t>316382</t>
  </si>
  <si>
    <t>Betul, Madhya Pradesh</t>
  </si>
  <si>
    <t>124330</t>
  </si>
  <si>
    <t>BARB730120260201</t>
  </si>
  <si>
    <t>316490</t>
  </si>
  <si>
    <t>275925</t>
  </si>
  <si>
    <t>BARB00ZCN065273</t>
  </si>
  <si>
    <t>316514</t>
  </si>
  <si>
    <t>271497</t>
  </si>
  <si>
    <t>BARB027520230005</t>
  </si>
  <si>
    <t>316520</t>
  </si>
  <si>
    <t>351</t>
  </si>
  <si>
    <t>BARB330520220014</t>
  </si>
  <si>
    <t>316609</t>
  </si>
  <si>
    <t>132946</t>
  </si>
  <si>
    <t>BARB899120240009</t>
  </si>
  <si>
    <t>316740</t>
  </si>
  <si>
    <t>212088</t>
  </si>
  <si>
    <t>BARB899120240004</t>
  </si>
  <si>
    <t>316748</t>
  </si>
  <si>
    <t>207904</t>
  </si>
  <si>
    <t>BARB899120240003</t>
  </si>
  <si>
    <t>316803</t>
  </si>
  <si>
    <t>207898</t>
  </si>
  <si>
    <t>BARB30601675</t>
  </si>
  <si>
    <t>316807</t>
  </si>
  <si>
    <t>287245</t>
  </si>
  <si>
    <t>BARB933320240001</t>
  </si>
  <si>
    <t>316810</t>
  </si>
  <si>
    <t>207907</t>
  </si>
  <si>
    <t>BARB30601676</t>
  </si>
  <si>
    <t>316838</t>
  </si>
  <si>
    <t>287244</t>
  </si>
  <si>
    <t>BARB78502026001</t>
  </si>
  <si>
    <t>317006</t>
  </si>
  <si>
    <t>287514</t>
  </si>
  <si>
    <t>BARB601420240008</t>
  </si>
  <si>
    <t>317080</t>
  </si>
  <si>
    <t>102028</t>
  </si>
  <si>
    <t>BARBRAM1234567</t>
  </si>
  <si>
    <t>317206</t>
  </si>
  <si>
    <t>85425</t>
  </si>
  <si>
    <t>BARB00CAC083016</t>
  </si>
  <si>
    <t>317481</t>
  </si>
  <si>
    <t>287163</t>
  </si>
  <si>
    <t>BARB255820260004</t>
  </si>
  <si>
    <t>317553</t>
  </si>
  <si>
    <t>285459</t>
  </si>
  <si>
    <t>BARBVJKELA01</t>
  </si>
  <si>
    <t>317745</t>
  </si>
  <si>
    <t>259026</t>
  </si>
  <si>
    <t>BARBHARINADABABU</t>
  </si>
  <si>
    <t>304448</t>
  </si>
  <si>
    <t>242462</t>
  </si>
  <si>
    <t>BARBSHYAMSUNDAR</t>
  </si>
  <si>
    <t>304452</t>
  </si>
  <si>
    <t>242459</t>
  </si>
  <si>
    <t>BARB845311062026001</t>
  </si>
  <si>
    <t>317936</t>
  </si>
  <si>
    <t>Vazhakulam, Kerala</t>
  </si>
  <si>
    <t>287117</t>
  </si>
  <si>
    <t>BARBKAUP01</t>
  </si>
  <si>
    <t>317945</t>
  </si>
  <si>
    <t>Bada, Karnataka</t>
  </si>
  <si>
    <t>233362</t>
  </si>
  <si>
    <t>UBINPUNAMW0321</t>
  </si>
  <si>
    <t>317075</t>
  </si>
  <si>
    <t>267714</t>
  </si>
  <si>
    <t>UBINPUNAMW6433</t>
  </si>
  <si>
    <t>317088</t>
  </si>
  <si>
    <t>267718</t>
  </si>
  <si>
    <t>UBINPUNAMW9857</t>
  </si>
  <si>
    <t>317095</t>
  </si>
  <si>
    <t>267724</t>
  </si>
  <si>
    <t>UBINPUNAMW1061</t>
  </si>
  <si>
    <t>317906</t>
  </si>
  <si>
    <t>278843</t>
  </si>
  <si>
    <t>UBINPUNAMW6491</t>
  </si>
  <si>
    <t>317911</t>
  </si>
  <si>
    <t>Paratwada, Maharashtra</t>
  </si>
  <si>
    <t>20196</t>
  </si>
  <si>
    <t>UBINPUNAMW7579</t>
  </si>
  <si>
    <t>317915</t>
  </si>
  <si>
    <t>Darwha, Maharashtra</t>
  </si>
  <si>
    <t>271439</t>
  </si>
  <si>
    <t>UBINPUNAMW8408</t>
  </si>
  <si>
    <t>317919</t>
  </si>
  <si>
    <t>259679</t>
  </si>
  <si>
    <t>UBINCHDCAB4259</t>
  </si>
  <si>
    <t>318488</t>
  </si>
  <si>
    <t>283409</t>
  </si>
  <si>
    <t>PUNB08303456</t>
  </si>
  <si>
    <t>318599</t>
  </si>
  <si>
    <t>225287</t>
  </si>
  <si>
    <t>BARB00NE1D19512</t>
  </si>
  <si>
    <t>317982</t>
  </si>
  <si>
    <t>280793</t>
  </si>
  <si>
    <t>BARB00XTC071388</t>
  </si>
  <si>
    <t>317999</t>
  </si>
  <si>
    <t>Hajira, Gujarat</t>
  </si>
  <si>
    <t>237517</t>
  </si>
  <si>
    <t>BARBSARBESSUHAS103</t>
  </si>
  <si>
    <t>318092</t>
  </si>
  <si>
    <t>288101</t>
  </si>
  <si>
    <t>BARBSARBESSUHAS106</t>
  </si>
  <si>
    <t>318098</t>
  </si>
  <si>
    <t>288104</t>
  </si>
  <si>
    <t>CNRB18472495</t>
  </si>
  <si>
    <t>301609</t>
  </si>
  <si>
    <t>22-06-2026 14:30</t>
  </si>
  <si>
    <t>22-06-2026 15:30</t>
  </si>
  <si>
    <t>284758</t>
  </si>
  <si>
    <t>PUNB0SANDEEP</t>
  </si>
  <si>
    <t>311278</t>
  </si>
  <si>
    <t>231938</t>
  </si>
  <si>
    <t>IOBA0MOHAMEDNAFIL</t>
  </si>
  <si>
    <t>306836</t>
  </si>
  <si>
    <t>286100</t>
  </si>
  <si>
    <t>PUNB156620DIVY01</t>
  </si>
  <si>
    <t>305150</t>
  </si>
  <si>
    <t>285711</t>
  </si>
  <si>
    <t>PUNBMILANBHOWMICK</t>
  </si>
  <si>
    <t>307925</t>
  </si>
  <si>
    <t>266190</t>
  </si>
  <si>
    <t>PUNB45G9505069</t>
  </si>
  <si>
    <t>309097</t>
  </si>
  <si>
    <t>286041</t>
  </si>
  <si>
    <t>PUNB05011237</t>
  </si>
  <si>
    <t>312184</t>
  </si>
  <si>
    <t>279526</t>
  </si>
  <si>
    <t>PUNBU42212650</t>
  </si>
  <si>
    <t>312254</t>
  </si>
  <si>
    <t>258700</t>
  </si>
  <si>
    <t>PUNBABA47466252</t>
  </si>
  <si>
    <t>313115</t>
  </si>
  <si>
    <t>274944</t>
  </si>
  <si>
    <t>PUNB8312VUA88834381</t>
  </si>
  <si>
    <t>314800</t>
  </si>
  <si>
    <t>285277</t>
  </si>
  <si>
    <t>PUNB07547KALAYAN</t>
  </si>
  <si>
    <t>310907</t>
  </si>
  <si>
    <t>175791</t>
  </si>
  <si>
    <t>UBINBHUCTA4538</t>
  </si>
  <si>
    <t>317016</t>
  </si>
  <si>
    <t>287854</t>
  </si>
  <si>
    <t>BKID000070507</t>
  </si>
  <si>
    <t>304508</t>
  </si>
  <si>
    <t>285394</t>
  </si>
  <si>
    <t>CNRB6104261000011</t>
  </si>
  <si>
    <t>313602</t>
  </si>
  <si>
    <t>Bardol, Odisha</t>
  </si>
  <si>
    <t>191497</t>
  </si>
  <si>
    <t>PUNB6885</t>
  </si>
  <si>
    <t>306027</t>
  </si>
  <si>
    <t>285868</t>
  </si>
  <si>
    <t>CNRB11906LALITHA</t>
  </si>
  <si>
    <t>308824</t>
  </si>
  <si>
    <t>271076</t>
  </si>
  <si>
    <t>CNRB0RITESH</t>
  </si>
  <si>
    <t>307064</t>
  </si>
  <si>
    <t>223997</t>
  </si>
  <si>
    <t>CNRBSAVITREE</t>
  </si>
  <si>
    <t>307260</t>
  </si>
  <si>
    <t>279669</t>
  </si>
  <si>
    <t>CNRB47576578657565</t>
  </si>
  <si>
    <t>307299</t>
  </si>
  <si>
    <t>Navalgund, Karnataka</t>
  </si>
  <si>
    <t>223473</t>
  </si>
  <si>
    <t>CNRB107881474</t>
  </si>
  <si>
    <t>307341</t>
  </si>
  <si>
    <t>228745</t>
  </si>
  <si>
    <t>CNRBZEBA1</t>
  </si>
  <si>
    <t>309977</t>
  </si>
  <si>
    <t>Acharpura Industrial Area, Madhya Pradesh</t>
  </si>
  <si>
    <t>198378</t>
  </si>
  <si>
    <t>CNRB95130925</t>
  </si>
  <si>
    <t>309990</t>
  </si>
  <si>
    <t>245784</t>
  </si>
  <si>
    <t>CNRB9513092502</t>
  </si>
  <si>
    <t>309993</t>
  </si>
  <si>
    <t>245783</t>
  </si>
  <si>
    <t>BARB244020230005</t>
  </si>
  <si>
    <t>306139</t>
  </si>
  <si>
    <t>Chekonidhara, Assam</t>
  </si>
  <si>
    <t>106336</t>
  </si>
  <si>
    <t>BARB2117</t>
  </si>
  <si>
    <t>307317</t>
  </si>
  <si>
    <t>286162</t>
  </si>
  <si>
    <t>SBIN200057334006</t>
  </si>
  <si>
    <t>309334</t>
  </si>
  <si>
    <t>243952</t>
  </si>
  <si>
    <t>BARB604020260003</t>
  </si>
  <si>
    <t>301134</t>
  </si>
  <si>
    <t>284888</t>
  </si>
  <si>
    <t>SBIN77795994186</t>
  </si>
  <si>
    <t>318357</t>
  </si>
  <si>
    <t>255692</t>
  </si>
  <si>
    <t>UBINVJWVJW9030</t>
  </si>
  <si>
    <t>315079</t>
  </si>
  <si>
    <t>60638</t>
  </si>
  <si>
    <t>IDIB6622770038</t>
  </si>
  <si>
    <t>307573</t>
  </si>
  <si>
    <t>286223</t>
  </si>
  <si>
    <t>CNRB306823268SUNAUTOGUM</t>
  </si>
  <si>
    <t>298064</t>
  </si>
  <si>
    <t>Gummidipoondi, Tamil Nadu</t>
  </si>
  <si>
    <t>22-06-2026 11:30</t>
  </si>
  <si>
    <t>284371</t>
  </si>
  <si>
    <t>CNRB306823268KUMARA</t>
  </si>
  <si>
    <t>298147</t>
  </si>
  <si>
    <t>284374</t>
  </si>
  <si>
    <t>CNRB306823268VEMBI</t>
  </si>
  <si>
    <t>298151</t>
  </si>
  <si>
    <t>284373</t>
  </si>
  <si>
    <t>CNRB16100PREETHI</t>
  </si>
  <si>
    <t>299234</t>
  </si>
  <si>
    <t>284597</t>
  </si>
  <si>
    <t>CNRB86593589</t>
  </si>
  <si>
    <t>308493</t>
  </si>
  <si>
    <t>221569</t>
  </si>
  <si>
    <t>CNRB66997783LB</t>
  </si>
  <si>
    <t>314214</t>
  </si>
  <si>
    <t>267932</t>
  </si>
  <si>
    <t>CNRB246979709VL</t>
  </si>
  <si>
    <t>314853</t>
  </si>
  <si>
    <t>Malumichampatti, Tamil Nadu</t>
  </si>
  <si>
    <t>267908</t>
  </si>
  <si>
    <t>CNRB246979709VL1</t>
  </si>
  <si>
    <t>314861</t>
  </si>
  <si>
    <t>267914</t>
  </si>
  <si>
    <t>CNRBMLRROGULABI</t>
  </si>
  <si>
    <t>296408</t>
  </si>
  <si>
    <t>266481</t>
  </si>
  <si>
    <t>CNRBMLRHASANABBA</t>
  </si>
  <si>
    <t>296791</t>
  </si>
  <si>
    <t>234362</t>
  </si>
  <si>
    <t>CNRB60364634</t>
  </si>
  <si>
    <t>306676</t>
  </si>
  <si>
    <t>Sindhanur, Karnataka</t>
  </si>
  <si>
    <t>246757</t>
  </si>
  <si>
    <t>CNRBSUMATHI001</t>
  </si>
  <si>
    <t>310877</t>
  </si>
  <si>
    <t>Ullal, Karnataka</t>
  </si>
  <si>
    <t>282542</t>
  </si>
  <si>
    <t>CNRBMLRTEJASWINI</t>
  </si>
  <si>
    <t>311215</t>
  </si>
  <si>
    <t>271864</t>
  </si>
  <si>
    <t>CNRBMLRFAAZ</t>
  </si>
  <si>
    <t>311227</t>
  </si>
  <si>
    <t>Canara Industrial Area Dakshina, Karnataka</t>
  </si>
  <si>
    <t>250025</t>
  </si>
  <si>
    <t>CNRBMLRSANJE</t>
  </si>
  <si>
    <t>311481</t>
  </si>
  <si>
    <t>241184</t>
  </si>
  <si>
    <t>CNRBMLRANILK</t>
  </si>
  <si>
    <t>311503</t>
  </si>
  <si>
    <t>248789</t>
  </si>
  <si>
    <t>CNRBMLRRO049</t>
  </si>
  <si>
    <t>311539</t>
  </si>
  <si>
    <t>201961</t>
  </si>
  <si>
    <t>SBIN43454989643A</t>
  </si>
  <si>
    <t>303501</t>
  </si>
  <si>
    <t>Bapatla, Andhra Pradesh</t>
  </si>
  <si>
    <t>285425</t>
  </si>
  <si>
    <t>IOBA234001</t>
  </si>
  <si>
    <t>308557</t>
  </si>
  <si>
    <t>285496</t>
  </si>
  <si>
    <t>IDIB30531171537</t>
  </si>
  <si>
    <t>309007</t>
  </si>
  <si>
    <t>Utai, Chhattisgarh</t>
  </si>
  <si>
    <t>286410</t>
  </si>
  <si>
    <t>IDIB6645577527</t>
  </si>
  <si>
    <t>319075</t>
  </si>
  <si>
    <t>96149</t>
  </si>
  <si>
    <t>CNRB309437390</t>
  </si>
  <si>
    <t>319115</t>
  </si>
  <si>
    <t>Ganjimutt, Karnataka</t>
  </si>
  <si>
    <t>285795</t>
  </si>
  <si>
    <t>SBIN89094041967</t>
  </si>
  <si>
    <t>319012</t>
  </si>
  <si>
    <t>288161</t>
  </si>
  <si>
    <t>IBKLGORRELA</t>
  </si>
  <si>
    <t>319035</t>
  </si>
  <si>
    <t>THE ARYAPURAM CO-OPERATIVE URBAN BANK LIMITED</t>
  </si>
  <si>
    <t>288378</t>
  </si>
  <si>
    <t>IBKLSIRIYALA</t>
  </si>
  <si>
    <t>319061</t>
  </si>
  <si>
    <t>288395</t>
  </si>
  <si>
    <t>SBIN0070606</t>
  </si>
  <si>
    <t>317583</t>
  </si>
  <si>
    <t>287984</t>
  </si>
  <si>
    <t>UBINMLRMLR4773</t>
  </si>
  <si>
    <t>317413</t>
  </si>
  <si>
    <t>235391</t>
  </si>
  <si>
    <t>UBINMLRHAB9325</t>
  </si>
  <si>
    <t>317435</t>
  </si>
  <si>
    <t>278940</t>
  </si>
  <si>
    <t>UBINCOITRP0538</t>
  </si>
  <si>
    <t>317616</t>
  </si>
  <si>
    <t>287049</t>
  </si>
  <si>
    <t>UBINMLRMLR5134</t>
  </si>
  <si>
    <t>318133</t>
  </si>
  <si>
    <t>284102</t>
  </si>
  <si>
    <t>UBINEKLKKD8130</t>
  </si>
  <si>
    <t>318477</t>
  </si>
  <si>
    <t>288142</t>
  </si>
  <si>
    <t>UBINEKLKKD6439</t>
  </si>
  <si>
    <t>318489</t>
  </si>
  <si>
    <t>288146</t>
  </si>
  <si>
    <t>UBINEKLKKD7064</t>
  </si>
  <si>
    <t>318500</t>
  </si>
  <si>
    <t>Chala, Kerala</t>
  </si>
  <si>
    <t>288149</t>
  </si>
  <si>
    <t>UBINMUMARB2347</t>
  </si>
  <si>
    <t>318740</t>
  </si>
  <si>
    <t>236829</t>
  </si>
  <si>
    <t>UBINAHMSAB3656D</t>
  </si>
  <si>
    <t>318807</t>
  </si>
  <si>
    <t>55262</t>
  </si>
  <si>
    <t>UBINAHMSAB3656G</t>
  </si>
  <si>
    <t>318808</t>
  </si>
  <si>
    <t>72235</t>
  </si>
  <si>
    <t>UBINAHMSAB3656J</t>
  </si>
  <si>
    <t>318815</t>
  </si>
  <si>
    <t>29533</t>
  </si>
  <si>
    <t>UBINAHMSAB3656S</t>
  </si>
  <si>
    <t>318818</t>
  </si>
  <si>
    <t>77586</t>
  </si>
  <si>
    <t>UBINAHMSAB3656T</t>
  </si>
  <si>
    <t>318820</t>
  </si>
  <si>
    <t>60071</t>
  </si>
  <si>
    <t>UBINBLRARB5361A</t>
  </si>
  <si>
    <t>318912</t>
  </si>
  <si>
    <t>288126</t>
  </si>
  <si>
    <t>UBINBLRARB5361B</t>
  </si>
  <si>
    <t>318930</t>
  </si>
  <si>
    <t>288152</t>
  </si>
  <si>
    <t>UBINBLRARB5361C</t>
  </si>
  <si>
    <t>318931</t>
  </si>
  <si>
    <t>288160</t>
  </si>
  <si>
    <t>UBINHYDSID2799</t>
  </si>
  <si>
    <t>318958</t>
  </si>
  <si>
    <t>Kamareddy, Telangana</t>
  </si>
  <si>
    <t>277621</t>
  </si>
  <si>
    <t>UBINHYDSID8802</t>
  </si>
  <si>
    <t>318963</t>
  </si>
  <si>
    <t>251864</t>
  </si>
  <si>
    <t>UBINHYDSID0715</t>
  </si>
  <si>
    <t>318964</t>
  </si>
  <si>
    <t>Banswada, Telangana</t>
  </si>
  <si>
    <t>20623</t>
  </si>
  <si>
    <t>UBINPUNAMW9576</t>
  </si>
  <si>
    <t>318967</t>
  </si>
  <si>
    <t>288302</t>
  </si>
  <si>
    <t>UBINHYDSID6000</t>
  </si>
  <si>
    <t>318969</t>
  </si>
  <si>
    <t>33102</t>
  </si>
  <si>
    <t>UBINHYDSID0230</t>
  </si>
  <si>
    <t>318971</t>
  </si>
  <si>
    <t>97648</t>
  </si>
  <si>
    <t>UBINHYDSID1630</t>
  </si>
  <si>
    <t>318973</t>
  </si>
  <si>
    <t>129157</t>
  </si>
  <si>
    <t>UBINHYDSID2533</t>
  </si>
  <si>
    <t>318976</t>
  </si>
  <si>
    <t>226892</t>
  </si>
  <si>
    <t>UBINHYDSID3240</t>
  </si>
  <si>
    <t>318981</t>
  </si>
  <si>
    <t>251863</t>
  </si>
  <si>
    <t>UBINPUNAMW7852</t>
  </si>
  <si>
    <t>318983</t>
  </si>
  <si>
    <t>288310</t>
  </si>
  <si>
    <t>UBINHYDSID2491</t>
  </si>
  <si>
    <t>318988</t>
  </si>
  <si>
    <t>237797</t>
  </si>
  <si>
    <t>UBINPUNAMW1266</t>
  </si>
  <si>
    <t>318989</t>
  </si>
  <si>
    <t>Washim, Maharashtra</t>
  </si>
  <si>
    <t>288296</t>
  </si>
  <si>
    <t>UBINBLRABN7207</t>
  </si>
  <si>
    <t>319001</t>
  </si>
  <si>
    <t>250102</t>
  </si>
  <si>
    <t>UBINBLRABN2290</t>
  </si>
  <si>
    <t>319003</t>
  </si>
  <si>
    <t>218400</t>
  </si>
  <si>
    <t>UBINBLRABN6875</t>
  </si>
  <si>
    <t>319004</t>
  </si>
  <si>
    <t>262999</t>
  </si>
  <si>
    <t>UBINBLRABN8781</t>
  </si>
  <si>
    <t>319009</t>
  </si>
  <si>
    <t>123692</t>
  </si>
  <si>
    <t>UBINCHEARB8323</t>
  </si>
  <si>
    <t>319026</t>
  </si>
  <si>
    <t>221517</t>
  </si>
  <si>
    <t>UBINMLRMLR8060</t>
  </si>
  <si>
    <t>319030</t>
  </si>
  <si>
    <t>Arkula, Karnataka</t>
  </si>
  <si>
    <t>288135</t>
  </si>
  <si>
    <t>UBINMLRMLR9188</t>
  </si>
  <si>
    <t>319034</t>
  </si>
  <si>
    <t>288134</t>
  </si>
  <si>
    <t>UBINMLRMAB7224</t>
  </si>
  <si>
    <t>319042</t>
  </si>
  <si>
    <t>288028</t>
  </si>
  <si>
    <t>UBINMLRMAB1780</t>
  </si>
  <si>
    <t>319050</t>
  </si>
  <si>
    <t>288011</t>
  </si>
  <si>
    <t>UBINMLRMAB9974</t>
  </si>
  <si>
    <t>319051</t>
  </si>
  <si>
    <t>287998</t>
  </si>
  <si>
    <t>UBINCHDLAB3231</t>
  </si>
  <si>
    <t>319099</t>
  </si>
  <si>
    <t>276542</t>
  </si>
  <si>
    <t>UBINCHDLAB5310</t>
  </si>
  <si>
    <t>319105</t>
  </si>
  <si>
    <t>259587</t>
  </si>
  <si>
    <t>UBINCHDLAB6239</t>
  </si>
  <si>
    <t>319119</t>
  </si>
  <si>
    <t>259588</t>
  </si>
  <si>
    <t>UBINLUCKAN8646</t>
  </si>
  <si>
    <t>319123</t>
  </si>
  <si>
    <t>105241</t>
  </si>
  <si>
    <t>UBINLUCKAN8887</t>
  </si>
  <si>
    <t>319128</t>
  </si>
  <si>
    <t>28990</t>
  </si>
  <si>
    <t>UBINLUCKAN6255</t>
  </si>
  <si>
    <t>319131</t>
  </si>
  <si>
    <t>91594</t>
  </si>
  <si>
    <t>UBINCHDLAB6671</t>
  </si>
  <si>
    <t>319138</t>
  </si>
  <si>
    <t>3285</t>
  </si>
  <si>
    <t>UBINCHDLAB1991A</t>
  </si>
  <si>
    <t>319146</t>
  </si>
  <si>
    <t>277613</t>
  </si>
  <si>
    <t>UBINPUNADR5334</t>
  </si>
  <si>
    <t>319151</t>
  </si>
  <si>
    <t>Malshiras, Maharashtra</t>
  </si>
  <si>
    <t>270683</t>
  </si>
  <si>
    <t>UBINCHDLAB1991B</t>
  </si>
  <si>
    <t>319153</t>
  </si>
  <si>
    <t>277622</t>
  </si>
  <si>
    <t>UBINPUNADR3598</t>
  </si>
  <si>
    <t>319154</t>
  </si>
  <si>
    <t>261787</t>
  </si>
  <si>
    <t>UBINPUNADR5472</t>
  </si>
  <si>
    <t>319157</t>
  </si>
  <si>
    <t>259129</t>
  </si>
  <si>
    <t>BKIDMNZARMB236</t>
  </si>
  <si>
    <t>304469</t>
  </si>
  <si>
    <t>264434</t>
  </si>
  <si>
    <t>BKIDMNZARMBWORLDGOLD51</t>
  </si>
  <si>
    <t>317336</t>
  </si>
  <si>
    <t>284464</t>
  </si>
  <si>
    <t>BKIDMNZ0041LEATHER</t>
  </si>
  <si>
    <t>317345</t>
  </si>
  <si>
    <t>267042</t>
  </si>
  <si>
    <t>CNRB67830068SZ55</t>
  </si>
  <si>
    <t>319020</t>
  </si>
  <si>
    <t>288385</t>
  </si>
  <si>
    <t>CNRB67830068SK44</t>
  </si>
  <si>
    <t>319022</t>
  </si>
  <si>
    <t>288383</t>
  </si>
  <si>
    <t>CNRB67830068s3133</t>
  </si>
  <si>
    <t>319023</t>
  </si>
  <si>
    <t>288380</t>
  </si>
  <si>
    <t>CNRB67830068s2222</t>
  </si>
  <si>
    <t>319027</t>
  </si>
  <si>
    <t>288366</t>
  </si>
  <si>
    <t>CNRB67830068s1311</t>
  </si>
  <si>
    <t>319029</t>
  </si>
  <si>
    <t>288359</t>
  </si>
  <si>
    <t>BARB0102POONAMTHAKUR</t>
  </si>
  <si>
    <t>319120</t>
  </si>
  <si>
    <t>283924</t>
  </si>
  <si>
    <t>BARB599920220084</t>
  </si>
  <si>
    <t>315850</t>
  </si>
  <si>
    <t>125163</t>
  </si>
  <si>
    <t>IDIBALVMETMETROSTEEL3</t>
  </si>
  <si>
    <t>319033</t>
  </si>
  <si>
    <t>288384</t>
  </si>
  <si>
    <t>IDIBALVMETMETROSTEEL2</t>
  </si>
  <si>
    <t>319036</t>
  </si>
  <si>
    <t>288381</t>
  </si>
  <si>
    <t>IDIBALVMETMETROSTEEL1</t>
  </si>
  <si>
    <t>319041</t>
  </si>
  <si>
    <t>288377</t>
  </si>
  <si>
    <t>PUNB083140000037</t>
  </si>
  <si>
    <t>318962</t>
  </si>
  <si>
    <t>Shimla, Himachal Pradesh</t>
  </si>
  <si>
    <t>284320</t>
  </si>
  <si>
    <t>CBIN1142218</t>
  </si>
  <si>
    <t>317773</t>
  </si>
  <si>
    <t>238742</t>
  </si>
  <si>
    <t>CBIN1142224</t>
  </si>
  <si>
    <t>317777</t>
  </si>
  <si>
    <t>238769</t>
  </si>
  <si>
    <t>CBIN1142219</t>
  </si>
  <si>
    <t>317789</t>
  </si>
  <si>
    <t>238748</t>
  </si>
  <si>
    <t>CBIN1142223</t>
  </si>
  <si>
    <t>318955</t>
  </si>
  <si>
    <t>238764</t>
  </si>
  <si>
    <t>CBIN1142221</t>
  </si>
  <si>
    <t>318961</t>
  </si>
  <si>
    <t>238756</t>
  </si>
  <si>
    <t>CBIN1142225</t>
  </si>
  <si>
    <t>318968</t>
  </si>
  <si>
    <t>238775</t>
  </si>
  <si>
    <t>CBIN1142222</t>
  </si>
  <si>
    <t>318984</t>
  </si>
  <si>
    <t>238760</t>
  </si>
  <si>
    <t>CBIN1142226</t>
  </si>
  <si>
    <t>319000</t>
  </si>
  <si>
    <t>238785</t>
  </si>
  <si>
    <t>CBIN1142220</t>
  </si>
  <si>
    <t>319002</t>
  </si>
  <si>
    <t>238751</t>
  </si>
  <si>
    <t>CBIN0SAWARDE02</t>
  </si>
  <si>
    <t>319006</t>
  </si>
  <si>
    <t>282176</t>
  </si>
  <si>
    <t>CBIN70100873</t>
  </si>
  <si>
    <t>319158</t>
  </si>
  <si>
    <t>168717</t>
  </si>
  <si>
    <t>IOBASilverNager</t>
  </si>
  <si>
    <t>319091</t>
  </si>
  <si>
    <t>283179</t>
  </si>
  <si>
    <t>CBIN0280828GS1</t>
  </si>
  <si>
    <t>317472</t>
  </si>
  <si>
    <t>191891</t>
  </si>
  <si>
    <t>CBIN0283562011</t>
  </si>
  <si>
    <t>318994</t>
  </si>
  <si>
    <t>Chirala, Andhra Pradesh</t>
  </si>
  <si>
    <t>269949</t>
  </si>
  <si>
    <t>SBIN75133168647</t>
  </si>
  <si>
    <t>318995</t>
  </si>
  <si>
    <t>Narwana, Haryana</t>
  </si>
  <si>
    <t>287282</t>
  </si>
  <si>
    <t>CBIN028356201</t>
  </si>
  <si>
    <t>319064</t>
  </si>
  <si>
    <t>269685</t>
  </si>
  <si>
    <t>CBIN0283562008</t>
  </si>
  <si>
    <t>319080</t>
  </si>
  <si>
    <t>269693</t>
  </si>
  <si>
    <t>CBIN028356212</t>
  </si>
  <si>
    <t>319082</t>
  </si>
  <si>
    <t>269961</t>
  </si>
  <si>
    <t>CBIN0283562010</t>
  </si>
  <si>
    <t>317783</t>
  </si>
  <si>
    <t>269940</t>
  </si>
  <si>
    <t>CBIN02839702</t>
  </si>
  <si>
    <t>318966</t>
  </si>
  <si>
    <t>253431</t>
  </si>
  <si>
    <t>CBIN028397001</t>
  </si>
  <si>
    <t>319005</t>
  </si>
  <si>
    <t>264516</t>
  </si>
  <si>
    <t>CBIN0318701</t>
  </si>
  <si>
    <t>318960</t>
  </si>
  <si>
    <t>Mansur Chak, Bihar</t>
  </si>
  <si>
    <t>249682</t>
  </si>
  <si>
    <t>BKID197968186</t>
  </si>
  <si>
    <t>318990</t>
  </si>
  <si>
    <t>287428</t>
  </si>
  <si>
    <t>UCBACHAN29740001</t>
  </si>
  <si>
    <t>319028</t>
  </si>
  <si>
    <t>Ghagga, Punjab</t>
  </si>
  <si>
    <t>84060</t>
  </si>
  <si>
    <t>UCBACHAN30470003</t>
  </si>
  <si>
    <t>319046</t>
  </si>
  <si>
    <t>Bhikhi, Punjab</t>
  </si>
  <si>
    <t>247906</t>
  </si>
  <si>
    <t>UCBACHAN20510001</t>
  </si>
  <si>
    <t>319065</t>
  </si>
  <si>
    <t>228843</t>
  </si>
  <si>
    <t>UCBABALA20610001</t>
  </si>
  <si>
    <t>319180</t>
  </si>
  <si>
    <t>9935</t>
  </si>
  <si>
    <t>CBIN0280788SKENGINEERING</t>
  </si>
  <si>
    <t>318438</t>
  </si>
  <si>
    <t>Goraiya, Madhya Pradesh</t>
  </si>
  <si>
    <t>224770</t>
  </si>
  <si>
    <t>UCBANAGP06990001</t>
  </si>
  <si>
    <t>318786</t>
  </si>
  <si>
    <t>90826</t>
  </si>
  <si>
    <t>UCBANAGP06910002</t>
  </si>
  <si>
    <t>318801</t>
  </si>
  <si>
    <t>133960</t>
  </si>
  <si>
    <t>CBIN1142227</t>
  </si>
  <si>
    <t>317767</t>
  </si>
  <si>
    <t>238792</t>
  </si>
  <si>
    <t>PUNB01R04677890</t>
  </si>
  <si>
    <t>318980</t>
  </si>
  <si>
    <t>235740</t>
  </si>
  <si>
    <t>UCBAINDO08570065</t>
  </si>
  <si>
    <t>319110</t>
  </si>
  <si>
    <t>Ujjain, Madhya Pradesh</t>
  </si>
  <si>
    <t>109317</t>
  </si>
  <si>
    <t>IDIBMGECO01</t>
  </si>
  <si>
    <t>319019</t>
  </si>
  <si>
    <t>285093</t>
  </si>
  <si>
    <t>PUNBPE260456285</t>
  </si>
  <si>
    <t>317368</t>
  </si>
  <si>
    <t>269799</t>
  </si>
  <si>
    <t>PUNB1V162507879</t>
  </si>
  <si>
    <t>318409</t>
  </si>
  <si>
    <t>282038</t>
  </si>
  <si>
    <t>PUNB826520200030</t>
  </si>
  <si>
    <t>318410</t>
  </si>
  <si>
    <t>190521</t>
  </si>
  <si>
    <t>PUNBSURAJITGH</t>
  </si>
  <si>
    <t>318411</t>
  </si>
  <si>
    <t>174480</t>
  </si>
  <si>
    <t>PUNB826520200031</t>
  </si>
  <si>
    <t>318416</t>
  </si>
  <si>
    <t>174464</t>
  </si>
  <si>
    <t>PUNB826520200032</t>
  </si>
  <si>
    <t>318417</t>
  </si>
  <si>
    <t>180757</t>
  </si>
  <si>
    <t>PUNB826520200033</t>
  </si>
  <si>
    <t>318418</t>
  </si>
  <si>
    <t>180758</t>
  </si>
  <si>
    <t>PUNB826520200034</t>
  </si>
  <si>
    <t>318419</t>
  </si>
  <si>
    <t>180759</t>
  </si>
  <si>
    <t>PUNBU55997892001</t>
  </si>
  <si>
    <t>318420</t>
  </si>
  <si>
    <t>174476</t>
  </si>
  <si>
    <t>PUNBDUTTASALES</t>
  </si>
  <si>
    <t>318421</t>
  </si>
  <si>
    <t>174481</t>
  </si>
  <si>
    <t>PUNB826520200020</t>
  </si>
  <si>
    <t>318422</t>
  </si>
  <si>
    <t>174533</t>
  </si>
  <si>
    <t>PUNB826520200035</t>
  </si>
  <si>
    <t>318423</t>
  </si>
  <si>
    <t>174532</t>
  </si>
  <si>
    <t>PUNBHG43511052</t>
  </si>
  <si>
    <t>318424</t>
  </si>
  <si>
    <t>Alipukur, West Bengal</t>
  </si>
  <si>
    <t>269192</t>
  </si>
  <si>
    <t>PUNB3408ASHA</t>
  </si>
  <si>
    <t>318764</t>
  </si>
  <si>
    <t>258035</t>
  </si>
  <si>
    <t>PUNBSOUMITRA001</t>
  </si>
  <si>
    <t>318790</t>
  </si>
  <si>
    <t>174478</t>
  </si>
  <si>
    <t>PUNB4472</t>
  </si>
  <si>
    <t>319008</t>
  </si>
  <si>
    <t>Sugauli, Bihar</t>
  </si>
  <si>
    <t>230743</t>
  </si>
  <si>
    <t>PUNB0NAVRANGB47</t>
  </si>
  <si>
    <t>319037</t>
  </si>
  <si>
    <t>Mahemdabad, Gujarat</t>
  </si>
  <si>
    <t>268249</t>
  </si>
  <si>
    <t>PUNBYADWINDER</t>
  </si>
  <si>
    <t>319114</t>
  </si>
  <si>
    <t>Baddi Industrial Area, Himachal Pradesh</t>
  </si>
  <si>
    <t>181784</t>
  </si>
  <si>
    <t>PUNBBALWINDER</t>
  </si>
  <si>
    <t>319149</t>
  </si>
  <si>
    <t>Solan, Himachal Pradesh</t>
  </si>
  <si>
    <t>264526</t>
  </si>
  <si>
    <t>IDIBA528GEETA01</t>
  </si>
  <si>
    <t>318975</t>
  </si>
  <si>
    <t>215506</t>
  </si>
  <si>
    <t>IDIBA528MUNENDRA</t>
  </si>
  <si>
    <t>318979</t>
  </si>
  <si>
    <t>161532</t>
  </si>
  <si>
    <t>IDIBA528RAJKUMAR</t>
  </si>
  <si>
    <t>318986</t>
  </si>
  <si>
    <t>155190</t>
  </si>
  <si>
    <t>IDIBA528BRAJESH</t>
  </si>
  <si>
    <t>318991</t>
  </si>
  <si>
    <t>169176</t>
  </si>
  <si>
    <t>IDIBA528PRITI</t>
  </si>
  <si>
    <t>318996</t>
  </si>
  <si>
    <t>154476</t>
  </si>
  <si>
    <t>IDIBA528RJHA</t>
  </si>
  <si>
    <t>318998</t>
  </si>
  <si>
    <t>255025</t>
  </si>
  <si>
    <t>IDIB824497562</t>
  </si>
  <si>
    <t>319055</t>
  </si>
  <si>
    <t>185433</t>
  </si>
  <si>
    <t>BKIDPU0620001</t>
  </si>
  <si>
    <t>317779</t>
  </si>
  <si>
    <t>287999</t>
  </si>
  <si>
    <t>BKIDPUNE291</t>
  </si>
  <si>
    <t>318959</t>
  </si>
  <si>
    <t>228139</t>
  </si>
  <si>
    <t>BKIDPUNE273</t>
  </si>
  <si>
    <t>319081</t>
  </si>
  <si>
    <t>223281</t>
  </si>
  <si>
    <t>SBIN0000079</t>
  </si>
  <si>
    <t>319039</t>
  </si>
  <si>
    <t>280694</t>
  </si>
  <si>
    <t>BKIDNITINPATIL</t>
  </si>
  <si>
    <t>315597</t>
  </si>
  <si>
    <t>252103</t>
  </si>
  <si>
    <t>BKIDBHIVGADE</t>
  </si>
  <si>
    <t>315674</t>
  </si>
  <si>
    <t>207193</t>
  </si>
  <si>
    <t>BKID000071004</t>
  </si>
  <si>
    <t>318972</t>
  </si>
  <si>
    <t>223376</t>
  </si>
  <si>
    <t>BKID000071001</t>
  </si>
  <si>
    <t>319048</t>
  </si>
  <si>
    <t>201377</t>
  </si>
  <si>
    <t>BKID000070406</t>
  </si>
  <si>
    <t>319070</t>
  </si>
  <si>
    <t>223372</t>
  </si>
  <si>
    <t>BKID000565300003</t>
  </si>
  <si>
    <t>319085</t>
  </si>
  <si>
    <t>237821</t>
  </si>
  <si>
    <t>BKID000863900008</t>
  </si>
  <si>
    <t>319087</t>
  </si>
  <si>
    <t>261424</t>
  </si>
  <si>
    <t>BKID308333232</t>
  </si>
  <si>
    <t>319088</t>
  </si>
  <si>
    <t>278487</t>
  </si>
  <si>
    <t>BKID306061517</t>
  </si>
  <si>
    <t>319101</t>
  </si>
  <si>
    <t>278768</t>
  </si>
  <si>
    <t>BKID000863900011</t>
  </si>
  <si>
    <t>319104</t>
  </si>
  <si>
    <t>261320</t>
  </si>
  <si>
    <t>BKID196346253</t>
  </si>
  <si>
    <t>319106</t>
  </si>
  <si>
    <t>278769</t>
  </si>
  <si>
    <t>BKID300738692</t>
  </si>
  <si>
    <t>319108</t>
  </si>
  <si>
    <t>281060</t>
  </si>
  <si>
    <t>BKID206033113</t>
  </si>
  <si>
    <t>319111</t>
  </si>
  <si>
    <t>268161</t>
  </si>
  <si>
    <t>BKID191751092</t>
  </si>
  <si>
    <t>319117</t>
  </si>
  <si>
    <t>278770</t>
  </si>
  <si>
    <t>BKID000070006</t>
  </si>
  <si>
    <t>319121</t>
  </si>
  <si>
    <t>203327</t>
  </si>
  <si>
    <t>BKID000860900035</t>
  </si>
  <si>
    <t>319135</t>
  </si>
  <si>
    <t>261364</t>
  </si>
  <si>
    <t>BKID000070117</t>
  </si>
  <si>
    <t>319137</t>
  </si>
  <si>
    <t>270278</t>
  </si>
  <si>
    <t>BKID000070110</t>
  </si>
  <si>
    <t>319162</t>
  </si>
  <si>
    <t>247169</t>
  </si>
  <si>
    <t>CNRB63003703ML</t>
  </si>
  <si>
    <t>319017</t>
  </si>
  <si>
    <t>241068</t>
  </si>
  <si>
    <t>MAHBKOLS1</t>
  </si>
  <si>
    <t>318982</t>
  </si>
  <si>
    <t>288356</t>
  </si>
  <si>
    <t>IDIBALWTHA01</t>
  </si>
  <si>
    <t>319044</t>
  </si>
  <si>
    <t>288373</t>
  </si>
  <si>
    <t>IDIBALWTHA02</t>
  </si>
  <si>
    <t>319049</t>
  </si>
  <si>
    <t>288375</t>
  </si>
  <si>
    <t>CNRB322878885</t>
  </si>
  <si>
    <t>318191</t>
  </si>
  <si>
    <t>263425</t>
  </si>
  <si>
    <t>CNRB322329091</t>
  </si>
  <si>
    <t>318203</t>
  </si>
  <si>
    <t>263423</t>
  </si>
  <si>
    <t>CNRB123850746</t>
  </si>
  <si>
    <t>318205</t>
  </si>
  <si>
    <t>239216</t>
  </si>
  <si>
    <t>CNRB216655956</t>
  </si>
  <si>
    <t>318209</t>
  </si>
  <si>
    <t>261062</t>
  </si>
  <si>
    <t>CNRB108378841</t>
  </si>
  <si>
    <t>318212</t>
  </si>
  <si>
    <t>Phaltan SEZ MIDC, Maharashtra</t>
  </si>
  <si>
    <t>239242</t>
  </si>
  <si>
    <t>CNRB922065281</t>
  </si>
  <si>
    <t>318214</t>
  </si>
  <si>
    <t>191663</t>
  </si>
  <si>
    <t>CNRB110971864</t>
  </si>
  <si>
    <t>318220</t>
  </si>
  <si>
    <t>284062</t>
  </si>
  <si>
    <t>CNRB11097186401</t>
  </si>
  <si>
    <t>318223</t>
  </si>
  <si>
    <t>284064</t>
  </si>
  <si>
    <t>CNRB67486124A</t>
  </si>
  <si>
    <t>318224</t>
  </si>
  <si>
    <t>267044</t>
  </si>
  <si>
    <t>CNRB324248159</t>
  </si>
  <si>
    <t>318228</t>
  </si>
  <si>
    <t>252404</t>
  </si>
  <si>
    <t>CNRB119014371</t>
  </si>
  <si>
    <t>318231</t>
  </si>
  <si>
    <t>263415</t>
  </si>
  <si>
    <t>CNRB3095428820011</t>
  </si>
  <si>
    <t>318234</t>
  </si>
  <si>
    <t>239265</t>
  </si>
  <si>
    <t>CNRB105842123</t>
  </si>
  <si>
    <t>318237</t>
  </si>
  <si>
    <t>281913</t>
  </si>
  <si>
    <t>CNRB302263075</t>
  </si>
  <si>
    <t>318429</t>
  </si>
  <si>
    <t>276166</t>
  </si>
  <si>
    <t>CNRB307374505</t>
  </si>
  <si>
    <t>318431</t>
  </si>
  <si>
    <t>267348</t>
  </si>
  <si>
    <t>CNRB115843023</t>
  </si>
  <si>
    <t>318432</t>
  </si>
  <si>
    <t>239386</t>
  </si>
  <si>
    <t>CNRB964829141</t>
  </si>
  <si>
    <t>318434</t>
  </si>
  <si>
    <t>239383</t>
  </si>
  <si>
    <t>CNRB964829142</t>
  </si>
  <si>
    <t>318435</t>
  </si>
  <si>
    <t>239384</t>
  </si>
  <si>
    <t>CNRB67477686</t>
  </si>
  <si>
    <t>318437</t>
  </si>
  <si>
    <t>239388</t>
  </si>
  <si>
    <t>CNRB67477686A</t>
  </si>
  <si>
    <t>318452</t>
  </si>
  <si>
    <t>239389</t>
  </si>
  <si>
    <t>CNRB67477686B</t>
  </si>
  <si>
    <t>318457</t>
  </si>
  <si>
    <t>239390</t>
  </si>
  <si>
    <t>CNRB67477686C</t>
  </si>
  <si>
    <t>318460</t>
  </si>
  <si>
    <t>239391</t>
  </si>
  <si>
    <t>CNRB300618829</t>
  </si>
  <si>
    <t>318513</t>
  </si>
  <si>
    <t>239291</t>
  </si>
  <si>
    <t>CNRB126012153</t>
  </si>
  <si>
    <t>318515</t>
  </si>
  <si>
    <t>280100</t>
  </si>
  <si>
    <t>CNRB8356041</t>
  </si>
  <si>
    <t>318522</t>
  </si>
  <si>
    <t>239316</t>
  </si>
  <si>
    <t>CNRB248840951</t>
  </si>
  <si>
    <t>318539</t>
  </si>
  <si>
    <t>283690</t>
  </si>
  <si>
    <t>CNRB119180972</t>
  </si>
  <si>
    <t>318542</t>
  </si>
  <si>
    <t>283349</t>
  </si>
  <si>
    <t>CNRB318601249</t>
  </si>
  <si>
    <t>318547</t>
  </si>
  <si>
    <t>239247</t>
  </si>
  <si>
    <t>PUNB8195160</t>
  </si>
  <si>
    <t>318915</t>
  </si>
  <si>
    <t>177556</t>
  </si>
  <si>
    <t>CNRB0609619004225</t>
  </si>
  <si>
    <t>308739</t>
  </si>
  <si>
    <t>243417</t>
  </si>
  <si>
    <t>PUNBEQC49064320</t>
  </si>
  <si>
    <t>318678</t>
  </si>
  <si>
    <t>Malaut, Punjab</t>
  </si>
  <si>
    <t>186142</t>
  </si>
  <si>
    <t>PUNBABA47433015</t>
  </si>
  <si>
    <t>318688</t>
  </si>
  <si>
    <t>254095</t>
  </si>
  <si>
    <t>PUNBABA38103088</t>
  </si>
  <si>
    <t>318691</t>
  </si>
  <si>
    <t>185164</t>
  </si>
  <si>
    <t>PUNBASIFREHMAN</t>
  </si>
  <si>
    <t>318861</t>
  </si>
  <si>
    <t>181245</t>
  </si>
  <si>
    <t>PUNBRAJU001</t>
  </si>
  <si>
    <t>318866</t>
  </si>
  <si>
    <t>252211</t>
  </si>
  <si>
    <t>CNRB25613599</t>
  </si>
  <si>
    <t>318556</t>
  </si>
  <si>
    <t>239235</t>
  </si>
  <si>
    <t>PUNB81890000BLJ8</t>
  </si>
  <si>
    <t>318916</t>
  </si>
  <si>
    <t>177580</t>
  </si>
  <si>
    <t>PUNB653400KRI</t>
  </si>
  <si>
    <t>318917</t>
  </si>
  <si>
    <t>257236</t>
  </si>
  <si>
    <t>PUNB8195161</t>
  </si>
  <si>
    <t>318918</t>
  </si>
  <si>
    <t>177562</t>
  </si>
  <si>
    <t>PUNB306744519</t>
  </si>
  <si>
    <t>318919</t>
  </si>
  <si>
    <t>Naugarh, Uttar Pradesh</t>
  </si>
  <si>
    <t>231594</t>
  </si>
  <si>
    <t>PUNB81890000ABSJ</t>
  </si>
  <si>
    <t>318920</t>
  </si>
  <si>
    <t>275644</t>
  </si>
  <si>
    <t>PUNB653400NIR</t>
  </si>
  <si>
    <t>318921</t>
  </si>
  <si>
    <t>Colonelganj, Uttar Pradesh</t>
  </si>
  <si>
    <t>257228</t>
  </si>
  <si>
    <t>UBINMLRHSN9450</t>
  </si>
  <si>
    <t>318622</t>
  </si>
  <si>
    <t>Hassan, Karnataka</t>
  </si>
  <si>
    <t>24-06-2026 16:30</t>
  </si>
  <si>
    <t>239308</t>
  </si>
  <si>
    <t>UBINVSKSKL4641</t>
  </si>
  <si>
    <t>313429</t>
  </si>
  <si>
    <t>74316</t>
  </si>
  <si>
    <t>UBINKOLARB5287</t>
  </si>
  <si>
    <t>316486</t>
  </si>
  <si>
    <t>259058</t>
  </si>
  <si>
    <t>UBINPUNAMW8976</t>
  </si>
  <si>
    <t>317020</t>
  </si>
  <si>
    <t>215901</t>
  </si>
  <si>
    <t>UBINKOLARB1846</t>
  </si>
  <si>
    <t>317143</t>
  </si>
  <si>
    <t>287864</t>
  </si>
  <si>
    <t>UBINMUMBOR7418</t>
  </si>
  <si>
    <t>318492</t>
  </si>
  <si>
    <t>108918</t>
  </si>
  <si>
    <t>UBINVJWARB2887</t>
  </si>
  <si>
    <t>318493</t>
  </si>
  <si>
    <t>Kothapatnam, Andhra Pradesh</t>
  </si>
  <si>
    <t>268835</t>
  </si>
  <si>
    <t>UBINVJWARB6168</t>
  </si>
  <si>
    <t>318501</t>
  </si>
  <si>
    <t>234994</t>
  </si>
  <si>
    <t>UBINPUNNAG6127</t>
  </si>
  <si>
    <t>318517</t>
  </si>
  <si>
    <t>285387</t>
  </si>
  <si>
    <t>UBINVJWARB2769B</t>
  </si>
  <si>
    <t>318520</t>
  </si>
  <si>
    <t>Nuzvid, Andhra Pradesh</t>
  </si>
  <si>
    <t>268759</t>
  </si>
  <si>
    <t>UBINVJWARB5134</t>
  </si>
  <si>
    <t>318528</t>
  </si>
  <si>
    <t>268833</t>
  </si>
  <si>
    <t>UBINPUNNAG9505</t>
  </si>
  <si>
    <t>318532</t>
  </si>
  <si>
    <t>285382</t>
  </si>
  <si>
    <t>UBINPUNNAG0042</t>
  </si>
  <si>
    <t>318538</t>
  </si>
  <si>
    <t>Brahmapuri, Maharashtra</t>
  </si>
  <si>
    <t>283310</t>
  </si>
  <si>
    <t>UBINPUNNAG5565</t>
  </si>
  <si>
    <t>318541</t>
  </si>
  <si>
    <t>Bamhni, Maharashtra</t>
  </si>
  <si>
    <t>262996</t>
  </si>
  <si>
    <t>UBINPUNNAG5513</t>
  </si>
  <si>
    <t>318550</t>
  </si>
  <si>
    <t>274990</t>
  </si>
  <si>
    <t>UBINMUMBOR3176</t>
  </si>
  <si>
    <t>318555</t>
  </si>
  <si>
    <t>99762</t>
  </si>
  <si>
    <t>UBINMUMBOR3501</t>
  </si>
  <si>
    <t>318574</t>
  </si>
  <si>
    <t>85322</t>
  </si>
  <si>
    <t>UBINMUMBOR9091</t>
  </si>
  <si>
    <t>318584</t>
  </si>
  <si>
    <t>101651</t>
  </si>
  <si>
    <t>UBINMUMBOR2651</t>
  </si>
  <si>
    <t>318589</t>
  </si>
  <si>
    <t>82911</t>
  </si>
  <si>
    <t>UBINMUMBOR6427</t>
  </si>
  <si>
    <t>318595</t>
  </si>
  <si>
    <t>85024</t>
  </si>
  <si>
    <t>UBINPUNAAG2662</t>
  </si>
  <si>
    <t>318598</t>
  </si>
  <si>
    <t>203562</t>
  </si>
  <si>
    <t>UBINVRNGZP4120A</t>
  </si>
  <si>
    <t>318603</t>
  </si>
  <si>
    <t>Jangipur, Uttar Pradesh</t>
  </si>
  <si>
    <t>93018</t>
  </si>
  <si>
    <t>UBINMUMBOR5552</t>
  </si>
  <si>
    <t>318607</t>
  </si>
  <si>
    <t>31090</t>
  </si>
  <si>
    <t>UBINVRNGZP4120B</t>
  </si>
  <si>
    <t>318610</t>
  </si>
  <si>
    <t>93019</t>
  </si>
  <si>
    <t>UBINVJWARB7485</t>
  </si>
  <si>
    <t>318614</t>
  </si>
  <si>
    <t>268937</t>
  </si>
  <si>
    <t>UBINVRNPGA3334</t>
  </si>
  <si>
    <t>318615</t>
  </si>
  <si>
    <t>278676</t>
  </si>
  <si>
    <t>UBINMUMBOR6187</t>
  </si>
  <si>
    <t>318616</t>
  </si>
  <si>
    <t>273216</t>
  </si>
  <si>
    <t>UBINVJWARB7016</t>
  </si>
  <si>
    <t>318617</t>
  </si>
  <si>
    <t>268918</t>
  </si>
  <si>
    <t>UBINVJWARB4130</t>
  </si>
  <si>
    <t>318620</t>
  </si>
  <si>
    <t>Edlapadu, Andhra Pradesh</t>
  </si>
  <si>
    <t>122583</t>
  </si>
  <si>
    <t>UBINMUMBOR1171</t>
  </si>
  <si>
    <t>318621</t>
  </si>
  <si>
    <t>273224</t>
  </si>
  <si>
    <t>UBINPUNAAG5443</t>
  </si>
  <si>
    <t>318625</t>
  </si>
  <si>
    <t>Pandharpur, Maharashtra</t>
  </si>
  <si>
    <t>191171</t>
  </si>
  <si>
    <t>UBINPUNAAG5443A</t>
  </si>
  <si>
    <t>318629</t>
  </si>
  <si>
    <t>264812</t>
  </si>
  <si>
    <t>UBINPUNAAG8439</t>
  </si>
  <si>
    <t>318634</t>
  </si>
  <si>
    <t>232541</t>
  </si>
  <si>
    <t>UBINPUNAAG9519</t>
  </si>
  <si>
    <t>318640</t>
  </si>
  <si>
    <t>222863</t>
  </si>
  <si>
    <t>UBINMUMARB2377</t>
  </si>
  <si>
    <t>318644</t>
  </si>
  <si>
    <t>24014</t>
  </si>
  <si>
    <t>UBINPUNAAG7813</t>
  </si>
  <si>
    <t>318645</t>
  </si>
  <si>
    <t>115193</t>
  </si>
  <si>
    <t>UBINVJWARB4170</t>
  </si>
  <si>
    <t>318647</t>
  </si>
  <si>
    <t>236849</t>
  </si>
  <si>
    <t>UBINMUMARB2681</t>
  </si>
  <si>
    <t>318652</t>
  </si>
  <si>
    <t>283524</t>
  </si>
  <si>
    <t>UBINPUNAAG2576B</t>
  </si>
  <si>
    <t>318655</t>
  </si>
  <si>
    <t>232537</t>
  </si>
  <si>
    <t>UBINMUMARB7641B</t>
  </si>
  <si>
    <t>318661</t>
  </si>
  <si>
    <t>29780</t>
  </si>
  <si>
    <t>UBINPUNAAG2576C</t>
  </si>
  <si>
    <t>318662</t>
  </si>
  <si>
    <t>232538</t>
  </si>
  <si>
    <t>UBINVJWARB9311</t>
  </si>
  <si>
    <t>318666</t>
  </si>
  <si>
    <t>269243</t>
  </si>
  <si>
    <t>UBINPUNAAG5132A</t>
  </si>
  <si>
    <t>318667</t>
  </si>
  <si>
    <t>281554</t>
  </si>
  <si>
    <t>UBINPUNAAG5132B</t>
  </si>
  <si>
    <t>318671</t>
  </si>
  <si>
    <t>Mohol, Maharashtra</t>
  </si>
  <si>
    <t>281562</t>
  </si>
  <si>
    <t>UBINPUNAAG5132C</t>
  </si>
  <si>
    <t>318676</t>
  </si>
  <si>
    <t>281571</t>
  </si>
  <si>
    <t>UBINPUNAAG5045</t>
  </si>
  <si>
    <t>318679</t>
  </si>
  <si>
    <t>249724</t>
  </si>
  <si>
    <t>UBINPUNAAG5449</t>
  </si>
  <si>
    <t>318680</t>
  </si>
  <si>
    <t>77500</t>
  </si>
  <si>
    <t>UBINVJWARB7343</t>
  </si>
  <si>
    <t>318685</t>
  </si>
  <si>
    <t>269396</t>
  </si>
  <si>
    <t>UBINPUNAAG3276H</t>
  </si>
  <si>
    <t>318686</t>
  </si>
  <si>
    <t>277803</t>
  </si>
  <si>
    <t>UBINPUNAAG3276I</t>
  </si>
  <si>
    <t>318689</t>
  </si>
  <si>
    <t>277804</t>
  </si>
  <si>
    <t>UBINVJWARB1054</t>
  </si>
  <si>
    <t>318690</t>
  </si>
  <si>
    <t>269391</t>
  </si>
  <si>
    <t>UBINPUNNAG8274</t>
  </si>
  <si>
    <t>318711</t>
  </si>
  <si>
    <t>288242</t>
  </si>
  <si>
    <t>UBINPUNNAG8274A</t>
  </si>
  <si>
    <t>318712</t>
  </si>
  <si>
    <t>288254</t>
  </si>
  <si>
    <t>UBINPUNADR9978</t>
  </si>
  <si>
    <t>318728</t>
  </si>
  <si>
    <t>Sangamner, Maharashtra</t>
  </si>
  <si>
    <t>114919</t>
  </si>
  <si>
    <t>UBINVJWARB3857</t>
  </si>
  <si>
    <t>318733</t>
  </si>
  <si>
    <t>288278</t>
  </si>
  <si>
    <t>UBINVJWARB2884</t>
  </si>
  <si>
    <t>318736</t>
  </si>
  <si>
    <t>288279</t>
  </si>
  <si>
    <t>UBINVJWARB4048</t>
  </si>
  <si>
    <t>318739</t>
  </si>
  <si>
    <t>288280</t>
  </si>
  <si>
    <t>UBINVJWARB0660A</t>
  </si>
  <si>
    <t>318750</t>
  </si>
  <si>
    <t>288222</t>
  </si>
  <si>
    <t>UBINVJWARB0660B</t>
  </si>
  <si>
    <t>318753</t>
  </si>
  <si>
    <t>288223</t>
  </si>
  <si>
    <t>UBINCHEMAD8851</t>
  </si>
  <si>
    <t>318769</t>
  </si>
  <si>
    <t>71659</t>
  </si>
  <si>
    <t>UBINCHEMAB1145</t>
  </si>
  <si>
    <t>318772</t>
  </si>
  <si>
    <t>202637</t>
  </si>
  <si>
    <t>UBINCHEMAD1503B</t>
  </si>
  <si>
    <t>318776</t>
  </si>
  <si>
    <t>30338</t>
  </si>
  <si>
    <t>UBINCOIMAD7690</t>
  </si>
  <si>
    <t>318778</t>
  </si>
  <si>
    <t>254792</t>
  </si>
  <si>
    <t>UBINCHEMAD1398B</t>
  </si>
  <si>
    <t>318780</t>
  </si>
  <si>
    <t>Keelamanjakudi, Tamil Nadu</t>
  </si>
  <si>
    <t>51722</t>
  </si>
  <si>
    <t>UBINLUCAYD5956</t>
  </si>
  <si>
    <t>318788</t>
  </si>
  <si>
    <t>277787</t>
  </si>
  <si>
    <t>UBINMUMARB1109</t>
  </si>
  <si>
    <t>318849</t>
  </si>
  <si>
    <t>238819</t>
  </si>
  <si>
    <t>UBINMUMARB6457</t>
  </si>
  <si>
    <t>318858</t>
  </si>
  <si>
    <t>288285</t>
  </si>
  <si>
    <t>UBINCHECHW1296</t>
  </si>
  <si>
    <t>318862</t>
  </si>
  <si>
    <t>Timiri, Tamil Nadu</t>
  </si>
  <si>
    <t>288341</t>
  </si>
  <si>
    <t>UBINCHECHW5563</t>
  </si>
  <si>
    <t>318871</t>
  </si>
  <si>
    <t>Sholingur, Tamil Nadu</t>
  </si>
  <si>
    <t>288339</t>
  </si>
  <si>
    <t>UBINCHECHW8721</t>
  </si>
  <si>
    <t>318883</t>
  </si>
  <si>
    <t>283520</t>
  </si>
  <si>
    <t>UBINvjwarb8677c</t>
  </si>
  <si>
    <t>318884</t>
  </si>
  <si>
    <t>275131</t>
  </si>
  <si>
    <t>UBINvjwarb5331</t>
  </si>
  <si>
    <t>318887</t>
  </si>
  <si>
    <t>280067</t>
  </si>
  <si>
    <t>UBINCHECHW3954</t>
  </si>
  <si>
    <t>318888</t>
  </si>
  <si>
    <t>Tindivanam, Tamil Nadu</t>
  </si>
  <si>
    <t>276333</t>
  </si>
  <si>
    <t>UBINVJWARB1512</t>
  </si>
  <si>
    <t>318890</t>
  </si>
  <si>
    <t>234909</t>
  </si>
  <si>
    <t>UBINVJWMCH7828</t>
  </si>
  <si>
    <t>318892</t>
  </si>
  <si>
    <t>268922</t>
  </si>
  <si>
    <t>UBINVJWARB9555A</t>
  </si>
  <si>
    <t>318894</t>
  </si>
  <si>
    <t>280075</t>
  </si>
  <si>
    <t>UBINVJWARB9555B</t>
  </si>
  <si>
    <t>318898</t>
  </si>
  <si>
    <t>280080</t>
  </si>
  <si>
    <t>UBINVJWARB9555C</t>
  </si>
  <si>
    <t>318899</t>
  </si>
  <si>
    <t>Sattenapalle, Andhra Pradesh</t>
  </si>
  <si>
    <t>280084</t>
  </si>
  <si>
    <t>UBINvjwarb9555d</t>
  </si>
  <si>
    <t>318901</t>
  </si>
  <si>
    <t>280085</t>
  </si>
  <si>
    <t>UBINvjwarb9555e</t>
  </si>
  <si>
    <t>318902</t>
  </si>
  <si>
    <t>280088</t>
  </si>
  <si>
    <t>UBINvjwarb9555f</t>
  </si>
  <si>
    <t>318904</t>
  </si>
  <si>
    <t>280091</t>
  </si>
  <si>
    <t>UBINVJWARB4430</t>
  </si>
  <si>
    <t>318907</t>
  </si>
  <si>
    <t>288297</t>
  </si>
  <si>
    <t>IOBA201610105</t>
  </si>
  <si>
    <t>318794</t>
  </si>
  <si>
    <t>Kahalgaon, Bihar</t>
  </si>
  <si>
    <t>199740</t>
  </si>
  <si>
    <t>BKID291525062026A</t>
  </si>
  <si>
    <t>318914</t>
  </si>
  <si>
    <t>287678</t>
  </si>
  <si>
    <t>CNRB67830068SAA</t>
  </si>
  <si>
    <t>318549</t>
  </si>
  <si>
    <t>240840</t>
  </si>
  <si>
    <t>CNRB67830068SAB</t>
  </si>
  <si>
    <t>318600</t>
  </si>
  <si>
    <t>240841</t>
  </si>
  <si>
    <t>CNRB67830068SAC</t>
  </si>
  <si>
    <t>318613</t>
  </si>
  <si>
    <t>240842</t>
  </si>
  <si>
    <t>CNRB67830068SX</t>
  </si>
  <si>
    <t>318627</t>
  </si>
  <si>
    <t>240835</t>
  </si>
  <si>
    <t>CNRB67830068SY</t>
  </si>
  <si>
    <t>318641</t>
  </si>
  <si>
    <t>240837</t>
  </si>
  <si>
    <t>CBIN2527WASIM01</t>
  </si>
  <si>
    <t>318649</t>
  </si>
  <si>
    <t>Jarhi, Chhattisgarh</t>
  </si>
  <si>
    <t>204183</t>
  </si>
  <si>
    <t>CNRB304655486</t>
  </si>
  <si>
    <t>318812</t>
  </si>
  <si>
    <t>238796</t>
  </si>
  <si>
    <t>CNRB113731938</t>
  </si>
  <si>
    <t>318839</t>
  </si>
  <si>
    <t>279159</t>
  </si>
  <si>
    <t>CNRB259670643</t>
  </si>
  <si>
    <t>318857</t>
  </si>
  <si>
    <t>Bhawanipatna, Odisha</t>
  </si>
  <si>
    <t>253465</t>
  </si>
  <si>
    <t>CNRB232178727</t>
  </si>
  <si>
    <t>318873</t>
  </si>
  <si>
    <t>283548</t>
  </si>
  <si>
    <t>CNRB219910129</t>
  </si>
  <si>
    <t>318885</t>
  </si>
  <si>
    <t>189995</t>
  </si>
  <si>
    <t>CNRB221132855</t>
  </si>
  <si>
    <t>318897</t>
  </si>
  <si>
    <t>Kavisurjyanagar, Odisha</t>
  </si>
  <si>
    <t>190005</t>
  </si>
  <si>
    <t>PUNBU11642824007</t>
  </si>
  <si>
    <t>318535</t>
  </si>
  <si>
    <t>Pandua, West Bengal</t>
  </si>
  <si>
    <t>256400</t>
  </si>
  <si>
    <t>CBIN3824764811</t>
  </si>
  <si>
    <t>318660</t>
  </si>
  <si>
    <t>Baikunthpur, Chhattisgarh</t>
  </si>
  <si>
    <t>243284</t>
  </si>
  <si>
    <t>UCBAhary2146003</t>
  </si>
  <si>
    <t>318725</t>
  </si>
  <si>
    <t>170840</t>
  </si>
  <si>
    <t>UCBA2451002</t>
  </si>
  <si>
    <t>318748</t>
  </si>
  <si>
    <t>Shahbad, Haryana</t>
  </si>
  <si>
    <t>275214</t>
  </si>
  <si>
    <t>CBIN0206106</t>
  </si>
  <si>
    <t>318823</t>
  </si>
  <si>
    <t>183631</t>
  </si>
  <si>
    <t>UCBA0002</t>
  </si>
  <si>
    <t>318516</t>
  </si>
  <si>
    <t>260347</t>
  </si>
  <si>
    <t>PSIB01021300046684</t>
  </si>
  <si>
    <t>318906</t>
  </si>
  <si>
    <t>287052</t>
  </si>
  <si>
    <t>IOBAMITALI0913</t>
  </si>
  <si>
    <t>318569</t>
  </si>
  <si>
    <t>202747</t>
  </si>
  <si>
    <t>IOBA0199BALAJAGAN</t>
  </si>
  <si>
    <t>318579</t>
  </si>
  <si>
    <t>269780</t>
  </si>
  <si>
    <t>IOBAPOON0222</t>
  </si>
  <si>
    <t>318581</t>
  </si>
  <si>
    <t>58728</t>
  </si>
  <si>
    <t>IOBA0162future1</t>
  </si>
  <si>
    <t>318596</t>
  </si>
  <si>
    <t>247990</t>
  </si>
  <si>
    <t>IDIB000BB6351</t>
  </si>
  <si>
    <t>318893</t>
  </si>
  <si>
    <t>Zaidpur, Uttar Pradesh</t>
  </si>
  <si>
    <t>288351</t>
  </si>
  <si>
    <t>IDIB000BB6352</t>
  </si>
  <si>
    <t>318895</t>
  </si>
  <si>
    <t>288350</t>
  </si>
  <si>
    <t>PUNBIZN01142001</t>
  </si>
  <si>
    <t>318502</t>
  </si>
  <si>
    <t>226520</t>
  </si>
  <si>
    <t>PUNBCOSASTRA87</t>
  </si>
  <si>
    <t>318720</t>
  </si>
  <si>
    <t>288262</t>
  </si>
  <si>
    <t>IOBA3571RITADEVI</t>
  </si>
  <si>
    <t>318766</t>
  </si>
  <si>
    <t>Bansgaon, Uttar Pradesh</t>
  </si>
  <si>
    <t>288284</t>
  </si>
  <si>
    <t>SBIN200050657782</t>
  </si>
  <si>
    <t>318777</t>
  </si>
  <si>
    <t>249573</t>
  </si>
  <si>
    <t>IOBA3613DINMAM</t>
  </si>
  <si>
    <t>318784</t>
  </si>
  <si>
    <t>Gopi Ganj, Uttar Pradesh</t>
  </si>
  <si>
    <t>288067</t>
  </si>
  <si>
    <t>IOBA3613DINESH</t>
  </si>
  <si>
    <t>318787</t>
  </si>
  <si>
    <t>288078</t>
  </si>
  <si>
    <t>IOBA3613BAG</t>
  </si>
  <si>
    <t>318803</t>
  </si>
  <si>
    <t>286798</t>
  </si>
  <si>
    <t>IOBA2472SDENT</t>
  </si>
  <si>
    <t>318816</t>
  </si>
  <si>
    <t>Karwi, Uttar Pradesh</t>
  </si>
  <si>
    <t>288116</t>
  </si>
  <si>
    <t>CBIN0manoj2</t>
  </si>
  <si>
    <t>318612</t>
  </si>
  <si>
    <t>287845</t>
  </si>
  <si>
    <t>UCBABHUB0290001</t>
  </si>
  <si>
    <t>318721</t>
  </si>
  <si>
    <t>Puri, Odisha</t>
  </si>
  <si>
    <t>120155</t>
  </si>
  <si>
    <t>CNRB24147299</t>
  </si>
  <si>
    <t>318789</t>
  </si>
  <si>
    <t>AKIVIDU, Andhra Pradesh</t>
  </si>
  <si>
    <t>288306</t>
  </si>
  <si>
    <t>CNRB100001651</t>
  </si>
  <si>
    <t>318800</t>
  </si>
  <si>
    <t>Bhimadole, Andhra Pradesh</t>
  </si>
  <si>
    <t>288323</t>
  </si>
  <si>
    <t>CBIN0190</t>
  </si>
  <si>
    <t>318658</t>
  </si>
  <si>
    <t>288253</t>
  </si>
  <si>
    <t>BARBEGMELAKKI</t>
  </si>
  <si>
    <t>318763</t>
  </si>
  <si>
    <t>287838</t>
  </si>
  <si>
    <t>BARB6041KANCHAN</t>
  </si>
  <si>
    <t>318792</t>
  </si>
  <si>
    <t>Industrial Area Umariya, Madhya Pradesh</t>
  </si>
  <si>
    <t>283236</t>
  </si>
  <si>
    <t>BARB6041MININGEXP</t>
  </si>
  <si>
    <t>318817</t>
  </si>
  <si>
    <t>231204</t>
  </si>
  <si>
    <t>BARBNAFIYA</t>
  </si>
  <si>
    <t>318822</t>
  </si>
  <si>
    <t>287458</t>
  </si>
  <si>
    <t>CBIN0281411001</t>
  </si>
  <si>
    <t>318713</t>
  </si>
  <si>
    <t>Jogendranagar, Tripura</t>
  </si>
  <si>
    <t>185113</t>
  </si>
  <si>
    <t>CBIN0281411002</t>
  </si>
  <si>
    <t>318756</t>
  </si>
  <si>
    <t>185150</t>
  </si>
  <si>
    <t>CNRB3534662000016</t>
  </si>
  <si>
    <t>312486</t>
  </si>
  <si>
    <t>185291</t>
  </si>
  <si>
    <t>CNRB242552904</t>
  </si>
  <si>
    <t>313732</t>
  </si>
  <si>
    <t>286540</t>
  </si>
  <si>
    <t>PUNB0C00162210</t>
  </si>
  <si>
    <t>318562</t>
  </si>
  <si>
    <t>189804</t>
  </si>
  <si>
    <t>IDIB7117729805</t>
  </si>
  <si>
    <t>318771</t>
  </si>
  <si>
    <t>96717</t>
  </si>
  <si>
    <t>PUNB01HBT001406</t>
  </si>
  <si>
    <t>318785</t>
  </si>
  <si>
    <t>213569</t>
  </si>
  <si>
    <t>PUNBO60806672</t>
  </si>
  <si>
    <t>318831</t>
  </si>
  <si>
    <t>288331</t>
  </si>
  <si>
    <t>MAHBLAKSHMISHARMA</t>
  </si>
  <si>
    <t>318565</t>
  </si>
  <si>
    <t>02-07-2026 09:00</t>
  </si>
  <si>
    <t>284674</t>
  </si>
  <si>
    <t>CNRBSIDDH</t>
  </si>
  <si>
    <t>317969</t>
  </si>
  <si>
    <t>271945</t>
  </si>
  <si>
    <t>MAHBALPHO</t>
  </si>
  <si>
    <t>318722</t>
  </si>
  <si>
    <t>252648</t>
  </si>
  <si>
    <t>IDIBCAPT1</t>
  </si>
  <si>
    <t>317398</t>
  </si>
  <si>
    <t>242183</t>
  </si>
  <si>
    <t>PUNB2HN57585210</t>
  </si>
  <si>
    <t>318744</t>
  </si>
  <si>
    <t>Paria, Bihar</t>
  </si>
  <si>
    <t>236168</t>
  </si>
  <si>
    <t>PUNBABA40461483</t>
  </si>
  <si>
    <t>318752</t>
  </si>
  <si>
    <t>179197</t>
  </si>
  <si>
    <t>PUNB1XO54486505</t>
  </si>
  <si>
    <t>318859</t>
  </si>
  <si>
    <t>287215</t>
  </si>
  <si>
    <t>PUNBABA37828721</t>
  </si>
  <si>
    <t>318619</t>
  </si>
  <si>
    <t>180845</t>
  </si>
  <si>
    <t>PUNB0FLF005628</t>
  </si>
  <si>
    <t>318665</t>
  </si>
  <si>
    <t>184185</t>
  </si>
  <si>
    <t>PUNB014590020154</t>
  </si>
  <si>
    <t>318670</t>
  </si>
  <si>
    <t>177952</t>
  </si>
  <si>
    <t>PUNBGURJANT</t>
  </si>
  <si>
    <t>318837</t>
  </si>
  <si>
    <t>280523</t>
  </si>
  <si>
    <t>PUNBHARJINDER</t>
  </si>
  <si>
    <t>318840</t>
  </si>
  <si>
    <t>179161</t>
  </si>
  <si>
    <t>PUNBO34185286</t>
  </si>
  <si>
    <t>318845</t>
  </si>
  <si>
    <t>Satyewala, Punjab</t>
  </si>
  <si>
    <t>179134</t>
  </si>
  <si>
    <t>PUNBAGP009498</t>
  </si>
  <si>
    <t>318847</t>
  </si>
  <si>
    <t>179122</t>
  </si>
  <si>
    <t>PUNBSHAMLAL1</t>
  </si>
  <si>
    <t>318853</t>
  </si>
  <si>
    <t>276183</t>
  </si>
  <si>
    <t>PUNBSUBASH</t>
  </si>
  <si>
    <t>318855</t>
  </si>
  <si>
    <t>179147</t>
  </si>
  <si>
    <t>BARB0VAIBHAV</t>
  </si>
  <si>
    <t>318642</t>
  </si>
  <si>
    <t>224407</t>
  </si>
  <si>
    <t>BARB0AARANIKANNA</t>
  </si>
  <si>
    <t>318458</t>
  </si>
  <si>
    <t>53354</t>
  </si>
  <si>
    <t>BARBBLRC125</t>
  </si>
  <si>
    <t>318632</t>
  </si>
  <si>
    <t>240600</t>
  </si>
  <si>
    <t>BARBORANGEMOBILEPLOT4</t>
  </si>
  <si>
    <t>318935</t>
  </si>
  <si>
    <t>278329</t>
  </si>
  <si>
    <t>BARBORANGEMOBILEPLOT3</t>
  </si>
  <si>
    <t>318936</t>
  </si>
  <si>
    <t>278328</t>
  </si>
  <si>
    <t>BARBORANGEMOBILEPLOT2</t>
  </si>
  <si>
    <t>318937</t>
  </si>
  <si>
    <t>278327</t>
  </si>
  <si>
    <t>BARBORANGEMOBILEPLOT1</t>
  </si>
  <si>
    <t>318938</t>
  </si>
  <si>
    <t>278324</t>
  </si>
  <si>
    <t>IDIB6682727220</t>
  </si>
  <si>
    <t>318876</t>
  </si>
  <si>
    <t>107612</t>
  </si>
  <si>
    <t>CNRB311490760</t>
  </si>
  <si>
    <t>317933</t>
  </si>
  <si>
    <t>240637</t>
  </si>
  <si>
    <t>CNRB68488050</t>
  </si>
  <si>
    <t>317941</t>
  </si>
  <si>
    <t>240795</t>
  </si>
  <si>
    <t>BKID09030000792</t>
  </si>
  <si>
    <t>318868</t>
  </si>
  <si>
    <t>223731</t>
  </si>
  <si>
    <t>BKIDAMBM01</t>
  </si>
  <si>
    <t>318878</t>
  </si>
  <si>
    <t>223179</t>
  </si>
  <si>
    <t>BKIDKASABAB01</t>
  </si>
  <si>
    <t>318886</t>
  </si>
  <si>
    <t>223081</t>
  </si>
  <si>
    <t>BKID09037511822</t>
  </si>
  <si>
    <t>318889</t>
  </si>
  <si>
    <t>252426</t>
  </si>
  <si>
    <t>IBKL98A3363656</t>
  </si>
  <si>
    <t>318296</t>
  </si>
  <si>
    <t>276115</t>
  </si>
  <si>
    <t>SBIN78428860870</t>
  </si>
  <si>
    <t>318692</t>
  </si>
  <si>
    <t>283645</t>
  </si>
  <si>
    <t>BKID000070112</t>
  </si>
  <si>
    <t>318742</t>
  </si>
  <si>
    <t>250557</t>
  </si>
  <si>
    <t>CNRB314242869</t>
  </si>
  <si>
    <t>317928</t>
  </si>
  <si>
    <t>240651</t>
  </si>
  <si>
    <t>SBIN400027382038</t>
  </si>
  <si>
    <t>318238</t>
  </si>
  <si>
    <t>261758</t>
  </si>
  <si>
    <t>CNRBRAMLAKHAN</t>
  </si>
  <si>
    <t>317956</t>
  </si>
  <si>
    <t>248161</t>
  </si>
  <si>
    <t>BARBIN2V11433</t>
  </si>
  <si>
    <t>318597</t>
  </si>
  <si>
    <t>287823</t>
  </si>
  <si>
    <t>CNRB107892947</t>
  </si>
  <si>
    <t>318677</t>
  </si>
  <si>
    <t>14-07-2026 15:00</t>
  </si>
  <si>
    <t>288272</t>
  </si>
  <si>
    <t>UBINHYDARB7377A</t>
  </si>
  <si>
    <t>317377</t>
  </si>
  <si>
    <t>251170</t>
  </si>
  <si>
    <t>UBINHYDARB7377B</t>
  </si>
  <si>
    <t>317384</t>
  </si>
  <si>
    <t>251173</t>
  </si>
  <si>
    <t>UBINVSKRJM6523</t>
  </si>
  <si>
    <t>318253</t>
  </si>
  <si>
    <t>Kathipudi, Andhra Pradesh</t>
  </si>
  <si>
    <t>94864</t>
  </si>
  <si>
    <t>UBINVSKARB3872</t>
  </si>
  <si>
    <t>318258</t>
  </si>
  <si>
    <t>265272</t>
  </si>
  <si>
    <t>UBINPUNARB1623</t>
  </si>
  <si>
    <t>318461</t>
  </si>
  <si>
    <t>95988</t>
  </si>
  <si>
    <t>UBINPUNARB2607B</t>
  </si>
  <si>
    <t>318479</t>
  </si>
  <si>
    <t>108266</t>
  </si>
  <si>
    <t>UBINPUNARB2607C</t>
  </si>
  <si>
    <t>318486</t>
  </si>
  <si>
    <t>108499</t>
  </si>
  <si>
    <t>UBINPUNARB8993A</t>
  </si>
  <si>
    <t>318497</t>
  </si>
  <si>
    <t>236711</t>
  </si>
  <si>
    <t>UBINPUNARB8993B</t>
  </si>
  <si>
    <t>318509</t>
  </si>
  <si>
    <t>236713</t>
  </si>
  <si>
    <t>UBINAHMJUN4712</t>
  </si>
  <si>
    <t>318729</t>
  </si>
  <si>
    <t>285238</t>
  </si>
  <si>
    <t>UBINPUNARB1869</t>
  </si>
  <si>
    <t>318471</t>
  </si>
  <si>
    <t>103401</t>
  </si>
  <si>
    <t>SBIN40078855051</t>
  </si>
  <si>
    <t>318782</t>
  </si>
  <si>
    <t>287084</t>
  </si>
  <si>
    <t>IDIBLUC550B096</t>
  </si>
  <si>
    <t>318882</t>
  </si>
  <si>
    <t>15-07-2026 15:30</t>
  </si>
  <si>
    <t>283050</t>
  </si>
  <si>
    <t>SBIN77460863483</t>
  </si>
  <si>
    <t>318543</t>
  </si>
  <si>
    <t>270551</t>
  </si>
  <si>
    <t>PUNB01288NC880</t>
  </si>
  <si>
    <t>318682</t>
  </si>
  <si>
    <t>177949</t>
  </si>
  <si>
    <t>CNRB112633975</t>
  </si>
  <si>
    <t>318378</t>
  </si>
  <si>
    <t>287134</t>
  </si>
  <si>
    <t>CNRBSUREDRNHLHL</t>
  </si>
  <si>
    <t>315822</t>
  </si>
  <si>
    <t>23-07-2026 10:30</t>
  </si>
  <si>
    <t>23-07-2026 11:30</t>
  </si>
  <si>
    <t>287613</t>
  </si>
  <si>
    <t>IOBA15510102</t>
  </si>
  <si>
    <t>315969</t>
  </si>
  <si>
    <t>23-07-2026 13:30</t>
  </si>
  <si>
    <t>259552</t>
  </si>
  <si>
    <t>IOBA0023SENTHLKUMAR</t>
  </si>
  <si>
    <t>317748</t>
  </si>
  <si>
    <t>Devakottai, Tamil Nadu</t>
  </si>
  <si>
    <t>23-07-2026 11:00</t>
  </si>
  <si>
    <t>23-07-2026 13:00</t>
  </si>
  <si>
    <t>264872</t>
  </si>
  <si>
    <t>IOBA3728PR</t>
  </si>
  <si>
    <t>318338</t>
  </si>
  <si>
    <t>288179</t>
  </si>
  <si>
    <t>IOBA0003728</t>
  </si>
  <si>
    <t>318365</t>
  </si>
  <si>
    <t>288158</t>
  </si>
  <si>
    <t>IOBA1852003</t>
  </si>
  <si>
    <t>318127</t>
  </si>
  <si>
    <t>23-07-2026 14:00</t>
  </si>
  <si>
    <t>288083</t>
  </si>
  <si>
    <t>IOBAGEETHAKESHAV</t>
  </si>
  <si>
    <t>318181</t>
  </si>
  <si>
    <t>Haripad, Kerala</t>
  </si>
  <si>
    <t>288013</t>
  </si>
  <si>
    <t>IOBAFASHION</t>
  </si>
  <si>
    <t>318186</t>
  </si>
  <si>
    <t>288003</t>
  </si>
  <si>
    <t>IOBASYAMAM</t>
  </si>
  <si>
    <t>318269</t>
  </si>
  <si>
    <t>287061</t>
  </si>
  <si>
    <t>IOBA1923RAJKUMAR</t>
  </si>
  <si>
    <t>318037</t>
  </si>
  <si>
    <t>23-07-2026 15:00</t>
  </si>
  <si>
    <t>288056</t>
  </si>
  <si>
    <t>IOBA0207PRIYA</t>
  </si>
  <si>
    <t>318043</t>
  </si>
  <si>
    <t>288065</t>
  </si>
  <si>
    <t>IOBA0382SHARAFAT</t>
  </si>
  <si>
    <t>318053</t>
  </si>
  <si>
    <t>288060</t>
  </si>
  <si>
    <t>IOBA3711ridhinagri</t>
  </si>
  <si>
    <t>318633</t>
  </si>
  <si>
    <t>Nagri, Jharkhand</t>
  </si>
  <si>
    <t>288237</t>
  </si>
  <si>
    <t>IOBASUBHASHSLG</t>
  </si>
  <si>
    <t>318443</t>
  </si>
  <si>
    <t>23-07-2026 16:00</t>
  </si>
  <si>
    <t>288208</t>
  </si>
  <si>
    <t>IOBASFDEBNATH</t>
  </si>
  <si>
    <t>318447</t>
  </si>
  <si>
    <t>288203</t>
  </si>
  <si>
    <t>IOBA1589Kamitjain</t>
  </si>
  <si>
    <t>317750</t>
  </si>
  <si>
    <t>23-07-2026 17:00</t>
  </si>
  <si>
    <t>288043</t>
  </si>
  <si>
    <t>IOBA2100Arorabooks</t>
  </si>
  <si>
    <t>317754</t>
  </si>
  <si>
    <t>288042</t>
  </si>
  <si>
    <t>IOBA1637Gursharan</t>
  </si>
  <si>
    <t>317759</t>
  </si>
  <si>
    <t>Muktsar, Punjab</t>
  </si>
  <si>
    <t>288020</t>
  </si>
  <si>
    <t>IOBA0342Zukient</t>
  </si>
  <si>
    <t>317763</t>
  </si>
  <si>
    <t>288026</t>
  </si>
  <si>
    <t>IDIB7466299215</t>
  </si>
  <si>
    <t>317796</t>
  </si>
  <si>
    <t>288055</t>
  </si>
  <si>
    <t>IOBA1601Vishwakarma3</t>
  </si>
  <si>
    <t>318282</t>
  </si>
  <si>
    <t>288176</t>
  </si>
  <si>
    <t>IOBAARUNRAJ</t>
  </si>
  <si>
    <t>318768</t>
  </si>
  <si>
    <t>274348</t>
  </si>
  <si>
    <t>IOBASUMMAYA</t>
  </si>
  <si>
    <t>318770</t>
  </si>
  <si>
    <t>274477</t>
  </si>
  <si>
    <t>IOBASAJINSAGAR</t>
  </si>
  <si>
    <t>318774</t>
  </si>
  <si>
    <t>280649</t>
  </si>
  <si>
    <t>IOBASINO</t>
  </si>
  <si>
    <t>318802</t>
  </si>
  <si>
    <t>215290</t>
  </si>
  <si>
    <t>IOBAAJI</t>
  </si>
  <si>
    <t>318804</t>
  </si>
  <si>
    <t>267202</t>
  </si>
  <si>
    <t>IOBAMAHESHWAR</t>
  </si>
  <si>
    <t>318814</t>
  </si>
  <si>
    <t>KUNNIKODE, Kerala</t>
  </si>
  <si>
    <t>273708</t>
  </si>
  <si>
    <t>IOBA2080062</t>
  </si>
  <si>
    <t>316743</t>
  </si>
  <si>
    <t>23-07-2026 15:30</t>
  </si>
  <si>
    <t>287791</t>
  </si>
  <si>
    <t>IOBA2080063</t>
  </si>
  <si>
    <t>316747</t>
  </si>
  <si>
    <t>287795</t>
  </si>
  <si>
    <t>IOBA2080064</t>
  </si>
  <si>
    <t>316751</t>
  </si>
  <si>
    <t>287802</t>
  </si>
  <si>
    <t>IOBA2080065</t>
  </si>
  <si>
    <t>316755</t>
  </si>
  <si>
    <t>287803</t>
  </si>
  <si>
    <t>IOBAarindom</t>
  </si>
  <si>
    <t>318637</t>
  </si>
  <si>
    <t>23-07-2026 12:00</t>
  </si>
  <si>
    <t>288200</t>
  </si>
  <si>
    <t>IOBAlivika</t>
  </si>
  <si>
    <t>318663</t>
  </si>
  <si>
    <t>288199</t>
  </si>
  <si>
    <t>IOBAsa</t>
  </si>
  <si>
    <t>318668</t>
  </si>
  <si>
    <t>Duliajan, Assam</t>
  </si>
  <si>
    <t>288191</t>
  </si>
  <si>
    <t>IOBA2307surendra</t>
  </si>
  <si>
    <t>315717</t>
  </si>
  <si>
    <t>Industrial Area Ghiloth, Rajasthan</t>
  </si>
  <si>
    <t>287527</t>
  </si>
  <si>
    <t>IOBA2307rama</t>
  </si>
  <si>
    <t>315722</t>
  </si>
  <si>
    <t>Neemrana, Rajasthan</t>
  </si>
  <si>
    <t>287519</t>
  </si>
  <si>
    <t>BARB61422026354</t>
  </si>
  <si>
    <t>317633</t>
  </si>
  <si>
    <t>23-07-2026 18:00</t>
  </si>
  <si>
    <t>288007</t>
  </si>
  <si>
    <t>BARB61422026355</t>
  </si>
  <si>
    <t>317639</t>
  </si>
  <si>
    <t>288009</t>
  </si>
  <si>
    <t>BARB61422026356</t>
  </si>
  <si>
    <t>317646</t>
  </si>
  <si>
    <t>288012</t>
  </si>
  <si>
    <t>CNRB111139409</t>
  </si>
  <si>
    <t>318570</t>
  </si>
  <si>
    <t>247314</t>
  </si>
  <si>
    <t>CNRB323161353C</t>
  </si>
  <si>
    <t>318578</t>
  </si>
  <si>
    <t>264158</t>
  </si>
  <si>
    <t>CNRB112138655</t>
  </si>
  <si>
    <t>318585</t>
  </si>
  <si>
    <t>274079</t>
  </si>
  <si>
    <t>CNRB307315960</t>
  </si>
  <si>
    <t>318608</t>
  </si>
  <si>
    <t>243263</t>
  </si>
  <si>
    <t>CNRBTRILLION3</t>
  </si>
  <si>
    <t>318630</t>
  </si>
  <si>
    <t>204999</t>
  </si>
  <si>
    <t>PUNB24Y9432285</t>
  </si>
  <si>
    <t>319177</t>
  </si>
  <si>
    <t>Banihal, Jammu &amp; Kashmir</t>
  </si>
  <si>
    <t>224093</t>
  </si>
  <si>
    <t>IBKL137MOHAMEDSHAFICP</t>
  </si>
  <si>
    <t>319096</t>
  </si>
  <si>
    <t>288400</t>
  </si>
  <si>
    <t>PUNB47320024</t>
  </si>
  <si>
    <t>317380</t>
  </si>
  <si>
    <t>183339</t>
  </si>
  <si>
    <t>PUNB47320046</t>
  </si>
  <si>
    <t>317393</t>
  </si>
  <si>
    <t>183340</t>
  </si>
  <si>
    <t>PUNBFIA26087287</t>
  </si>
  <si>
    <t>317594</t>
  </si>
  <si>
    <t>207672</t>
  </si>
  <si>
    <t>PUNB1QQ23255908</t>
  </si>
  <si>
    <t>318944</t>
  </si>
  <si>
    <t>177439</t>
  </si>
  <si>
    <t>PUNB1QQ50045500</t>
  </si>
  <si>
    <t>318948</t>
  </si>
  <si>
    <t>179102</t>
  </si>
  <si>
    <t>PUNBMLC26143057</t>
  </si>
  <si>
    <t>318951</t>
  </si>
  <si>
    <t>276823</t>
  </si>
  <si>
    <t>PUNBMLC25284127</t>
  </si>
  <si>
    <t>318952</t>
  </si>
  <si>
    <t>276535</t>
  </si>
  <si>
    <t>PUNB1RN54048283</t>
  </si>
  <si>
    <t>318956</t>
  </si>
  <si>
    <t>177435</t>
  </si>
  <si>
    <t>PUNBDI457951113</t>
  </si>
  <si>
    <t>318965</t>
  </si>
  <si>
    <t>179096</t>
  </si>
  <si>
    <t>PUNBABA40484692</t>
  </si>
  <si>
    <t>319092</t>
  </si>
  <si>
    <t>Vengathur, Tamil Nadu</t>
  </si>
  <si>
    <t>264868</t>
  </si>
  <si>
    <t>PUNBABA40391775</t>
  </si>
  <si>
    <t>319166</t>
  </si>
  <si>
    <t>Gangajalghati, West Bengal</t>
  </si>
  <si>
    <t>185005</t>
  </si>
  <si>
    <t>CNRBSRIRAMAGENCY</t>
  </si>
  <si>
    <t>316675</t>
  </si>
  <si>
    <t>Balapallam, Tamil Nadu</t>
  </si>
  <si>
    <t>287760</t>
  </si>
  <si>
    <t>IOBA1145ANITA</t>
  </si>
  <si>
    <t>318648</t>
  </si>
  <si>
    <t>288153</t>
  </si>
  <si>
    <t>IOBA2981MOHDSUHAIB</t>
  </si>
  <si>
    <t>318683</t>
  </si>
  <si>
    <t>288141</t>
  </si>
  <si>
    <t>IOBA0580AKTRADING</t>
  </si>
  <si>
    <t>318717</t>
  </si>
  <si>
    <t>288128</t>
  </si>
  <si>
    <t>IOBA0580ARJUNKUMAR</t>
  </si>
  <si>
    <t>318726</t>
  </si>
  <si>
    <t>288111</t>
  </si>
  <si>
    <t>IOBA1533sanjaymansi</t>
  </si>
  <si>
    <t>318735</t>
  </si>
  <si>
    <t>288094</t>
  </si>
  <si>
    <t>IOBAAJAYDISAWARKARISHMA3</t>
  </si>
  <si>
    <t>318757</t>
  </si>
  <si>
    <t>288139</t>
  </si>
  <si>
    <t>IOBAAJAYDISAWAR2</t>
  </si>
  <si>
    <t>318761</t>
  </si>
  <si>
    <t>288130</t>
  </si>
  <si>
    <t>IOBA1063yasfood</t>
  </si>
  <si>
    <t>318852</t>
  </si>
  <si>
    <t>274422</t>
  </si>
  <si>
    <t>CNRB119280265A</t>
  </si>
  <si>
    <t>319141</t>
  </si>
  <si>
    <t>288394</t>
  </si>
  <si>
    <t>CNRB119280265B</t>
  </si>
  <si>
    <t>319150</t>
  </si>
  <si>
    <t>288398</t>
  </si>
  <si>
    <t>CNRB119280265C</t>
  </si>
  <si>
    <t>319155</t>
  </si>
  <si>
    <t>288403</t>
  </si>
  <si>
    <t>PUNBR27372572</t>
  </si>
  <si>
    <t>318751</t>
  </si>
  <si>
    <t>282547</t>
  </si>
  <si>
    <t>CNRB323971146</t>
  </si>
  <si>
    <t>312662</t>
  </si>
  <si>
    <t>286226</t>
  </si>
  <si>
    <t>BARBBLRC124</t>
  </si>
  <si>
    <t>318715</t>
  </si>
  <si>
    <t>240598</t>
  </si>
  <si>
    <t>BARB096020260002</t>
  </si>
  <si>
    <t>318922</t>
  </si>
  <si>
    <t>282404</t>
  </si>
  <si>
    <t>BARB096020260001</t>
  </si>
  <si>
    <t>318923</t>
  </si>
  <si>
    <t>282390</t>
  </si>
  <si>
    <t>BARB076920260005</t>
  </si>
  <si>
    <t>318924</t>
  </si>
  <si>
    <t>Tharial, Punjab</t>
  </si>
  <si>
    <t>280906</t>
  </si>
  <si>
    <t>BARB076920260001</t>
  </si>
  <si>
    <t>318926</t>
  </si>
  <si>
    <t>274907</t>
  </si>
  <si>
    <t>BARB125820260001</t>
  </si>
  <si>
    <t>318929</t>
  </si>
  <si>
    <t>282373</t>
  </si>
  <si>
    <t>CBIN028353015</t>
  </si>
  <si>
    <t>308633</t>
  </si>
  <si>
    <t>260006</t>
  </si>
  <si>
    <t>BARB00ZDU064009</t>
  </si>
  <si>
    <t>317989</t>
  </si>
  <si>
    <t>271519</t>
  </si>
  <si>
    <t>PUNBU50955957REMI</t>
  </si>
  <si>
    <t>306137</t>
  </si>
  <si>
    <t>269181</t>
  </si>
  <si>
    <t>UBINVJWARB9232</t>
  </si>
  <si>
    <t>318865</t>
  </si>
  <si>
    <t>288295</t>
  </si>
  <si>
    <t>UBINVJWARB4916</t>
  </si>
  <si>
    <t>318867</t>
  </si>
  <si>
    <t>236908</t>
  </si>
  <si>
    <t>UBINVJWARB9837</t>
  </si>
  <si>
    <t>318870</t>
  </si>
  <si>
    <t>229742</t>
  </si>
  <si>
    <t>UBINVJWARN8135</t>
  </si>
  <si>
    <t>318874</t>
  </si>
  <si>
    <t>288290</t>
  </si>
  <si>
    <t>PUNBNBC10090578</t>
  </si>
  <si>
    <t>318635</t>
  </si>
  <si>
    <t>VETTATHUR, Kerala</t>
  </si>
  <si>
    <t>273268</t>
  </si>
  <si>
    <t>PUNB0CDALFB3</t>
  </si>
  <si>
    <t>312060</t>
  </si>
  <si>
    <t>286777</t>
  </si>
  <si>
    <t>BARBPANGHL1</t>
  </si>
  <si>
    <t>317995</t>
  </si>
  <si>
    <t>288066</t>
  </si>
  <si>
    <t>UBINVJWARB9274</t>
  </si>
  <si>
    <t>318863</t>
  </si>
  <si>
    <t>288291</t>
  </si>
  <si>
    <t>UBINVJWARB0696</t>
  </si>
  <si>
    <t>318864</t>
  </si>
  <si>
    <t>288294</t>
  </si>
  <si>
    <t>CNRB190720001</t>
  </si>
  <si>
    <t>312651</t>
  </si>
  <si>
    <t>286227</t>
  </si>
  <si>
    <t>PUNBSOUMITRA002</t>
  </si>
  <si>
    <t>318799</t>
  </si>
  <si>
    <t>174403</t>
  </si>
  <si>
    <t>PUNBPRIYAMFURNIT</t>
  </si>
  <si>
    <t>318848</t>
  </si>
  <si>
    <t>174450</t>
  </si>
  <si>
    <t>PUNBMITADEB</t>
  </si>
  <si>
    <t>318854</t>
  </si>
  <si>
    <t>174442</t>
  </si>
  <si>
    <t>IDIBA528BHOLA</t>
  </si>
  <si>
    <t>318957</t>
  </si>
  <si>
    <t>20693</t>
  </si>
  <si>
    <t>BARB61422026353</t>
  </si>
  <si>
    <t>318970</t>
  </si>
  <si>
    <t>288004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</si>
</sst>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09"/>
  <sheetViews>
    <sheetView tabSelected="1" workbookViewId="0">
      <selection activeCell="O3" sqref="O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tr">
        <f>HYPERLINK("https://baanknet.com/view-property/284786/8B27A2FB94403CE8CBFF62F9A00C68EAA42304CAA5431E555E7354740A037C7C", "https://baanknet.com/view-property/284786/8B27A2FB94403CE8CBFF62F9A00C68EAA42304CAA5431E555E7354740A037C7C")</f>
        <v>https://baanknet.com/view-property/284786/8B27A2FB94403CE8CBFF62F9A00C68EAA42304CAA5431E555E7354740A037C7C</v>
      </c>
      <c r="I2" t="str">
        <f>HYPERLINK("https://baanknet.com/view-property/284786/8B27A2FB94403CE8CBFF62F9A00C68EAA42304CAA5431E555E7354740A037C7C", "Open")</f>
        <v>Open</v>
      </c>
      <c r="J2" t="s">
        <v>20</v>
      </c>
      <c r="K2" t="s">
        <v>21</v>
      </c>
      <c r="L2">
        <v>5050000</v>
      </c>
      <c r="M2">
        <v>505000</v>
      </c>
    </row>
    <row r="3" spans="1:13" x14ac:dyDescent="0.25">
      <c r="A3" t="s">
        <v>22</v>
      </c>
      <c r="B3" t="s">
        <v>23</v>
      </c>
      <c r="C3" t="s">
        <v>15</v>
      </c>
      <c r="D3" t="s">
        <v>24</v>
      </c>
      <c r="E3" t="s">
        <v>17</v>
      </c>
      <c r="F3" t="s">
        <v>18</v>
      </c>
      <c r="G3" t="s">
        <v>25</v>
      </c>
      <c r="H3" t="str">
        <f>HYPERLINK("https://baanknet.com/view-property/229731/05570251D91355CFA34B40847D93ECD0E3470F75E7BD0CDC568591BCB07E6023", "https://baanknet.com/view-property/229731/05570251D91355CFA34B40847D93ECD0E3470F75E7BD0CDC568591BCB07E6023")</f>
        <v>https://baanknet.com/view-property/229731/05570251D91355CFA34B40847D93ECD0E3470F75E7BD0CDC568591BCB07E6023</v>
      </c>
      <c r="I3" t="str">
        <f>HYPERLINK("https://baanknet.com/view-property/229731/05570251D91355CFA34B40847D93ECD0E3470F75E7BD0CDC568591BCB07E6023", "Open")</f>
        <v>Open</v>
      </c>
      <c r="J3" t="s">
        <v>20</v>
      </c>
      <c r="K3" t="s">
        <v>21</v>
      </c>
      <c r="L3">
        <v>2900000</v>
      </c>
      <c r="M3">
        <v>290000</v>
      </c>
    </row>
    <row r="4" spans="1:13" x14ac:dyDescent="0.25">
      <c r="A4" t="s">
        <v>26</v>
      </c>
      <c r="B4" t="s">
        <v>27</v>
      </c>
      <c r="C4" t="s">
        <v>15</v>
      </c>
      <c r="D4" t="s">
        <v>28</v>
      </c>
      <c r="E4" t="s">
        <v>17</v>
      </c>
      <c r="F4" t="s">
        <v>18</v>
      </c>
      <c r="G4" t="s">
        <v>29</v>
      </c>
      <c r="H4" t="str">
        <f>HYPERLINK("https://baanknet.com/view-property/201667/903E4F18253B6DD7015BC3E1DB1904E0973D208379728A83E3A21AD63EEF73A4", "https://baanknet.com/view-property/201667/903E4F18253B6DD7015BC3E1DB1904E0973D208379728A83E3A21AD63EEF73A4")</f>
        <v>https://baanknet.com/view-property/201667/903E4F18253B6DD7015BC3E1DB1904E0973D208379728A83E3A21AD63EEF73A4</v>
      </c>
      <c r="I4" t="str">
        <f>HYPERLINK("https://baanknet.com/view-property/201667/903E4F18253B6DD7015BC3E1DB1904E0973D208379728A83E3A21AD63EEF73A4", "Open")</f>
        <v>Open</v>
      </c>
      <c r="J4" t="s">
        <v>20</v>
      </c>
      <c r="K4" t="s">
        <v>21</v>
      </c>
      <c r="L4">
        <v>3882000</v>
      </c>
      <c r="M4">
        <v>388200</v>
      </c>
    </row>
    <row r="5" spans="1:13" x14ac:dyDescent="0.25">
      <c r="A5" t="s">
        <v>30</v>
      </c>
      <c r="B5" t="s">
        <v>31</v>
      </c>
      <c r="C5" t="s">
        <v>15</v>
      </c>
      <c r="D5" t="s">
        <v>32</v>
      </c>
      <c r="E5" t="s">
        <v>17</v>
      </c>
      <c r="F5" t="s">
        <v>18</v>
      </c>
      <c r="G5" t="s">
        <v>33</v>
      </c>
      <c r="H5" t="str">
        <f>HYPERLINK("https://baanknet.com/view-property/240884/1E28B177CEE8484AE57BA1C9B81CCAC555EBDE3CE8DA05DFED3AF654A6F69566", "https://baanknet.com/view-property/240884/1E28B177CEE8484AE57BA1C9B81CCAC555EBDE3CE8DA05DFED3AF654A6F69566")</f>
        <v>https://baanknet.com/view-property/240884/1E28B177CEE8484AE57BA1C9B81CCAC555EBDE3CE8DA05DFED3AF654A6F69566</v>
      </c>
      <c r="I5" t="str">
        <f>HYPERLINK("https://baanknet.com/view-property/240884/1E28B177CEE8484AE57BA1C9B81CCAC555EBDE3CE8DA05DFED3AF654A6F69566", "Open")</f>
        <v>Open</v>
      </c>
      <c r="J5" t="s">
        <v>20</v>
      </c>
      <c r="K5" t="s">
        <v>21</v>
      </c>
      <c r="L5">
        <v>8149800</v>
      </c>
      <c r="M5">
        <v>814980</v>
      </c>
    </row>
    <row r="6" spans="1:13" x14ac:dyDescent="0.25">
      <c r="A6" t="s">
        <v>34</v>
      </c>
      <c r="B6" t="s">
        <v>35</v>
      </c>
      <c r="C6" t="s">
        <v>15</v>
      </c>
      <c r="D6" t="s">
        <v>32</v>
      </c>
      <c r="E6" t="s">
        <v>17</v>
      </c>
      <c r="F6" t="s">
        <v>18</v>
      </c>
      <c r="G6" t="s">
        <v>36</v>
      </c>
      <c r="H6" t="str">
        <f>HYPERLINK("https://baanknet.com/view-property/240891/CC508FC6B5101ADFD91E30466F11DEE9A86455AFE89DB5E1C92855647F83ECD0", "https://baanknet.com/view-property/240891/CC508FC6B5101ADFD91E30466F11DEE9A86455AFE89DB5E1C92855647F83ECD0")</f>
        <v>https://baanknet.com/view-property/240891/CC508FC6B5101ADFD91E30466F11DEE9A86455AFE89DB5E1C92855647F83ECD0</v>
      </c>
      <c r="I6" t="str">
        <f>HYPERLINK("https://baanknet.com/view-property/240891/CC508FC6B5101ADFD91E30466F11DEE9A86455AFE89DB5E1C92855647F83ECD0", "Open")</f>
        <v>Open</v>
      </c>
      <c r="J6" t="s">
        <v>20</v>
      </c>
      <c r="K6" t="s">
        <v>21</v>
      </c>
      <c r="L6">
        <v>6188850</v>
      </c>
      <c r="M6">
        <v>618885</v>
      </c>
    </row>
    <row r="7" spans="1:13" x14ac:dyDescent="0.25">
      <c r="A7" t="s">
        <v>37</v>
      </c>
      <c r="B7" t="s">
        <v>38</v>
      </c>
      <c r="C7" t="s">
        <v>15</v>
      </c>
      <c r="D7" t="s">
        <v>32</v>
      </c>
      <c r="E7" t="s">
        <v>17</v>
      </c>
      <c r="F7" t="s">
        <v>18</v>
      </c>
      <c r="G7" t="s">
        <v>39</v>
      </c>
      <c r="H7" t="str">
        <f>HYPERLINK("https://baanknet.com/view-property/240890/29343464AEDA4EB7A2957D206CA1E7577CE6AEC1C5EF0B76DD4049B5574F5B06", "https://baanknet.com/view-property/240890/29343464AEDA4EB7A2957D206CA1E7577CE6AEC1C5EF0B76DD4049B5574F5B06")</f>
        <v>https://baanknet.com/view-property/240890/29343464AEDA4EB7A2957D206CA1E7577CE6AEC1C5EF0B76DD4049B5574F5B06</v>
      </c>
      <c r="I7" t="str">
        <f>HYPERLINK("https://baanknet.com/view-property/240890/29343464AEDA4EB7A2957D206CA1E7577CE6AEC1C5EF0B76DD4049B5574F5B06", "Open")</f>
        <v>Open</v>
      </c>
      <c r="J7" t="s">
        <v>20</v>
      </c>
      <c r="K7" t="s">
        <v>21</v>
      </c>
      <c r="L7">
        <v>6188850</v>
      </c>
      <c r="M7">
        <v>618885</v>
      </c>
    </row>
    <row r="8" spans="1:13" x14ac:dyDescent="0.25">
      <c r="A8" t="s">
        <v>40</v>
      </c>
      <c r="B8" t="s">
        <v>41</v>
      </c>
      <c r="C8" t="s">
        <v>15</v>
      </c>
      <c r="D8" t="s">
        <v>32</v>
      </c>
      <c r="E8" t="s">
        <v>17</v>
      </c>
      <c r="F8" t="s">
        <v>18</v>
      </c>
      <c r="G8" t="s">
        <v>42</v>
      </c>
      <c r="H8" t="str">
        <f>HYPERLINK("https://baanknet.com/view-property/240883/6BAD84EDC1895B856E3F57E61AB1FED46BDCFD6A7CF0F89D77523ADF3BC65828", "https://baanknet.com/view-property/240883/6BAD84EDC1895B856E3F57E61AB1FED46BDCFD6A7CF0F89D77523ADF3BC65828")</f>
        <v>https://baanknet.com/view-property/240883/6BAD84EDC1895B856E3F57E61AB1FED46BDCFD6A7CF0F89D77523ADF3BC65828</v>
      </c>
      <c r="I8" t="str">
        <f>HYPERLINK("https://baanknet.com/view-property/240883/6BAD84EDC1895B856E3F57E61AB1FED46BDCFD6A7CF0F89D77523ADF3BC65828", "Open")</f>
        <v>Open</v>
      </c>
      <c r="J8" t="s">
        <v>20</v>
      </c>
      <c r="K8" t="s">
        <v>21</v>
      </c>
      <c r="L8">
        <v>8149800</v>
      </c>
      <c r="M8">
        <v>814980</v>
      </c>
    </row>
    <row r="9" spans="1:13" x14ac:dyDescent="0.25">
      <c r="A9" t="s">
        <v>43</v>
      </c>
      <c r="B9" t="s">
        <v>44</v>
      </c>
      <c r="C9" t="s">
        <v>15</v>
      </c>
      <c r="D9" t="s">
        <v>32</v>
      </c>
      <c r="E9" t="s">
        <v>17</v>
      </c>
      <c r="F9" t="s">
        <v>18</v>
      </c>
      <c r="G9" t="s">
        <v>45</v>
      </c>
      <c r="H9" t="str">
        <f>HYPERLINK("https://baanknet.com/view-property/240892/9C0F397AA883A22942CBB734506E714FF028AF660C7B14AEC12EEC0CFBC220C9", "https://baanknet.com/view-property/240892/9C0F397AA883A22942CBB734506E714FF028AF660C7B14AEC12EEC0CFBC220C9")</f>
        <v>https://baanknet.com/view-property/240892/9C0F397AA883A22942CBB734506E714FF028AF660C7B14AEC12EEC0CFBC220C9</v>
      </c>
      <c r="I9" t="str">
        <f>HYPERLINK("https://baanknet.com/view-property/240892/9C0F397AA883A22942CBB734506E714FF028AF660C7B14AEC12EEC0CFBC220C9", "Open")</f>
        <v>Open</v>
      </c>
      <c r="J9" t="s">
        <v>20</v>
      </c>
      <c r="K9" t="s">
        <v>21</v>
      </c>
      <c r="L9">
        <v>6876500</v>
      </c>
      <c r="M9">
        <v>687650</v>
      </c>
    </row>
    <row r="10" spans="1:13" x14ac:dyDescent="0.25">
      <c r="A10" t="s">
        <v>46</v>
      </c>
      <c r="B10" t="s">
        <v>47</v>
      </c>
      <c r="C10" t="s">
        <v>15</v>
      </c>
      <c r="D10" t="s">
        <v>48</v>
      </c>
      <c r="E10" t="s">
        <v>17</v>
      </c>
      <c r="F10" t="s">
        <v>18</v>
      </c>
      <c r="G10" t="s">
        <v>49</v>
      </c>
      <c r="H10" t="str">
        <f>HYPERLINK("https://baanknet.com/view-property/225225/1FC0969EF9A50BCA0AD98CDE5461EA502A9E896E75C148A5DF7EE986C8E77609", "https://baanknet.com/view-property/225225/1FC0969EF9A50BCA0AD98CDE5461EA502A9E896E75C148A5DF7EE986C8E77609")</f>
        <v>https://baanknet.com/view-property/225225/1FC0969EF9A50BCA0AD98CDE5461EA502A9E896E75C148A5DF7EE986C8E77609</v>
      </c>
      <c r="I10" t="str">
        <f>HYPERLINK("https://baanknet.com/view-property/225225/1FC0969EF9A50BCA0AD98CDE5461EA502A9E896E75C148A5DF7EE986C8E77609", "Open")</f>
        <v>Open</v>
      </c>
      <c r="J10" t="s">
        <v>20</v>
      </c>
      <c r="K10" t="s">
        <v>21</v>
      </c>
      <c r="L10">
        <v>2050000</v>
      </c>
      <c r="M10">
        <v>205000</v>
      </c>
    </row>
    <row r="11" spans="1:13" x14ac:dyDescent="0.25">
      <c r="A11" t="s">
        <v>50</v>
      </c>
      <c r="B11" t="s">
        <v>51</v>
      </c>
      <c r="C11" t="s">
        <v>15</v>
      </c>
      <c r="D11" t="s">
        <v>52</v>
      </c>
      <c r="E11" t="s">
        <v>17</v>
      </c>
      <c r="F11" t="s">
        <v>18</v>
      </c>
      <c r="G11" t="s">
        <v>53</v>
      </c>
      <c r="H11" t="str">
        <f>HYPERLINK("https://baanknet.com/view-property/206340/97B5B7BE0F5F339F0B42430A1C5DAB7915B2E301BEC150C513E3018760092B7D", "https://baanknet.com/view-property/206340/97B5B7BE0F5F339F0B42430A1C5DAB7915B2E301BEC150C513E3018760092B7D")</f>
        <v>https://baanknet.com/view-property/206340/97B5B7BE0F5F339F0B42430A1C5DAB7915B2E301BEC150C513E3018760092B7D</v>
      </c>
      <c r="I11" t="str">
        <f>HYPERLINK("https://baanknet.com/view-property/206340/97B5B7BE0F5F339F0B42430A1C5DAB7915B2E301BEC150C513E3018760092B7D", "Open")</f>
        <v>Open</v>
      </c>
      <c r="J11" t="s">
        <v>20</v>
      </c>
      <c r="K11" t="s">
        <v>21</v>
      </c>
      <c r="L11">
        <v>1650000</v>
      </c>
      <c r="M11">
        <v>165000</v>
      </c>
    </row>
    <row r="12" spans="1:13" x14ac:dyDescent="0.25">
      <c r="A12" t="s">
        <v>54</v>
      </c>
      <c r="B12" t="s">
        <v>55</v>
      </c>
      <c r="C12" t="s">
        <v>15</v>
      </c>
      <c r="D12" t="s">
        <v>56</v>
      </c>
      <c r="E12" t="s">
        <v>17</v>
      </c>
      <c r="F12" t="s">
        <v>18</v>
      </c>
      <c r="G12" t="s">
        <v>57</v>
      </c>
      <c r="H12" t="str">
        <f>HYPERLINK("https://baanknet.com/view-property/205619/571E2492B3E1C60D186C9CF99A007C4A5C761E6742EB934C1C62FF516EECA886", "https://baanknet.com/view-property/205619/571E2492B3E1C60D186C9CF99A007C4A5C761E6742EB934C1C62FF516EECA886")</f>
        <v>https://baanknet.com/view-property/205619/571E2492B3E1C60D186C9CF99A007C4A5C761E6742EB934C1C62FF516EECA886</v>
      </c>
      <c r="I12" t="str">
        <f>HYPERLINK("https://baanknet.com/view-property/205619/571E2492B3E1C60D186C9CF99A007C4A5C761E6742EB934C1C62FF516EECA886", "Open")</f>
        <v>Open</v>
      </c>
      <c r="J12" t="s">
        <v>20</v>
      </c>
      <c r="K12" t="s">
        <v>21</v>
      </c>
      <c r="L12">
        <v>1180000</v>
      </c>
      <c r="M12">
        <v>118000</v>
      </c>
    </row>
    <row r="13" spans="1:13" x14ac:dyDescent="0.25">
      <c r="A13" t="s">
        <v>58</v>
      </c>
      <c r="B13" t="s">
        <v>59</v>
      </c>
      <c r="C13" t="s">
        <v>15</v>
      </c>
      <c r="D13" t="s">
        <v>60</v>
      </c>
      <c r="E13" t="s">
        <v>17</v>
      </c>
      <c r="F13" t="s">
        <v>18</v>
      </c>
      <c r="G13" t="s">
        <v>61</v>
      </c>
      <c r="H13" t="str">
        <f>HYPERLINK("https://baanknet.com/view-property/243291/10DAE312DFDE0FD4332D3851981DB2E1A6F42ECE0E829F961850E6B90BB6754A", "https://baanknet.com/view-property/243291/10DAE312DFDE0FD4332D3851981DB2E1A6F42ECE0E829F961850E6B90BB6754A")</f>
        <v>https://baanknet.com/view-property/243291/10DAE312DFDE0FD4332D3851981DB2E1A6F42ECE0E829F961850E6B90BB6754A</v>
      </c>
      <c r="I13" t="str">
        <f>HYPERLINK("https://baanknet.com/view-property/243291/10DAE312DFDE0FD4332D3851981DB2E1A6F42ECE0E829F961850E6B90BB6754A", "Open")</f>
        <v>Open</v>
      </c>
      <c r="J13" t="s">
        <v>20</v>
      </c>
      <c r="K13" t="s">
        <v>21</v>
      </c>
      <c r="L13">
        <v>660000</v>
      </c>
      <c r="M13">
        <v>66000</v>
      </c>
    </row>
    <row r="14" spans="1:13" x14ac:dyDescent="0.25">
      <c r="A14" t="s">
        <v>62</v>
      </c>
      <c r="B14" t="s">
        <v>63</v>
      </c>
      <c r="C14" t="s">
        <v>15</v>
      </c>
      <c r="D14" t="s">
        <v>64</v>
      </c>
      <c r="E14" t="s">
        <v>17</v>
      </c>
      <c r="F14" t="s">
        <v>18</v>
      </c>
      <c r="G14" t="s">
        <v>65</v>
      </c>
      <c r="H14" t="str">
        <f>HYPERLINK("https://baanknet.com/view-property/245587/AE2DCC971C47EA2B5E5A55EB6C94C5571412D684CD15E29FE9BB7975D56CCB72", "https://baanknet.com/view-property/245587/AE2DCC971C47EA2B5E5A55EB6C94C5571412D684CD15E29FE9BB7975D56CCB72")</f>
        <v>https://baanknet.com/view-property/245587/AE2DCC971C47EA2B5E5A55EB6C94C5571412D684CD15E29FE9BB7975D56CCB72</v>
      </c>
      <c r="I14" t="str">
        <f>HYPERLINK("https://baanknet.com/view-property/245587/AE2DCC971C47EA2B5E5A55EB6C94C5571412D684CD15E29FE9BB7975D56CCB72", "Open")</f>
        <v>Open</v>
      </c>
      <c r="J14" t="s">
        <v>20</v>
      </c>
      <c r="K14" t="s">
        <v>21</v>
      </c>
      <c r="L14">
        <v>4310000</v>
      </c>
      <c r="M14">
        <v>431000</v>
      </c>
    </row>
    <row r="15" spans="1:13" x14ac:dyDescent="0.25">
      <c r="A15" t="s">
        <v>66</v>
      </c>
      <c r="B15" t="s">
        <v>67</v>
      </c>
      <c r="C15" t="s">
        <v>15</v>
      </c>
      <c r="D15" t="s">
        <v>68</v>
      </c>
      <c r="E15" t="s">
        <v>17</v>
      </c>
      <c r="F15" t="s">
        <v>18</v>
      </c>
      <c r="G15" t="s">
        <v>69</v>
      </c>
      <c r="H15" t="str">
        <f>HYPERLINK("https://baanknet.com/view-property/247112/0E7C2419C035BBC170D4E3480F00A32F86FFFF9368243C1050E3E65F71698AA5", "https://baanknet.com/view-property/247112/0E7C2419C035BBC170D4E3480F00A32F86FFFF9368243C1050E3E65F71698AA5")</f>
        <v>https://baanknet.com/view-property/247112/0E7C2419C035BBC170D4E3480F00A32F86FFFF9368243C1050E3E65F71698AA5</v>
      </c>
      <c r="I15" t="str">
        <f>HYPERLINK("https://baanknet.com/view-property/247112/0E7C2419C035BBC170D4E3480F00A32F86FFFF9368243C1050E3E65F71698AA5", "Open")</f>
        <v>Open</v>
      </c>
      <c r="J15" t="s">
        <v>20</v>
      </c>
      <c r="K15" t="s">
        <v>21</v>
      </c>
      <c r="L15">
        <v>1520000</v>
      </c>
      <c r="M15">
        <v>152000</v>
      </c>
    </row>
    <row r="16" spans="1:13" x14ac:dyDescent="0.25">
      <c r="A16" t="s">
        <v>70</v>
      </c>
      <c r="B16" t="s">
        <v>71</v>
      </c>
      <c r="C16" t="s">
        <v>15</v>
      </c>
      <c r="D16" t="s">
        <v>72</v>
      </c>
      <c r="E16" t="s">
        <v>17</v>
      </c>
      <c r="F16" t="s">
        <v>18</v>
      </c>
      <c r="G16" t="s">
        <v>73</v>
      </c>
      <c r="H16" t="str">
        <f>HYPERLINK("https://baanknet.com/view-property/247125/99EF1A986DFAEBC0228A5C1B88009234933F45BFC425CDEF7A4CC658705A3926", "https://baanknet.com/view-property/247125/99EF1A986DFAEBC0228A5C1B88009234933F45BFC425CDEF7A4CC658705A3926")</f>
        <v>https://baanknet.com/view-property/247125/99EF1A986DFAEBC0228A5C1B88009234933F45BFC425CDEF7A4CC658705A3926</v>
      </c>
      <c r="I16" t="str">
        <f>HYPERLINK("https://baanknet.com/view-property/247125/99EF1A986DFAEBC0228A5C1B88009234933F45BFC425CDEF7A4CC658705A3926", "Open")</f>
        <v>Open</v>
      </c>
      <c r="J16" t="s">
        <v>20</v>
      </c>
      <c r="K16" t="s">
        <v>21</v>
      </c>
      <c r="L16">
        <v>3810000</v>
      </c>
      <c r="M16">
        <v>381000</v>
      </c>
    </row>
    <row r="17" spans="1:13" x14ac:dyDescent="0.25">
      <c r="A17" t="s">
        <v>74</v>
      </c>
      <c r="B17" t="s">
        <v>75</v>
      </c>
      <c r="C17" t="s">
        <v>15</v>
      </c>
      <c r="D17" t="s">
        <v>76</v>
      </c>
      <c r="E17" t="s">
        <v>77</v>
      </c>
      <c r="F17" t="s">
        <v>78</v>
      </c>
      <c r="G17" t="s">
        <v>79</v>
      </c>
      <c r="H17" t="str">
        <f>HYPERLINK("https://baanknet.com/view-property/212957/456BBA5144AB75713A198866048D2D3F439F71769D52EAD6AA89FA1D9981C10C", "https://baanknet.com/view-property/212957/456BBA5144AB75713A198866048D2D3F439F71769D52EAD6AA89FA1D9981C10C")</f>
        <v>https://baanknet.com/view-property/212957/456BBA5144AB75713A198866048D2D3F439F71769D52EAD6AA89FA1D9981C10C</v>
      </c>
      <c r="I17" t="str">
        <f>HYPERLINK("https://baanknet.com/view-property/212957/456BBA5144AB75713A198866048D2D3F439F71769D52EAD6AA89FA1D9981C10C", "Open")</f>
        <v>Open</v>
      </c>
      <c r="J17" t="s">
        <v>20</v>
      </c>
      <c r="K17" t="s">
        <v>80</v>
      </c>
      <c r="L17">
        <v>365000</v>
      </c>
      <c r="M17">
        <v>36500</v>
      </c>
    </row>
    <row r="18" spans="1:13" x14ac:dyDescent="0.2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  <c r="H18" t="str">
        <f>HYPERLINK("https://baanknet.com/view-property/285128/CBEEE9FE393AD111EB6F806861F60AE0DE0D52BB64A2E357791E4B3B0F4329FA", "https://baanknet.com/view-property/285128/CBEEE9FE393AD111EB6F806861F60AE0DE0D52BB64A2E357791E4B3B0F4329FA")</f>
        <v>https://baanknet.com/view-property/285128/CBEEE9FE393AD111EB6F806861F60AE0DE0D52BB64A2E357791E4B3B0F4329FA</v>
      </c>
      <c r="I18" t="str">
        <f>HYPERLINK("https://baanknet.com/view-property/285128/CBEEE9FE393AD111EB6F806861F60AE0DE0D52BB64A2E357791E4B3B0F4329FA", "Open")</f>
        <v>Open</v>
      </c>
      <c r="J18" t="s">
        <v>20</v>
      </c>
      <c r="K18" t="s">
        <v>80</v>
      </c>
      <c r="L18">
        <v>11328000</v>
      </c>
      <c r="M18">
        <v>1132800</v>
      </c>
    </row>
    <row r="19" spans="1:13" x14ac:dyDescent="0.25">
      <c r="A19" t="s">
        <v>88</v>
      </c>
      <c r="B19" t="s">
        <v>89</v>
      </c>
      <c r="C19" t="s">
        <v>15</v>
      </c>
      <c r="D19" t="s">
        <v>90</v>
      </c>
      <c r="E19" t="s">
        <v>85</v>
      </c>
      <c r="F19" t="s">
        <v>86</v>
      </c>
      <c r="G19" t="s">
        <v>91</v>
      </c>
      <c r="H19" t="str">
        <f>HYPERLINK("https://baanknet.com/view-property/219665/04DEA150CDADCA829C8819A32C44396E1212365B180AE9DFE3C6FFC60D407DC0", "https://baanknet.com/view-property/219665/04DEA150CDADCA829C8819A32C44396E1212365B180AE9DFE3C6FFC60D407DC0")</f>
        <v>https://baanknet.com/view-property/219665/04DEA150CDADCA829C8819A32C44396E1212365B180AE9DFE3C6FFC60D407DC0</v>
      </c>
      <c r="I19" t="str">
        <f>HYPERLINK("https://baanknet.com/view-property/219665/04DEA150CDADCA829C8819A32C44396E1212365B180AE9DFE3C6FFC60D407DC0", "Open")</f>
        <v>Open</v>
      </c>
      <c r="J19" t="s">
        <v>20</v>
      </c>
      <c r="K19" t="s">
        <v>80</v>
      </c>
      <c r="L19">
        <v>4203000</v>
      </c>
      <c r="M19">
        <v>420300</v>
      </c>
    </row>
    <row r="20" spans="1:13" x14ac:dyDescent="0.25">
      <c r="A20" t="s">
        <v>92</v>
      </c>
      <c r="B20" t="s">
        <v>93</v>
      </c>
      <c r="C20" t="s">
        <v>15</v>
      </c>
      <c r="D20" t="s">
        <v>94</v>
      </c>
      <c r="E20" t="s">
        <v>17</v>
      </c>
      <c r="F20" t="s">
        <v>18</v>
      </c>
      <c r="G20" t="s">
        <v>95</v>
      </c>
      <c r="H20" t="str">
        <f>HYPERLINK("https://baanknet.com/view-property/247106/46C90E32786FD55C815C41FA128B79ADBE3E87C81F91BD85DF7E38BF6787BAE5", "https://baanknet.com/view-property/247106/46C90E32786FD55C815C41FA128B79ADBE3E87C81F91BD85DF7E38BF6787BAE5")</f>
        <v>https://baanknet.com/view-property/247106/46C90E32786FD55C815C41FA128B79ADBE3E87C81F91BD85DF7E38BF6787BAE5</v>
      </c>
      <c r="I20" t="str">
        <f>HYPERLINK("https://baanknet.com/view-property/247106/46C90E32786FD55C815C41FA128B79ADBE3E87C81F91BD85DF7E38BF6787BAE5", "Open")</f>
        <v>Open</v>
      </c>
      <c r="J20" t="s">
        <v>20</v>
      </c>
      <c r="K20" t="s">
        <v>21</v>
      </c>
      <c r="L20">
        <v>1100000</v>
      </c>
      <c r="M20">
        <v>110000</v>
      </c>
    </row>
    <row r="21" spans="1:13" x14ac:dyDescent="0.25">
      <c r="A21" t="s">
        <v>96</v>
      </c>
      <c r="B21" t="s">
        <v>97</v>
      </c>
      <c r="C21" t="s">
        <v>15</v>
      </c>
      <c r="D21" t="s">
        <v>98</v>
      </c>
      <c r="E21" t="s">
        <v>17</v>
      </c>
      <c r="F21" t="s">
        <v>18</v>
      </c>
      <c r="G21" t="s">
        <v>99</v>
      </c>
      <c r="H21" t="str">
        <f>HYPERLINK("https://baanknet.com/view-property/245613/377DA627B478DD59C4D57F7638A8E7F5CE185E66BC84FA327105B73EDB6A5D34", "https://baanknet.com/view-property/245613/377DA627B478DD59C4D57F7638A8E7F5CE185E66BC84FA327105B73EDB6A5D34")</f>
        <v>https://baanknet.com/view-property/245613/377DA627B478DD59C4D57F7638A8E7F5CE185E66BC84FA327105B73EDB6A5D34</v>
      </c>
      <c r="I21" t="str">
        <f>HYPERLINK("https://baanknet.com/view-property/245613/377DA627B478DD59C4D57F7638A8E7F5CE185E66BC84FA327105B73EDB6A5D34", "Open")</f>
        <v>Open</v>
      </c>
      <c r="J21" t="s">
        <v>20</v>
      </c>
      <c r="K21" t="s">
        <v>21</v>
      </c>
      <c r="L21">
        <v>2803000</v>
      </c>
      <c r="M21">
        <v>280300</v>
      </c>
    </row>
    <row r="22" spans="1:13" x14ac:dyDescent="0.25">
      <c r="A22" t="s">
        <v>100</v>
      </c>
      <c r="B22" t="s">
        <v>101</v>
      </c>
      <c r="C22" t="s">
        <v>15</v>
      </c>
      <c r="D22" t="s">
        <v>102</v>
      </c>
      <c r="E22" t="s">
        <v>17</v>
      </c>
      <c r="F22" t="s">
        <v>18</v>
      </c>
      <c r="G22" t="s">
        <v>103</v>
      </c>
      <c r="H22" t="str">
        <f>HYPERLINK("https://baanknet.com/view-property/263157/519D230E9AE13287B881D2FEFD56988AAA4788C0EA314D8988D6D07000454D8A", "https://baanknet.com/view-property/263157/519D230E9AE13287B881D2FEFD56988AAA4788C0EA314D8988D6D07000454D8A")</f>
        <v>https://baanknet.com/view-property/263157/519D230E9AE13287B881D2FEFD56988AAA4788C0EA314D8988D6D07000454D8A</v>
      </c>
      <c r="I22" t="str">
        <f>HYPERLINK("https://baanknet.com/view-property/263157/519D230E9AE13287B881D2FEFD56988AAA4788C0EA314D8988D6D07000454D8A", "Open")</f>
        <v>Open</v>
      </c>
      <c r="J22" t="s">
        <v>20</v>
      </c>
      <c r="K22" t="s">
        <v>21</v>
      </c>
      <c r="L22">
        <v>1150000</v>
      </c>
      <c r="M22">
        <v>115000</v>
      </c>
    </row>
    <row r="23" spans="1:13" x14ac:dyDescent="0.25">
      <c r="A23" t="s">
        <v>104</v>
      </c>
      <c r="B23" t="s">
        <v>105</v>
      </c>
      <c r="C23" t="s">
        <v>15</v>
      </c>
      <c r="D23" t="s">
        <v>102</v>
      </c>
      <c r="E23" t="s">
        <v>17</v>
      </c>
      <c r="F23" t="s">
        <v>18</v>
      </c>
      <c r="G23" t="s">
        <v>106</v>
      </c>
      <c r="H23" t="str">
        <f>HYPERLINK("https://baanknet.com/view-property/256360/6A0D074592ECDE8FCA9298C6BC71C4EF25AA3BA22848D85A87E554DEF6D4E968", "https://baanknet.com/view-property/256360/6A0D074592ECDE8FCA9298C6BC71C4EF25AA3BA22848D85A87E554DEF6D4E968")</f>
        <v>https://baanknet.com/view-property/256360/6A0D074592ECDE8FCA9298C6BC71C4EF25AA3BA22848D85A87E554DEF6D4E968</v>
      </c>
      <c r="I23" t="str">
        <f>HYPERLINK("https://baanknet.com/view-property/256360/6A0D074592ECDE8FCA9298C6BC71C4EF25AA3BA22848D85A87E554DEF6D4E968", "Open")</f>
        <v>Open</v>
      </c>
      <c r="J23" t="s">
        <v>20</v>
      </c>
      <c r="K23" t="s">
        <v>21</v>
      </c>
      <c r="L23">
        <v>985000</v>
      </c>
      <c r="M23">
        <v>98500</v>
      </c>
    </row>
    <row r="24" spans="1:13" x14ac:dyDescent="0.25">
      <c r="A24" t="s">
        <v>107</v>
      </c>
      <c r="B24" t="s">
        <v>108</v>
      </c>
      <c r="C24" t="s">
        <v>15</v>
      </c>
      <c r="D24" t="s">
        <v>109</v>
      </c>
      <c r="E24" t="s">
        <v>17</v>
      </c>
      <c r="F24" t="s">
        <v>18</v>
      </c>
      <c r="G24" t="s">
        <v>110</v>
      </c>
      <c r="H24" t="str">
        <f>HYPERLINK("https://baanknet.com/view-property/257926/8A761E82057E486EA0EC7EDF48DE41098CFB533B43EA6E49B22539D15C71B42C", "https://baanknet.com/view-property/257926/8A761E82057E486EA0EC7EDF48DE41098CFB533B43EA6E49B22539D15C71B42C")</f>
        <v>https://baanknet.com/view-property/257926/8A761E82057E486EA0EC7EDF48DE41098CFB533B43EA6E49B22539D15C71B42C</v>
      </c>
      <c r="I24" t="str">
        <f>HYPERLINK("https://baanknet.com/view-property/257926/8A761E82057E486EA0EC7EDF48DE41098CFB533B43EA6E49B22539D15C71B42C", "Open")</f>
        <v>Open</v>
      </c>
      <c r="J24" t="s">
        <v>20</v>
      </c>
      <c r="K24" t="s">
        <v>21</v>
      </c>
      <c r="L24">
        <v>1588000</v>
      </c>
      <c r="M24">
        <v>158800</v>
      </c>
    </row>
    <row r="25" spans="1:13" x14ac:dyDescent="0.25">
      <c r="A25" t="s">
        <v>111</v>
      </c>
      <c r="B25" t="s">
        <v>112</v>
      </c>
      <c r="C25" t="s">
        <v>15</v>
      </c>
      <c r="D25" t="s">
        <v>113</v>
      </c>
      <c r="E25" t="s">
        <v>17</v>
      </c>
      <c r="F25" t="s">
        <v>18</v>
      </c>
      <c r="G25" t="s">
        <v>114</v>
      </c>
      <c r="H25" t="str">
        <f>HYPERLINK("https://baanknet.com/view-property/281842/9928DA6C50FE9BF5664C1CD1C4E370B14CBE92DF80EABB1E589AE0A2F4550D6E", "https://baanknet.com/view-property/281842/9928DA6C50FE9BF5664C1CD1C4E370B14CBE92DF80EABB1E589AE0A2F4550D6E")</f>
        <v>https://baanknet.com/view-property/281842/9928DA6C50FE9BF5664C1CD1C4E370B14CBE92DF80EABB1E589AE0A2F4550D6E</v>
      </c>
      <c r="I25" t="str">
        <f>HYPERLINK("https://baanknet.com/view-property/281842/9928DA6C50FE9BF5664C1CD1C4E370B14CBE92DF80EABB1E589AE0A2F4550D6E", "Open")</f>
        <v>Open</v>
      </c>
      <c r="J25" t="s">
        <v>20</v>
      </c>
      <c r="K25" t="s">
        <v>21</v>
      </c>
      <c r="L25">
        <v>7169000</v>
      </c>
      <c r="M25">
        <v>716900</v>
      </c>
    </row>
    <row r="26" spans="1:13" x14ac:dyDescent="0.25">
      <c r="A26" t="s">
        <v>115</v>
      </c>
      <c r="B26" t="s">
        <v>116</v>
      </c>
      <c r="C26" t="s">
        <v>15</v>
      </c>
      <c r="D26" t="s">
        <v>117</v>
      </c>
      <c r="E26" t="s">
        <v>17</v>
      </c>
      <c r="F26" t="s">
        <v>18</v>
      </c>
      <c r="G26" t="s">
        <v>118</v>
      </c>
      <c r="H26" t="str">
        <f>HYPERLINK("https://baanknet.com/view-property/281840/F4DA3FC7AFB01FD969A148D139EC45D920832D615E1DFF0DD4D76A7C5138210E", "https://baanknet.com/view-property/281840/F4DA3FC7AFB01FD969A148D139EC45D920832D615E1DFF0DD4D76A7C5138210E")</f>
        <v>https://baanknet.com/view-property/281840/F4DA3FC7AFB01FD969A148D139EC45D920832D615E1DFF0DD4D76A7C5138210E</v>
      </c>
      <c r="I26" t="str">
        <f>HYPERLINK("https://baanknet.com/view-property/281840/F4DA3FC7AFB01FD969A148D139EC45D920832D615E1DFF0DD4D76A7C5138210E", "Open")</f>
        <v>Open</v>
      </c>
      <c r="J26" t="s">
        <v>20</v>
      </c>
      <c r="K26" t="s">
        <v>21</v>
      </c>
      <c r="L26">
        <v>7285000</v>
      </c>
      <c r="M26">
        <v>728500</v>
      </c>
    </row>
    <row r="27" spans="1:13" x14ac:dyDescent="0.25">
      <c r="A27" t="s">
        <v>119</v>
      </c>
      <c r="B27" t="s">
        <v>120</v>
      </c>
      <c r="C27" t="s">
        <v>121</v>
      </c>
      <c r="D27" t="s">
        <v>122</v>
      </c>
      <c r="E27" t="s">
        <v>17</v>
      </c>
      <c r="F27" t="s">
        <v>123</v>
      </c>
      <c r="G27" t="s">
        <v>124</v>
      </c>
      <c r="H27" t="str">
        <f>HYPERLINK("https://baanknet.com/view-property/284902/D1E5843323F20FC905695EC2D89877E946670757721B9F144C0E5BB0F2749732", "https://baanknet.com/view-property/284902/D1E5843323F20FC905695EC2D89877E946670757721B9F144C0E5BB0F2749732")</f>
        <v>https://baanknet.com/view-property/284902/D1E5843323F20FC905695EC2D89877E946670757721B9F144C0E5BB0F2749732</v>
      </c>
      <c r="I27" t="str">
        <f>HYPERLINK("https://baanknet.com/view-property/284902/D1E5843323F20FC905695EC2D89877E946670757721B9F144C0E5BB0F2749732", "Open")</f>
        <v>Open</v>
      </c>
      <c r="J27" t="s">
        <v>20</v>
      </c>
      <c r="K27" t="s">
        <v>21</v>
      </c>
      <c r="L27">
        <v>3635000</v>
      </c>
      <c r="M27">
        <v>363500</v>
      </c>
    </row>
    <row r="28" spans="1:13" x14ac:dyDescent="0.25">
      <c r="A28" t="s">
        <v>125</v>
      </c>
      <c r="B28" t="s">
        <v>126</v>
      </c>
      <c r="C28" t="s">
        <v>15</v>
      </c>
      <c r="D28" t="s">
        <v>127</v>
      </c>
      <c r="E28" t="s">
        <v>128</v>
      </c>
      <c r="F28" t="s">
        <v>86</v>
      </c>
      <c r="G28" t="s">
        <v>129</v>
      </c>
      <c r="H28" t="str">
        <f>HYPERLINK("https://baanknet.com/view-property/233288/2F95D005D65E7CE415D42E6E6055B165F269F0D0E2B21D3F524191DE3DD37226", "https://baanknet.com/view-property/233288/2F95D005D65E7CE415D42E6E6055B165F269F0D0E2B21D3F524191DE3DD37226")</f>
        <v>https://baanknet.com/view-property/233288/2F95D005D65E7CE415D42E6E6055B165F269F0D0E2B21D3F524191DE3DD37226</v>
      </c>
      <c r="I28" t="str">
        <f>HYPERLINK("https://baanknet.com/view-property/233288/2F95D005D65E7CE415D42E6E6055B165F269F0D0E2B21D3F524191DE3DD37226", "Open")</f>
        <v>Open</v>
      </c>
      <c r="J28" t="s">
        <v>20</v>
      </c>
      <c r="K28" t="s">
        <v>21</v>
      </c>
      <c r="L28">
        <v>2250000</v>
      </c>
      <c r="M28">
        <v>225000</v>
      </c>
    </row>
    <row r="29" spans="1:13" x14ac:dyDescent="0.25">
      <c r="A29" t="s">
        <v>130</v>
      </c>
      <c r="B29" t="s">
        <v>131</v>
      </c>
      <c r="C29" t="s">
        <v>83</v>
      </c>
      <c r="D29" t="s">
        <v>32</v>
      </c>
      <c r="E29" t="s">
        <v>128</v>
      </c>
      <c r="F29" t="s">
        <v>132</v>
      </c>
      <c r="G29" t="s">
        <v>133</v>
      </c>
      <c r="H29" t="str">
        <f>HYPERLINK("https://baanknet.com/view-property/242461/873C17F55D60E541268B943AD93DEBC67F2243E8EB3302C5FB8509C5CF6BAA21", "https://baanknet.com/view-property/242461/873C17F55D60E541268B943AD93DEBC67F2243E8EB3302C5FB8509C5CF6BAA21")</f>
        <v>https://baanknet.com/view-property/242461/873C17F55D60E541268B943AD93DEBC67F2243E8EB3302C5FB8509C5CF6BAA21</v>
      </c>
      <c r="I29" t="str">
        <f>HYPERLINK("https://baanknet.com/view-property/242461/873C17F55D60E541268B943AD93DEBC67F2243E8EB3302C5FB8509C5CF6BAA21", "Open")</f>
        <v>Open</v>
      </c>
      <c r="J29" t="s">
        <v>20</v>
      </c>
      <c r="K29" t="s">
        <v>21</v>
      </c>
      <c r="L29">
        <v>2870000</v>
      </c>
      <c r="M29">
        <v>287000</v>
      </c>
    </row>
    <row r="30" spans="1:13" x14ac:dyDescent="0.25">
      <c r="A30" t="s">
        <v>134</v>
      </c>
      <c r="B30" t="s">
        <v>135</v>
      </c>
      <c r="C30" t="s">
        <v>121</v>
      </c>
      <c r="D30" t="s">
        <v>136</v>
      </c>
      <c r="E30" t="s">
        <v>17</v>
      </c>
      <c r="F30" t="s">
        <v>123</v>
      </c>
      <c r="G30" t="s">
        <v>137</v>
      </c>
      <c r="H30" t="str">
        <f>HYPERLINK("https://baanknet.com/view-property/284908/9EC882B9BE96AF334765099A245DBB828506D21C2402DF3855DE814E8B01BAA6", "https://baanknet.com/view-property/284908/9EC882B9BE96AF334765099A245DBB828506D21C2402DF3855DE814E8B01BAA6")</f>
        <v>https://baanknet.com/view-property/284908/9EC882B9BE96AF334765099A245DBB828506D21C2402DF3855DE814E8B01BAA6</v>
      </c>
      <c r="I30" t="str">
        <f>HYPERLINK("https://baanknet.com/view-property/284908/9EC882B9BE96AF334765099A245DBB828506D21C2402DF3855DE814E8B01BAA6", "Open")</f>
        <v>Open</v>
      </c>
      <c r="J30" t="s">
        <v>20</v>
      </c>
      <c r="K30" t="s">
        <v>21</v>
      </c>
      <c r="L30">
        <v>1714000</v>
      </c>
      <c r="M30">
        <v>171400</v>
      </c>
    </row>
    <row r="31" spans="1:13" x14ac:dyDescent="0.25">
      <c r="A31" t="s">
        <v>138</v>
      </c>
      <c r="B31" t="s">
        <v>139</v>
      </c>
      <c r="C31" t="s">
        <v>121</v>
      </c>
      <c r="D31" t="s">
        <v>140</v>
      </c>
      <c r="E31" t="s">
        <v>17</v>
      </c>
      <c r="F31" t="s">
        <v>123</v>
      </c>
      <c r="G31" t="s">
        <v>141</v>
      </c>
      <c r="H31" t="str">
        <f>HYPERLINK("https://baanknet.com/view-property/178982/2828E89CB3669E7194AE0CFEA18E6989089EE43DE71F7F7818F1D644CB49FDEC", "https://baanknet.com/view-property/178982/2828E89CB3669E7194AE0CFEA18E6989089EE43DE71F7F7818F1D644CB49FDEC")</f>
        <v>https://baanknet.com/view-property/178982/2828E89CB3669E7194AE0CFEA18E6989089EE43DE71F7F7818F1D644CB49FDEC</v>
      </c>
      <c r="I31" t="str">
        <f>HYPERLINK("https://baanknet.com/view-property/178982/2828E89CB3669E7194AE0CFEA18E6989089EE43DE71F7F7818F1D644CB49FDEC", "Open")</f>
        <v>Open</v>
      </c>
      <c r="J31" t="s">
        <v>20</v>
      </c>
      <c r="K31" t="s">
        <v>21</v>
      </c>
      <c r="L31">
        <v>2500000</v>
      </c>
      <c r="M31">
        <v>250000</v>
      </c>
    </row>
    <row r="32" spans="1:13" x14ac:dyDescent="0.25">
      <c r="A32" t="s">
        <v>142</v>
      </c>
      <c r="B32" t="s">
        <v>143</v>
      </c>
      <c r="C32" t="s">
        <v>144</v>
      </c>
      <c r="D32" t="s">
        <v>145</v>
      </c>
      <c r="E32" t="s">
        <v>17</v>
      </c>
      <c r="F32" t="s">
        <v>123</v>
      </c>
      <c r="G32" t="s">
        <v>146</v>
      </c>
      <c r="H32" t="str">
        <f>HYPERLINK("https://baanknet.com/view-property/268500/F89D60C29216F2FE3D34A76156167D5646FA231394918AECAB404B5745474F6E", "https://baanknet.com/view-property/268500/F89D60C29216F2FE3D34A76156167D5646FA231394918AECAB404B5745474F6E")</f>
        <v>https://baanknet.com/view-property/268500/F89D60C29216F2FE3D34A76156167D5646FA231394918AECAB404B5745474F6E</v>
      </c>
      <c r="I32" t="str">
        <f>HYPERLINK("https://baanknet.com/view-property/268500/F89D60C29216F2FE3D34A76156167D5646FA231394918AECAB404B5745474F6E", "Open")</f>
        <v>Open</v>
      </c>
      <c r="J32" t="s">
        <v>20</v>
      </c>
      <c r="K32" t="s">
        <v>21</v>
      </c>
      <c r="L32">
        <v>345600</v>
      </c>
      <c r="M32">
        <v>34560</v>
      </c>
    </row>
    <row r="33" spans="1:13" x14ac:dyDescent="0.25">
      <c r="A33" t="s">
        <v>147</v>
      </c>
      <c r="B33" t="s">
        <v>148</v>
      </c>
      <c r="C33" t="s">
        <v>144</v>
      </c>
      <c r="D33" t="s">
        <v>149</v>
      </c>
      <c r="E33" t="s">
        <v>17</v>
      </c>
      <c r="F33" t="s">
        <v>123</v>
      </c>
      <c r="G33" t="s">
        <v>150</v>
      </c>
      <c r="H33" t="str">
        <f>HYPERLINK("https://baanknet.com/view-property/212834/B895ED09FFBF44C252F556602506A3B84DB60E824E7656334A6715EFEDA10B94", "https://baanknet.com/view-property/212834/B895ED09FFBF44C252F556602506A3B84DB60E824E7656334A6715EFEDA10B94")</f>
        <v>https://baanknet.com/view-property/212834/B895ED09FFBF44C252F556602506A3B84DB60E824E7656334A6715EFEDA10B94</v>
      </c>
      <c r="I33" t="str">
        <f>HYPERLINK("https://baanknet.com/view-property/212834/B895ED09FFBF44C252F556602506A3B84DB60E824E7656334A6715EFEDA10B94", "Open")</f>
        <v>Open</v>
      </c>
      <c r="J33" t="s">
        <v>20</v>
      </c>
      <c r="K33" t="s">
        <v>21</v>
      </c>
      <c r="L33">
        <v>1822320</v>
      </c>
      <c r="M33">
        <v>182232</v>
      </c>
    </row>
    <row r="34" spans="1:13" x14ac:dyDescent="0.25">
      <c r="A34" t="s">
        <v>151</v>
      </c>
      <c r="B34" t="s">
        <v>152</v>
      </c>
      <c r="C34" t="s">
        <v>144</v>
      </c>
      <c r="D34" t="s">
        <v>153</v>
      </c>
      <c r="E34" t="s">
        <v>17</v>
      </c>
      <c r="F34" t="s">
        <v>123</v>
      </c>
      <c r="G34" t="s">
        <v>154</v>
      </c>
      <c r="H34" t="str">
        <f>HYPERLINK("https://baanknet.com/view-property/267936/5AEC383185E84AB54C0A07CFE61D33479BB9F17F64CDEA2A3A8C7350DAA17314", "https://baanknet.com/view-property/267936/5AEC383185E84AB54C0A07CFE61D33479BB9F17F64CDEA2A3A8C7350DAA17314")</f>
        <v>https://baanknet.com/view-property/267936/5AEC383185E84AB54C0A07CFE61D33479BB9F17F64CDEA2A3A8C7350DAA17314</v>
      </c>
      <c r="I34" t="str">
        <f>HYPERLINK("https://baanknet.com/view-property/267936/5AEC383185E84AB54C0A07CFE61D33479BB9F17F64CDEA2A3A8C7350DAA17314", "Open")</f>
        <v>Open</v>
      </c>
      <c r="J34" t="s">
        <v>20</v>
      </c>
      <c r="K34" t="s">
        <v>21</v>
      </c>
      <c r="L34">
        <v>2048040</v>
      </c>
      <c r="M34">
        <v>204804</v>
      </c>
    </row>
    <row r="35" spans="1:13" x14ac:dyDescent="0.25">
      <c r="A35" t="s">
        <v>155</v>
      </c>
      <c r="B35" t="s">
        <v>156</v>
      </c>
      <c r="C35" t="s">
        <v>144</v>
      </c>
      <c r="D35" t="s">
        <v>157</v>
      </c>
      <c r="E35" t="s">
        <v>17</v>
      </c>
      <c r="F35" t="s">
        <v>123</v>
      </c>
      <c r="G35" t="s">
        <v>158</v>
      </c>
      <c r="H35" t="str">
        <f>HYPERLINK("https://baanknet.com/view-property/272201/2C1A33E7C41FEBC20B79BA23FC9CC01B7DC4D7459FA599543CDBB19D4F29F737", "https://baanknet.com/view-property/272201/2C1A33E7C41FEBC20B79BA23FC9CC01B7DC4D7459FA599543CDBB19D4F29F737")</f>
        <v>https://baanknet.com/view-property/272201/2C1A33E7C41FEBC20B79BA23FC9CC01B7DC4D7459FA599543CDBB19D4F29F737</v>
      </c>
      <c r="I35" t="str">
        <f>HYPERLINK("https://baanknet.com/view-property/272201/2C1A33E7C41FEBC20B79BA23FC9CC01B7DC4D7459FA599543CDBB19D4F29F737", "Open")</f>
        <v>Open</v>
      </c>
      <c r="J35" t="s">
        <v>20</v>
      </c>
      <c r="K35" t="s">
        <v>21</v>
      </c>
      <c r="L35">
        <v>4676800</v>
      </c>
      <c r="M35">
        <v>467680</v>
      </c>
    </row>
    <row r="36" spans="1:13" x14ac:dyDescent="0.25">
      <c r="A36" t="s">
        <v>159</v>
      </c>
      <c r="B36" t="s">
        <v>160</v>
      </c>
      <c r="C36" t="s">
        <v>121</v>
      </c>
      <c r="D36" t="s">
        <v>161</v>
      </c>
      <c r="E36" t="s">
        <v>17</v>
      </c>
      <c r="F36" t="s">
        <v>123</v>
      </c>
      <c r="G36" t="s">
        <v>162</v>
      </c>
      <c r="H36" t="str">
        <f>HYPERLINK("https://baanknet.com/view-property/262201/5446C46D5F36ED7DBBC822F41453EA265CAA887B09ED44CFEE97AC84492DA972", "https://baanknet.com/view-property/262201/5446C46D5F36ED7DBBC822F41453EA265CAA887B09ED44CFEE97AC84492DA972")</f>
        <v>https://baanknet.com/view-property/262201/5446C46D5F36ED7DBBC822F41453EA265CAA887B09ED44CFEE97AC84492DA972</v>
      </c>
      <c r="I36" t="str">
        <f>HYPERLINK("https://baanknet.com/view-property/262201/5446C46D5F36ED7DBBC822F41453EA265CAA887B09ED44CFEE97AC84492DA972", "Open")</f>
        <v>Open</v>
      </c>
      <c r="J36" t="s">
        <v>20</v>
      </c>
      <c r="K36" t="s">
        <v>21</v>
      </c>
      <c r="L36">
        <v>1310000</v>
      </c>
      <c r="M36">
        <v>131000</v>
      </c>
    </row>
    <row r="37" spans="1:13" x14ac:dyDescent="0.25">
      <c r="A37" t="s">
        <v>163</v>
      </c>
      <c r="B37" t="s">
        <v>164</v>
      </c>
      <c r="C37" t="s">
        <v>121</v>
      </c>
      <c r="D37" t="s">
        <v>165</v>
      </c>
      <c r="E37" t="s">
        <v>17</v>
      </c>
      <c r="F37" t="s">
        <v>123</v>
      </c>
      <c r="G37" t="s">
        <v>166</v>
      </c>
      <c r="H37" t="str">
        <f>HYPERLINK("https://baanknet.com/view-property/174849/3C8AAF1623C1AEB422BF300A907BAF6D006D9A91DD162F36A37999619992542F", "https://baanknet.com/view-property/174849/3C8AAF1623C1AEB422BF300A907BAF6D006D9A91DD162F36A37999619992542F")</f>
        <v>https://baanknet.com/view-property/174849/3C8AAF1623C1AEB422BF300A907BAF6D006D9A91DD162F36A37999619992542F</v>
      </c>
      <c r="I37" t="str">
        <f>HYPERLINK("https://baanknet.com/view-property/174849/3C8AAF1623C1AEB422BF300A907BAF6D006D9A91DD162F36A37999619992542F", "Open")</f>
        <v>Open</v>
      </c>
      <c r="J37" t="s">
        <v>20</v>
      </c>
      <c r="K37" t="s">
        <v>21</v>
      </c>
      <c r="L37">
        <v>432000</v>
      </c>
      <c r="M37">
        <v>43200</v>
      </c>
    </row>
    <row r="38" spans="1:13" x14ac:dyDescent="0.25">
      <c r="A38" t="s">
        <v>167</v>
      </c>
      <c r="B38" t="s">
        <v>168</v>
      </c>
      <c r="C38" t="s">
        <v>121</v>
      </c>
      <c r="D38" t="s">
        <v>169</v>
      </c>
      <c r="E38" t="s">
        <v>17</v>
      </c>
      <c r="F38" t="s">
        <v>123</v>
      </c>
      <c r="G38" t="s">
        <v>170</v>
      </c>
      <c r="H38" t="str">
        <f>HYPERLINK("https://baanknet.com/view-property/275625/86775F3D8A92ADB0443B2984E860F9562E20C387556B8A05A74B0DA59364D50A", "https://baanknet.com/view-property/275625/86775F3D8A92ADB0443B2984E860F9562E20C387556B8A05A74B0DA59364D50A")</f>
        <v>https://baanknet.com/view-property/275625/86775F3D8A92ADB0443B2984E860F9562E20C387556B8A05A74B0DA59364D50A</v>
      </c>
      <c r="I38" t="str">
        <f>HYPERLINK("https://baanknet.com/view-property/275625/86775F3D8A92ADB0443B2984E860F9562E20C387556B8A05A74B0DA59364D50A", "Open")</f>
        <v>Open</v>
      </c>
      <c r="J38" t="s">
        <v>20</v>
      </c>
      <c r="K38" t="s">
        <v>21</v>
      </c>
      <c r="L38">
        <v>1580000</v>
      </c>
      <c r="M38">
        <v>158000</v>
      </c>
    </row>
    <row r="39" spans="1:13" x14ac:dyDescent="0.25">
      <c r="A39" t="s">
        <v>171</v>
      </c>
      <c r="B39" t="s">
        <v>172</v>
      </c>
      <c r="C39" t="s">
        <v>121</v>
      </c>
      <c r="D39" t="s">
        <v>165</v>
      </c>
      <c r="E39" t="s">
        <v>17</v>
      </c>
      <c r="F39" t="s">
        <v>123</v>
      </c>
      <c r="G39" t="s">
        <v>173</v>
      </c>
      <c r="H39" t="str">
        <f>HYPERLINK("https://baanknet.com/view-property/174845/481027B90B7811C6252A8B21A0648F57B9AD8D3B8BA7192082E5A5F96C486803", "https://baanknet.com/view-property/174845/481027B90B7811C6252A8B21A0648F57B9AD8D3B8BA7192082E5A5F96C486803")</f>
        <v>https://baanknet.com/view-property/174845/481027B90B7811C6252A8B21A0648F57B9AD8D3B8BA7192082E5A5F96C486803</v>
      </c>
      <c r="I39" t="str">
        <f>HYPERLINK("https://baanknet.com/view-property/174845/481027B90B7811C6252A8B21A0648F57B9AD8D3B8BA7192082E5A5F96C486803", "Open")</f>
        <v>Open</v>
      </c>
      <c r="J39" t="s">
        <v>20</v>
      </c>
      <c r="K39" t="s">
        <v>21</v>
      </c>
      <c r="L39">
        <v>4338000</v>
      </c>
      <c r="M39">
        <v>433800</v>
      </c>
    </row>
    <row r="40" spans="1:13" x14ac:dyDescent="0.25">
      <c r="A40" t="s">
        <v>174</v>
      </c>
      <c r="B40" t="s">
        <v>175</v>
      </c>
      <c r="C40" t="s">
        <v>121</v>
      </c>
      <c r="D40" t="s">
        <v>157</v>
      </c>
      <c r="E40" t="s">
        <v>17</v>
      </c>
      <c r="F40" t="s">
        <v>123</v>
      </c>
      <c r="G40" t="s">
        <v>176</v>
      </c>
      <c r="H40" t="str">
        <f>HYPERLINK("https://baanknet.com/view-property/175076/424862C6C82E447FBC5813F2F4D718F64935973242C571E2CA29485F8046ACCC", "https://baanknet.com/view-property/175076/424862C6C82E447FBC5813F2F4D718F64935973242C571E2CA29485F8046ACCC")</f>
        <v>https://baanknet.com/view-property/175076/424862C6C82E447FBC5813F2F4D718F64935973242C571E2CA29485F8046ACCC</v>
      </c>
      <c r="I40" t="str">
        <f>HYPERLINK("https://baanknet.com/view-property/175076/424862C6C82E447FBC5813F2F4D718F64935973242C571E2CA29485F8046ACCC", "Open")</f>
        <v>Open</v>
      </c>
      <c r="J40" t="s">
        <v>20</v>
      </c>
      <c r="K40" t="s">
        <v>21</v>
      </c>
      <c r="L40">
        <v>1635000</v>
      </c>
      <c r="M40">
        <v>163500</v>
      </c>
    </row>
    <row r="41" spans="1:13" x14ac:dyDescent="0.25">
      <c r="A41" t="s">
        <v>177</v>
      </c>
      <c r="B41" t="s">
        <v>178</v>
      </c>
      <c r="C41" t="s">
        <v>121</v>
      </c>
      <c r="D41" t="s">
        <v>179</v>
      </c>
      <c r="E41" t="s">
        <v>17</v>
      </c>
      <c r="F41" t="s">
        <v>123</v>
      </c>
      <c r="G41" t="s">
        <v>180</v>
      </c>
      <c r="H41" t="str">
        <f>HYPERLINK("https://baanknet.com/view-property/178759/3A933DC18D23ABA55D3A989D1119233D81A35868C989F288B861AE3CC2F11B0B", "https://baanknet.com/view-property/178759/3A933DC18D23ABA55D3A989D1119233D81A35868C989F288B861AE3CC2F11B0B")</f>
        <v>https://baanknet.com/view-property/178759/3A933DC18D23ABA55D3A989D1119233D81A35868C989F288B861AE3CC2F11B0B</v>
      </c>
      <c r="I41" t="str">
        <f>HYPERLINK("https://baanknet.com/view-property/178759/3A933DC18D23ABA55D3A989D1119233D81A35868C989F288B861AE3CC2F11B0B", "Open")</f>
        <v>Open</v>
      </c>
      <c r="J41" t="s">
        <v>20</v>
      </c>
      <c r="K41" t="s">
        <v>21</v>
      </c>
      <c r="L41">
        <v>3015000</v>
      </c>
      <c r="M41">
        <v>301500</v>
      </c>
    </row>
    <row r="42" spans="1:13" x14ac:dyDescent="0.25">
      <c r="A42" t="s">
        <v>181</v>
      </c>
      <c r="B42" t="s">
        <v>182</v>
      </c>
      <c r="C42" t="s">
        <v>121</v>
      </c>
      <c r="D42" t="s">
        <v>183</v>
      </c>
      <c r="E42" t="s">
        <v>17</v>
      </c>
      <c r="F42" t="s">
        <v>123</v>
      </c>
      <c r="G42" t="s">
        <v>184</v>
      </c>
      <c r="H42" t="str">
        <f>HYPERLINK("https://baanknet.com/view-property/180275/3020C51F09BD3DAA6B6170F92C6C493BC5DD90D55B9E6485A135322FE8F33543", "https://baanknet.com/view-property/180275/3020C51F09BD3DAA6B6170F92C6C493BC5DD90D55B9E6485A135322FE8F33543")</f>
        <v>https://baanknet.com/view-property/180275/3020C51F09BD3DAA6B6170F92C6C493BC5DD90D55B9E6485A135322FE8F33543</v>
      </c>
      <c r="I42" t="str">
        <f>HYPERLINK("https://baanknet.com/view-property/180275/3020C51F09BD3DAA6B6170F92C6C493BC5DD90D55B9E6485A135322FE8F33543", "Open")</f>
        <v>Open</v>
      </c>
      <c r="J42" t="s">
        <v>20</v>
      </c>
      <c r="K42" t="s">
        <v>21</v>
      </c>
      <c r="L42">
        <v>1110000</v>
      </c>
      <c r="M42">
        <v>111000</v>
      </c>
    </row>
    <row r="43" spans="1:13" x14ac:dyDescent="0.25">
      <c r="A43" t="s">
        <v>185</v>
      </c>
      <c r="B43" t="s">
        <v>186</v>
      </c>
      <c r="C43" t="s">
        <v>121</v>
      </c>
      <c r="D43" t="s">
        <v>187</v>
      </c>
      <c r="E43" t="s">
        <v>17</v>
      </c>
      <c r="F43" t="s">
        <v>123</v>
      </c>
      <c r="G43" t="s">
        <v>188</v>
      </c>
      <c r="H43" t="str">
        <f>HYPERLINK("https://baanknet.com/view-property/227643/5BC09336BF87998806D0E2CB0439B1584A47DDC7DA757666FC6AC2157BFD35DE", "https://baanknet.com/view-property/227643/5BC09336BF87998806D0E2CB0439B1584A47DDC7DA757666FC6AC2157BFD35DE")</f>
        <v>https://baanknet.com/view-property/227643/5BC09336BF87998806D0E2CB0439B1584A47DDC7DA757666FC6AC2157BFD35DE</v>
      </c>
      <c r="I43" t="str">
        <f>HYPERLINK("https://baanknet.com/view-property/227643/5BC09336BF87998806D0E2CB0439B1584A47DDC7DA757666FC6AC2157BFD35DE", "Open")</f>
        <v>Open</v>
      </c>
      <c r="J43" t="s">
        <v>20</v>
      </c>
      <c r="K43" t="s">
        <v>21</v>
      </c>
      <c r="L43">
        <v>1253000</v>
      </c>
      <c r="M43">
        <v>125300</v>
      </c>
    </row>
    <row r="44" spans="1:13" x14ac:dyDescent="0.25">
      <c r="A44" t="s">
        <v>189</v>
      </c>
      <c r="B44" t="s">
        <v>190</v>
      </c>
      <c r="C44" t="s">
        <v>121</v>
      </c>
      <c r="D44" t="s">
        <v>191</v>
      </c>
      <c r="E44" t="s">
        <v>17</v>
      </c>
      <c r="F44" t="s">
        <v>123</v>
      </c>
      <c r="G44" t="s">
        <v>192</v>
      </c>
      <c r="H44" t="str">
        <f>HYPERLINK("https://baanknet.com/view-property/180267/C57972DC0847FB0958AC52791828F45546369E8D2AE1B7BC05CEFB279BFC26DB", "https://baanknet.com/view-property/180267/C57972DC0847FB0958AC52791828F45546369E8D2AE1B7BC05CEFB279BFC26DB")</f>
        <v>https://baanknet.com/view-property/180267/C57972DC0847FB0958AC52791828F45546369E8D2AE1B7BC05CEFB279BFC26DB</v>
      </c>
      <c r="I44" t="str">
        <f>HYPERLINK("https://baanknet.com/view-property/180267/C57972DC0847FB0958AC52791828F45546369E8D2AE1B7BC05CEFB279BFC26DB", "Open")</f>
        <v>Open</v>
      </c>
      <c r="J44" t="s">
        <v>20</v>
      </c>
      <c r="K44" t="s">
        <v>21</v>
      </c>
      <c r="L44">
        <v>2050000</v>
      </c>
      <c r="M44">
        <v>205000</v>
      </c>
    </row>
    <row r="45" spans="1:13" x14ac:dyDescent="0.25">
      <c r="A45" t="s">
        <v>193</v>
      </c>
      <c r="B45" t="s">
        <v>194</v>
      </c>
      <c r="C45" t="s">
        <v>121</v>
      </c>
      <c r="D45" t="s">
        <v>191</v>
      </c>
      <c r="E45" t="s">
        <v>17</v>
      </c>
      <c r="F45" t="s">
        <v>123</v>
      </c>
      <c r="G45" t="s">
        <v>195</v>
      </c>
      <c r="H45" t="str">
        <f>HYPERLINK("https://baanknet.com/view-property/178751/227260E165A5B9A1D263A4961C900C7D935D728ADD3AF1473AFA3153EF3C955C", "https://baanknet.com/view-property/178751/227260E165A5B9A1D263A4961C900C7D935D728ADD3AF1473AFA3153EF3C955C")</f>
        <v>https://baanknet.com/view-property/178751/227260E165A5B9A1D263A4961C900C7D935D728ADD3AF1473AFA3153EF3C955C</v>
      </c>
      <c r="I45" t="str">
        <f>HYPERLINK("https://baanknet.com/view-property/178751/227260E165A5B9A1D263A4961C900C7D935D728ADD3AF1473AFA3153EF3C955C", "Open")</f>
        <v>Open</v>
      </c>
      <c r="J45" t="s">
        <v>20</v>
      </c>
      <c r="K45" t="s">
        <v>21</v>
      </c>
      <c r="L45">
        <v>400000</v>
      </c>
      <c r="M45">
        <v>40000</v>
      </c>
    </row>
    <row r="46" spans="1:13" x14ac:dyDescent="0.25">
      <c r="A46" t="s">
        <v>196</v>
      </c>
      <c r="B46" t="s">
        <v>197</v>
      </c>
      <c r="C46" t="s">
        <v>121</v>
      </c>
      <c r="D46" t="s">
        <v>198</v>
      </c>
      <c r="E46" t="s">
        <v>17</v>
      </c>
      <c r="F46" t="s">
        <v>123</v>
      </c>
      <c r="G46" t="s">
        <v>199</v>
      </c>
      <c r="H46" t="str">
        <f>HYPERLINK("https://baanknet.com/view-property/178726/F336E80568357DE905540F8F0416E421F237402E1652B4390109DEF6F33886ED", "https://baanknet.com/view-property/178726/F336E80568357DE905540F8F0416E421F237402E1652B4390109DEF6F33886ED")</f>
        <v>https://baanknet.com/view-property/178726/F336E80568357DE905540F8F0416E421F237402E1652B4390109DEF6F33886ED</v>
      </c>
      <c r="I46" t="str">
        <f>HYPERLINK("https://baanknet.com/view-property/178726/F336E80568357DE905540F8F0416E421F237402E1652B4390109DEF6F33886ED", "Open")</f>
        <v>Open</v>
      </c>
      <c r="J46" t="s">
        <v>20</v>
      </c>
      <c r="K46" t="s">
        <v>21</v>
      </c>
      <c r="L46">
        <v>1481000</v>
      </c>
      <c r="M46">
        <v>148100</v>
      </c>
    </row>
    <row r="47" spans="1:13" x14ac:dyDescent="0.25">
      <c r="A47" t="s">
        <v>200</v>
      </c>
      <c r="B47" t="s">
        <v>201</v>
      </c>
      <c r="C47" t="s">
        <v>121</v>
      </c>
      <c r="D47" t="s">
        <v>187</v>
      </c>
      <c r="E47" t="s">
        <v>17</v>
      </c>
      <c r="F47" t="s">
        <v>123</v>
      </c>
      <c r="G47" t="s">
        <v>202</v>
      </c>
      <c r="H47" t="str">
        <f>HYPERLINK("https://baanknet.com/view-property/178752/B65BC4088BCC07EE0AAE3C1582E887042CB21FB46177327B5890E3DC44CC8C0C", "https://baanknet.com/view-property/178752/B65BC4088BCC07EE0AAE3C1582E887042CB21FB46177327B5890E3DC44CC8C0C")</f>
        <v>https://baanknet.com/view-property/178752/B65BC4088BCC07EE0AAE3C1582E887042CB21FB46177327B5890E3DC44CC8C0C</v>
      </c>
      <c r="I47" t="str">
        <f>HYPERLINK("https://baanknet.com/view-property/178752/B65BC4088BCC07EE0AAE3C1582E887042CB21FB46177327B5890E3DC44CC8C0C", "Open")</f>
        <v>Open</v>
      </c>
      <c r="J47" t="s">
        <v>20</v>
      </c>
      <c r="K47" t="s">
        <v>21</v>
      </c>
      <c r="L47">
        <v>945000</v>
      </c>
      <c r="M47">
        <v>94500</v>
      </c>
    </row>
    <row r="48" spans="1:13" x14ac:dyDescent="0.25">
      <c r="A48" t="s">
        <v>203</v>
      </c>
      <c r="B48" t="s">
        <v>204</v>
      </c>
      <c r="C48" t="s">
        <v>121</v>
      </c>
      <c r="D48" t="s">
        <v>198</v>
      </c>
      <c r="E48" t="s">
        <v>17</v>
      </c>
      <c r="F48" t="s">
        <v>123</v>
      </c>
      <c r="G48" t="s">
        <v>205</v>
      </c>
      <c r="H48" t="str">
        <f>HYPERLINK("https://baanknet.com/view-property/218660/033471170A1E1C8A45EB862F0AE3F0B35D2D7ED1A021D8171F0A69E1E59C2F08", "https://baanknet.com/view-property/218660/033471170A1E1C8A45EB862F0AE3F0B35D2D7ED1A021D8171F0A69E1E59C2F08")</f>
        <v>https://baanknet.com/view-property/218660/033471170A1E1C8A45EB862F0AE3F0B35D2D7ED1A021D8171F0A69E1E59C2F08</v>
      </c>
      <c r="I48" t="str">
        <f>HYPERLINK("https://baanknet.com/view-property/218660/033471170A1E1C8A45EB862F0AE3F0B35D2D7ED1A021D8171F0A69E1E59C2F08", "Open")</f>
        <v>Open</v>
      </c>
      <c r="J48" t="s">
        <v>20</v>
      </c>
      <c r="K48" t="s">
        <v>21</v>
      </c>
      <c r="L48">
        <v>1800000</v>
      </c>
      <c r="M48">
        <v>180000</v>
      </c>
    </row>
    <row r="49" spans="1:13" x14ac:dyDescent="0.25">
      <c r="A49" t="s">
        <v>206</v>
      </c>
      <c r="B49" t="s">
        <v>207</v>
      </c>
      <c r="C49" t="s">
        <v>121</v>
      </c>
      <c r="D49" t="s">
        <v>208</v>
      </c>
      <c r="E49" t="s">
        <v>17</v>
      </c>
      <c r="F49" t="s">
        <v>123</v>
      </c>
      <c r="G49" t="s">
        <v>209</v>
      </c>
      <c r="H49" t="str">
        <f>HYPERLINK("https://baanknet.com/view-property/278359/F78B8B0D34AF3DD685D3A78BFACF297D6E96F67BD8A8C41AE541D821CEEDF130", "https://baanknet.com/view-property/278359/F78B8B0D34AF3DD685D3A78BFACF297D6E96F67BD8A8C41AE541D821CEEDF130")</f>
        <v>https://baanknet.com/view-property/278359/F78B8B0D34AF3DD685D3A78BFACF297D6E96F67BD8A8C41AE541D821CEEDF130</v>
      </c>
      <c r="I49" t="str">
        <f>HYPERLINK("https://baanknet.com/view-property/278359/F78B8B0D34AF3DD685D3A78BFACF297D6E96F67BD8A8C41AE541D821CEEDF130", "Open")</f>
        <v>Open</v>
      </c>
      <c r="J49" t="s">
        <v>20</v>
      </c>
      <c r="K49" t="s">
        <v>21</v>
      </c>
      <c r="L49">
        <v>600000</v>
      </c>
      <c r="M49">
        <v>60000</v>
      </c>
    </row>
    <row r="50" spans="1:13" x14ac:dyDescent="0.25">
      <c r="A50" t="s">
        <v>210</v>
      </c>
      <c r="B50" t="s">
        <v>211</v>
      </c>
      <c r="C50" t="s">
        <v>121</v>
      </c>
      <c r="D50" t="s">
        <v>212</v>
      </c>
      <c r="E50" t="s">
        <v>17</v>
      </c>
      <c r="F50" t="s">
        <v>123</v>
      </c>
      <c r="G50" t="s">
        <v>213</v>
      </c>
      <c r="H50" t="str">
        <f>HYPERLINK("https://baanknet.com/view-property/276583/2124A530173108F86330997D9BBFBAC29F66215BA7400D63CFE33E99BFDE7A8E", "https://baanknet.com/view-property/276583/2124A530173108F86330997D9BBFBAC29F66215BA7400D63CFE33E99BFDE7A8E")</f>
        <v>https://baanknet.com/view-property/276583/2124A530173108F86330997D9BBFBAC29F66215BA7400D63CFE33E99BFDE7A8E</v>
      </c>
      <c r="I50" t="str">
        <f>HYPERLINK("https://baanknet.com/view-property/276583/2124A530173108F86330997D9BBFBAC29F66215BA7400D63CFE33E99BFDE7A8E", "Open")</f>
        <v>Open</v>
      </c>
      <c r="J50" t="s">
        <v>20</v>
      </c>
      <c r="K50" t="s">
        <v>21</v>
      </c>
      <c r="L50">
        <v>2439900</v>
      </c>
      <c r="M50">
        <v>243990</v>
      </c>
    </row>
    <row r="51" spans="1:13" x14ac:dyDescent="0.25">
      <c r="A51" t="s">
        <v>214</v>
      </c>
      <c r="B51" t="s">
        <v>215</v>
      </c>
      <c r="C51" t="s">
        <v>121</v>
      </c>
      <c r="D51" t="s">
        <v>122</v>
      </c>
      <c r="E51" t="s">
        <v>17</v>
      </c>
      <c r="F51" t="s">
        <v>123</v>
      </c>
      <c r="G51" t="s">
        <v>216</v>
      </c>
      <c r="H51" t="str">
        <f>HYPERLINK("https://baanknet.com/view-property/283187/C47C438BF59C2B82B2925CA32F8A44B95BCF4FFA2C1AEB1481D5359F1478FE6B", "https://baanknet.com/view-property/283187/C47C438BF59C2B82B2925CA32F8A44B95BCF4FFA2C1AEB1481D5359F1478FE6B")</f>
        <v>https://baanknet.com/view-property/283187/C47C438BF59C2B82B2925CA32F8A44B95BCF4FFA2C1AEB1481D5359F1478FE6B</v>
      </c>
      <c r="I51" t="str">
        <f>HYPERLINK("https://baanknet.com/view-property/283187/C47C438BF59C2B82B2925CA32F8A44B95BCF4FFA2C1AEB1481D5359F1478FE6B", "Open")</f>
        <v>Open</v>
      </c>
      <c r="J51" t="s">
        <v>20</v>
      </c>
      <c r="K51" t="s">
        <v>21</v>
      </c>
      <c r="L51">
        <v>3523500</v>
      </c>
      <c r="M51">
        <v>352400</v>
      </c>
    </row>
    <row r="52" spans="1:13" x14ac:dyDescent="0.25">
      <c r="A52" t="s">
        <v>217</v>
      </c>
      <c r="B52" t="s">
        <v>218</v>
      </c>
      <c r="C52" t="s">
        <v>121</v>
      </c>
      <c r="D52" t="s">
        <v>219</v>
      </c>
      <c r="E52" t="s">
        <v>17</v>
      </c>
      <c r="F52" t="s">
        <v>123</v>
      </c>
      <c r="G52" t="s">
        <v>220</v>
      </c>
      <c r="H52" t="str">
        <f>HYPERLINK("https://baanknet.com/view-property/286760/D24F8ADB084E3AF1C4C261F9B11BE47EA6624B890AC164D6546D2F1B6D39EE1E", "https://baanknet.com/view-property/286760/D24F8ADB084E3AF1C4C261F9B11BE47EA6624B890AC164D6546D2F1B6D39EE1E")</f>
        <v>https://baanknet.com/view-property/286760/D24F8ADB084E3AF1C4C261F9B11BE47EA6624B890AC164D6546D2F1B6D39EE1E</v>
      </c>
      <c r="I52" t="str">
        <f>HYPERLINK("https://baanknet.com/view-property/286760/D24F8ADB084E3AF1C4C261F9B11BE47EA6624B890AC164D6546D2F1B6D39EE1E", "Open")</f>
        <v>Open</v>
      </c>
      <c r="J52" t="s">
        <v>20</v>
      </c>
      <c r="K52" t="s">
        <v>21</v>
      </c>
      <c r="L52">
        <v>1600000</v>
      </c>
      <c r="M52">
        <v>160000</v>
      </c>
    </row>
    <row r="53" spans="1:13" x14ac:dyDescent="0.25">
      <c r="A53" t="s">
        <v>221</v>
      </c>
      <c r="B53" t="s">
        <v>222</v>
      </c>
      <c r="C53" t="s">
        <v>121</v>
      </c>
      <c r="D53" t="s">
        <v>179</v>
      </c>
      <c r="E53" t="s">
        <v>17</v>
      </c>
      <c r="F53" t="s">
        <v>123</v>
      </c>
      <c r="G53" t="s">
        <v>223</v>
      </c>
      <c r="H53" t="str">
        <f>HYPERLINK("https://baanknet.com/view-property/178723/88BBC491CD58F4EB6A7670E8B0D10D142C6F15FDC858EE452E976C6031E10D2B", "https://baanknet.com/view-property/178723/88BBC491CD58F4EB6A7670E8B0D10D142C6F15FDC858EE452E976C6031E10D2B")</f>
        <v>https://baanknet.com/view-property/178723/88BBC491CD58F4EB6A7670E8B0D10D142C6F15FDC858EE452E976C6031E10D2B</v>
      </c>
      <c r="I53" t="str">
        <f>HYPERLINK("https://baanknet.com/view-property/178723/88BBC491CD58F4EB6A7670E8B0D10D142C6F15FDC858EE452E976C6031E10D2B", "Open")</f>
        <v>Open</v>
      </c>
      <c r="J53" t="s">
        <v>20</v>
      </c>
      <c r="K53" t="s">
        <v>21</v>
      </c>
      <c r="L53">
        <v>1398000</v>
      </c>
      <c r="M53">
        <v>139800</v>
      </c>
    </row>
    <row r="54" spans="1:13" x14ac:dyDescent="0.25">
      <c r="A54" t="s">
        <v>224</v>
      </c>
      <c r="B54" t="s">
        <v>225</v>
      </c>
      <c r="C54" t="s">
        <v>121</v>
      </c>
      <c r="D54" t="s">
        <v>122</v>
      </c>
      <c r="E54" t="s">
        <v>17</v>
      </c>
      <c r="F54" t="s">
        <v>123</v>
      </c>
      <c r="G54" t="s">
        <v>226</v>
      </c>
      <c r="H54" t="str">
        <f>HYPERLINK("https://baanknet.com/view-property/286550/C8A8E52B145DC328C5DAF872B2A03A62C75826E973FAA20146F791B1D5B77290", "https://baanknet.com/view-property/286550/C8A8E52B145DC328C5DAF872B2A03A62C75826E973FAA20146F791B1D5B77290")</f>
        <v>https://baanknet.com/view-property/286550/C8A8E52B145DC328C5DAF872B2A03A62C75826E973FAA20146F791B1D5B77290</v>
      </c>
      <c r="I54" t="str">
        <f>HYPERLINK("https://baanknet.com/view-property/286550/C8A8E52B145DC328C5DAF872B2A03A62C75826E973FAA20146F791B1D5B77290", "Open")</f>
        <v>Open</v>
      </c>
      <c r="J54" t="s">
        <v>20</v>
      </c>
      <c r="K54" t="s">
        <v>21</v>
      </c>
      <c r="L54">
        <v>2790000</v>
      </c>
      <c r="M54">
        <v>280000</v>
      </c>
    </row>
    <row r="55" spans="1:13" x14ac:dyDescent="0.25">
      <c r="A55" t="s">
        <v>227</v>
      </c>
      <c r="B55" t="s">
        <v>228</v>
      </c>
      <c r="C55" t="s">
        <v>121</v>
      </c>
      <c r="D55" t="s">
        <v>219</v>
      </c>
      <c r="E55" t="s">
        <v>17</v>
      </c>
      <c r="F55" t="s">
        <v>123</v>
      </c>
      <c r="G55" t="s">
        <v>229</v>
      </c>
      <c r="H55" t="str">
        <f>HYPERLINK("https://baanknet.com/view-property/286534/3F2EC8F13B3FB24A473F9FE3AF106F6110CCF5D8300A8D46DB11DF0A70D56592", "https://baanknet.com/view-property/286534/3F2EC8F13B3FB24A473F9FE3AF106F6110CCF5D8300A8D46DB11DF0A70D56592")</f>
        <v>https://baanknet.com/view-property/286534/3F2EC8F13B3FB24A473F9FE3AF106F6110CCF5D8300A8D46DB11DF0A70D56592</v>
      </c>
      <c r="I55" t="str">
        <f>HYPERLINK("https://baanknet.com/view-property/286534/3F2EC8F13B3FB24A473F9FE3AF106F6110CCF5D8300A8D46DB11DF0A70D56592", "Open")</f>
        <v>Open</v>
      </c>
      <c r="J55" t="s">
        <v>20</v>
      </c>
      <c r="K55" t="s">
        <v>21</v>
      </c>
      <c r="L55">
        <v>580000</v>
      </c>
      <c r="M55">
        <v>58000</v>
      </c>
    </row>
    <row r="56" spans="1:13" x14ac:dyDescent="0.25">
      <c r="A56" t="s">
        <v>230</v>
      </c>
      <c r="B56" t="s">
        <v>231</v>
      </c>
      <c r="C56" t="s">
        <v>121</v>
      </c>
      <c r="D56" t="s">
        <v>219</v>
      </c>
      <c r="E56" t="s">
        <v>17</v>
      </c>
      <c r="F56" t="s">
        <v>123</v>
      </c>
      <c r="G56" t="s">
        <v>232</v>
      </c>
      <c r="H56" t="str">
        <f>HYPERLINK("https://baanknet.com/view-property/286536/698BFEF7A10469FB9E232E3AA42640473FD1E0F21EB885F634CCB1CF73E4EF3A", "https://baanknet.com/view-property/286536/698BFEF7A10469FB9E232E3AA42640473FD1E0F21EB885F634CCB1CF73E4EF3A")</f>
        <v>https://baanknet.com/view-property/286536/698BFEF7A10469FB9E232E3AA42640473FD1E0F21EB885F634CCB1CF73E4EF3A</v>
      </c>
      <c r="I56" t="str">
        <f>HYPERLINK("https://baanknet.com/view-property/286536/698BFEF7A10469FB9E232E3AA42640473FD1E0F21EB885F634CCB1CF73E4EF3A", "Open")</f>
        <v>Open</v>
      </c>
      <c r="J56" t="s">
        <v>20</v>
      </c>
      <c r="K56" t="s">
        <v>21</v>
      </c>
      <c r="L56">
        <v>4420000</v>
      </c>
      <c r="M56">
        <v>442000</v>
      </c>
    </row>
    <row r="57" spans="1:13" x14ac:dyDescent="0.25">
      <c r="A57" t="s">
        <v>233</v>
      </c>
      <c r="B57" t="s">
        <v>234</v>
      </c>
      <c r="C57" t="s">
        <v>121</v>
      </c>
      <c r="D57" t="s">
        <v>122</v>
      </c>
      <c r="E57" t="s">
        <v>17</v>
      </c>
      <c r="F57" t="s">
        <v>123</v>
      </c>
      <c r="G57" t="s">
        <v>235</v>
      </c>
      <c r="H57" t="str">
        <f>HYPERLINK("https://baanknet.com/view-property/286542/0841CCF3F5CB20FE1ECC00650DEE2D66799C50E98345D3D4A3BFD7335AF40ECC", "https://baanknet.com/view-property/286542/0841CCF3F5CB20FE1ECC00650DEE2D66799C50E98345D3D4A3BFD7335AF40ECC")</f>
        <v>https://baanknet.com/view-property/286542/0841CCF3F5CB20FE1ECC00650DEE2D66799C50E98345D3D4A3BFD7335AF40ECC</v>
      </c>
      <c r="I57" t="str">
        <f>HYPERLINK("https://baanknet.com/view-property/286542/0841CCF3F5CB20FE1ECC00650DEE2D66799C50E98345D3D4A3BFD7335AF40ECC", "Open")</f>
        <v>Open</v>
      </c>
      <c r="J57" t="s">
        <v>20</v>
      </c>
      <c r="K57" t="s">
        <v>21</v>
      </c>
      <c r="L57">
        <v>1200000</v>
      </c>
      <c r="M57">
        <v>120000</v>
      </c>
    </row>
    <row r="58" spans="1:13" x14ac:dyDescent="0.25">
      <c r="A58" t="s">
        <v>236</v>
      </c>
      <c r="B58" t="s">
        <v>237</v>
      </c>
      <c r="C58" t="s">
        <v>121</v>
      </c>
      <c r="D58" t="s">
        <v>219</v>
      </c>
      <c r="E58" t="s">
        <v>17</v>
      </c>
      <c r="F58" t="s">
        <v>123</v>
      </c>
      <c r="G58" t="s">
        <v>238</v>
      </c>
      <c r="H58" t="str">
        <f>HYPERLINK("https://baanknet.com/view-property/286543/B48B6A7C09EF4DC9EE8DCC3B45E4A9AF86FC47F9DFC3FB1635B9FB5C9C515017", "https://baanknet.com/view-property/286543/B48B6A7C09EF4DC9EE8DCC3B45E4A9AF86FC47F9DFC3FB1635B9FB5C9C515017")</f>
        <v>https://baanknet.com/view-property/286543/B48B6A7C09EF4DC9EE8DCC3B45E4A9AF86FC47F9DFC3FB1635B9FB5C9C515017</v>
      </c>
      <c r="I58" t="str">
        <f>HYPERLINK("https://baanknet.com/view-property/286543/B48B6A7C09EF4DC9EE8DCC3B45E4A9AF86FC47F9DFC3FB1635B9FB5C9C515017", "Open")</f>
        <v>Open</v>
      </c>
      <c r="J58" t="s">
        <v>20</v>
      </c>
      <c r="K58" t="s">
        <v>21</v>
      </c>
      <c r="L58">
        <v>1000000</v>
      </c>
      <c r="M58">
        <v>100000</v>
      </c>
    </row>
    <row r="59" spans="1:13" x14ac:dyDescent="0.25">
      <c r="A59" t="s">
        <v>239</v>
      </c>
      <c r="B59" t="s">
        <v>240</v>
      </c>
      <c r="C59" t="s">
        <v>121</v>
      </c>
      <c r="D59" t="s">
        <v>219</v>
      </c>
      <c r="E59" t="s">
        <v>17</v>
      </c>
      <c r="F59" t="s">
        <v>123</v>
      </c>
      <c r="G59" t="s">
        <v>241</v>
      </c>
      <c r="H59" t="str">
        <f>HYPERLINK("https://baanknet.com/view-property/276942/B41E724EB225A81F8E6966855BD772679CC27A84503CC8F0434F1D75E3778F98", "https://baanknet.com/view-property/276942/B41E724EB225A81F8E6966855BD772679CC27A84503CC8F0434F1D75E3778F98")</f>
        <v>https://baanknet.com/view-property/276942/B41E724EB225A81F8E6966855BD772679CC27A84503CC8F0434F1D75E3778F98</v>
      </c>
      <c r="I59" t="str">
        <f>HYPERLINK("https://baanknet.com/view-property/276942/B41E724EB225A81F8E6966855BD772679CC27A84503CC8F0434F1D75E3778F98", "Open")</f>
        <v>Open</v>
      </c>
      <c r="J59" t="s">
        <v>20</v>
      </c>
      <c r="K59" t="s">
        <v>21</v>
      </c>
      <c r="L59">
        <v>916200</v>
      </c>
      <c r="M59">
        <v>91620</v>
      </c>
    </row>
    <row r="60" spans="1:13" x14ac:dyDescent="0.25">
      <c r="A60" t="s">
        <v>242</v>
      </c>
      <c r="B60" t="s">
        <v>243</v>
      </c>
      <c r="C60" t="s">
        <v>121</v>
      </c>
      <c r="D60" t="s">
        <v>122</v>
      </c>
      <c r="E60" t="s">
        <v>17</v>
      </c>
      <c r="F60" t="s">
        <v>123</v>
      </c>
      <c r="G60" t="s">
        <v>244</v>
      </c>
      <c r="H60" t="str">
        <f>HYPERLINK("https://baanknet.com/view-property/267826/7A015DA89498D8D96400312201719E52987C49005A81EF8A46A9CABA8997D866", "https://baanknet.com/view-property/267826/7A015DA89498D8D96400312201719E52987C49005A81EF8A46A9CABA8997D866")</f>
        <v>https://baanknet.com/view-property/267826/7A015DA89498D8D96400312201719E52987C49005A81EF8A46A9CABA8997D866</v>
      </c>
      <c r="I60" t="str">
        <f>HYPERLINK("https://baanknet.com/view-property/267826/7A015DA89498D8D96400312201719E52987C49005A81EF8A46A9CABA8997D866", "Open")</f>
        <v>Open</v>
      </c>
      <c r="J60" t="s">
        <v>20</v>
      </c>
      <c r="K60" t="s">
        <v>21</v>
      </c>
      <c r="L60">
        <v>1167000</v>
      </c>
      <c r="M60">
        <v>116700</v>
      </c>
    </row>
    <row r="61" spans="1:13" x14ac:dyDescent="0.25">
      <c r="A61" t="s">
        <v>245</v>
      </c>
      <c r="B61" t="s">
        <v>246</v>
      </c>
      <c r="C61" t="s">
        <v>121</v>
      </c>
      <c r="D61" t="s">
        <v>219</v>
      </c>
      <c r="E61" t="s">
        <v>17</v>
      </c>
      <c r="F61" t="s">
        <v>123</v>
      </c>
      <c r="G61" t="s">
        <v>247</v>
      </c>
      <c r="H61" t="str">
        <f>HYPERLINK("https://baanknet.com/view-property/280751/07617486DDCD95964B47D13854AC9D2F494731FD6080230AB03FBBDA079234A1", "https://baanknet.com/view-property/280751/07617486DDCD95964B47D13854AC9D2F494731FD6080230AB03FBBDA079234A1")</f>
        <v>https://baanknet.com/view-property/280751/07617486DDCD95964B47D13854AC9D2F494731FD6080230AB03FBBDA079234A1</v>
      </c>
      <c r="I61" t="str">
        <f>HYPERLINK("https://baanknet.com/view-property/280751/07617486DDCD95964B47D13854AC9D2F494731FD6080230AB03FBBDA079234A1", "Open")</f>
        <v>Open</v>
      </c>
      <c r="J61" t="s">
        <v>20</v>
      </c>
      <c r="K61" t="s">
        <v>21</v>
      </c>
      <c r="L61">
        <v>1720000</v>
      </c>
      <c r="M61">
        <v>172000</v>
      </c>
    </row>
    <row r="62" spans="1:13" x14ac:dyDescent="0.25">
      <c r="A62" t="s">
        <v>248</v>
      </c>
      <c r="B62" t="s">
        <v>249</v>
      </c>
      <c r="C62" t="s">
        <v>121</v>
      </c>
      <c r="D62" t="s">
        <v>219</v>
      </c>
      <c r="E62" t="s">
        <v>17</v>
      </c>
      <c r="F62" t="s">
        <v>123</v>
      </c>
      <c r="G62" t="s">
        <v>250</v>
      </c>
      <c r="H62" t="str">
        <f>HYPERLINK("https://baanknet.com/view-property/281268/062C4D4A893F73BB4B43DD61C817EB1E30A626F77BC33AC10A58EF8146C0062B", "https://baanknet.com/view-property/281268/062C4D4A893F73BB4B43DD61C817EB1E30A626F77BC33AC10A58EF8146C0062B")</f>
        <v>https://baanknet.com/view-property/281268/062C4D4A893F73BB4B43DD61C817EB1E30A626F77BC33AC10A58EF8146C0062B</v>
      </c>
      <c r="I62" t="str">
        <f>HYPERLINK("https://baanknet.com/view-property/281268/062C4D4A893F73BB4B43DD61C817EB1E30A626F77BC33AC10A58EF8146C0062B", "Open")</f>
        <v>Open</v>
      </c>
      <c r="J62" t="s">
        <v>20</v>
      </c>
      <c r="K62" t="s">
        <v>21</v>
      </c>
      <c r="L62">
        <v>11533500</v>
      </c>
      <c r="M62">
        <v>1153350</v>
      </c>
    </row>
    <row r="63" spans="1:13" x14ac:dyDescent="0.25">
      <c r="A63" t="s">
        <v>251</v>
      </c>
      <c r="B63" t="s">
        <v>252</v>
      </c>
      <c r="C63" t="s">
        <v>121</v>
      </c>
      <c r="D63" t="s">
        <v>219</v>
      </c>
      <c r="E63" t="s">
        <v>17</v>
      </c>
      <c r="F63" t="s">
        <v>123</v>
      </c>
      <c r="G63" t="s">
        <v>253</v>
      </c>
      <c r="H63" t="str">
        <f>HYPERLINK("https://baanknet.com/view-property/287050/E6C623DCB07F83CF3A3E0CF81583F043F43106ECAC127AA6FD39D3B9320678CB", "https://baanknet.com/view-property/287050/E6C623DCB07F83CF3A3E0CF81583F043F43106ECAC127AA6FD39D3B9320678CB")</f>
        <v>https://baanknet.com/view-property/287050/E6C623DCB07F83CF3A3E0CF81583F043F43106ECAC127AA6FD39D3B9320678CB</v>
      </c>
      <c r="I63" t="str">
        <f>HYPERLINK("https://baanknet.com/view-property/287050/E6C623DCB07F83CF3A3E0CF81583F043F43106ECAC127AA6FD39D3B9320678CB", "Open")</f>
        <v>Open</v>
      </c>
      <c r="J63" t="s">
        <v>20</v>
      </c>
      <c r="K63" t="s">
        <v>21</v>
      </c>
      <c r="L63">
        <v>490000</v>
      </c>
      <c r="M63">
        <v>49000</v>
      </c>
    </row>
    <row r="64" spans="1:13" x14ac:dyDescent="0.25">
      <c r="A64" t="s">
        <v>254</v>
      </c>
      <c r="B64" t="s">
        <v>255</v>
      </c>
      <c r="C64" t="s">
        <v>121</v>
      </c>
      <c r="D64" t="s">
        <v>219</v>
      </c>
      <c r="E64" t="s">
        <v>17</v>
      </c>
      <c r="F64" t="s">
        <v>123</v>
      </c>
      <c r="G64" t="s">
        <v>256</v>
      </c>
      <c r="H64" t="str">
        <f>HYPERLINK("https://baanknet.com/view-property/286917/C6980F5C03E6AA419FEEAE64525939D2AB7A24694E90C03CE962D620432F2BE1", "https://baanknet.com/view-property/286917/C6980F5C03E6AA419FEEAE64525939D2AB7A24694E90C03CE962D620432F2BE1")</f>
        <v>https://baanknet.com/view-property/286917/C6980F5C03E6AA419FEEAE64525939D2AB7A24694E90C03CE962D620432F2BE1</v>
      </c>
      <c r="I64" t="str">
        <f>HYPERLINK("https://baanknet.com/view-property/286917/C6980F5C03E6AA419FEEAE64525939D2AB7A24694E90C03CE962D620432F2BE1", "Open")</f>
        <v>Open</v>
      </c>
      <c r="J64" t="s">
        <v>20</v>
      </c>
      <c r="K64" t="s">
        <v>21</v>
      </c>
      <c r="L64">
        <v>1170000</v>
      </c>
      <c r="M64">
        <v>117000</v>
      </c>
    </row>
    <row r="65" spans="1:13" x14ac:dyDescent="0.25">
      <c r="A65" t="s">
        <v>257</v>
      </c>
      <c r="B65" t="s">
        <v>258</v>
      </c>
      <c r="C65" t="s">
        <v>121</v>
      </c>
      <c r="D65" t="s">
        <v>219</v>
      </c>
      <c r="E65" t="s">
        <v>17</v>
      </c>
      <c r="F65" t="s">
        <v>123</v>
      </c>
      <c r="G65" t="s">
        <v>259</v>
      </c>
      <c r="H65" t="str">
        <f>HYPERLINK("https://baanknet.com/view-property/287094/350D6F0E4CBED1BD7D50EF59BA51EA6FBC972EB9B535F32D88F6B9656C9B8E57", "https://baanknet.com/view-property/287094/350D6F0E4CBED1BD7D50EF59BA51EA6FBC972EB9B535F32D88F6B9656C9B8E57")</f>
        <v>https://baanknet.com/view-property/287094/350D6F0E4CBED1BD7D50EF59BA51EA6FBC972EB9B535F32D88F6B9656C9B8E57</v>
      </c>
      <c r="I65" t="str">
        <f>HYPERLINK("https://baanknet.com/view-property/287094/350D6F0E4CBED1BD7D50EF59BA51EA6FBC972EB9B535F32D88F6B9656C9B8E57", "Open")</f>
        <v>Open</v>
      </c>
      <c r="J65" t="s">
        <v>20</v>
      </c>
      <c r="K65" t="s">
        <v>21</v>
      </c>
      <c r="L65">
        <v>1600000</v>
      </c>
      <c r="M65">
        <v>160000</v>
      </c>
    </row>
    <row r="66" spans="1:13" x14ac:dyDescent="0.25">
      <c r="A66" t="s">
        <v>260</v>
      </c>
      <c r="B66" t="s">
        <v>261</v>
      </c>
      <c r="C66" t="s">
        <v>121</v>
      </c>
      <c r="D66" t="s">
        <v>262</v>
      </c>
      <c r="E66" t="s">
        <v>17</v>
      </c>
      <c r="F66" t="s">
        <v>123</v>
      </c>
      <c r="G66" t="s">
        <v>263</v>
      </c>
      <c r="H66" t="str">
        <f>HYPERLINK("https://baanknet.com/view-property/175102/ABC56BA56DDB964A43D8FB1A0C29451521CE2F08D64BE66CFF28C9C94BF05CE5", "https://baanknet.com/view-property/175102/ABC56BA56DDB964A43D8FB1A0C29451521CE2F08D64BE66CFF28C9C94BF05CE5")</f>
        <v>https://baanknet.com/view-property/175102/ABC56BA56DDB964A43D8FB1A0C29451521CE2F08D64BE66CFF28C9C94BF05CE5</v>
      </c>
      <c r="I66" t="str">
        <f>HYPERLINK("https://baanknet.com/view-property/175102/ABC56BA56DDB964A43D8FB1A0C29451521CE2F08D64BE66CFF28C9C94BF05CE5", "Open")</f>
        <v>Open</v>
      </c>
      <c r="J66" t="s">
        <v>20</v>
      </c>
      <c r="K66" t="s">
        <v>21</v>
      </c>
      <c r="L66">
        <v>898000</v>
      </c>
      <c r="M66">
        <v>89800</v>
      </c>
    </row>
    <row r="67" spans="1:13" x14ac:dyDescent="0.25">
      <c r="A67" t="s">
        <v>264</v>
      </c>
      <c r="B67" t="s">
        <v>265</v>
      </c>
      <c r="C67" t="s">
        <v>121</v>
      </c>
      <c r="D67" t="s">
        <v>266</v>
      </c>
      <c r="E67" t="s">
        <v>17</v>
      </c>
      <c r="F67" t="s">
        <v>123</v>
      </c>
      <c r="G67" t="s">
        <v>267</v>
      </c>
      <c r="H67" t="str">
        <f>HYPERLINK("https://baanknet.com/view-property/264669/E44E2A672AB736FB4D252FDAC7226B0A7872654506650F0ACC1A15E57596379B", "https://baanknet.com/view-property/264669/E44E2A672AB736FB4D252FDAC7226B0A7872654506650F0ACC1A15E57596379B")</f>
        <v>https://baanknet.com/view-property/264669/E44E2A672AB736FB4D252FDAC7226B0A7872654506650F0ACC1A15E57596379B</v>
      </c>
      <c r="I67" t="str">
        <f>HYPERLINK("https://baanknet.com/view-property/264669/E44E2A672AB736FB4D252FDAC7226B0A7872654506650F0ACC1A15E57596379B", "Open")</f>
        <v>Open</v>
      </c>
      <c r="J67" t="s">
        <v>20</v>
      </c>
      <c r="K67" t="s">
        <v>21</v>
      </c>
      <c r="L67">
        <v>2190000</v>
      </c>
      <c r="M67">
        <v>219000</v>
      </c>
    </row>
    <row r="68" spans="1:13" x14ac:dyDescent="0.25">
      <c r="A68" t="s">
        <v>268</v>
      </c>
      <c r="B68" t="s">
        <v>269</v>
      </c>
      <c r="C68" t="s">
        <v>121</v>
      </c>
      <c r="D68" t="s">
        <v>266</v>
      </c>
      <c r="E68" t="s">
        <v>17</v>
      </c>
      <c r="F68" t="s">
        <v>123</v>
      </c>
      <c r="G68" t="s">
        <v>270</v>
      </c>
      <c r="H68" t="str">
        <f>HYPERLINK("https://baanknet.com/view-property/264674/DDE88AA71CD99DF71BEE85A0B9C35055D196FC671F755FBE0EF88564559DC517", "https://baanknet.com/view-property/264674/DDE88AA71CD99DF71BEE85A0B9C35055D196FC671F755FBE0EF88564559DC517")</f>
        <v>https://baanknet.com/view-property/264674/DDE88AA71CD99DF71BEE85A0B9C35055D196FC671F755FBE0EF88564559DC517</v>
      </c>
      <c r="I68" t="str">
        <f>HYPERLINK("https://baanknet.com/view-property/264674/DDE88AA71CD99DF71BEE85A0B9C35055D196FC671F755FBE0EF88564559DC517", "Open")</f>
        <v>Open</v>
      </c>
      <c r="J68" t="s">
        <v>20</v>
      </c>
      <c r="K68" t="s">
        <v>21</v>
      </c>
      <c r="L68">
        <v>1220000</v>
      </c>
      <c r="M68">
        <v>122000</v>
      </c>
    </row>
    <row r="69" spans="1:13" x14ac:dyDescent="0.25">
      <c r="A69" t="s">
        <v>271</v>
      </c>
      <c r="B69" t="s">
        <v>272</v>
      </c>
      <c r="C69" t="s">
        <v>121</v>
      </c>
      <c r="D69" t="s">
        <v>273</v>
      </c>
      <c r="E69" t="s">
        <v>17</v>
      </c>
      <c r="F69" t="s">
        <v>123</v>
      </c>
      <c r="G69" t="s">
        <v>274</v>
      </c>
      <c r="H69" t="str">
        <f>HYPERLINK("https://baanknet.com/view-property/262312/1C76CF1CBD5E115318468C2460507944F10B7B8070C5227322A6FBBF51B811E5", "https://baanknet.com/view-property/262312/1C76CF1CBD5E115318468C2460507944F10B7B8070C5227322A6FBBF51B811E5")</f>
        <v>https://baanknet.com/view-property/262312/1C76CF1CBD5E115318468C2460507944F10B7B8070C5227322A6FBBF51B811E5</v>
      </c>
      <c r="I69" t="str">
        <f>HYPERLINK("https://baanknet.com/view-property/262312/1C76CF1CBD5E115318468C2460507944F10B7B8070C5227322A6FBBF51B811E5", "Open")</f>
        <v>Open</v>
      </c>
      <c r="J69" t="s">
        <v>20</v>
      </c>
      <c r="K69" t="s">
        <v>21</v>
      </c>
      <c r="L69">
        <v>2050000</v>
      </c>
      <c r="M69">
        <v>205000</v>
      </c>
    </row>
    <row r="70" spans="1:13" x14ac:dyDescent="0.25">
      <c r="A70" t="s">
        <v>275</v>
      </c>
      <c r="B70" t="s">
        <v>276</v>
      </c>
      <c r="C70" t="s">
        <v>15</v>
      </c>
      <c r="D70" t="s">
        <v>277</v>
      </c>
      <c r="E70" t="s">
        <v>17</v>
      </c>
      <c r="F70" t="s">
        <v>278</v>
      </c>
      <c r="G70" t="s">
        <v>279</v>
      </c>
      <c r="H70" t="str">
        <f>HYPERLINK("https://baanknet.com/view-property/252113/7C67A5E79961CCAF11F1E71C9F6835B44D92E72510684DE93E3C32BE6AF12FDE", "https://baanknet.com/view-property/252113/7C67A5E79961CCAF11F1E71C9F6835B44D92E72510684DE93E3C32BE6AF12FDE")</f>
        <v>https://baanknet.com/view-property/252113/7C67A5E79961CCAF11F1E71C9F6835B44D92E72510684DE93E3C32BE6AF12FDE</v>
      </c>
      <c r="I70" t="str">
        <f>HYPERLINK("https://baanknet.com/view-property/252113/7C67A5E79961CCAF11F1E71C9F6835B44D92E72510684DE93E3C32BE6AF12FDE", "Open")</f>
        <v>Open</v>
      </c>
      <c r="J70" t="s">
        <v>20</v>
      </c>
      <c r="K70" t="s">
        <v>21</v>
      </c>
      <c r="L70">
        <v>1850000</v>
      </c>
      <c r="M70">
        <v>185000</v>
      </c>
    </row>
    <row r="71" spans="1:13" x14ac:dyDescent="0.25">
      <c r="A71" t="s">
        <v>280</v>
      </c>
      <c r="B71" t="s">
        <v>281</v>
      </c>
      <c r="C71" t="s">
        <v>83</v>
      </c>
      <c r="D71" t="s">
        <v>282</v>
      </c>
      <c r="E71" t="s">
        <v>283</v>
      </c>
      <c r="F71" t="s">
        <v>284</v>
      </c>
      <c r="G71" t="s">
        <v>285</v>
      </c>
      <c r="H71" t="str">
        <f>HYPERLINK("https://baanknet.com/view-property/255911/844D1E917E591C156F5B8F5F8ED2D80EC08E17DCF5E6CD1E87295BF2542566FC", "https://baanknet.com/view-property/255911/844D1E917E591C156F5B8F5F8ED2D80EC08E17DCF5E6CD1E87295BF2542566FC")</f>
        <v>https://baanknet.com/view-property/255911/844D1E917E591C156F5B8F5F8ED2D80EC08E17DCF5E6CD1E87295BF2542566FC</v>
      </c>
      <c r="I71" t="str">
        <f>HYPERLINK("https://baanknet.com/view-property/255911/844D1E917E591C156F5B8F5F8ED2D80EC08E17DCF5E6CD1E87295BF2542566FC", "Open")</f>
        <v>Open</v>
      </c>
      <c r="J71" t="s">
        <v>20</v>
      </c>
      <c r="K71" t="s">
        <v>21</v>
      </c>
      <c r="L71">
        <v>3300000</v>
      </c>
      <c r="M71">
        <v>330000</v>
      </c>
    </row>
    <row r="72" spans="1:13" x14ac:dyDescent="0.25">
      <c r="A72" t="s">
        <v>286</v>
      </c>
      <c r="B72" t="s">
        <v>287</v>
      </c>
      <c r="C72" t="s">
        <v>15</v>
      </c>
      <c r="D72" t="s">
        <v>288</v>
      </c>
      <c r="E72" t="s">
        <v>283</v>
      </c>
      <c r="F72" t="s">
        <v>284</v>
      </c>
      <c r="G72" t="s">
        <v>289</v>
      </c>
      <c r="H72" t="str">
        <f>HYPERLINK("https://baanknet.com/view-property/284615/303DFAF2CED0BED19A15BD68A10A41CF426CBD6693E0024B7A420A2EE95C8F5A", "https://baanknet.com/view-property/284615/303DFAF2CED0BED19A15BD68A10A41CF426CBD6693E0024B7A420A2EE95C8F5A")</f>
        <v>https://baanknet.com/view-property/284615/303DFAF2CED0BED19A15BD68A10A41CF426CBD6693E0024B7A420A2EE95C8F5A</v>
      </c>
      <c r="I72" t="str">
        <f>HYPERLINK("https://baanknet.com/view-property/284615/303DFAF2CED0BED19A15BD68A10A41CF426CBD6693E0024B7A420A2EE95C8F5A", "Open")</f>
        <v>Open</v>
      </c>
      <c r="J72" t="s">
        <v>20</v>
      </c>
      <c r="K72" t="s">
        <v>21</v>
      </c>
      <c r="L72">
        <v>3862000</v>
      </c>
      <c r="M72">
        <v>386200</v>
      </c>
    </row>
    <row r="73" spans="1:13" x14ac:dyDescent="0.25">
      <c r="A73" t="s">
        <v>290</v>
      </c>
      <c r="B73" t="s">
        <v>291</v>
      </c>
      <c r="C73" t="s">
        <v>15</v>
      </c>
      <c r="D73" t="s">
        <v>292</v>
      </c>
      <c r="E73" t="s">
        <v>283</v>
      </c>
      <c r="F73" t="s">
        <v>284</v>
      </c>
      <c r="G73" t="s">
        <v>293</v>
      </c>
      <c r="H73" t="str">
        <f>HYPERLINK("https://baanknet.com/view-property/201454/64D29C397B177CE822874E9955196EE5D0E010030B3F2D506D3E77F505F06796", "https://baanknet.com/view-property/201454/64D29C397B177CE822874E9955196EE5D0E010030B3F2D506D3E77F505F06796")</f>
        <v>https://baanknet.com/view-property/201454/64D29C397B177CE822874E9955196EE5D0E010030B3F2D506D3E77F505F06796</v>
      </c>
      <c r="I73" t="str">
        <f>HYPERLINK("https://baanknet.com/view-property/201454/64D29C397B177CE822874E9955196EE5D0E010030B3F2D506D3E77F505F06796", "Open")</f>
        <v>Open</v>
      </c>
      <c r="J73" t="s">
        <v>20</v>
      </c>
      <c r="K73" t="s">
        <v>21</v>
      </c>
      <c r="L73">
        <v>1569000</v>
      </c>
      <c r="M73">
        <v>156900</v>
      </c>
    </row>
    <row r="74" spans="1:13" x14ac:dyDescent="0.25">
      <c r="A74" t="s">
        <v>294</v>
      </c>
      <c r="B74" t="s">
        <v>295</v>
      </c>
      <c r="C74" t="s">
        <v>15</v>
      </c>
      <c r="D74" t="s">
        <v>296</v>
      </c>
      <c r="E74" t="s">
        <v>283</v>
      </c>
      <c r="F74" t="s">
        <v>284</v>
      </c>
      <c r="G74" t="s">
        <v>297</v>
      </c>
      <c r="H74" t="str">
        <f>HYPERLINK("https://baanknet.com/view-property/245202/6E3A38FFD7F19CC022FA7545D6A33ECB447823F8409BD0A42DA8EDB7BD004DE8", "https://baanknet.com/view-property/245202/6E3A38FFD7F19CC022FA7545D6A33ECB447823F8409BD0A42DA8EDB7BD004DE8")</f>
        <v>https://baanknet.com/view-property/245202/6E3A38FFD7F19CC022FA7545D6A33ECB447823F8409BD0A42DA8EDB7BD004DE8</v>
      </c>
      <c r="I74" t="str">
        <f>HYPERLINK("https://baanknet.com/view-property/245202/6E3A38FFD7F19CC022FA7545D6A33ECB447823F8409BD0A42DA8EDB7BD004DE8", "Open")</f>
        <v>Open</v>
      </c>
      <c r="J74" t="s">
        <v>20</v>
      </c>
      <c r="K74" t="s">
        <v>21</v>
      </c>
      <c r="L74">
        <v>2835000</v>
      </c>
      <c r="M74">
        <v>283500</v>
      </c>
    </row>
    <row r="75" spans="1:13" x14ac:dyDescent="0.25">
      <c r="A75" t="s">
        <v>298</v>
      </c>
      <c r="B75" t="s">
        <v>299</v>
      </c>
      <c r="C75" t="s">
        <v>15</v>
      </c>
      <c r="D75" t="s">
        <v>300</v>
      </c>
      <c r="E75" t="s">
        <v>283</v>
      </c>
      <c r="F75" t="s">
        <v>284</v>
      </c>
      <c r="G75" t="s">
        <v>301</v>
      </c>
      <c r="H75" t="str">
        <f>HYPERLINK("https://baanknet.com/view-property/266066/3DCFA660E45DD2839847998B1F32DBD847E45F2BFD85D245266A507E64D099CD", "https://baanknet.com/view-property/266066/3DCFA660E45DD2839847998B1F32DBD847E45F2BFD85D245266A507E64D099CD")</f>
        <v>https://baanknet.com/view-property/266066/3DCFA660E45DD2839847998B1F32DBD847E45F2BFD85D245266A507E64D099CD</v>
      </c>
      <c r="I75" t="str">
        <f>HYPERLINK("https://baanknet.com/view-property/266066/3DCFA660E45DD2839847998B1F32DBD847E45F2BFD85D245266A507E64D099CD", "Open")</f>
        <v>Open</v>
      </c>
      <c r="J75" t="s">
        <v>20</v>
      </c>
      <c r="K75" t="s">
        <v>21</v>
      </c>
      <c r="L75">
        <v>6600000</v>
      </c>
      <c r="M75">
        <v>660000</v>
      </c>
    </row>
    <row r="76" spans="1:13" x14ac:dyDescent="0.25">
      <c r="A76" t="s">
        <v>302</v>
      </c>
      <c r="B76" t="s">
        <v>303</v>
      </c>
      <c r="C76" t="s">
        <v>15</v>
      </c>
      <c r="D76" t="s">
        <v>304</v>
      </c>
      <c r="E76" t="s">
        <v>283</v>
      </c>
      <c r="F76" t="s">
        <v>305</v>
      </c>
      <c r="G76" t="s">
        <v>306</v>
      </c>
      <c r="H76" t="str">
        <f>HYPERLINK("https://baanknet.com/view-property/267930/346F3635463C92A3A724800BA3BC17C283885111CA48255842323E60BE6590EA", "https://baanknet.com/view-property/267930/346F3635463C92A3A724800BA3BC17C283885111CA48255842323E60BE6590EA")</f>
        <v>https://baanknet.com/view-property/267930/346F3635463C92A3A724800BA3BC17C283885111CA48255842323E60BE6590EA</v>
      </c>
      <c r="I76" t="str">
        <f>HYPERLINK("https://baanknet.com/view-property/267930/346F3635463C92A3A724800BA3BC17C283885111CA48255842323E60BE6590EA", "Open")</f>
        <v>Open</v>
      </c>
      <c r="J76" t="s">
        <v>20</v>
      </c>
      <c r="K76" t="s">
        <v>21</v>
      </c>
      <c r="L76">
        <v>6120000</v>
      </c>
      <c r="M76">
        <v>612000</v>
      </c>
    </row>
    <row r="77" spans="1:13" x14ac:dyDescent="0.25">
      <c r="A77" t="s">
        <v>307</v>
      </c>
      <c r="B77" t="s">
        <v>308</v>
      </c>
      <c r="C77" t="s">
        <v>15</v>
      </c>
      <c r="D77" t="s">
        <v>309</v>
      </c>
      <c r="E77" t="s">
        <v>283</v>
      </c>
      <c r="F77" t="s">
        <v>305</v>
      </c>
      <c r="G77" t="s">
        <v>310</v>
      </c>
      <c r="H77" t="str">
        <f>HYPERLINK("https://baanknet.com/view-property/240819/558CD279E016A19539225C45979502D01D69A42FA12E1D4F968E6BB8845341A8", "https://baanknet.com/view-property/240819/558CD279E016A19539225C45979502D01D69A42FA12E1D4F968E6BB8845341A8")</f>
        <v>https://baanknet.com/view-property/240819/558CD279E016A19539225C45979502D01D69A42FA12E1D4F968E6BB8845341A8</v>
      </c>
      <c r="I77" t="str">
        <f>HYPERLINK("https://baanknet.com/view-property/240819/558CD279E016A19539225C45979502D01D69A42FA12E1D4F968E6BB8845341A8", "Open")</f>
        <v>Open</v>
      </c>
      <c r="J77" t="s">
        <v>20</v>
      </c>
      <c r="K77" t="s">
        <v>21</v>
      </c>
      <c r="L77">
        <v>3900000</v>
      </c>
      <c r="M77">
        <v>390000</v>
      </c>
    </row>
    <row r="78" spans="1:13" x14ac:dyDescent="0.25">
      <c r="A78" t="s">
        <v>311</v>
      </c>
      <c r="B78" t="s">
        <v>312</v>
      </c>
      <c r="C78" t="s">
        <v>15</v>
      </c>
      <c r="D78" t="s">
        <v>309</v>
      </c>
      <c r="E78" t="s">
        <v>283</v>
      </c>
      <c r="F78" t="s">
        <v>305</v>
      </c>
      <c r="G78" t="s">
        <v>313</v>
      </c>
      <c r="H78" t="str">
        <f>HYPERLINK("https://baanknet.com/view-property/240820/BC477F2251BCAEC307A753764C060756102FCAC19B1F794213CCD4BC32AC275E", "https://baanknet.com/view-property/240820/BC477F2251BCAEC307A753764C060756102FCAC19B1F794213CCD4BC32AC275E")</f>
        <v>https://baanknet.com/view-property/240820/BC477F2251BCAEC307A753764C060756102FCAC19B1F794213CCD4BC32AC275E</v>
      </c>
      <c r="I78" t="str">
        <f>HYPERLINK("https://baanknet.com/view-property/240820/BC477F2251BCAEC307A753764C060756102FCAC19B1F794213CCD4BC32AC275E", "Open")</f>
        <v>Open</v>
      </c>
      <c r="J78" t="s">
        <v>20</v>
      </c>
      <c r="K78" t="s">
        <v>21</v>
      </c>
      <c r="L78">
        <v>7000000</v>
      </c>
      <c r="M78">
        <v>700000</v>
      </c>
    </row>
    <row r="79" spans="1:13" x14ac:dyDescent="0.25">
      <c r="A79" t="s">
        <v>314</v>
      </c>
      <c r="B79" t="s">
        <v>315</v>
      </c>
      <c r="C79" t="s">
        <v>15</v>
      </c>
      <c r="D79" t="s">
        <v>316</v>
      </c>
      <c r="E79" t="s">
        <v>283</v>
      </c>
      <c r="F79" t="s">
        <v>305</v>
      </c>
      <c r="G79" t="s">
        <v>317</v>
      </c>
      <c r="H79" t="str">
        <f>HYPERLINK("https://baanknet.com/view-property/259865/F08AD35EB8BD2282511BCBB0C7C5586C75822D4E30387CCA839B9AC4CFFAA698", "https://baanknet.com/view-property/259865/F08AD35EB8BD2282511BCBB0C7C5586C75822D4E30387CCA839B9AC4CFFAA698")</f>
        <v>https://baanknet.com/view-property/259865/F08AD35EB8BD2282511BCBB0C7C5586C75822D4E30387CCA839B9AC4CFFAA698</v>
      </c>
      <c r="I79" t="str">
        <f>HYPERLINK("https://baanknet.com/view-property/259865/F08AD35EB8BD2282511BCBB0C7C5586C75822D4E30387CCA839B9AC4CFFAA698", "Open")</f>
        <v>Open</v>
      </c>
      <c r="J79" t="s">
        <v>20</v>
      </c>
      <c r="K79" t="s">
        <v>21</v>
      </c>
      <c r="L79">
        <v>924000</v>
      </c>
      <c r="M79">
        <v>92400</v>
      </c>
    </row>
    <row r="80" spans="1:13" x14ac:dyDescent="0.25">
      <c r="A80" t="s">
        <v>318</v>
      </c>
      <c r="B80" t="s">
        <v>319</v>
      </c>
      <c r="C80" t="s">
        <v>15</v>
      </c>
      <c r="D80" t="s">
        <v>320</v>
      </c>
      <c r="E80" t="s">
        <v>283</v>
      </c>
      <c r="F80" t="s">
        <v>305</v>
      </c>
      <c r="G80" t="s">
        <v>321</v>
      </c>
      <c r="H80" t="str">
        <f>HYPERLINK("https://baanknet.com/view-property/259751/00DA907A0C5F885296B3BFC2C54B02975CA3534609A3B19D92460CD87C7D4D95", "https://baanknet.com/view-property/259751/00DA907A0C5F885296B3BFC2C54B02975CA3534609A3B19D92460CD87C7D4D95")</f>
        <v>https://baanknet.com/view-property/259751/00DA907A0C5F885296B3BFC2C54B02975CA3534609A3B19D92460CD87C7D4D95</v>
      </c>
      <c r="I80" t="str">
        <f>HYPERLINK("https://baanknet.com/view-property/259751/00DA907A0C5F885296B3BFC2C54B02975CA3534609A3B19D92460CD87C7D4D95", "Open")</f>
        <v>Open</v>
      </c>
      <c r="J80" t="s">
        <v>20</v>
      </c>
      <c r="K80" t="s">
        <v>21</v>
      </c>
      <c r="L80">
        <v>1477000</v>
      </c>
      <c r="M80">
        <v>147700</v>
      </c>
    </row>
    <row r="81" spans="1:13" x14ac:dyDescent="0.25">
      <c r="A81" t="s">
        <v>322</v>
      </c>
      <c r="B81" t="s">
        <v>323</v>
      </c>
      <c r="C81" t="s">
        <v>144</v>
      </c>
      <c r="D81" t="s">
        <v>324</v>
      </c>
      <c r="E81" t="s">
        <v>283</v>
      </c>
      <c r="F81" t="s">
        <v>305</v>
      </c>
      <c r="G81" t="s">
        <v>325</v>
      </c>
      <c r="H81" t="str">
        <f>HYPERLINK("https://baanknet.com/view-property/281316/1D40FB336AF52B40FEF1527554B80315500EB48A0985C0A13E2B8384198A61C1", "https://baanknet.com/view-property/281316/1D40FB336AF52B40FEF1527554B80315500EB48A0985C0A13E2B8384198A61C1")</f>
        <v>https://baanknet.com/view-property/281316/1D40FB336AF52B40FEF1527554B80315500EB48A0985C0A13E2B8384198A61C1</v>
      </c>
      <c r="I81" t="str">
        <f>HYPERLINK("https://baanknet.com/view-property/281316/1D40FB336AF52B40FEF1527554B80315500EB48A0985C0A13E2B8384198A61C1", "Open")</f>
        <v>Open</v>
      </c>
      <c r="J81" t="s">
        <v>20</v>
      </c>
      <c r="K81" t="s">
        <v>21</v>
      </c>
      <c r="L81">
        <v>1398000</v>
      </c>
      <c r="M81">
        <v>139800</v>
      </c>
    </row>
    <row r="82" spans="1:13" x14ac:dyDescent="0.25">
      <c r="A82" t="s">
        <v>326</v>
      </c>
      <c r="B82" t="s">
        <v>327</v>
      </c>
      <c r="C82" t="s">
        <v>144</v>
      </c>
      <c r="D82" t="s">
        <v>328</v>
      </c>
      <c r="E82" t="s">
        <v>283</v>
      </c>
      <c r="F82" t="s">
        <v>305</v>
      </c>
      <c r="G82" t="s">
        <v>329</v>
      </c>
      <c r="H82" t="str">
        <f>HYPERLINK("https://baanknet.com/view-property/253868/17A02C7310BCAF69DA2618E3A096FA8CC2FB211463872A926D4FDC2B2A507877", "https://baanknet.com/view-property/253868/17A02C7310BCAF69DA2618E3A096FA8CC2FB211463872A926D4FDC2B2A507877")</f>
        <v>https://baanknet.com/view-property/253868/17A02C7310BCAF69DA2618E3A096FA8CC2FB211463872A926D4FDC2B2A507877</v>
      </c>
      <c r="I82" t="str">
        <f>HYPERLINK("https://baanknet.com/view-property/253868/17A02C7310BCAF69DA2618E3A096FA8CC2FB211463872A926D4FDC2B2A507877", "Open")</f>
        <v>Open</v>
      </c>
      <c r="J82" t="s">
        <v>20</v>
      </c>
      <c r="K82" t="s">
        <v>21</v>
      </c>
      <c r="L82">
        <v>630000</v>
      </c>
      <c r="M82">
        <v>63000</v>
      </c>
    </row>
    <row r="83" spans="1:13" x14ac:dyDescent="0.25">
      <c r="A83" t="s">
        <v>330</v>
      </c>
      <c r="B83" t="s">
        <v>331</v>
      </c>
      <c r="C83" t="s">
        <v>332</v>
      </c>
      <c r="D83" t="s">
        <v>333</v>
      </c>
      <c r="E83" t="s">
        <v>283</v>
      </c>
      <c r="F83" t="s">
        <v>334</v>
      </c>
      <c r="G83" t="s">
        <v>335</v>
      </c>
      <c r="H83" t="str">
        <f>HYPERLINK("https://baanknet.com/view-property/284077/9A29839E144CF99DE4BAC5FCF1D86EEFCC34D75C694E91ADA243625C82BBCA74", "https://baanknet.com/view-property/284077/9A29839E144CF99DE4BAC5FCF1D86EEFCC34D75C694E91ADA243625C82BBCA74")</f>
        <v>https://baanknet.com/view-property/284077/9A29839E144CF99DE4BAC5FCF1D86EEFCC34D75C694E91ADA243625C82BBCA74</v>
      </c>
      <c r="I83" t="str">
        <f>HYPERLINK("https://baanknet.com/view-property/284077/9A29839E144CF99DE4BAC5FCF1D86EEFCC34D75C694E91ADA243625C82BBCA74", "Open")</f>
        <v>Open</v>
      </c>
      <c r="J83" t="s">
        <v>20</v>
      </c>
      <c r="K83" t="s">
        <v>21</v>
      </c>
      <c r="L83">
        <v>6220000</v>
      </c>
      <c r="M83">
        <v>622000</v>
      </c>
    </row>
    <row r="84" spans="1:13" x14ac:dyDescent="0.25">
      <c r="A84" t="s">
        <v>336</v>
      </c>
      <c r="B84" t="s">
        <v>337</v>
      </c>
      <c r="C84" t="s">
        <v>121</v>
      </c>
      <c r="D84" t="s">
        <v>338</v>
      </c>
      <c r="E84" t="s">
        <v>283</v>
      </c>
      <c r="F84" t="s">
        <v>334</v>
      </c>
      <c r="G84" t="s">
        <v>339</v>
      </c>
      <c r="H84" t="str">
        <f>HYPERLINK("https://baanknet.com/view-property/179634/96FFEDAC3C364FC789F6D04DBFDC17F68AE5965283D98A71623DC5F3674D244B", "https://baanknet.com/view-property/179634/96FFEDAC3C364FC789F6D04DBFDC17F68AE5965283D98A71623DC5F3674D244B")</f>
        <v>https://baanknet.com/view-property/179634/96FFEDAC3C364FC789F6D04DBFDC17F68AE5965283D98A71623DC5F3674D244B</v>
      </c>
      <c r="I84" t="str">
        <f>HYPERLINK("https://baanknet.com/view-property/179634/96FFEDAC3C364FC789F6D04DBFDC17F68AE5965283D98A71623DC5F3674D244B", "Open")</f>
        <v>Open</v>
      </c>
      <c r="J84" t="s">
        <v>20</v>
      </c>
      <c r="K84" t="s">
        <v>21</v>
      </c>
      <c r="L84">
        <v>1434000</v>
      </c>
      <c r="M84">
        <v>143400</v>
      </c>
    </row>
    <row r="85" spans="1:13" x14ac:dyDescent="0.25">
      <c r="A85" t="s">
        <v>340</v>
      </c>
      <c r="B85" t="s">
        <v>341</v>
      </c>
      <c r="C85" t="s">
        <v>121</v>
      </c>
      <c r="D85" t="s">
        <v>342</v>
      </c>
      <c r="E85" t="s">
        <v>283</v>
      </c>
      <c r="F85" t="s">
        <v>334</v>
      </c>
      <c r="G85" t="s">
        <v>343</v>
      </c>
      <c r="H85" t="str">
        <f>HYPERLINK("https://baanknet.com/view-property/239072/06D06047735980FEC4B0E3A6D028960D10C6ED7BB2C27AC8EF28C3FB273A4A3A", "https://baanknet.com/view-property/239072/06D06047735980FEC4B0E3A6D028960D10C6ED7BB2C27AC8EF28C3FB273A4A3A")</f>
        <v>https://baanknet.com/view-property/239072/06D06047735980FEC4B0E3A6D028960D10C6ED7BB2C27AC8EF28C3FB273A4A3A</v>
      </c>
      <c r="I85" t="str">
        <f>HYPERLINK("https://baanknet.com/view-property/239072/06D06047735980FEC4B0E3A6D028960D10C6ED7BB2C27AC8EF28C3FB273A4A3A", "Open")</f>
        <v>Open</v>
      </c>
      <c r="J85" t="s">
        <v>20</v>
      </c>
      <c r="K85" t="s">
        <v>21</v>
      </c>
      <c r="L85">
        <v>1170000</v>
      </c>
      <c r="M85">
        <v>117000</v>
      </c>
    </row>
    <row r="86" spans="1:13" x14ac:dyDescent="0.25">
      <c r="A86" t="s">
        <v>344</v>
      </c>
      <c r="B86" t="s">
        <v>345</v>
      </c>
      <c r="C86" t="s">
        <v>121</v>
      </c>
      <c r="D86" t="s">
        <v>346</v>
      </c>
      <c r="E86" t="s">
        <v>283</v>
      </c>
      <c r="F86" t="s">
        <v>334</v>
      </c>
      <c r="G86" t="s">
        <v>347</v>
      </c>
      <c r="H86" t="str">
        <f>HYPERLINK("https://baanknet.com/view-property/286670/3B4A551DE1D65F3B41AC21C7EEDD7BF4BC6DE04B24A9B070689DF9799D589441", "https://baanknet.com/view-property/286670/3B4A551DE1D65F3B41AC21C7EEDD7BF4BC6DE04B24A9B070689DF9799D589441")</f>
        <v>https://baanknet.com/view-property/286670/3B4A551DE1D65F3B41AC21C7EEDD7BF4BC6DE04B24A9B070689DF9799D589441</v>
      </c>
      <c r="I86" t="str">
        <f>HYPERLINK("https://baanknet.com/view-property/286670/3B4A551DE1D65F3B41AC21C7EEDD7BF4BC6DE04B24A9B070689DF9799D589441", "Open")</f>
        <v>Open</v>
      </c>
      <c r="J86" t="s">
        <v>20</v>
      </c>
      <c r="K86" t="s">
        <v>21</v>
      </c>
      <c r="L86">
        <v>1745800</v>
      </c>
      <c r="M86">
        <v>174580</v>
      </c>
    </row>
    <row r="87" spans="1:13" x14ac:dyDescent="0.25">
      <c r="A87" t="s">
        <v>348</v>
      </c>
      <c r="B87" t="s">
        <v>349</v>
      </c>
      <c r="C87" t="s">
        <v>121</v>
      </c>
      <c r="D87" t="s">
        <v>350</v>
      </c>
      <c r="E87" t="s">
        <v>283</v>
      </c>
      <c r="F87" t="s">
        <v>334</v>
      </c>
      <c r="G87" t="s">
        <v>351</v>
      </c>
      <c r="H87" t="str">
        <f>HYPERLINK("https://baanknet.com/view-property/174159/000ADC9D74E0767A39A98FE0B90355C4C5DF03953F8B0E40DAAE6EE06D8E9ADF", "https://baanknet.com/view-property/174159/000ADC9D74E0767A39A98FE0B90355C4C5DF03953F8B0E40DAAE6EE06D8E9ADF")</f>
        <v>https://baanknet.com/view-property/174159/000ADC9D74E0767A39A98FE0B90355C4C5DF03953F8B0E40DAAE6EE06D8E9ADF</v>
      </c>
      <c r="I87" t="str">
        <f>HYPERLINK("https://baanknet.com/view-property/174159/000ADC9D74E0767A39A98FE0B90355C4C5DF03953F8B0E40DAAE6EE06D8E9ADF", "Open")</f>
        <v>Open</v>
      </c>
      <c r="J87" t="s">
        <v>20</v>
      </c>
      <c r="K87" t="s">
        <v>21</v>
      </c>
      <c r="L87">
        <v>12839250</v>
      </c>
      <c r="M87">
        <v>1283925</v>
      </c>
    </row>
    <row r="88" spans="1:13" x14ac:dyDescent="0.25">
      <c r="A88" t="s">
        <v>352</v>
      </c>
      <c r="B88" t="s">
        <v>353</v>
      </c>
      <c r="C88" t="s">
        <v>121</v>
      </c>
      <c r="D88" t="s">
        <v>350</v>
      </c>
      <c r="E88" t="s">
        <v>283</v>
      </c>
      <c r="F88" t="s">
        <v>334</v>
      </c>
      <c r="G88" t="s">
        <v>354</v>
      </c>
      <c r="H88" t="str">
        <f>HYPERLINK("https://baanknet.com/view-property/174154/5D31A8654B9FF5F283B506F1DB424DB5B1ACB4D9125A2A53899710A4F476FCB1", "https://baanknet.com/view-property/174154/5D31A8654B9FF5F283B506F1DB424DB5B1ACB4D9125A2A53899710A4F476FCB1")</f>
        <v>https://baanknet.com/view-property/174154/5D31A8654B9FF5F283B506F1DB424DB5B1ACB4D9125A2A53899710A4F476FCB1</v>
      </c>
      <c r="I88" t="str">
        <f>HYPERLINK("https://baanknet.com/view-property/174154/5D31A8654B9FF5F283B506F1DB424DB5B1ACB4D9125A2A53899710A4F476FCB1", "Open")</f>
        <v>Open</v>
      </c>
      <c r="J88" t="s">
        <v>20</v>
      </c>
      <c r="K88" t="s">
        <v>21</v>
      </c>
      <c r="L88">
        <v>3483000</v>
      </c>
      <c r="M88">
        <v>348300</v>
      </c>
    </row>
    <row r="89" spans="1:13" x14ac:dyDescent="0.25">
      <c r="A89" t="s">
        <v>355</v>
      </c>
      <c r="B89" t="s">
        <v>356</v>
      </c>
      <c r="C89" t="s">
        <v>121</v>
      </c>
      <c r="D89" t="s">
        <v>357</v>
      </c>
      <c r="E89" t="s">
        <v>283</v>
      </c>
      <c r="F89" t="s">
        <v>334</v>
      </c>
      <c r="G89" t="s">
        <v>358</v>
      </c>
      <c r="H89" t="str">
        <f>HYPERLINK("https://baanknet.com/view-property/244152/581A368CCA96246422AFE83B116BD1D2CAB6EF0A4975767ADF8BE7C9775A2634", "https://baanknet.com/view-property/244152/581A368CCA96246422AFE83B116BD1D2CAB6EF0A4975767ADF8BE7C9775A2634")</f>
        <v>https://baanknet.com/view-property/244152/581A368CCA96246422AFE83B116BD1D2CAB6EF0A4975767ADF8BE7C9775A2634</v>
      </c>
      <c r="I89" t="str">
        <f>HYPERLINK("https://baanknet.com/view-property/244152/581A368CCA96246422AFE83B116BD1D2CAB6EF0A4975767ADF8BE7C9775A2634", "Open")</f>
        <v>Open</v>
      </c>
      <c r="J89" t="s">
        <v>20</v>
      </c>
      <c r="K89" t="s">
        <v>21</v>
      </c>
      <c r="L89">
        <v>8018900</v>
      </c>
      <c r="M89">
        <v>801890</v>
      </c>
    </row>
    <row r="90" spans="1:13" x14ac:dyDescent="0.25">
      <c r="A90" t="s">
        <v>359</v>
      </c>
      <c r="B90" t="s">
        <v>360</v>
      </c>
      <c r="C90" t="s">
        <v>121</v>
      </c>
      <c r="D90" t="s">
        <v>350</v>
      </c>
      <c r="E90" t="s">
        <v>283</v>
      </c>
      <c r="F90" t="s">
        <v>334</v>
      </c>
      <c r="G90" t="s">
        <v>361</v>
      </c>
      <c r="H90" t="str">
        <f>HYPERLINK("https://baanknet.com/view-property/255918/2F121BD2BE890F6113671479F24B6DF566EFFA1F0F586A3A416982642710C7FB", "https://baanknet.com/view-property/255918/2F121BD2BE890F6113671479F24B6DF566EFFA1F0F586A3A416982642710C7FB")</f>
        <v>https://baanknet.com/view-property/255918/2F121BD2BE890F6113671479F24B6DF566EFFA1F0F586A3A416982642710C7FB</v>
      </c>
      <c r="I90" t="str">
        <f>HYPERLINK("https://baanknet.com/view-property/255918/2F121BD2BE890F6113671479F24B6DF566EFFA1F0F586A3A416982642710C7FB", "Open")</f>
        <v>Open</v>
      </c>
      <c r="J90" t="s">
        <v>20</v>
      </c>
      <c r="K90" t="s">
        <v>21</v>
      </c>
      <c r="L90">
        <v>1548360</v>
      </c>
      <c r="M90">
        <v>154836</v>
      </c>
    </row>
    <row r="91" spans="1:13" x14ac:dyDescent="0.25">
      <c r="A91" t="s">
        <v>362</v>
      </c>
      <c r="B91" t="s">
        <v>363</v>
      </c>
      <c r="C91" t="s">
        <v>121</v>
      </c>
      <c r="D91" t="s">
        <v>364</v>
      </c>
      <c r="E91" t="s">
        <v>283</v>
      </c>
      <c r="F91" t="s">
        <v>334</v>
      </c>
      <c r="G91" t="s">
        <v>365</v>
      </c>
      <c r="H91" t="str">
        <f>HYPERLINK("https://baanknet.com/view-property/174189/A7633A86EA03F82DE73B243A9ABA7D7704AEC862334E4450036C96B122F73482", "https://baanknet.com/view-property/174189/A7633A86EA03F82DE73B243A9ABA7D7704AEC862334E4450036C96B122F73482")</f>
        <v>https://baanknet.com/view-property/174189/A7633A86EA03F82DE73B243A9ABA7D7704AEC862334E4450036C96B122F73482</v>
      </c>
      <c r="I91" t="str">
        <f>HYPERLINK("https://baanknet.com/view-property/174189/A7633A86EA03F82DE73B243A9ABA7D7704AEC862334E4450036C96B122F73482", "Open")</f>
        <v>Open</v>
      </c>
      <c r="J91" t="s">
        <v>20</v>
      </c>
      <c r="K91" t="s">
        <v>21</v>
      </c>
      <c r="L91">
        <v>2771000</v>
      </c>
      <c r="M91">
        <v>277100</v>
      </c>
    </row>
    <row r="92" spans="1:13" x14ac:dyDescent="0.25">
      <c r="A92" t="s">
        <v>366</v>
      </c>
      <c r="B92" t="s">
        <v>367</v>
      </c>
      <c r="C92" t="s">
        <v>121</v>
      </c>
      <c r="D92" t="s">
        <v>350</v>
      </c>
      <c r="E92" t="s">
        <v>283</v>
      </c>
      <c r="F92" t="s">
        <v>334</v>
      </c>
      <c r="G92" t="s">
        <v>368</v>
      </c>
      <c r="H92" t="str">
        <f>HYPERLINK("https://baanknet.com/view-property/174237/E04CEE52D7221A1BE9DC8F62F49629871E08E87D7429F62635A44198067FF66A", "https://baanknet.com/view-property/174237/E04CEE52D7221A1BE9DC8F62F49629871E08E87D7429F62635A44198067FF66A")</f>
        <v>https://baanknet.com/view-property/174237/E04CEE52D7221A1BE9DC8F62F49629871E08E87D7429F62635A44198067FF66A</v>
      </c>
      <c r="I92" t="str">
        <f>HYPERLINK("https://baanknet.com/view-property/174237/E04CEE52D7221A1BE9DC8F62F49629871E08E87D7429F62635A44198067FF66A", "Open")</f>
        <v>Open</v>
      </c>
      <c r="J92" t="s">
        <v>20</v>
      </c>
      <c r="K92" t="s">
        <v>21</v>
      </c>
      <c r="L92">
        <v>453900</v>
      </c>
      <c r="M92">
        <v>45390</v>
      </c>
    </row>
    <row r="93" spans="1:13" x14ac:dyDescent="0.25">
      <c r="A93" t="s">
        <v>369</v>
      </c>
      <c r="B93" t="s">
        <v>370</v>
      </c>
      <c r="C93" t="s">
        <v>121</v>
      </c>
      <c r="D93" t="s">
        <v>350</v>
      </c>
      <c r="E93" t="s">
        <v>283</v>
      </c>
      <c r="F93" t="s">
        <v>334</v>
      </c>
      <c r="G93" t="s">
        <v>371</v>
      </c>
      <c r="H93" t="str">
        <f>HYPERLINK("https://baanknet.com/view-property/174248/5456F0ACFFACB9949A0D4B0C2100A2EF2629DFAA3DA830332E04C2593F2E4A33", "https://baanknet.com/view-property/174248/5456F0ACFFACB9949A0D4B0C2100A2EF2629DFAA3DA830332E04C2593F2E4A33")</f>
        <v>https://baanknet.com/view-property/174248/5456F0ACFFACB9949A0D4B0C2100A2EF2629DFAA3DA830332E04C2593F2E4A33</v>
      </c>
      <c r="I93" t="str">
        <f>HYPERLINK("https://baanknet.com/view-property/174248/5456F0ACFFACB9949A0D4B0C2100A2EF2629DFAA3DA830332E04C2593F2E4A33", "Open")</f>
        <v>Open</v>
      </c>
      <c r="J93" t="s">
        <v>20</v>
      </c>
      <c r="K93" t="s">
        <v>21</v>
      </c>
      <c r="L93">
        <v>1781600</v>
      </c>
      <c r="M93">
        <v>178160</v>
      </c>
    </row>
    <row r="94" spans="1:13" x14ac:dyDescent="0.25">
      <c r="A94" t="s">
        <v>372</v>
      </c>
      <c r="B94" t="s">
        <v>373</v>
      </c>
      <c r="C94" t="s">
        <v>121</v>
      </c>
      <c r="D94" t="s">
        <v>374</v>
      </c>
      <c r="E94" t="s">
        <v>283</v>
      </c>
      <c r="F94" t="s">
        <v>375</v>
      </c>
      <c r="G94" t="s">
        <v>376</v>
      </c>
      <c r="H94" t="str">
        <f>HYPERLINK("https://baanknet.com/view-property/283865/B7B9BB3A7B24ADFD7FA4D48330CC524973881FC609AF6B0DB7FE5BE1F64A7C3D", "https://baanknet.com/view-property/283865/B7B9BB3A7B24ADFD7FA4D48330CC524973881FC609AF6B0DB7FE5BE1F64A7C3D")</f>
        <v>https://baanknet.com/view-property/283865/B7B9BB3A7B24ADFD7FA4D48330CC524973881FC609AF6B0DB7FE5BE1F64A7C3D</v>
      </c>
      <c r="I94" t="str">
        <f>HYPERLINK("https://baanknet.com/view-property/283865/B7B9BB3A7B24ADFD7FA4D48330CC524973881FC609AF6B0DB7FE5BE1F64A7C3D", "Open")</f>
        <v>Open</v>
      </c>
      <c r="J94" t="s">
        <v>20</v>
      </c>
      <c r="K94" t="s">
        <v>21</v>
      </c>
      <c r="L94">
        <v>5944500</v>
      </c>
      <c r="M94">
        <v>594450</v>
      </c>
    </row>
    <row r="95" spans="1:13" x14ac:dyDescent="0.25">
      <c r="A95" t="s">
        <v>377</v>
      </c>
      <c r="B95" t="s">
        <v>378</v>
      </c>
      <c r="C95" t="s">
        <v>121</v>
      </c>
      <c r="D95" t="s">
        <v>379</v>
      </c>
      <c r="E95" t="s">
        <v>283</v>
      </c>
      <c r="F95" t="s">
        <v>375</v>
      </c>
      <c r="G95" t="s">
        <v>380</v>
      </c>
      <c r="H95" t="str">
        <f>HYPERLINK("https://baanknet.com/view-property/284759/9B36C5861533DD07B2F2C119D2214C07C26E3AAEFA925E7FC503D1805DA0897F", "https://baanknet.com/view-property/284759/9B36C5861533DD07B2F2C119D2214C07C26E3AAEFA925E7FC503D1805DA0897F")</f>
        <v>https://baanknet.com/view-property/284759/9B36C5861533DD07B2F2C119D2214C07C26E3AAEFA925E7FC503D1805DA0897F</v>
      </c>
      <c r="I95" t="str">
        <f>HYPERLINK("https://baanknet.com/view-property/284759/9B36C5861533DD07B2F2C119D2214C07C26E3AAEFA925E7FC503D1805DA0897F", "Open")</f>
        <v>Open</v>
      </c>
      <c r="J95" t="s">
        <v>20</v>
      </c>
      <c r="K95" t="s">
        <v>21</v>
      </c>
      <c r="L95">
        <v>2578000</v>
      </c>
      <c r="M95">
        <v>257800</v>
      </c>
    </row>
    <row r="96" spans="1:13" x14ac:dyDescent="0.25">
      <c r="A96" t="s">
        <v>381</v>
      </c>
      <c r="B96" t="s">
        <v>382</v>
      </c>
      <c r="C96" t="s">
        <v>121</v>
      </c>
      <c r="D96" t="s">
        <v>383</v>
      </c>
      <c r="E96" t="s">
        <v>283</v>
      </c>
      <c r="F96" t="s">
        <v>375</v>
      </c>
      <c r="G96" t="s">
        <v>384</v>
      </c>
      <c r="H96" t="str">
        <f>HYPERLINK("https://baanknet.com/view-property/190845/03AF5ABDF8F6F3F27DA97A3C887D7A20460BF7DFE26C561930DAA169763F172D", "https://baanknet.com/view-property/190845/03AF5ABDF8F6F3F27DA97A3C887D7A20460BF7DFE26C561930DAA169763F172D")</f>
        <v>https://baanknet.com/view-property/190845/03AF5ABDF8F6F3F27DA97A3C887D7A20460BF7DFE26C561930DAA169763F172D</v>
      </c>
      <c r="I96" t="str">
        <f>HYPERLINK("https://baanknet.com/view-property/190845/03AF5ABDF8F6F3F27DA97A3C887D7A20460BF7DFE26C561930DAA169763F172D", "Open")</f>
        <v>Open</v>
      </c>
      <c r="J96" t="s">
        <v>20</v>
      </c>
      <c r="K96" t="s">
        <v>21</v>
      </c>
      <c r="L96">
        <v>1637550</v>
      </c>
      <c r="M96">
        <v>163755</v>
      </c>
    </row>
    <row r="97" spans="1:13" x14ac:dyDescent="0.25">
      <c r="A97" t="s">
        <v>385</v>
      </c>
      <c r="B97" t="s">
        <v>386</v>
      </c>
      <c r="C97" t="s">
        <v>387</v>
      </c>
      <c r="D97" t="s">
        <v>388</v>
      </c>
      <c r="E97" t="s">
        <v>283</v>
      </c>
      <c r="F97" t="s">
        <v>389</v>
      </c>
      <c r="G97" t="s">
        <v>390</v>
      </c>
      <c r="H97" t="str">
        <f>HYPERLINK("https://baanknet.com/view-property/287835/27B32EBF3C24C79473944C18141976AD9EB3183385BE83E3607548576FC94DED", "https://baanknet.com/view-property/287835/27B32EBF3C24C79473944C18141976AD9EB3183385BE83E3607548576FC94DED")</f>
        <v>https://baanknet.com/view-property/287835/27B32EBF3C24C79473944C18141976AD9EB3183385BE83E3607548576FC94DED</v>
      </c>
      <c r="I97" t="str">
        <f>HYPERLINK("https://baanknet.com/view-property/287835/27B32EBF3C24C79473944C18141976AD9EB3183385BE83E3607548576FC94DED", "Open")</f>
        <v>Open</v>
      </c>
      <c r="J97" t="s">
        <v>20</v>
      </c>
      <c r="K97" t="s">
        <v>21</v>
      </c>
      <c r="L97">
        <v>1013000</v>
      </c>
      <c r="M97">
        <v>101300</v>
      </c>
    </row>
    <row r="98" spans="1:13" x14ac:dyDescent="0.25">
      <c r="A98" t="s">
        <v>391</v>
      </c>
      <c r="B98" t="s">
        <v>392</v>
      </c>
      <c r="C98" t="s">
        <v>15</v>
      </c>
      <c r="D98" t="s">
        <v>393</v>
      </c>
      <c r="E98" t="s">
        <v>18</v>
      </c>
      <c r="F98" t="s">
        <v>394</v>
      </c>
      <c r="G98" t="s">
        <v>395</v>
      </c>
      <c r="H98" t="str">
        <f>HYPERLINK("https://baanknet.com/view-property/284872/578D2F88DC6BC3F54BDC61F684E7FF3C79BDE17FC0120D18911CDD1549F0FEDC", "https://baanknet.com/view-property/284872/578D2F88DC6BC3F54BDC61F684E7FF3C79BDE17FC0120D18911CDD1549F0FEDC")</f>
        <v>https://baanknet.com/view-property/284872/578D2F88DC6BC3F54BDC61F684E7FF3C79BDE17FC0120D18911CDD1549F0FEDC</v>
      </c>
      <c r="I98" t="str">
        <f>HYPERLINK("https://baanknet.com/view-property/284872/578D2F88DC6BC3F54BDC61F684E7FF3C79BDE17FC0120D18911CDD1549F0FEDC", "Open")</f>
        <v>Open</v>
      </c>
      <c r="J98" t="s">
        <v>20</v>
      </c>
      <c r="K98" t="s">
        <v>21</v>
      </c>
      <c r="L98">
        <v>6725000</v>
      </c>
      <c r="M98">
        <v>672500</v>
      </c>
    </row>
    <row r="99" spans="1:13" x14ac:dyDescent="0.25">
      <c r="A99" t="s">
        <v>396</v>
      </c>
      <c r="B99" t="s">
        <v>397</v>
      </c>
      <c r="C99" t="s">
        <v>15</v>
      </c>
      <c r="D99" t="s">
        <v>393</v>
      </c>
      <c r="E99" t="s">
        <v>18</v>
      </c>
      <c r="F99" t="s">
        <v>394</v>
      </c>
      <c r="G99" t="s">
        <v>398</v>
      </c>
      <c r="H99" t="str">
        <f>HYPERLINK("https://baanknet.com/view-property/284877/A62739761B6C3E34AC57C4FA7361B45975CAAAF5D802A2A5B8ECC76993C77ADC", "https://baanknet.com/view-property/284877/A62739761B6C3E34AC57C4FA7361B45975CAAAF5D802A2A5B8ECC76993C77ADC")</f>
        <v>https://baanknet.com/view-property/284877/A62739761B6C3E34AC57C4FA7361B45975CAAAF5D802A2A5B8ECC76993C77ADC</v>
      </c>
      <c r="I99" t="str">
        <f>HYPERLINK("https://baanknet.com/view-property/284877/A62739761B6C3E34AC57C4FA7361B45975CAAAF5D802A2A5B8ECC76993C77ADC", "Open")</f>
        <v>Open</v>
      </c>
      <c r="J99" t="s">
        <v>20</v>
      </c>
      <c r="K99" t="s">
        <v>21</v>
      </c>
      <c r="L99">
        <v>3285000</v>
      </c>
      <c r="M99">
        <v>328500</v>
      </c>
    </row>
    <row r="100" spans="1:13" x14ac:dyDescent="0.25">
      <c r="A100" t="s">
        <v>399</v>
      </c>
      <c r="B100" t="s">
        <v>400</v>
      </c>
      <c r="C100" t="s">
        <v>15</v>
      </c>
      <c r="D100" t="s">
        <v>401</v>
      </c>
      <c r="E100" t="s">
        <v>18</v>
      </c>
      <c r="F100" t="s">
        <v>394</v>
      </c>
      <c r="G100" t="s">
        <v>402</v>
      </c>
      <c r="H100" t="str">
        <f>HYPERLINK("https://baanknet.com/view-property/254035/E1EF3767DCD9E7FC7E70437CA82BF8039ED650B1898BD3EF2C4B9B0A9C4CF804", "https://baanknet.com/view-property/254035/E1EF3767DCD9E7FC7E70437CA82BF8039ED650B1898BD3EF2C4B9B0A9C4CF804")</f>
        <v>https://baanknet.com/view-property/254035/E1EF3767DCD9E7FC7E70437CA82BF8039ED650B1898BD3EF2C4B9B0A9C4CF804</v>
      </c>
      <c r="I100" t="str">
        <f>HYPERLINK("https://baanknet.com/view-property/254035/E1EF3767DCD9E7FC7E70437CA82BF8039ED650B1898BD3EF2C4B9B0A9C4CF804", "Open")</f>
        <v>Open</v>
      </c>
      <c r="J100" t="s">
        <v>20</v>
      </c>
      <c r="K100" t="s">
        <v>21</v>
      </c>
      <c r="L100">
        <v>600000</v>
      </c>
      <c r="M100">
        <v>60000</v>
      </c>
    </row>
    <row r="101" spans="1:13" x14ac:dyDescent="0.25">
      <c r="A101" t="s">
        <v>403</v>
      </c>
      <c r="B101" t="s">
        <v>404</v>
      </c>
      <c r="C101" t="s">
        <v>15</v>
      </c>
      <c r="D101" t="s">
        <v>405</v>
      </c>
      <c r="E101" t="s">
        <v>18</v>
      </c>
      <c r="F101" t="s">
        <v>394</v>
      </c>
      <c r="G101" t="s">
        <v>406</v>
      </c>
      <c r="H101" t="str">
        <f>HYPERLINK("https://baanknet.com/view-property/191443/8B3CCF77F9FBA1DCEF4EBFD716DCF88A23BAE6C9764FDE3B721D54FE324D17E0", "https://baanknet.com/view-property/191443/8B3CCF77F9FBA1DCEF4EBFD716DCF88A23BAE6C9764FDE3B721D54FE324D17E0")</f>
        <v>https://baanknet.com/view-property/191443/8B3CCF77F9FBA1DCEF4EBFD716DCF88A23BAE6C9764FDE3B721D54FE324D17E0</v>
      </c>
      <c r="I101" t="str">
        <f>HYPERLINK("https://baanknet.com/view-property/191443/8B3CCF77F9FBA1DCEF4EBFD716DCF88A23BAE6C9764FDE3B721D54FE324D17E0", "Open")</f>
        <v>Open</v>
      </c>
      <c r="J101" t="s">
        <v>20</v>
      </c>
      <c r="K101" t="s">
        <v>21</v>
      </c>
      <c r="L101">
        <v>1212000</v>
      </c>
      <c r="M101">
        <v>121200</v>
      </c>
    </row>
    <row r="102" spans="1:13" x14ac:dyDescent="0.25">
      <c r="A102" t="s">
        <v>407</v>
      </c>
      <c r="B102" t="s">
        <v>408</v>
      </c>
      <c r="C102" t="s">
        <v>15</v>
      </c>
      <c r="D102" t="s">
        <v>401</v>
      </c>
      <c r="E102" t="s">
        <v>18</v>
      </c>
      <c r="F102" t="s">
        <v>394</v>
      </c>
      <c r="G102" t="s">
        <v>409</v>
      </c>
      <c r="H102" t="str">
        <f>HYPERLINK("https://baanknet.com/view-property/232780/F41A96CC911A9F9CA6CD5B74661569227D370C713B1AD4D17AE483835CDB8304", "https://baanknet.com/view-property/232780/F41A96CC911A9F9CA6CD5B74661569227D370C713B1AD4D17AE483835CDB8304")</f>
        <v>https://baanknet.com/view-property/232780/F41A96CC911A9F9CA6CD5B74661569227D370C713B1AD4D17AE483835CDB8304</v>
      </c>
      <c r="I102" t="str">
        <f>HYPERLINK("https://baanknet.com/view-property/232780/F41A96CC911A9F9CA6CD5B74661569227D370C713B1AD4D17AE483835CDB8304", "Open")</f>
        <v>Open</v>
      </c>
      <c r="J102" t="s">
        <v>20</v>
      </c>
      <c r="K102" t="s">
        <v>21</v>
      </c>
      <c r="L102">
        <v>1765000</v>
      </c>
      <c r="M102">
        <v>176500</v>
      </c>
    </row>
    <row r="103" spans="1:13" x14ac:dyDescent="0.25">
      <c r="A103" t="s">
        <v>410</v>
      </c>
      <c r="B103" t="s">
        <v>411</v>
      </c>
      <c r="C103" t="s">
        <v>15</v>
      </c>
      <c r="D103" t="s">
        <v>401</v>
      </c>
      <c r="E103" t="s">
        <v>18</v>
      </c>
      <c r="F103" t="s">
        <v>394</v>
      </c>
      <c r="G103" t="s">
        <v>412</v>
      </c>
      <c r="H103" t="str">
        <f>HYPERLINK("https://baanknet.com/view-property/239016/C6192CE4441F2BA7AB10E3418239CCEFEE6E350C39A73F1EDD8E09B2A781F4D0", "https://baanknet.com/view-property/239016/C6192CE4441F2BA7AB10E3418239CCEFEE6E350C39A73F1EDD8E09B2A781F4D0")</f>
        <v>https://baanknet.com/view-property/239016/C6192CE4441F2BA7AB10E3418239CCEFEE6E350C39A73F1EDD8E09B2A781F4D0</v>
      </c>
      <c r="I103" t="str">
        <f>HYPERLINK("https://baanknet.com/view-property/239016/C6192CE4441F2BA7AB10E3418239CCEFEE6E350C39A73F1EDD8E09B2A781F4D0", "Open")</f>
        <v>Open</v>
      </c>
      <c r="J103" t="s">
        <v>20</v>
      </c>
      <c r="K103" t="s">
        <v>21</v>
      </c>
      <c r="L103">
        <v>1939000</v>
      </c>
      <c r="M103">
        <v>193900</v>
      </c>
    </row>
    <row r="104" spans="1:13" x14ac:dyDescent="0.25">
      <c r="A104" t="s">
        <v>413</v>
      </c>
      <c r="B104" t="s">
        <v>414</v>
      </c>
      <c r="C104" t="s">
        <v>15</v>
      </c>
      <c r="D104" t="s">
        <v>415</v>
      </c>
      <c r="E104" t="s">
        <v>18</v>
      </c>
      <c r="F104" t="s">
        <v>394</v>
      </c>
      <c r="G104" t="s">
        <v>416</v>
      </c>
      <c r="H104" t="str">
        <f>HYPERLINK("https://baanknet.com/view-property/268975/7BBB56418A9D0F96EA6E31C5B5CA06CA78588177D88C01A65B7C87E54D8BB8B8", "https://baanknet.com/view-property/268975/7BBB56418A9D0F96EA6E31C5B5CA06CA78588177D88C01A65B7C87E54D8BB8B8")</f>
        <v>https://baanknet.com/view-property/268975/7BBB56418A9D0F96EA6E31C5B5CA06CA78588177D88C01A65B7C87E54D8BB8B8</v>
      </c>
      <c r="I104" t="str">
        <f>HYPERLINK("https://baanknet.com/view-property/268975/7BBB56418A9D0F96EA6E31C5B5CA06CA78588177D88C01A65B7C87E54D8BB8B8", "Open")</f>
        <v>Open</v>
      </c>
      <c r="J104" t="s">
        <v>20</v>
      </c>
      <c r="K104" t="s">
        <v>21</v>
      </c>
      <c r="L104">
        <v>900000</v>
      </c>
      <c r="M104">
        <v>90000</v>
      </c>
    </row>
    <row r="105" spans="1:13" x14ac:dyDescent="0.25">
      <c r="A105" t="s">
        <v>417</v>
      </c>
      <c r="B105" t="s">
        <v>418</v>
      </c>
      <c r="C105" t="s">
        <v>15</v>
      </c>
      <c r="D105" t="s">
        <v>405</v>
      </c>
      <c r="E105" t="s">
        <v>18</v>
      </c>
      <c r="F105" t="s">
        <v>394</v>
      </c>
      <c r="G105" t="s">
        <v>419</v>
      </c>
      <c r="H105" t="str">
        <f>HYPERLINK("https://baanknet.com/view-property/232783/7BF51110B9028CB869A73FD507D16C462EC1DCB7BB20EA1EF6D792F63B73ECCD", "https://baanknet.com/view-property/232783/7BF51110B9028CB869A73FD507D16C462EC1DCB7BB20EA1EF6D792F63B73ECCD")</f>
        <v>https://baanknet.com/view-property/232783/7BF51110B9028CB869A73FD507D16C462EC1DCB7BB20EA1EF6D792F63B73ECCD</v>
      </c>
      <c r="I105" t="str">
        <f>HYPERLINK("https://baanknet.com/view-property/232783/7BF51110B9028CB869A73FD507D16C462EC1DCB7BB20EA1EF6D792F63B73ECCD", "Open")</f>
        <v>Open</v>
      </c>
      <c r="J105" t="s">
        <v>20</v>
      </c>
      <c r="K105" t="s">
        <v>21</v>
      </c>
      <c r="L105">
        <v>2200000</v>
      </c>
      <c r="M105">
        <v>220000</v>
      </c>
    </row>
    <row r="106" spans="1:13" x14ac:dyDescent="0.25">
      <c r="A106" t="s">
        <v>420</v>
      </c>
      <c r="B106" t="s">
        <v>421</v>
      </c>
      <c r="C106" t="s">
        <v>15</v>
      </c>
      <c r="D106" t="s">
        <v>422</v>
      </c>
      <c r="E106" t="s">
        <v>18</v>
      </c>
      <c r="F106" t="s">
        <v>394</v>
      </c>
      <c r="G106" t="s">
        <v>423</v>
      </c>
      <c r="H106" t="str">
        <f>HYPERLINK("https://baanknet.com/view-property/282668/178DE746645C8A21FA30338C3C86E0D8CC9214C68DAD36CEF6132C45B5AB0000", "https://baanknet.com/view-property/282668/178DE746645C8A21FA30338C3C86E0D8CC9214C68DAD36CEF6132C45B5AB0000")</f>
        <v>https://baanknet.com/view-property/282668/178DE746645C8A21FA30338C3C86E0D8CC9214C68DAD36CEF6132C45B5AB0000</v>
      </c>
      <c r="I106" t="str">
        <f>HYPERLINK("https://baanknet.com/view-property/282668/178DE746645C8A21FA30338C3C86E0D8CC9214C68DAD36CEF6132C45B5AB0000", "Open")</f>
        <v>Open</v>
      </c>
      <c r="J106" t="s">
        <v>20</v>
      </c>
      <c r="K106" t="s">
        <v>21</v>
      </c>
      <c r="L106">
        <v>10260000</v>
      </c>
      <c r="M106">
        <v>1026000</v>
      </c>
    </row>
    <row r="107" spans="1:13" x14ac:dyDescent="0.25">
      <c r="A107" t="s">
        <v>424</v>
      </c>
      <c r="B107" t="s">
        <v>425</v>
      </c>
      <c r="C107" t="s">
        <v>15</v>
      </c>
      <c r="D107" t="s">
        <v>422</v>
      </c>
      <c r="E107" t="s">
        <v>18</v>
      </c>
      <c r="F107" t="s">
        <v>394</v>
      </c>
      <c r="G107" t="s">
        <v>426</v>
      </c>
      <c r="H107" t="str">
        <f>HYPERLINK("https://baanknet.com/view-property/244076/88F8AFCC7E92B3E2AA302CAE5601E56F8A657DFBC03C4A1B962568F999A3736B", "https://baanknet.com/view-property/244076/88F8AFCC7E92B3E2AA302CAE5601E56F8A657DFBC03C4A1B962568F999A3736B")</f>
        <v>https://baanknet.com/view-property/244076/88F8AFCC7E92B3E2AA302CAE5601E56F8A657DFBC03C4A1B962568F999A3736B</v>
      </c>
      <c r="I107" t="str">
        <f>HYPERLINK("https://baanknet.com/view-property/244076/88F8AFCC7E92B3E2AA302CAE5601E56F8A657DFBC03C4A1B962568F999A3736B", "Open")</f>
        <v>Open</v>
      </c>
      <c r="J107" t="s">
        <v>20</v>
      </c>
      <c r="K107" t="s">
        <v>21</v>
      </c>
      <c r="L107">
        <v>6500000</v>
      </c>
      <c r="M107">
        <v>650000</v>
      </c>
    </row>
    <row r="108" spans="1:13" x14ac:dyDescent="0.25">
      <c r="A108" t="s">
        <v>427</v>
      </c>
      <c r="B108" t="s">
        <v>428</v>
      </c>
      <c r="C108" t="s">
        <v>15</v>
      </c>
      <c r="D108" t="s">
        <v>429</v>
      </c>
      <c r="E108" t="s">
        <v>18</v>
      </c>
      <c r="F108" t="s">
        <v>394</v>
      </c>
      <c r="G108" t="s">
        <v>430</v>
      </c>
      <c r="H108" t="str">
        <f>HYPERLINK("https://baanknet.com/view-property/271798/17159136DF5212D6B5E31F22EB0455929C2B8D28CEEC863D65E2FA43F4D529CE", "https://baanknet.com/view-property/271798/17159136DF5212D6B5E31F22EB0455929C2B8D28CEEC863D65E2FA43F4D529CE")</f>
        <v>https://baanknet.com/view-property/271798/17159136DF5212D6B5E31F22EB0455929C2B8D28CEEC863D65E2FA43F4D529CE</v>
      </c>
      <c r="I108" t="str">
        <f>HYPERLINK("https://baanknet.com/view-property/271798/17159136DF5212D6B5E31F22EB0455929C2B8D28CEEC863D65E2FA43F4D529CE", "Open")</f>
        <v>Open</v>
      </c>
      <c r="J108" t="s">
        <v>20</v>
      </c>
      <c r="K108" t="s">
        <v>21</v>
      </c>
      <c r="L108">
        <v>2700000</v>
      </c>
      <c r="M108">
        <v>270000</v>
      </c>
    </row>
    <row r="109" spans="1:13" x14ac:dyDescent="0.25">
      <c r="A109" t="s">
        <v>431</v>
      </c>
      <c r="B109" t="s">
        <v>432</v>
      </c>
      <c r="C109" t="s">
        <v>15</v>
      </c>
      <c r="D109" t="s">
        <v>429</v>
      </c>
      <c r="E109" t="s">
        <v>18</v>
      </c>
      <c r="F109" t="s">
        <v>394</v>
      </c>
      <c r="G109" t="s">
        <v>433</v>
      </c>
      <c r="H109" t="str">
        <f>HYPERLINK("https://baanknet.com/view-property/248317/2745072A166574F2062D36F3E20C3C69C94E86D793A078807874F7D8ED3C7803", "https://baanknet.com/view-property/248317/2745072A166574F2062D36F3E20C3C69C94E86D793A078807874F7D8ED3C7803")</f>
        <v>https://baanknet.com/view-property/248317/2745072A166574F2062D36F3E20C3C69C94E86D793A078807874F7D8ED3C7803</v>
      </c>
      <c r="I109" t="str">
        <f>HYPERLINK("https://baanknet.com/view-property/248317/2745072A166574F2062D36F3E20C3C69C94E86D793A078807874F7D8ED3C7803", "Open")</f>
        <v>Open</v>
      </c>
      <c r="J109" t="s">
        <v>20</v>
      </c>
      <c r="K109" t="s">
        <v>21</v>
      </c>
      <c r="L109">
        <v>2100000</v>
      </c>
      <c r="M109">
        <v>210000</v>
      </c>
    </row>
    <row r="110" spans="1:13" x14ac:dyDescent="0.25">
      <c r="A110" t="s">
        <v>434</v>
      </c>
      <c r="B110" t="s">
        <v>435</v>
      </c>
      <c r="C110" t="s">
        <v>15</v>
      </c>
      <c r="D110" t="s">
        <v>436</v>
      </c>
      <c r="E110" t="s">
        <v>18</v>
      </c>
      <c r="F110" t="s">
        <v>394</v>
      </c>
      <c r="G110" t="s">
        <v>437</v>
      </c>
      <c r="H110" t="str">
        <f>HYPERLINK("https://baanknet.com/view-property/262797/9FD0DCC676BD9F871938C7CAD196F78F012B7C4307F58180C9272D42156474C5", "https://baanknet.com/view-property/262797/9FD0DCC676BD9F871938C7CAD196F78F012B7C4307F58180C9272D42156474C5")</f>
        <v>https://baanknet.com/view-property/262797/9FD0DCC676BD9F871938C7CAD196F78F012B7C4307F58180C9272D42156474C5</v>
      </c>
      <c r="I110" t="str">
        <f>HYPERLINK("https://baanknet.com/view-property/262797/9FD0DCC676BD9F871938C7CAD196F78F012B7C4307F58180C9272D42156474C5", "Open")</f>
        <v>Open</v>
      </c>
      <c r="J110" t="s">
        <v>20</v>
      </c>
      <c r="K110" t="s">
        <v>21</v>
      </c>
      <c r="L110">
        <v>2520000</v>
      </c>
      <c r="M110">
        <v>252000</v>
      </c>
    </row>
    <row r="111" spans="1:13" x14ac:dyDescent="0.25">
      <c r="A111" t="s">
        <v>438</v>
      </c>
      <c r="B111" t="s">
        <v>439</v>
      </c>
      <c r="C111" t="s">
        <v>15</v>
      </c>
      <c r="D111" t="s">
        <v>422</v>
      </c>
      <c r="E111" t="s">
        <v>18</v>
      </c>
      <c r="F111" t="s">
        <v>394</v>
      </c>
      <c r="G111" t="s">
        <v>440</v>
      </c>
      <c r="H111" t="str">
        <f>HYPERLINK("https://baanknet.com/view-property/189249/945AD6E8559ACBAA56F7A9C884784B7319D10D40536D5F708EEFD4981CD1CBDC", "https://baanknet.com/view-property/189249/945AD6E8559ACBAA56F7A9C884784B7319D10D40536D5F708EEFD4981CD1CBDC")</f>
        <v>https://baanknet.com/view-property/189249/945AD6E8559ACBAA56F7A9C884784B7319D10D40536D5F708EEFD4981CD1CBDC</v>
      </c>
      <c r="I111" t="str">
        <f>HYPERLINK("https://baanknet.com/view-property/189249/945AD6E8559ACBAA56F7A9C884784B7319D10D40536D5F708EEFD4981CD1CBDC", "Open")</f>
        <v>Open</v>
      </c>
      <c r="J111" t="s">
        <v>20</v>
      </c>
      <c r="K111" t="s">
        <v>21</v>
      </c>
      <c r="L111">
        <v>1500000</v>
      </c>
      <c r="M111">
        <v>150000</v>
      </c>
    </row>
    <row r="112" spans="1:13" x14ac:dyDescent="0.25">
      <c r="A112" t="s">
        <v>441</v>
      </c>
      <c r="B112" t="s">
        <v>442</v>
      </c>
      <c r="C112" t="s">
        <v>15</v>
      </c>
      <c r="D112" t="s">
        <v>443</v>
      </c>
      <c r="E112" t="s">
        <v>18</v>
      </c>
      <c r="F112" t="s">
        <v>394</v>
      </c>
      <c r="G112" t="s">
        <v>444</v>
      </c>
      <c r="H112" t="str">
        <f>HYPERLINK("https://baanknet.com/view-property/244090/BA6FDC3F3A6701F1E38F038268B304DD71FA699F2535329075E441FAA892CF0B", "https://baanknet.com/view-property/244090/BA6FDC3F3A6701F1E38F038268B304DD71FA699F2535329075E441FAA892CF0B")</f>
        <v>https://baanknet.com/view-property/244090/BA6FDC3F3A6701F1E38F038268B304DD71FA699F2535329075E441FAA892CF0B</v>
      </c>
      <c r="I112" t="str">
        <f>HYPERLINK("https://baanknet.com/view-property/244090/BA6FDC3F3A6701F1E38F038268B304DD71FA699F2535329075E441FAA892CF0B", "Open")</f>
        <v>Open</v>
      </c>
      <c r="J112" t="s">
        <v>20</v>
      </c>
      <c r="K112" t="s">
        <v>21</v>
      </c>
      <c r="L112">
        <v>2350000</v>
      </c>
      <c r="M112">
        <v>235000</v>
      </c>
    </row>
    <row r="113" spans="1:13" x14ac:dyDescent="0.25">
      <c r="A113" t="s">
        <v>445</v>
      </c>
      <c r="B113" t="s">
        <v>446</v>
      </c>
      <c r="C113" t="s">
        <v>15</v>
      </c>
      <c r="D113" t="s">
        <v>447</v>
      </c>
      <c r="E113" t="s">
        <v>18</v>
      </c>
      <c r="F113" t="s">
        <v>394</v>
      </c>
      <c r="G113" t="s">
        <v>448</v>
      </c>
      <c r="H113" t="str">
        <f>HYPERLINK("https://baanknet.com/view-property/189234/A54E31A270313B0FCEA5DC1D102CB487525B47115B9C01427AA5832841269F2F", "https://baanknet.com/view-property/189234/A54E31A270313B0FCEA5DC1D102CB487525B47115B9C01427AA5832841269F2F")</f>
        <v>https://baanknet.com/view-property/189234/A54E31A270313B0FCEA5DC1D102CB487525B47115B9C01427AA5832841269F2F</v>
      </c>
      <c r="I113" t="str">
        <f>HYPERLINK("https://baanknet.com/view-property/189234/A54E31A270313B0FCEA5DC1D102CB487525B47115B9C01427AA5832841269F2F", "Open")</f>
        <v>Open</v>
      </c>
      <c r="J113" t="s">
        <v>20</v>
      </c>
      <c r="K113" t="s">
        <v>21</v>
      </c>
      <c r="L113">
        <v>6000000</v>
      </c>
      <c r="M113">
        <v>600000</v>
      </c>
    </row>
    <row r="114" spans="1:13" x14ac:dyDescent="0.25">
      <c r="A114" t="s">
        <v>449</v>
      </c>
      <c r="B114" t="s">
        <v>450</v>
      </c>
      <c r="C114" t="s">
        <v>15</v>
      </c>
      <c r="D114" t="s">
        <v>451</v>
      </c>
      <c r="E114" t="s">
        <v>18</v>
      </c>
      <c r="F114" t="s">
        <v>394</v>
      </c>
      <c r="G114" t="s">
        <v>452</v>
      </c>
      <c r="H114" t="str">
        <f>HYPERLINK("https://baanknet.com/view-property/201979/026BB8860BD1779F66B06AF98157BAEC45B7C23CAA71B779B1A66AEAD8C821D5", "https://baanknet.com/view-property/201979/026BB8860BD1779F66B06AF98157BAEC45B7C23CAA71B779B1A66AEAD8C821D5")</f>
        <v>https://baanknet.com/view-property/201979/026BB8860BD1779F66B06AF98157BAEC45B7C23CAA71B779B1A66AEAD8C821D5</v>
      </c>
      <c r="I114" t="str">
        <f>HYPERLINK("https://baanknet.com/view-property/201979/026BB8860BD1779F66B06AF98157BAEC45B7C23CAA71B779B1A66AEAD8C821D5", "Open")</f>
        <v>Open</v>
      </c>
      <c r="J114" t="s">
        <v>20</v>
      </c>
      <c r="K114" t="s">
        <v>21</v>
      </c>
      <c r="L114">
        <v>1492400</v>
      </c>
      <c r="M114">
        <v>149240</v>
      </c>
    </row>
    <row r="115" spans="1:13" x14ac:dyDescent="0.25">
      <c r="A115" t="s">
        <v>453</v>
      </c>
      <c r="B115" t="s">
        <v>454</v>
      </c>
      <c r="C115" t="s">
        <v>15</v>
      </c>
      <c r="D115" t="s">
        <v>455</v>
      </c>
      <c r="E115" t="s">
        <v>18</v>
      </c>
      <c r="F115" t="s">
        <v>394</v>
      </c>
      <c r="G115" t="s">
        <v>456</v>
      </c>
      <c r="H115" t="str">
        <f>HYPERLINK("https://baanknet.com/view-property/257806/BA8ECF9D11467E23BB4816606036F5831FF0843C9BFE38AF4930CB056D7868C7", "https://baanknet.com/view-property/257806/BA8ECF9D11467E23BB4816606036F5831FF0843C9BFE38AF4930CB056D7868C7")</f>
        <v>https://baanknet.com/view-property/257806/BA8ECF9D11467E23BB4816606036F5831FF0843C9BFE38AF4930CB056D7868C7</v>
      </c>
      <c r="I115" t="str">
        <f>HYPERLINK("https://baanknet.com/view-property/257806/BA8ECF9D11467E23BB4816606036F5831FF0843C9BFE38AF4930CB056D7868C7", "Open")</f>
        <v>Open</v>
      </c>
      <c r="J115" t="s">
        <v>20</v>
      </c>
      <c r="K115" t="s">
        <v>21</v>
      </c>
      <c r="L115">
        <v>1303900</v>
      </c>
      <c r="M115">
        <v>130390</v>
      </c>
    </row>
    <row r="116" spans="1:13" x14ac:dyDescent="0.25">
      <c r="A116" t="s">
        <v>457</v>
      </c>
      <c r="B116" t="s">
        <v>458</v>
      </c>
      <c r="C116" t="s">
        <v>15</v>
      </c>
      <c r="D116" t="s">
        <v>459</v>
      </c>
      <c r="E116" t="s">
        <v>18</v>
      </c>
      <c r="F116" t="s">
        <v>394</v>
      </c>
      <c r="G116" t="s">
        <v>460</v>
      </c>
      <c r="H116" t="str">
        <f>HYPERLINK("https://baanknet.com/view-property/205078/E48E0D805232100F4FB390A4BF73323C988EE7EE574FC27EBD66BAB2B5BBE311", "https://baanknet.com/view-property/205078/E48E0D805232100F4FB390A4BF73323C988EE7EE574FC27EBD66BAB2B5BBE311")</f>
        <v>https://baanknet.com/view-property/205078/E48E0D805232100F4FB390A4BF73323C988EE7EE574FC27EBD66BAB2B5BBE311</v>
      </c>
      <c r="I116" t="str">
        <f>HYPERLINK("https://baanknet.com/view-property/205078/E48E0D805232100F4FB390A4BF73323C988EE7EE574FC27EBD66BAB2B5BBE311", "Open")</f>
        <v>Open</v>
      </c>
      <c r="J116" t="s">
        <v>20</v>
      </c>
      <c r="K116" t="s">
        <v>21</v>
      </c>
      <c r="L116">
        <v>1868600</v>
      </c>
      <c r="M116">
        <v>186860</v>
      </c>
    </row>
    <row r="117" spans="1:13" x14ac:dyDescent="0.25">
      <c r="A117" t="s">
        <v>461</v>
      </c>
      <c r="B117" t="s">
        <v>462</v>
      </c>
      <c r="C117" t="s">
        <v>15</v>
      </c>
      <c r="D117" t="s">
        <v>463</v>
      </c>
      <c r="E117" t="s">
        <v>18</v>
      </c>
      <c r="F117" t="s">
        <v>394</v>
      </c>
      <c r="G117" t="s">
        <v>464</v>
      </c>
      <c r="H117" t="str">
        <f>HYPERLINK("https://baanknet.com/view-property/261091/A14944E604D57684C97C572425CFE08791273A4B259403D1B78198BD3C3D1CA3", "https://baanknet.com/view-property/261091/A14944E604D57684C97C572425CFE08791273A4B259403D1B78198BD3C3D1CA3")</f>
        <v>https://baanknet.com/view-property/261091/A14944E604D57684C97C572425CFE08791273A4B259403D1B78198BD3C3D1CA3</v>
      </c>
      <c r="I117" t="str">
        <f>HYPERLINK("https://baanknet.com/view-property/261091/A14944E604D57684C97C572425CFE08791273A4B259403D1B78198BD3C3D1CA3", "Open")</f>
        <v>Open</v>
      </c>
      <c r="J117" t="s">
        <v>20</v>
      </c>
      <c r="K117" t="s">
        <v>21</v>
      </c>
      <c r="L117">
        <v>2011600</v>
      </c>
      <c r="M117">
        <v>201160</v>
      </c>
    </row>
    <row r="118" spans="1:13" x14ac:dyDescent="0.25">
      <c r="A118" t="s">
        <v>465</v>
      </c>
      <c r="B118" t="s">
        <v>466</v>
      </c>
      <c r="C118" t="s">
        <v>15</v>
      </c>
      <c r="D118" t="s">
        <v>451</v>
      </c>
      <c r="E118" t="s">
        <v>18</v>
      </c>
      <c r="F118" t="s">
        <v>394</v>
      </c>
      <c r="G118" t="s">
        <v>467</v>
      </c>
      <c r="H118" t="str">
        <f>HYPERLINK("https://baanknet.com/view-property/198638/252EC5F52D87700602A641CAE5D61EE69CB6EA01F242EDA9F3044C976B7CFA8A", "https://baanknet.com/view-property/198638/252EC5F52D87700602A641CAE5D61EE69CB6EA01F242EDA9F3044C976B7CFA8A")</f>
        <v>https://baanknet.com/view-property/198638/252EC5F52D87700602A641CAE5D61EE69CB6EA01F242EDA9F3044C976B7CFA8A</v>
      </c>
      <c r="I118" t="str">
        <f>HYPERLINK("https://baanknet.com/view-property/198638/252EC5F52D87700602A641CAE5D61EE69CB6EA01F242EDA9F3044C976B7CFA8A", "Open")</f>
        <v>Open</v>
      </c>
      <c r="J118" t="s">
        <v>20</v>
      </c>
      <c r="K118" t="s">
        <v>21</v>
      </c>
      <c r="L118">
        <v>489200</v>
      </c>
      <c r="M118">
        <v>48920</v>
      </c>
    </row>
    <row r="119" spans="1:13" x14ac:dyDescent="0.25">
      <c r="A119" t="s">
        <v>468</v>
      </c>
      <c r="B119" t="s">
        <v>469</v>
      </c>
      <c r="C119" t="s">
        <v>15</v>
      </c>
      <c r="D119" t="s">
        <v>451</v>
      </c>
      <c r="E119" t="s">
        <v>18</v>
      </c>
      <c r="F119" t="s">
        <v>394</v>
      </c>
      <c r="G119" t="s">
        <v>470</v>
      </c>
      <c r="H119" t="str">
        <f>HYPERLINK("https://baanknet.com/view-property/201978/036219B185C996160F1F21259803360D31287372E549578F1DEFFB284CA1C649", "https://baanknet.com/view-property/201978/036219B185C996160F1F21259803360D31287372E549578F1DEFFB284CA1C649")</f>
        <v>https://baanknet.com/view-property/201978/036219B185C996160F1F21259803360D31287372E549578F1DEFFB284CA1C649</v>
      </c>
      <c r="I119" t="str">
        <f>HYPERLINK("https://baanknet.com/view-property/201978/036219B185C996160F1F21259803360D31287372E549578F1DEFFB284CA1C649", "Open")</f>
        <v>Open</v>
      </c>
      <c r="J119" t="s">
        <v>20</v>
      </c>
      <c r="K119" t="s">
        <v>21</v>
      </c>
      <c r="L119">
        <v>1608300</v>
      </c>
      <c r="M119">
        <v>160830</v>
      </c>
    </row>
    <row r="120" spans="1:13" x14ac:dyDescent="0.25">
      <c r="A120" t="s">
        <v>471</v>
      </c>
      <c r="B120" t="s">
        <v>472</v>
      </c>
      <c r="C120" t="s">
        <v>15</v>
      </c>
      <c r="D120" t="s">
        <v>473</v>
      </c>
      <c r="E120" t="s">
        <v>18</v>
      </c>
      <c r="F120" t="s">
        <v>394</v>
      </c>
      <c r="G120" t="s">
        <v>474</v>
      </c>
      <c r="H120" t="str">
        <f>HYPERLINK("https://baanknet.com/view-property/226476/047294A1DAD28A9367D9F37883F6ECAD0A1CB2CEC14A054D3A0467649184293E", "https://baanknet.com/view-property/226476/047294A1DAD28A9367D9F37883F6ECAD0A1CB2CEC14A054D3A0467649184293E")</f>
        <v>https://baanknet.com/view-property/226476/047294A1DAD28A9367D9F37883F6ECAD0A1CB2CEC14A054D3A0467649184293E</v>
      </c>
      <c r="I120" t="str">
        <f>HYPERLINK("https://baanknet.com/view-property/226476/047294A1DAD28A9367D9F37883F6ECAD0A1CB2CEC14A054D3A0467649184293E", "Open")</f>
        <v>Open</v>
      </c>
      <c r="J120" t="s">
        <v>20</v>
      </c>
      <c r="K120" t="s">
        <v>21</v>
      </c>
      <c r="L120">
        <v>1167500</v>
      </c>
      <c r="M120">
        <v>116750</v>
      </c>
    </row>
    <row r="121" spans="1:13" x14ac:dyDescent="0.25">
      <c r="A121" t="s">
        <v>475</v>
      </c>
      <c r="B121" t="s">
        <v>476</v>
      </c>
      <c r="C121" t="s">
        <v>15</v>
      </c>
      <c r="D121" t="s">
        <v>324</v>
      </c>
      <c r="E121" t="s">
        <v>18</v>
      </c>
      <c r="F121" t="s">
        <v>477</v>
      </c>
      <c r="G121" t="s">
        <v>478</v>
      </c>
      <c r="H121" t="str">
        <f>HYPERLINK("https://baanknet.com/view-property/266700/9A37A0C2DFE43474A2513398AEBB07053175229D0E985E2878B3B3131A252F27", "https://baanknet.com/view-property/266700/9A37A0C2DFE43474A2513398AEBB07053175229D0E985E2878B3B3131A252F27")</f>
        <v>https://baanknet.com/view-property/266700/9A37A0C2DFE43474A2513398AEBB07053175229D0E985E2878B3B3131A252F27</v>
      </c>
      <c r="I121" t="str">
        <f>HYPERLINK("https://baanknet.com/view-property/266700/9A37A0C2DFE43474A2513398AEBB07053175229D0E985E2878B3B3131A252F27", "Open")</f>
        <v>Open</v>
      </c>
      <c r="J121" t="s">
        <v>20</v>
      </c>
      <c r="K121" t="s">
        <v>21</v>
      </c>
      <c r="L121">
        <v>1645000</v>
      </c>
      <c r="M121">
        <v>164500</v>
      </c>
    </row>
    <row r="122" spans="1:13" x14ac:dyDescent="0.25">
      <c r="A122" t="s">
        <v>479</v>
      </c>
      <c r="B122" t="s">
        <v>480</v>
      </c>
      <c r="C122" t="s">
        <v>15</v>
      </c>
      <c r="D122" t="s">
        <v>324</v>
      </c>
      <c r="E122" t="s">
        <v>18</v>
      </c>
      <c r="F122" t="s">
        <v>477</v>
      </c>
      <c r="G122" t="s">
        <v>481</v>
      </c>
      <c r="H122" t="str">
        <f>HYPERLINK("https://baanknet.com/view-property/278596/DED0ACEFC15A6CCB0D5167984A34AC715BAFB01865EBE021D468B6D95310138B", "https://baanknet.com/view-property/278596/DED0ACEFC15A6CCB0D5167984A34AC715BAFB01865EBE021D468B6D95310138B")</f>
        <v>https://baanknet.com/view-property/278596/DED0ACEFC15A6CCB0D5167984A34AC715BAFB01865EBE021D468B6D95310138B</v>
      </c>
      <c r="I122" t="str">
        <f>HYPERLINK("https://baanknet.com/view-property/278596/DED0ACEFC15A6CCB0D5167984A34AC715BAFB01865EBE021D468B6D95310138B", "Open")</f>
        <v>Open</v>
      </c>
      <c r="J122" t="s">
        <v>20</v>
      </c>
      <c r="K122" t="s">
        <v>21</v>
      </c>
      <c r="L122">
        <v>558000</v>
      </c>
      <c r="M122">
        <v>55800</v>
      </c>
    </row>
    <row r="123" spans="1:13" x14ac:dyDescent="0.25">
      <c r="A123" t="s">
        <v>482</v>
      </c>
      <c r="B123" t="s">
        <v>483</v>
      </c>
      <c r="C123" t="s">
        <v>15</v>
      </c>
      <c r="D123" t="s">
        <v>324</v>
      </c>
      <c r="E123" t="s">
        <v>18</v>
      </c>
      <c r="F123" t="s">
        <v>477</v>
      </c>
      <c r="G123" t="s">
        <v>484</v>
      </c>
      <c r="H123" t="str">
        <f>HYPERLINK("https://baanknet.com/view-property/249814/9F90023988DBB4DA1E09FBF2D8AC9958C94E07DD003DE25A3A8C7DB4FA86A9F7", "https://baanknet.com/view-property/249814/9F90023988DBB4DA1E09FBF2D8AC9958C94E07DD003DE25A3A8C7DB4FA86A9F7")</f>
        <v>https://baanknet.com/view-property/249814/9F90023988DBB4DA1E09FBF2D8AC9958C94E07DD003DE25A3A8C7DB4FA86A9F7</v>
      </c>
      <c r="I123" t="str">
        <f>HYPERLINK("https://baanknet.com/view-property/249814/9F90023988DBB4DA1E09FBF2D8AC9958C94E07DD003DE25A3A8C7DB4FA86A9F7", "Open")</f>
        <v>Open</v>
      </c>
      <c r="J123" t="s">
        <v>20</v>
      </c>
      <c r="K123" t="s">
        <v>21</v>
      </c>
      <c r="L123">
        <v>578000</v>
      </c>
      <c r="M123">
        <v>57800</v>
      </c>
    </row>
    <row r="124" spans="1:13" x14ac:dyDescent="0.25">
      <c r="A124" t="s">
        <v>485</v>
      </c>
      <c r="B124" t="s">
        <v>486</v>
      </c>
      <c r="C124" t="s">
        <v>15</v>
      </c>
      <c r="D124" t="s">
        <v>324</v>
      </c>
      <c r="E124" t="s">
        <v>18</v>
      </c>
      <c r="F124" t="s">
        <v>477</v>
      </c>
      <c r="G124" t="s">
        <v>487</v>
      </c>
      <c r="H124" t="str">
        <f>HYPERLINK("https://baanknet.com/view-property/249820/D6DE410641B9BD9214BCAF672E0EF48479AFD51455BF6AF07ECDAA8967F3F68C", "https://baanknet.com/view-property/249820/D6DE410641B9BD9214BCAF672E0EF48479AFD51455BF6AF07ECDAA8967F3F68C")</f>
        <v>https://baanknet.com/view-property/249820/D6DE410641B9BD9214BCAF672E0EF48479AFD51455BF6AF07ECDAA8967F3F68C</v>
      </c>
      <c r="I124" t="str">
        <f>HYPERLINK("https://baanknet.com/view-property/249820/D6DE410641B9BD9214BCAF672E0EF48479AFD51455BF6AF07ECDAA8967F3F68C", "Open")</f>
        <v>Open</v>
      </c>
      <c r="J124" t="s">
        <v>20</v>
      </c>
      <c r="K124" t="s">
        <v>21</v>
      </c>
      <c r="L124">
        <v>578000</v>
      </c>
      <c r="M124">
        <v>57800</v>
      </c>
    </row>
    <row r="125" spans="1:13" x14ac:dyDescent="0.25">
      <c r="A125" t="s">
        <v>488</v>
      </c>
      <c r="B125" t="s">
        <v>489</v>
      </c>
      <c r="C125" t="s">
        <v>15</v>
      </c>
      <c r="D125" t="s">
        <v>324</v>
      </c>
      <c r="E125" t="s">
        <v>18</v>
      </c>
      <c r="F125" t="s">
        <v>477</v>
      </c>
      <c r="G125" t="s">
        <v>490</v>
      </c>
      <c r="H125" t="str">
        <f>HYPERLINK("https://baanknet.com/view-property/249821/9A85E1613EEC16D424AC364F292F4F602344AF860615FCD5A7AB0DDD29FF06B3", "https://baanknet.com/view-property/249821/9A85E1613EEC16D424AC364F292F4F602344AF860615FCD5A7AB0DDD29FF06B3")</f>
        <v>https://baanknet.com/view-property/249821/9A85E1613EEC16D424AC364F292F4F602344AF860615FCD5A7AB0DDD29FF06B3</v>
      </c>
      <c r="I125" t="str">
        <f>HYPERLINK("https://baanknet.com/view-property/249821/9A85E1613EEC16D424AC364F292F4F602344AF860615FCD5A7AB0DDD29FF06B3", "Open")</f>
        <v>Open</v>
      </c>
      <c r="J125" t="s">
        <v>20</v>
      </c>
      <c r="K125" t="s">
        <v>21</v>
      </c>
      <c r="L125">
        <v>1104000</v>
      </c>
      <c r="M125">
        <v>110400</v>
      </c>
    </row>
    <row r="126" spans="1:13" x14ac:dyDescent="0.25">
      <c r="A126" t="s">
        <v>491</v>
      </c>
      <c r="B126" t="s">
        <v>492</v>
      </c>
      <c r="C126" t="s">
        <v>15</v>
      </c>
      <c r="D126" t="s">
        <v>493</v>
      </c>
      <c r="E126" t="s">
        <v>284</v>
      </c>
      <c r="F126" t="s">
        <v>305</v>
      </c>
      <c r="G126" t="s">
        <v>494</v>
      </c>
      <c r="H126" t="str">
        <f>HYPERLINK("https://baanknet.com/view-property/212901/DA9C7D3AAE7C39910B6615072A1B5CFE930FCC043E4F06528596FD17E1836CBA", "https://baanknet.com/view-property/212901/DA9C7D3AAE7C39910B6615072A1B5CFE930FCC043E4F06528596FD17E1836CBA")</f>
        <v>https://baanknet.com/view-property/212901/DA9C7D3AAE7C39910B6615072A1B5CFE930FCC043E4F06528596FD17E1836CBA</v>
      </c>
      <c r="I126" t="str">
        <f>HYPERLINK("https://baanknet.com/view-property/212901/DA9C7D3AAE7C39910B6615072A1B5CFE930FCC043E4F06528596FD17E1836CBA", "Open")</f>
        <v>Open</v>
      </c>
      <c r="J126" t="s">
        <v>20</v>
      </c>
      <c r="K126" t="s">
        <v>21</v>
      </c>
      <c r="L126">
        <v>710000</v>
      </c>
      <c r="M126">
        <v>71000</v>
      </c>
    </row>
    <row r="127" spans="1:13" x14ac:dyDescent="0.25">
      <c r="A127" t="s">
        <v>495</v>
      </c>
      <c r="B127" t="s">
        <v>496</v>
      </c>
      <c r="C127" t="s">
        <v>15</v>
      </c>
      <c r="D127" t="s">
        <v>497</v>
      </c>
      <c r="E127" t="s">
        <v>284</v>
      </c>
      <c r="F127" t="s">
        <v>305</v>
      </c>
      <c r="G127" t="s">
        <v>498</v>
      </c>
      <c r="H127" t="str">
        <f>HYPERLINK("https://baanknet.com/view-property/273217/F2126F1D25D3069033EC819F9FF2DAFEC3F7A518AD2EF19E11A26298349D700E", "https://baanknet.com/view-property/273217/F2126F1D25D3069033EC819F9FF2DAFEC3F7A518AD2EF19E11A26298349D700E")</f>
        <v>https://baanknet.com/view-property/273217/F2126F1D25D3069033EC819F9FF2DAFEC3F7A518AD2EF19E11A26298349D700E</v>
      </c>
      <c r="I127" t="str">
        <f>HYPERLINK("https://baanknet.com/view-property/273217/F2126F1D25D3069033EC819F9FF2DAFEC3F7A518AD2EF19E11A26298349D700E", "Open")</f>
        <v>Open</v>
      </c>
      <c r="J127" t="s">
        <v>20</v>
      </c>
      <c r="K127" t="s">
        <v>21</v>
      </c>
      <c r="L127">
        <v>2682000</v>
      </c>
      <c r="M127">
        <v>268200</v>
      </c>
    </row>
    <row r="128" spans="1:13" x14ac:dyDescent="0.25">
      <c r="A128" t="s">
        <v>499</v>
      </c>
      <c r="B128" t="s">
        <v>500</v>
      </c>
      <c r="C128" t="s">
        <v>15</v>
      </c>
      <c r="D128" t="s">
        <v>501</v>
      </c>
      <c r="E128" t="s">
        <v>284</v>
      </c>
      <c r="F128" t="s">
        <v>305</v>
      </c>
      <c r="G128" t="s">
        <v>502</v>
      </c>
      <c r="H128" t="str">
        <f>HYPERLINK("https://baanknet.com/view-property/198132/FD9858F58F5FB1CCF38967AE6E76142E1843D5659F1EA5D0A3D94C4F1F0629F2", "https://baanknet.com/view-property/198132/FD9858F58F5FB1CCF38967AE6E76142E1843D5659F1EA5D0A3D94C4F1F0629F2")</f>
        <v>https://baanknet.com/view-property/198132/FD9858F58F5FB1CCF38967AE6E76142E1843D5659F1EA5D0A3D94C4F1F0629F2</v>
      </c>
      <c r="I128" t="str">
        <f>HYPERLINK("https://baanknet.com/view-property/198132/FD9858F58F5FB1CCF38967AE6E76142E1843D5659F1EA5D0A3D94C4F1F0629F2", "Open")</f>
        <v>Open</v>
      </c>
      <c r="J128" t="s">
        <v>20</v>
      </c>
      <c r="K128" t="s">
        <v>21</v>
      </c>
      <c r="L128">
        <v>4986000</v>
      </c>
      <c r="M128">
        <v>498600</v>
      </c>
    </row>
    <row r="129" spans="1:13" x14ac:dyDescent="0.25">
      <c r="A129" t="s">
        <v>503</v>
      </c>
      <c r="B129" t="s">
        <v>504</v>
      </c>
      <c r="C129" t="s">
        <v>15</v>
      </c>
      <c r="D129" t="s">
        <v>505</v>
      </c>
      <c r="E129" t="s">
        <v>284</v>
      </c>
      <c r="F129" t="s">
        <v>305</v>
      </c>
      <c r="G129" t="s">
        <v>506</v>
      </c>
      <c r="H129" t="str">
        <f>HYPERLINK("https://baanknet.com/view-property/249101/611BC6614C61001369AECE5B2723E9053DA5383F3CD81EDF99C282F6804DB422", "https://baanknet.com/view-property/249101/611BC6614C61001369AECE5B2723E9053DA5383F3CD81EDF99C282F6804DB422")</f>
        <v>https://baanknet.com/view-property/249101/611BC6614C61001369AECE5B2723E9053DA5383F3CD81EDF99C282F6804DB422</v>
      </c>
      <c r="I129" t="str">
        <f>HYPERLINK("https://baanknet.com/view-property/249101/611BC6614C61001369AECE5B2723E9053DA5383F3CD81EDF99C282F6804DB422", "Open")</f>
        <v>Open</v>
      </c>
      <c r="J129" t="s">
        <v>20</v>
      </c>
      <c r="K129" t="s">
        <v>21</v>
      </c>
      <c r="L129">
        <v>1920000</v>
      </c>
      <c r="M129">
        <v>192000</v>
      </c>
    </row>
    <row r="130" spans="1:13" x14ac:dyDescent="0.25">
      <c r="A130" t="s">
        <v>507</v>
      </c>
      <c r="B130" t="s">
        <v>508</v>
      </c>
      <c r="C130" t="s">
        <v>15</v>
      </c>
      <c r="D130" t="s">
        <v>509</v>
      </c>
      <c r="E130" t="s">
        <v>284</v>
      </c>
      <c r="F130" t="s">
        <v>510</v>
      </c>
      <c r="G130" t="s">
        <v>511</v>
      </c>
      <c r="H130" t="str">
        <f>HYPERLINK("https://baanknet.com/view-property/189088/592067F4149BB474E4FE86F3B044C0F6D2A8045D99CD9D4344602DBF34EED195", "https://baanknet.com/view-property/189088/592067F4149BB474E4FE86F3B044C0F6D2A8045D99CD9D4344602DBF34EED195")</f>
        <v>https://baanknet.com/view-property/189088/592067F4149BB474E4FE86F3B044C0F6D2A8045D99CD9D4344602DBF34EED195</v>
      </c>
      <c r="I130" t="str">
        <f>HYPERLINK("https://baanknet.com/view-property/189088/592067F4149BB474E4FE86F3B044C0F6D2A8045D99CD9D4344602DBF34EED195", "Open")</f>
        <v>Open</v>
      </c>
      <c r="J130" t="s">
        <v>20</v>
      </c>
      <c r="K130" t="s">
        <v>21</v>
      </c>
      <c r="L130">
        <v>635000</v>
      </c>
      <c r="M130">
        <v>63500</v>
      </c>
    </row>
    <row r="131" spans="1:13" x14ac:dyDescent="0.25">
      <c r="A131" t="s">
        <v>512</v>
      </c>
      <c r="B131" t="s">
        <v>513</v>
      </c>
      <c r="C131" t="s">
        <v>15</v>
      </c>
      <c r="D131" t="s">
        <v>514</v>
      </c>
      <c r="E131" t="s">
        <v>284</v>
      </c>
      <c r="F131" t="s">
        <v>510</v>
      </c>
      <c r="G131" t="s">
        <v>515</v>
      </c>
      <c r="H131" t="str">
        <f>HYPERLINK("https://baanknet.com/view-property/285076/DFCF67C28C3E221BF902480CAA954530165AA3F53A0306BDB9B661665659D5C7", "https://baanknet.com/view-property/285076/DFCF67C28C3E221BF902480CAA954530165AA3F53A0306BDB9B661665659D5C7")</f>
        <v>https://baanknet.com/view-property/285076/DFCF67C28C3E221BF902480CAA954530165AA3F53A0306BDB9B661665659D5C7</v>
      </c>
      <c r="I131" t="str">
        <f>HYPERLINK("https://baanknet.com/view-property/285076/DFCF67C28C3E221BF902480CAA954530165AA3F53A0306BDB9B661665659D5C7", "Open")</f>
        <v>Open</v>
      </c>
      <c r="J131" t="s">
        <v>20</v>
      </c>
      <c r="K131" t="s">
        <v>21</v>
      </c>
      <c r="L131">
        <v>1600000</v>
      </c>
      <c r="M131">
        <v>160000</v>
      </c>
    </row>
    <row r="132" spans="1:13" x14ac:dyDescent="0.25">
      <c r="A132" t="s">
        <v>516</v>
      </c>
      <c r="B132" t="s">
        <v>517</v>
      </c>
      <c r="C132" t="s">
        <v>15</v>
      </c>
      <c r="D132" t="s">
        <v>518</v>
      </c>
      <c r="E132" t="s">
        <v>284</v>
      </c>
      <c r="F132" t="s">
        <v>510</v>
      </c>
      <c r="G132" t="s">
        <v>519</v>
      </c>
      <c r="H132" t="str">
        <f>HYPERLINK("https://baanknet.com/view-property/285168/F55BAA363F1EB0677C6DEA8E72F194594B3A06174288AE83A83BF9EE4CCEABF2", "https://baanknet.com/view-property/285168/F55BAA363F1EB0677C6DEA8E72F194594B3A06174288AE83A83BF9EE4CCEABF2")</f>
        <v>https://baanknet.com/view-property/285168/F55BAA363F1EB0677C6DEA8E72F194594B3A06174288AE83A83BF9EE4CCEABF2</v>
      </c>
      <c r="I132" t="str">
        <f>HYPERLINK("https://baanknet.com/view-property/285168/F55BAA363F1EB0677C6DEA8E72F194594B3A06174288AE83A83BF9EE4CCEABF2", "Open")</f>
        <v>Open</v>
      </c>
      <c r="J132" t="s">
        <v>20</v>
      </c>
      <c r="K132" t="s">
        <v>21</v>
      </c>
      <c r="L132">
        <v>2850000</v>
      </c>
      <c r="M132">
        <v>285000</v>
      </c>
    </row>
    <row r="133" spans="1:13" x14ac:dyDescent="0.25">
      <c r="A133" t="s">
        <v>520</v>
      </c>
      <c r="B133" t="s">
        <v>521</v>
      </c>
      <c r="C133" t="s">
        <v>15</v>
      </c>
      <c r="D133" t="s">
        <v>509</v>
      </c>
      <c r="E133" t="s">
        <v>284</v>
      </c>
      <c r="F133" t="s">
        <v>510</v>
      </c>
      <c r="G133" t="s">
        <v>522</v>
      </c>
      <c r="H133" t="str">
        <f>HYPERLINK("https://baanknet.com/view-property/225780/8143C810FBEA16C4C850CAF60221A04FC8FE8E99B64389A23CA8A21622A00C49", "https://baanknet.com/view-property/225780/8143C810FBEA16C4C850CAF60221A04FC8FE8E99B64389A23CA8A21622A00C49")</f>
        <v>https://baanknet.com/view-property/225780/8143C810FBEA16C4C850CAF60221A04FC8FE8E99B64389A23CA8A21622A00C49</v>
      </c>
      <c r="I133" t="str">
        <f>HYPERLINK("https://baanknet.com/view-property/225780/8143C810FBEA16C4C850CAF60221A04FC8FE8E99B64389A23CA8A21622A00C49", "Open")</f>
        <v>Open</v>
      </c>
      <c r="J133" t="s">
        <v>20</v>
      </c>
      <c r="K133" t="s">
        <v>21</v>
      </c>
      <c r="L133">
        <v>1550000</v>
      </c>
      <c r="M133">
        <v>155000</v>
      </c>
    </row>
    <row r="134" spans="1:13" x14ac:dyDescent="0.25">
      <c r="A134" t="s">
        <v>523</v>
      </c>
      <c r="B134" t="s">
        <v>524</v>
      </c>
      <c r="C134" t="s">
        <v>525</v>
      </c>
      <c r="D134" t="s">
        <v>526</v>
      </c>
      <c r="E134" t="s">
        <v>284</v>
      </c>
      <c r="F134" t="s">
        <v>510</v>
      </c>
      <c r="G134" t="s">
        <v>527</v>
      </c>
      <c r="H134" t="str">
        <f>HYPERLINK("https://baanknet.com/view-property/192418/4B22AB424D43899EC35668DF3331042323A88C84B9EC6B887E7F4E86154EAB95", "https://baanknet.com/view-property/192418/4B22AB424D43899EC35668DF3331042323A88C84B9EC6B887E7F4E86154EAB95")</f>
        <v>https://baanknet.com/view-property/192418/4B22AB424D43899EC35668DF3331042323A88C84B9EC6B887E7F4E86154EAB95</v>
      </c>
      <c r="I134" t="str">
        <f>HYPERLINK("https://baanknet.com/view-property/192418/4B22AB424D43899EC35668DF3331042323A88C84B9EC6B887E7F4E86154EAB95", "Open")</f>
        <v>Open</v>
      </c>
      <c r="J134" t="s">
        <v>20</v>
      </c>
      <c r="K134" t="s">
        <v>21</v>
      </c>
      <c r="L134">
        <v>1260000</v>
      </c>
      <c r="M134">
        <v>126000</v>
      </c>
    </row>
    <row r="135" spans="1:13" x14ac:dyDescent="0.25">
      <c r="A135" t="s">
        <v>528</v>
      </c>
      <c r="B135" t="s">
        <v>529</v>
      </c>
      <c r="C135" t="s">
        <v>525</v>
      </c>
      <c r="D135" t="s">
        <v>526</v>
      </c>
      <c r="E135" t="s">
        <v>284</v>
      </c>
      <c r="F135" t="s">
        <v>510</v>
      </c>
      <c r="G135" t="s">
        <v>530</v>
      </c>
      <c r="H135" t="str">
        <f>HYPERLINK("https://baanknet.com/view-property/192499/352C998EFA1FC629798118B60C7E29FFB2C68C3058E578B40BFF3F6FA0FDE76D", "https://baanknet.com/view-property/192499/352C998EFA1FC629798118B60C7E29FFB2C68C3058E578B40BFF3F6FA0FDE76D")</f>
        <v>https://baanknet.com/view-property/192499/352C998EFA1FC629798118B60C7E29FFB2C68C3058E578B40BFF3F6FA0FDE76D</v>
      </c>
      <c r="I135" t="str">
        <f>HYPERLINK("https://baanknet.com/view-property/192499/352C998EFA1FC629798118B60C7E29FFB2C68C3058E578B40BFF3F6FA0FDE76D", "Open")</f>
        <v>Open</v>
      </c>
      <c r="J135" t="s">
        <v>20</v>
      </c>
      <c r="K135" t="s">
        <v>21</v>
      </c>
      <c r="L135">
        <v>1260000</v>
      </c>
      <c r="M135">
        <v>126000</v>
      </c>
    </row>
    <row r="136" spans="1:13" x14ac:dyDescent="0.25">
      <c r="A136" t="s">
        <v>531</v>
      </c>
      <c r="B136" t="s">
        <v>532</v>
      </c>
      <c r="C136" t="s">
        <v>525</v>
      </c>
      <c r="D136" t="s">
        <v>533</v>
      </c>
      <c r="E136" t="s">
        <v>284</v>
      </c>
      <c r="F136" t="s">
        <v>510</v>
      </c>
      <c r="G136" t="s">
        <v>534</v>
      </c>
      <c r="H136" t="str">
        <f>HYPERLINK("https://baanknet.com/view-property/192108/D1E57FDE7072883E746BC84AC62E477264E35E2AD6218251CEF8AF05DB9D269A", "https://baanknet.com/view-property/192108/D1E57FDE7072883E746BC84AC62E477264E35E2AD6218251CEF8AF05DB9D269A")</f>
        <v>https://baanknet.com/view-property/192108/D1E57FDE7072883E746BC84AC62E477264E35E2AD6218251CEF8AF05DB9D269A</v>
      </c>
      <c r="I136" t="str">
        <f>HYPERLINK("https://baanknet.com/view-property/192108/D1E57FDE7072883E746BC84AC62E477264E35E2AD6218251CEF8AF05DB9D269A", "Open")</f>
        <v>Open</v>
      </c>
      <c r="J136" t="s">
        <v>20</v>
      </c>
      <c r="K136" t="s">
        <v>21</v>
      </c>
      <c r="L136">
        <v>2075000</v>
      </c>
      <c r="M136">
        <v>207500</v>
      </c>
    </row>
    <row r="137" spans="1:13" x14ac:dyDescent="0.25">
      <c r="A137" t="s">
        <v>535</v>
      </c>
      <c r="B137" t="s">
        <v>536</v>
      </c>
      <c r="C137" t="s">
        <v>121</v>
      </c>
      <c r="D137" t="s">
        <v>537</v>
      </c>
      <c r="E137" t="s">
        <v>284</v>
      </c>
      <c r="F137" t="s">
        <v>538</v>
      </c>
      <c r="G137" t="s">
        <v>539</v>
      </c>
      <c r="H137" t="str">
        <f>HYPERLINK("https://baanknet.com/view-property/287019/D7BA89B738C59A6F2AE9AEE3932C68088AE289EE8E2DF7FC1246FDAFC1415D8C", "https://baanknet.com/view-property/287019/D7BA89B738C59A6F2AE9AEE3932C68088AE289EE8E2DF7FC1246FDAFC1415D8C")</f>
        <v>https://baanknet.com/view-property/287019/D7BA89B738C59A6F2AE9AEE3932C68088AE289EE8E2DF7FC1246FDAFC1415D8C</v>
      </c>
      <c r="I137" t="str">
        <f>HYPERLINK("https://baanknet.com/view-property/287019/D7BA89B738C59A6F2AE9AEE3932C68088AE289EE8E2DF7FC1246FDAFC1415D8C", "Open")</f>
        <v>Open</v>
      </c>
      <c r="J137" t="s">
        <v>20</v>
      </c>
      <c r="K137" t="s">
        <v>21</v>
      </c>
      <c r="L137">
        <v>2500000</v>
      </c>
      <c r="M137">
        <v>250000</v>
      </c>
    </row>
    <row r="138" spans="1:13" x14ac:dyDescent="0.25">
      <c r="A138" t="s">
        <v>540</v>
      </c>
      <c r="B138" t="s">
        <v>541</v>
      </c>
      <c r="C138" t="s">
        <v>121</v>
      </c>
      <c r="D138" t="s">
        <v>537</v>
      </c>
      <c r="E138" t="s">
        <v>284</v>
      </c>
      <c r="F138" t="s">
        <v>538</v>
      </c>
      <c r="G138" t="s">
        <v>542</v>
      </c>
      <c r="H138" t="str">
        <f>HYPERLINK("https://baanknet.com/view-property/172729/A1F980873CB4A5091B0511CF63E34F5C4C48070578D44BF6170E517E25C05D6B", "https://baanknet.com/view-property/172729/A1F980873CB4A5091B0511CF63E34F5C4C48070578D44BF6170E517E25C05D6B")</f>
        <v>https://baanknet.com/view-property/172729/A1F980873CB4A5091B0511CF63E34F5C4C48070578D44BF6170E517E25C05D6B</v>
      </c>
      <c r="I138" t="str">
        <f>HYPERLINK("https://baanknet.com/view-property/172729/A1F980873CB4A5091B0511CF63E34F5C4C48070578D44BF6170E517E25C05D6B", "Open")</f>
        <v>Open</v>
      </c>
      <c r="J138" t="s">
        <v>20</v>
      </c>
      <c r="K138" t="s">
        <v>21</v>
      </c>
      <c r="L138">
        <v>1600000</v>
      </c>
      <c r="M138">
        <v>160000</v>
      </c>
    </row>
    <row r="139" spans="1:13" x14ac:dyDescent="0.25">
      <c r="A139" t="s">
        <v>543</v>
      </c>
      <c r="B139" t="s">
        <v>544</v>
      </c>
      <c r="C139" t="s">
        <v>387</v>
      </c>
      <c r="D139" t="s">
        <v>545</v>
      </c>
      <c r="E139" t="s">
        <v>305</v>
      </c>
      <c r="F139" t="s">
        <v>334</v>
      </c>
      <c r="G139" t="s">
        <v>546</v>
      </c>
      <c r="H139" t="str">
        <f>HYPERLINK("https://baanknet.com/view-property/288039/682A161F2A4CA820250F5F03E59B3B169DA849F003DD3047FD9386E172FD29DE", "https://baanknet.com/view-property/288039/682A161F2A4CA820250F5F03E59B3B169DA849F003DD3047FD9386E172FD29DE")</f>
        <v>https://baanknet.com/view-property/288039/682A161F2A4CA820250F5F03E59B3B169DA849F003DD3047FD9386E172FD29DE</v>
      </c>
      <c r="I139" t="str">
        <f>HYPERLINK("https://baanknet.com/view-property/288039/682A161F2A4CA820250F5F03E59B3B169DA849F003DD3047FD9386E172FD29DE", "Open")</f>
        <v>Open</v>
      </c>
      <c r="J139" t="s">
        <v>20</v>
      </c>
      <c r="K139" t="s">
        <v>21</v>
      </c>
      <c r="L139">
        <v>2453000</v>
      </c>
      <c r="M139">
        <v>245300</v>
      </c>
    </row>
    <row r="140" spans="1:13" x14ac:dyDescent="0.25">
      <c r="A140" t="s">
        <v>547</v>
      </c>
      <c r="B140" t="s">
        <v>548</v>
      </c>
      <c r="C140" t="s">
        <v>83</v>
      </c>
      <c r="D140" t="s">
        <v>549</v>
      </c>
      <c r="E140" t="s">
        <v>305</v>
      </c>
      <c r="F140" t="s">
        <v>389</v>
      </c>
      <c r="G140" t="s">
        <v>550</v>
      </c>
      <c r="H140" t="str">
        <f>HYPERLINK("https://baanknet.com/view-property/275663/2FD6C3E03BBC35972EA076F2F7E56997D5997CF6DCCF20D3BB3E10F0FAB06576", "https://baanknet.com/view-property/275663/2FD6C3E03BBC35972EA076F2F7E56997D5997CF6DCCF20D3BB3E10F0FAB06576")</f>
        <v>https://baanknet.com/view-property/275663/2FD6C3E03BBC35972EA076F2F7E56997D5997CF6DCCF20D3BB3E10F0FAB06576</v>
      </c>
      <c r="I140" t="str">
        <f>HYPERLINK("https://baanknet.com/view-property/275663/2FD6C3E03BBC35972EA076F2F7E56997D5997CF6DCCF20D3BB3E10F0FAB06576", "Open")</f>
        <v>Open</v>
      </c>
      <c r="J140" t="s">
        <v>20</v>
      </c>
      <c r="K140" t="s">
        <v>21</v>
      </c>
      <c r="L140">
        <v>875000</v>
      </c>
      <c r="M140">
        <v>87500</v>
      </c>
    </row>
    <row r="141" spans="1:13" x14ac:dyDescent="0.25">
      <c r="A141" t="s">
        <v>551</v>
      </c>
      <c r="B141" t="s">
        <v>552</v>
      </c>
      <c r="C141" t="s">
        <v>83</v>
      </c>
      <c r="D141" t="s">
        <v>553</v>
      </c>
      <c r="E141" t="s">
        <v>305</v>
      </c>
      <c r="F141" t="s">
        <v>389</v>
      </c>
      <c r="G141" t="s">
        <v>554</v>
      </c>
      <c r="H141" t="str">
        <f>HYPERLINK("https://baanknet.com/view-property/287204/9F615A3DC4513BD2498D0DDFC26A9D668D2591B5364A908636BAA17DDCE945E0", "https://baanknet.com/view-property/287204/9F615A3DC4513BD2498D0DDFC26A9D668D2591B5364A908636BAA17DDCE945E0")</f>
        <v>https://baanknet.com/view-property/287204/9F615A3DC4513BD2498D0DDFC26A9D668D2591B5364A908636BAA17DDCE945E0</v>
      </c>
      <c r="I141" t="str">
        <f>HYPERLINK("https://baanknet.com/view-property/287204/9F615A3DC4513BD2498D0DDFC26A9D668D2591B5364A908636BAA17DDCE945E0", "Open")</f>
        <v>Open</v>
      </c>
      <c r="J141" t="s">
        <v>20</v>
      </c>
      <c r="K141" t="s">
        <v>21</v>
      </c>
      <c r="L141">
        <v>1671000</v>
      </c>
      <c r="M141">
        <v>167100</v>
      </c>
    </row>
    <row r="142" spans="1:13" x14ac:dyDescent="0.25">
      <c r="A142" t="s">
        <v>555</v>
      </c>
      <c r="B142" t="s">
        <v>556</v>
      </c>
      <c r="C142" t="s">
        <v>83</v>
      </c>
      <c r="D142" t="s">
        <v>557</v>
      </c>
      <c r="E142" t="s">
        <v>305</v>
      </c>
      <c r="F142" t="s">
        <v>389</v>
      </c>
      <c r="G142" t="s">
        <v>558</v>
      </c>
      <c r="H142" t="str">
        <f>HYPERLINK("https://baanknet.com/view-property/287210/F73DAC483AC64CFAB3AAB59B744EF3541A33A7407B602FF75A803EE797B0536A", "https://baanknet.com/view-property/287210/F73DAC483AC64CFAB3AAB59B744EF3541A33A7407B602FF75A803EE797B0536A")</f>
        <v>https://baanknet.com/view-property/287210/F73DAC483AC64CFAB3AAB59B744EF3541A33A7407B602FF75A803EE797B0536A</v>
      </c>
      <c r="I142" t="str">
        <f>HYPERLINK("https://baanknet.com/view-property/287210/F73DAC483AC64CFAB3AAB59B744EF3541A33A7407B602FF75A803EE797B0536A", "Open")</f>
        <v>Open</v>
      </c>
      <c r="J142" t="s">
        <v>20</v>
      </c>
      <c r="K142" t="s">
        <v>21</v>
      </c>
      <c r="L142">
        <v>1015000</v>
      </c>
      <c r="M142">
        <v>101500</v>
      </c>
    </row>
    <row r="143" spans="1:13" x14ac:dyDescent="0.25">
      <c r="A143" t="s">
        <v>559</v>
      </c>
      <c r="B143" t="s">
        <v>560</v>
      </c>
      <c r="C143" t="s">
        <v>83</v>
      </c>
      <c r="D143" t="s">
        <v>557</v>
      </c>
      <c r="E143" t="s">
        <v>305</v>
      </c>
      <c r="F143" t="s">
        <v>389</v>
      </c>
      <c r="G143" t="s">
        <v>561</v>
      </c>
      <c r="H143" t="str">
        <f>HYPERLINK("https://baanknet.com/view-property/287199/6891A40FB2DBC2D232A6E58954FC5E8D98FDF6AAAC35E47B0382887FE0CD4FB6", "https://baanknet.com/view-property/287199/6891A40FB2DBC2D232A6E58954FC5E8D98FDF6AAAC35E47B0382887FE0CD4FB6")</f>
        <v>https://baanknet.com/view-property/287199/6891A40FB2DBC2D232A6E58954FC5E8D98FDF6AAAC35E47B0382887FE0CD4FB6</v>
      </c>
      <c r="I143" t="str">
        <f>HYPERLINK("https://baanknet.com/view-property/287199/6891A40FB2DBC2D232A6E58954FC5E8D98FDF6AAAC35E47B0382887FE0CD4FB6", "Open")</f>
        <v>Open</v>
      </c>
      <c r="J143" t="s">
        <v>20</v>
      </c>
      <c r="K143" t="s">
        <v>21</v>
      </c>
      <c r="L143">
        <v>805000</v>
      </c>
      <c r="M143">
        <v>80500</v>
      </c>
    </row>
    <row r="144" spans="1:13" x14ac:dyDescent="0.25">
      <c r="A144" t="s">
        <v>562</v>
      </c>
      <c r="B144" t="s">
        <v>563</v>
      </c>
      <c r="C144" t="s">
        <v>83</v>
      </c>
      <c r="D144" t="s">
        <v>549</v>
      </c>
      <c r="E144" t="s">
        <v>305</v>
      </c>
      <c r="F144" t="s">
        <v>389</v>
      </c>
      <c r="G144" t="s">
        <v>564</v>
      </c>
      <c r="H144" t="str">
        <f>HYPERLINK("https://baanknet.com/view-property/115679/E48F98DD0D69555128168EF5A0B30BCE97F0D783C82220A55A5260D56EA697F9", "https://baanknet.com/view-property/115679/E48F98DD0D69555128168EF5A0B30BCE97F0D783C82220A55A5260D56EA697F9")</f>
        <v>https://baanknet.com/view-property/115679/E48F98DD0D69555128168EF5A0B30BCE97F0D783C82220A55A5260D56EA697F9</v>
      </c>
      <c r="I144" t="str">
        <f>HYPERLINK("https://baanknet.com/view-property/115679/E48F98DD0D69555128168EF5A0B30BCE97F0D783C82220A55A5260D56EA697F9", "Open")</f>
        <v>Open</v>
      </c>
      <c r="J144" t="s">
        <v>20</v>
      </c>
      <c r="K144" t="s">
        <v>21</v>
      </c>
      <c r="L144">
        <v>860000</v>
      </c>
      <c r="M144">
        <v>86000</v>
      </c>
    </row>
    <row r="145" spans="1:13" x14ac:dyDescent="0.25">
      <c r="A145" t="s">
        <v>565</v>
      </c>
      <c r="B145" t="s">
        <v>566</v>
      </c>
      <c r="C145" t="s">
        <v>121</v>
      </c>
      <c r="D145" t="s">
        <v>567</v>
      </c>
      <c r="E145" t="s">
        <v>510</v>
      </c>
      <c r="F145" t="s">
        <v>334</v>
      </c>
      <c r="G145" t="s">
        <v>568</v>
      </c>
      <c r="H145" t="str">
        <f>HYPERLINK("https://baanknet.com/view-property/287201/3B174C933998C30EB784BAA3EE32142A37949A96C2E0EA5BBA7A25716F818CF1", "https://baanknet.com/view-property/287201/3B174C933998C30EB784BAA3EE32142A37949A96C2E0EA5BBA7A25716F818CF1")</f>
        <v>https://baanknet.com/view-property/287201/3B174C933998C30EB784BAA3EE32142A37949A96C2E0EA5BBA7A25716F818CF1</v>
      </c>
      <c r="I145" t="str">
        <f>HYPERLINK("https://baanknet.com/view-property/287201/3B174C933998C30EB784BAA3EE32142A37949A96C2E0EA5BBA7A25716F818CF1", "Open")</f>
        <v>Open</v>
      </c>
      <c r="J145" t="s">
        <v>20</v>
      </c>
      <c r="K145" t="s">
        <v>21</v>
      </c>
      <c r="L145">
        <v>28563000</v>
      </c>
      <c r="M145">
        <v>2856300</v>
      </c>
    </row>
    <row r="146" spans="1:13" x14ac:dyDescent="0.25">
      <c r="A146" t="s">
        <v>569</v>
      </c>
      <c r="B146" t="s">
        <v>570</v>
      </c>
      <c r="C146" t="s">
        <v>571</v>
      </c>
      <c r="D146" t="s">
        <v>572</v>
      </c>
      <c r="E146" t="s">
        <v>573</v>
      </c>
      <c r="F146" t="s">
        <v>574</v>
      </c>
      <c r="G146" t="s">
        <v>575</v>
      </c>
      <c r="H146" t="str">
        <f>HYPERLINK("https://baanknet.com/view-property/240379/18FC1887D33A83EE63E070C60671BD381F1DD391A0D9EF0F65C465E5448D66EC", "https://baanknet.com/view-property/240379/18FC1887D33A83EE63E070C60671BD381F1DD391A0D9EF0F65C465E5448D66EC")</f>
        <v>https://baanknet.com/view-property/240379/18FC1887D33A83EE63E070C60671BD381F1DD391A0D9EF0F65C465E5448D66EC</v>
      </c>
      <c r="I146" t="str">
        <f>HYPERLINK("https://baanknet.com/view-property/240379/18FC1887D33A83EE63E070C60671BD381F1DD391A0D9EF0F65C465E5448D66EC", "Open")</f>
        <v>Open</v>
      </c>
      <c r="J146" t="s">
        <v>20</v>
      </c>
      <c r="K146" t="s">
        <v>21</v>
      </c>
      <c r="L146">
        <v>800000</v>
      </c>
      <c r="M146">
        <v>80000</v>
      </c>
    </row>
    <row r="147" spans="1:13" x14ac:dyDescent="0.25">
      <c r="A147" t="s">
        <v>576</v>
      </c>
      <c r="B147" t="s">
        <v>577</v>
      </c>
      <c r="C147" t="s">
        <v>571</v>
      </c>
      <c r="D147" t="s">
        <v>578</v>
      </c>
      <c r="E147" t="s">
        <v>579</v>
      </c>
      <c r="F147" t="s">
        <v>580</v>
      </c>
      <c r="G147" t="s">
        <v>581</v>
      </c>
      <c r="H147" t="str">
        <f>HYPERLINK("https://baanknet.com/view-property/285067/66F1B80FD46CD1E93B2F59B1593592413C5B45BD3C6E39E7128A2E48B12346D1", "https://baanknet.com/view-property/285067/66F1B80FD46CD1E93B2F59B1593592413C5B45BD3C6E39E7128A2E48B12346D1")</f>
        <v>https://baanknet.com/view-property/285067/66F1B80FD46CD1E93B2F59B1593592413C5B45BD3C6E39E7128A2E48B12346D1</v>
      </c>
      <c r="I147" t="str">
        <f>HYPERLINK("https://baanknet.com/view-property/285067/66F1B80FD46CD1E93B2F59B1593592413C5B45BD3C6E39E7128A2E48B12346D1", "Open")</f>
        <v>Open</v>
      </c>
      <c r="J147" t="s">
        <v>20</v>
      </c>
      <c r="K147" t="s">
        <v>21</v>
      </c>
      <c r="L147">
        <v>28100000</v>
      </c>
      <c r="M147">
        <v>2810000</v>
      </c>
    </row>
    <row r="148" spans="1:13" x14ac:dyDescent="0.25">
      <c r="A148" t="s">
        <v>582</v>
      </c>
      <c r="B148" t="s">
        <v>583</v>
      </c>
      <c r="C148" t="s">
        <v>571</v>
      </c>
      <c r="D148" t="s">
        <v>584</v>
      </c>
      <c r="E148" t="s">
        <v>579</v>
      </c>
      <c r="F148" t="s">
        <v>585</v>
      </c>
      <c r="G148" t="s">
        <v>586</v>
      </c>
      <c r="H148" t="str">
        <f>HYPERLINK("https://baanknet.com/view-property/262182/4B62ED1E2D04A177876B43A036E91466EE13887F953EC499AC672E54202607FC", "https://baanknet.com/view-property/262182/4B62ED1E2D04A177876B43A036E91466EE13887F953EC499AC672E54202607FC")</f>
        <v>https://baanknet.com/view-property/262182/4B62ED1E2D04A177876B43A036E91466EE13887F953EC499AC672E54202607FC</v>
      </c>
      <c r="I148" t="str">
        <f>HYPERLINK("https://baanknet.com/view-property/262182/4B62ED1E2D04A177876B43A036E91466EE13887F953EC499AC672E54202607FC", "Open")</f>
        <v>Open</v>
      </c>
      <c r="J148" t="s">
        <v>20</v>
      </c>
      <c r="K148" t="s">
        <v>21</v>
      </c>
      <c r="L148">
        <v>4304700</v>
      </c>
      <c r="M148">
        <v>430470</v>
      </c>
    </row>
    <row r="149" spans="1:13" x14ac:dyDescent="0.25">
      <c r="A149" t="s">
        <v>587</v>
      </c>
      <c r="B149" t="s">
        <v>588</v>
      </c>
      <c r="C149" t="s">
        <v>589</v>
      </c>
      <c r="D149" t="s">
        <v>590</v>
      </c>
      <c r="E149" t="s">
        <v>579</v>
      </c>
      <c r="F149" t="s">
        <v>574</v>
      </c>
      <c r="G149" t="s">
        <v>591</v>
      </c>
      <c r="H149" t="str">
        <f>HYPERLINK("https://baanknet.com/view-property/283194/C527D170064C5846E7E63DC9CF3F8C6277F243E7EF212CC8420165B4E3472E90", "https://baanknet.com/view-property/283194/C527D170064C5846E7E63DC9CF3F8C6277F243E7EF212CC8420165B4E3472E90")</f>
        <v>https://baanknet.com/view-property/283194/C527D170064C5846E7E63DC9CF3F8C6277F243E7EF212CC8420165B4E3472E90</v>
      </c>
      <c r="I149" t="str">
        <f>HYPERLINK("https://baanknet.com/view-property/283194/C527D170064C5846E7E63DC9CF3F8C6277F243E7EF212CC8420165B4E3472E90", "Open")</f>
        <v>Open</v>
      </c>
      <c r="J149" t="s">
        <v>20</v>
      </c>
      <c r="K149" t="s">
        <v>21</v>
      </c>
      <c r="L149">
        <v>2809000</v>
      </c>
      <c r="M149">
        <v>280900</v>
      </c>
    </row>
    <row r="150" spans="1:13" x14ac:dyDescent="0.25">
      <c r="A150" t="s">
        <v>592</v>
      </c>
      <c r="B150" t="s">
        <v>593</v>
      </c>
      <c r="C150" t="s">
        <v>594</v>
      </c>
      <c r="D150" t="s">
        <v>595</v>
      </c>
      <c r="E150" t="s">
        <v>596</v>
      </c>
      <c r="F150" t="s">
        <v>574</v>
      </c>
      <c r="G150" t="s">
        <v>597</v>
      </c>
      <c r="H150" t="str">
        <f>HYPERLINK("https://baanknet.com/view-property/286026/DA2E28912DF50ED333A5F5FC032252ED2F64BBD3001B35E2EEEC47405CBD0DFC", "https://baanknet.com/view-property/286026/DA2E28912DF50ED333A5F5FC032252ED2F64BBD3001B35E2EEEC47405CBD0DFC")</f>
        <v>https://baanknet.com/view-property/286026/DA2E28912DF50ED333A5F5FC032252ED2F64BBD3001B35E2EEEC47405CBD0DFC</v>
      </c>
      <c r="I150" t="str">
        <f>HYPERLINK("https://baanknet.com/view-property/286026/DA2E28912DF50ED333A5F5FC032252ED2F64BBD3001B35E2EEEC47405CBD0DFC", "Open")</f>
        <v>Open</v>
      </c>
      <c r="J150" t="s">
        <v>20</v>
      </c>
      <c r="K150" t="s">
        <v>21</v>
      </c>
      <c r="L150">
        <v>4811000</v>
      </c>
      <c r="M150">
        <v>481100</v>
      </c>
    </row>
    <row r="151" spans="1:13" x14ac:dyDescent="0.25">
      <c r="A151" t="s">
        <v>598</v>
      </c>
      <c r="B151" t="s">
        <v>599</v>
      </c>
      <c r="C151" t="s">
        <v>594</v>
      </c>
      <c r="D151" t="s">
        <v>600</v>
      </c>
      <c r="E151" t="s">
        <v>596</v>
      </c>
      <c r="F151" t="s">
        <v>574</v>
      </c>
      <c r="G151" t="s">
        <v>601</v>
      </c>
      <c r="H151" t="str">
        <f>HYPERLINK("https://baanknet.com/view-property/286860/EFF01418CCD72708A67E8BFFDA43FD6224100906272875220EE19B6E505E29B3", "https://baanknet.com/view-property/286860/EFF01418CCD72708A67E8BFFDA43FD6224100906272875220EE19B6E505E29B3")</f>
        <v>https://baanknet.com/view-property/286860/EFF01418CCD72708A67E8BFFDA43FD6224100906272875220EE19B6E505E29B3</v>
      </c>
      <c r="I151" t="str">
        <f>HYPERLINK("https://baanknet.com/view-property/286860/EFF01418CCD72708A67E8BFFDA43FD6224100906272875220EE19B6E505E29B3", "Open")</f>
        <v>Open</v>
      </c>
      <c r="J151" t="s">
        <v>20</v>
      </c>
      <c r="K151" t="s">
        <v>21</v>
      </c>
      <c r="L151">
        <v>3128000</v>
      </c>
      <c r="M151">
        <v>312800</v>
      </c>
    </row>
    <row r="152" spans="1:13" x14ac:dyDescent="0.25">
      <c r="A152" t="s">
        <v>602</v>
      </c>
      <c r="B152" t="s">
        <v>603</v>
      </c>
      <c r="C152" t="s">
        <v>594</v>
      </c>
      <c r="D152" t="s">
        <v>604</v>
      </c>
      <c r="E152" t="s">
        <v>596</v>
      </c>
      <c r="F152" t="s">
        <v>574</v>
      </c>
      <c r="G152" t="s">
        <v>605</v>
      </c>
      <c r="H152" t="str">
        <f>HYPERLINK("https://baanknet.com/view-property/286872/3B0E354A798DA120A1D6806676B3817FC4FDD7751F26603F69D3462396099D63", "https://baanknet.com/view-property/286872/3B0E354A798DA120A1D6806676B3817FC4FDD7751F26603F69D3462396099D63")</f>
        <v>https://baanknet.com/view-property/286872/3B0E354A798DA120A1D6806676B3817FC4FDD7751F26603F69D3462396099D63</v>
      </c>
      <c r="I152" t="str">
        <f>HYPERLINK("https://baanknet.com/view-property/286872/3B0E354A798DA120A1D6806676B3817FC4FDD7751F26603F69D3462396099D63", "Open")</f>
        <v>Open</v>
      </c>
      <c r="J152" t="s">
        <v>20</v>
      </c>
      <c r="K152" t="s">
        <v>21</v>
      </c>
      <c r="L152">
        <v>600000</v>
      </c>
      <c r="M152">
        <v>60000</v>
      </c>
    </row>
    <row r="153" spans="1:13" x14ac:dyDescent="0.25">
      <c r="A153" t="s">
        <v>606</v>
      </c>
      <c r="B153" t="s">
        <v>607</v>
      </c>
      <c r="C153" t="s">
        <v>594</v>
      </c>
      <c r="D153" t="s">
        <v>608</v>
      </c>
      <c r="E153" t="s">
        <v>596</v>
      </c>
      <c r="F153" t="s">
        <v>574</v>
      </c>
      <c r="G153" t="s">
        <v>609</v>
      </c>
      <c r="H153" t="str">
        <f>HYPERLINK("https://baanknet.com/view-property/287189/7147DB2B777E6A199166201BBAF01F6B243B2C75C81939FF97CE9D21C1EB0D90", "https://baanknet.com/view-property/287189/7147DB2B777E6A199166201BBAF01F6B243B2C75C81939FF97CE9D21C1EB0D90")</f>
        <v>https://baanknet.com/view-property/287189/7147DB2B777E6A199166201BBAF01F6B243B2C75C81939FF97CE9D21C1EB0D90</v>
      </c>
      <c r="I153" t="str">
        <f>HYPERLINK("https://baanknet.com/view-property/287189/7147DB2B777E6A199166201BBAF01F6B243B2C75C81939FF97CE9D21C1EB0D90", "Open")</f>
        <v>Open</v>
      </c>
      <c r="J153" t="s">
        <v>20</v>
      </c>
      <c r="K153" t="s">
        <v>21</v>
      </c>
      <c r="L153">
        <v>28400000</v>
      </c>
      <c r="M153">
        <v>2840000</v>
      </c>
    </row>
    <row r="154" spans="1:13" x14ac:dyDescent="0.25">
      <c r="A154" t="s">
        <v>610</v>
      </c>
      <c r="B154" t="s">
        <v>611</v>
      </c>
      <c r="C154" t="s">
        <v>594</v>
      </c>
      <c r="D154" t="s">
        <v>612</v>
      </c>
      <c r="E154" t="s">
        <v>596</v>
      </c>
      <c r="F154" t="s">
        <v>574</v>
      </c>
      <c r="G154" t="s">
        <v>613</v>
      </c>
      <c r="H154" t="str">
        <f>HYPERLINK("https://baanknet.com/view-property/286766/A66DB98BCA58DC0684DF96E44ABA861AEA8D7932E1C45C56836E69029EA90F8D", "https://baanknet.com/view-property/286766/A66DB98BCA58DC0684DF96E44ABA861AEA8D7932E1C45C56836E69029EA90F8D")</f>
        <v>https://baanknet.com/view-property/286766/A66DB98BCA58DC0684DF96E44ABA861AEA8D7932E1C45C56836E69029EA90F8D</v>
      </c>
      <c r="I154" t="str">
        <f>HYPERLINK("https://baanknet.com/view-property/286766/A66DB98BCA58DC0684DF96E44ABA861AEA8D7932E1C45C56836E69029EA90F8D", "Open")</f>
        <v>Open</v>
      </c>
      <c r="J154" t="s">
        <v>20</v>
      </c>
      <c r="K154" t="s">
        <v>21</v>
      </c>
      <c r="L154">
        <v>9860000</v>
      </c>
      <c r="M154">
        <v>986000</v>
      </c>
    </row>
    <row r="155" spans="1:13" x14ac:dyDescent="0.25">
      <c r="A155" t="s">
        <v>614</v>
      </c>
      <c r="B155" t="s">
        <v>615</v>
      </c>
      <c r="C155" t="s">
        <v>594</v>
      </c>
      <c r="D155" t="s">
        <v>616</v>
      </c>
      <c r="E155" t="s">
        <v>596</v>
      </c>
      <c r="F155" t="s">
        <v>574</v>
      </c>
      <c r="G155" t="s">
        <v>617</v>
      </c>
      <c r="H155" t="str">
        <f>HYPERLINK("https://baanknet.com/view-property/287038/BF1B7FBE40C7A03043747E2E8E3C3CBA20A7443000A3F04BC310A33C7BE555CE", "https://baanknet.com/view-property/287038/BF1B7FBE40C7A03043747E2E8E3C3CBA20A7443000A3F04BC310A33C7BE555CE")</f>
        <v>https://baanknet.com/view-property/287038/BF1B7FBE40C7A03043747E2E8E3C3CBA20A7443000A3F04BC310A33C7BE555CE</v>
      </c>
      <c r="I155" t="str">
        <f>HYPERLINK("https://baanknet.com/view-property/287038/BF1B7FBE40C7A03043747E2E8E3C3CBA20A7443000A3F04BC310A33C7BE555CE", "Open")</f>
        <v>Open</v>
      </c>
      <c r="J155" t="s">
        <v>20</v>
      </c>
      <c r="K155" t="s">
        <v>21</v>
      </c>
      <c r="L155">
        <v>9800000</v>
      </c>
      <c r="M155">
        <v>980000</v>
      </c>
    </row>
    <row r="156" spans="1:13" x14ac:dyDescent="0.25">
      <c r="A156" t="s">
        <v>618</v>
      </c>
      <c r="B156" t="s">
        <v>619</v>
      </c>
      <c r="C156" t="s">
        <v>594</v>
      </c>
      <c r="D156" t="s">
        <v>608</v>
      </c>
      <c r="E156" t="s">
        <v>596</v>
      </c>
      <c r="F156" t="s">
        <v>574</v>
      </c>
      <c r="G156" t="s">
        <v>620</v>
      </c>
      <c r="H156" t="str">
        <f>HYPERLINK("https://baanknet.com/view-property/287208/49FA892AFEFBA87547910C3FA9AA4344A385C7850700A15CA20977B865C26FEF", "https://baanknet.com/view-property/287208/49FA892AFEFBA87547910C3FA9AA4344A385C7850700A15CA20977B865C26FEF")</f>
        <v>https://baanknet.com/view-property/287208/49FA892AFEFBA87547910C3FA9AA4344A385C7850700A15CA20977B865C26FEF</v>
      </c>
      <c r="I156" t="str">
        <f>HYPERLINK("https://baanknet.com/view-property/287208/49FA892AFEFBA87547910C3FA9AA4344A385C7850700A15CA20977B865C26FEF", "Open")</f>
        <v>Open</v>
      </c>
      <c r="J156" t="s">
        <v>20</v>
      </c>
      <c r="K156" t="s">
        <v>21</v>
      </c>
      <c r="L156">
        <v>5400000</v>
      </c>
      <c r="M156">
        <v>540000</v>
      </c>
    </row>
    <row r="157" spans="1:13" x14ac:dyDescent="0.25">
      <c r="A157" t="s">
        <v>621</v>
      </c>
      <c r="B157" t="s">
        <v>622</v>
      </c>
      <c r="C157" t="s">
        <v>589</v>
      </c>
      <c r="D157" t="s">
        <v>32</v>
      </c>
      <c r="E157" t="s">
        <v>623</v>
      </c>
      <c r="F157" t="s">
        <v>624</v>
      </c>
      <c r="G157" t="s">
        <v>625</v>
      </c>
      <c r="H157" t="str">
        <f>HYPERLINK("https://baanknet.com/view-property/285409/F5AA16C2B375E9F6E1CF3EB5BE1E5493378D927848855CAF9F8AE894FCCE7236", "https://baanknet.com/view-property/285409/F5AA16C2B375E9F6E1CF3EB5BE1E5493378D927848855CAF9F8AE894FCCE7236")</f>
        <v>https://baanknet.com/view-property/285409/F5AA16C2B375E9F6E1CF3EB5BE1E5493378D927848855CAF9F8AE894FCCE7236</v>
      </c>
      <c r="I157" t="str">
        <f>HYPERLINK("https://baanknet.com/view-property/285409/F5AA16C2B375E9F6E1CF3EB5BE1E5493378D927848855CAF9F8AE894FCCE7236", "Open")</f>
        <v>Open</v>
      </c>
      <c r="J157" t="s">
        <v>20</v>
      </c>
      <c r="K157" t="s">
        <v>21</v>
      </c>
      <c r="L157">
        <v>3236000</v>
      </c>
      <c r="M157">
        <v>323600</v>
      </c>
    </row>
    <row r="158" spans="1:13" x14ac:dyDescent="0.25">
      <c r="A158" t="s">
        <v>626</v>
      </c>
      <c r="B158" t="s">
        <v>627</v>
      </c>
      <c r="C158" t="s">
        <v>589</v>
      </c>
      <c r="D158" t="s">
        <v>628</v>
      </c>
      <c r="E158" t="s">
        <v>623</v>
      </c>
      <c r="F158" t="s">
        <v>624</v>
      </c>
      <c r="G158" t="s">
        <v>629</v>
      </c>
      <c r="H158" t="str">
        <f>HYPERLINK("https://baanknet.com/view-property/285899/3BDE0D07A4CE0CCDD32A5E583FB73F4B58364515C23C3CE74B670410129BD270", "https://baanknet.com/view-property/285899/3BDE0D07A4CE0CCDD32A5E583FB73F4B58364515C23C3CE74B670410129BD270")</f>
        <v>https://baanknet.com/view-property/285899/3BDE0D07A4CE0CCDD32A5E583FB73F4B58364515C23C3CE74B670410129BD270</v>
      </c>
      <c r="I158" t="str">
        <f>HYPERLINK("https://baanknet.com/view-property/285899/3BDE0D07A4CE0CCDD32A5E583FB73F4B58364515C23C3CE74B670410129BD270", "Open")</f>
        <v>Open</v>
      </c>
      <c r="J158" t="s">
        <v>20</v>
      </c>
      <c r="K158" t="s">
        <v>21</v>
      </c>
      <c r="L158">
        <v>9100000</v>
      </c>
      <c r="M158">
        <v>910000</v>
      </c>
    </row>
    <row r="159" spans="1:13" x14ac:dyDescent="0.25">
      <c r="A159" t="s">
        <v>630</v>
      </c>
      <c r="B159" t="s">
        <v>631</v>
      </c>
      <c r="C159" t="s">
        <v>589</v>
      </c>
      <c r="D159" t="s">
        <v>578</v>
      </c>
      <c r="E159" t="s">
        <v>623</v>
      </c>
      <c r="F159" t="s">
        <v>624</v>
      </c>
      <c r="G159" t="s">
        <v>632</v>
      </c>
      <c r="H159" t="str">
        <f>HYPERLINK("https://baanknet.com/view-property/265089/F3F0EB9F199F82304F49E726B528682197A34BA1C80D14A34DDE5ED584CBF310", "https://baanknet.com/view-property/265089/F3F0EB9F199F82304F49E726B528682197A34BA1C80D14A34DDE5ED584CBF310")</f>
        <v>https://baanknet.com/view-property/265089/F3F0EB9F199F82304F49E726B528682197A34BA1C80D14A34DDE5ED584CBF310</v>
      </c>
      <c r="I159" t="str">
        <f>HYPERLINK("https://baanknet.com/view-property/265089/F3F0EB9F199F82304F49E726B528682197A34BA1C80D14A34DDE5ED584CBF310", "Open")</f>
        <v>Open</v>
      </c>
      <c r="J159" t="s">
        <v>20</v>
      </c>
      <c r="K159" t="s">
        <v>21</v>
      </c>
      <c r="L159">
        <v>10000000</v>
      </c>
      <c r="M159">
        <v>1000000</v>
      </c>
    </row>
    <row r="160" spans="1:13" x14ac:dyDescent="0.25">
      <c r="A160" t="s">
        <v>633</v>
      </c>
      <c r="B160" t="s">
        <v>634</v>
      </c>
      <c r="C160" t="s">
        <v>15</v>
      </c>
      <c r="D160" t="s">
        <v>635</v>
      </c>
      <c r="E160" t="s">
        <v>636</v>
      </c>
      <c r="F160" t="s">
        <v>637</v>
      </c>
      <c r="G160" t="s">
        <v>638</v>
      </c>
      <c r="H160" t="str">
        <f>HYPERLINK("https://baanknet.com/view-property/281380/D03D33C0F19A1400D5933CA02B1ABE1043C58B0A9AD8358DB1FBD5247721EE3F", "https://baanknet.com/view-property/281380/D03D33C0F19A1400D5933CA02B1ABE1043C58B0A9AD8358DB1FBD5247721EE3F")</f>
        <v>https://baanknet.com/view-property/281380/D03D33C0F19A1400D5933CA02B1ABE1043C58B0A9AD8358DB1FBD5247721EE3F</v>
      </c>
      <c r="I160" t="str">
        <f>HYPERLINK("https://baanknet.com/view-property/281380/D03D33C0F19A1400D5933CA02B1ABE1043C58B0A9AD8358DB1FBD5247721EE3F", "Open")</f>
        <v>Open</v>
      </c>
      <c r="J160" t="s">
        <v>20</v>
      </c>
      <c r="K160" t="s">
        <v>21</v>
      </c>
      <c r="L160">
        <v>1406000</v>
      </c>
      <c r="M160">
        <v>140600</v>
      </c>
    </row>
    <row r="161" spans="1:13" x14ac:dyDescent="0.25">
      <c r="A161" t="s">
        <v>639</v>
      </c>
      <c r="B161" t="s">
        <v>640</v>
      </c>
      <c r="C161" t="s">
        <v>121</v>
      </c>
      <c r="D161" t="s">
        <v>641</v>
      </c>
      <c r="E161" t="s">
        <v>642</v>
      </c>
      <c r="F161" t="s">
        <v>643</v>
      </c>
      <c r="G161" t="s">
        <v>644</v>
      </c>
      <c r="H161" t="str">
        <f>HYPERLINK("https://baanknet.com/view-property/287298/BBF6D78A03E9A8375F96E95ABA7DA6673706826A3DF0FD9431DFE17E9F004973", "https://baanknet.com/view-property/287298/BBF6D78A03E9A8375F96E95ABA7DA6673706826A3DF0FD9431DFE17E9F004973")</f>
        <v>https://baanknet.com/view-property/287298/BBF6D78A03E9A8375F96E95ABA7DA6673706826A3DF0FD9431DFE17E9F004973</v>
      </c>
      <c r="I161" t="str">
        <f>HYPERLINK("https://baanknet.com/view-property/287298/BBF6D78A03E9A8375F96E95ABA7DA6673706826A3DF0FD9431DFE17E9F004973", "Open")</f>
        <v>Open</v>
      </c>
      <c r="J161" t="s">
        <v>20</v>
      </c>
      <c r="K161" t="s">
        <v>21</v>
      </c>
      <c r="L161">
        <v>3200000</v>
      </c>
      <c r="M161">
        <v>320000</v>
      </c>
    </row>
    <row r="162" spans="1:13" x14ac:dyDescent="0.25">
      <c r="A162" t="s">
        <v>645</v>
      </c>
      <c r="B162" t="s">
        <v>646</v>
      </c>
      <c r="C162" t="s">
        <v>121</v>
      </c>
      <c r="D162" t="s">
        <v>647</v>
      </c>
      <c r="E162" t="s">
        <v>648</v>
      </c>
      <c r="F162" t="s">
        <v>649</v>
      </c>
      <c r="G162" t="s">
        <v>650</v>
      </c>
      <c r="H162" t="str">
        <f>HYPERLINK("https://baanknet.com/view-property/287309/706B7E3E403D3C79E003CF2202535224A351FCC44FC266F626C6893C7916329D", "https://baanknet.com/view-property/287309/706B7E3E403D3C79E003CF2202535224A351FCC44FC266F626C6893C7916329D")</f>
        <v>https://baanknet.com/view-property/287309/706B7E3E403D3C79E003CF2202535224A351FCC44FC266F626C6893C7916329D</v>
      </c>
      <c r="I162" t="str">
        <f>HYPERLINK("https://baanknet.com/view-property/287309/706B7E3E403D3C79E003CF2202535224A351FCC44FC266F626C6893C7916329D", "Open")</f>
        <v>Open</v>
      </c>
      <c r="J162" t="s">
        <v>20</v>
      </c>
      <c r="K162" t="s">
        <v>21</v>
      </c>
      <c r="L162">
        <v>1000000</v>
      </c>
      <c r="M162">
        <v>100000</v>
      </c>
    </row>
    <row r="163" spans="1:13" x14ac:dyDescent="0.25">
      <c r="A163" t="s">
        <v>651</v>
      </c>
      <c r="B163" t="s">
        <v>652</v>
      </c>
      <c r="C163" t="s">
        <v>15</v>
      </c>
      <c r="D163" t="s">
        <v>653</v>
      </c>
      <c r="E163" t="s">
        <v>654</v>
      </c>
      <c r="F163" t="s">
        <v>283</v>
      </c>
      <c r="G163" t="s">
        <v>655</v>
      </c>
      <c r="H163" t="str">
        <f>HYPERLINK("https://baanknet.com/view-property/224476/F13A78D865BBEB59912095957050D26FD3C7E95ADDB0F5562585599579BD7ADB", "https://baanknet.com/view-property/224476/F13A78D865BBEB59912095957050D26FD3C7E95ADDB0F5562585599579BD7ADB")</f>
        <v>https://baanknet.com/view-property/224476/F13A78D865BBEB59912095957050D26FD3C7E95ADDB0F5562585599579BD7ADB</v>
      </c>
      <c r="I163" t="str">
        <f>HYPERLINK("https://baanknet.com/view-property/224476/F13A78D865BBEB59912095957050D26FD3C7E95ADDB0F5562585599579BD7ADB", "Open")</f>
        <v>Open</v>
      </c>
      <c r="J163" t="s">
        <v>20</v>
      </c>
      <c r="K163" t="s">
        <v>21</v>
      </c>
      <c r="L163">
        <v>1350000</v>
      </c>
      <c r="M163">
        <v>135000</v>
      </c>
    </row>
    <row r="164" spans="1:13" x14ac:dyDescent="0.25">
      <c r="A164" t="s">
        <v>656</v>
      </c>
      <c r="B164" t="s">
        <v>657</v>
      </c>
      <c r="C164" t="s">
        <v>15</v>
      </c>
      <c r="D164" t="s">
        <v>658</v>
      </c>
      <c r="E164" t="s">
        <v>654</v>
      </c>
      <c r="F164" t="s">
        <v>283</v>
      </c>
      <c r="G164" t="s">
        <v>659</v>
      </c>
      <c r="H164" t="str">
        <f>HYPERLINK("https://baanknet.com/view-property/263697/D14CC7DB2F0370E7BED0AB9FF1BF92BAC4C2AAE57199E9ED2D861A7E3E4C5637", "https://baanknet.com/view-property/263697/D14CC7DB2F0370E7BED0AB9FF1BF92BAC4C2AAE57199E9ED2D861A7E3E4C5637")</f>
        <v>https://baanknet.com/view-property/263697/D14CC7DB2F0370E7BED0AB9FF1BF92BAC4C2AAE57199E9ED2D861A7E3E4C5637</v>
      </c>
      <c r="I164" t="str">
        <f>HYPERLINK("https://baanknet.com/view-property/263697/D14CC7DB2F0370E7BED0AB9FF1BF92BAC4C2AAE57199E9ED2D861A7E3E4C5637", "Open")</f>
        <v>Open</v>
      </c>
      <c r="J164" t="s">
        <v>20</v>
      </c>
      <c r="K164" t="s">
        <v>21</v>
      </c>
      <c r="L164">
        <v>5300000</v>
      </c>
      <c r="M164">
        <v>530000</v>
      </c>
    </row>
    <row r="165" spans="1:13" x14ac:dyDescent="0.25">
      <c r="A165" t="s">
        <v>660</v>
      </c>
      <c r="B165" t="s">
        <v>661</v>
      </c>
      <c r="C165" t="s">
        <v>15</v>
      </c>
      <c r="D165" t="s">
        <v>662</v>
      </c>
      <c r="E165" t="s">
        <v>654</v>
      </c>
      <c r="F165" t="s">
        <v>283</v>
      </c>
      <c r="G165" t="s">
        <v>663</v>
      </c>
      <c r="H165" t="str">
        <f>HYPERLINK("https://baanknet.com/view-property/257877/11590EC48C43EDFF921FE4DF9326FA25A31F203AFA38D8EEBB73507A9D5BE766", "https://baanknet.com/view-property/257877/11590EC48C43EDFF921FE4DF9326FA25A31F203AFA38D8EEBB73507A9D5BE766")</f>
        <v>https://baanknet.com/view-property/257877/11590EC48C43EDFF921FE4DF9326FA25A31F203AFA38D8EEBB73507A9D5BE766</v>
      </c>
      <c r="I165" t="str">
        <f>HYPERLINK("https://baanknet.com/view-property/257877/11590EC48C43EDFF921FE4DF9326FA25A31F203AFA38D8EEBB73507A9D5BE766", "Open")</f>
        <v>Open</v>
      </c>
      <c r="J165" t="s">
        <v>20</v>
      </c>
      <c r="K165" t="s">
        <v>21</v>
      </c>
      <c r="L165">
        <v>1400000</v>
      </c>
      <c r="M165">
        <v>140000</v>
      </c>
    </row>
    <row r="166" spans="1:13" x14ac:dyDescent="0.25">
      <c r="A166" t="s">
        <v>664</v>
      </c>
      <c r="B166" t="s">
        <v>665</v>
      </c>
      <c r="C166" t="s">
        <v>15</v>
      </c>
      <c r="D166" t="s">
        <v>666</v>
      </c>
      <c r="E166" t="s">
        <v>654</v>
      </c>
      <c r="F166" t="s">
        <v>283</v>
      </c>
      <c r="G166" t="s">
        <v>667</v>
      </c>
      <c r="H166" t="str">
        <f>HYPERLINK("https://baanknet.com/view-property/273962/740C13025B09646D5E0F537F6B0DAA09CE1BC8AE59FD10DB6AA3D3AC58D9EF7B", "https://baanknet.com/view-property/273962/740C13025B09646D5E0F537F6B0DAA09CE1BC8AE59FD10DB6AA3D3AC58D9EF7B")</f>
        <v>https://baanknet.com/view-property/273962/740C13025B09646D5E0F537F6B0DAA09CE1BC8AE59FD10DB6AA3D3AC58D9EF7B</v>
      </c>
      <c r="I166" t="str">
        <f>HYPERLINK("https://baanknet.com/view-property/273962/740C13025B09646D5E0F537F6B0DAA09CE1BC8AE59FD10DB6AA3D3AC58D9EF7B", "Open")</f>
        <v>Open</v>
      </c>
      <c r="J166" t="s">
        <v>20</v>
      </c>
      <c r="K166" t="s">
        <v>21</v>
      </c>
      <c r="L166">
        <v>1600000</v>
      </c>
      <c r="M166">
        <v>160000</v>
      </c>
    </row>
    <row r="167" spans="1:13" x14ac:dyDescent="0.25">
      <c r="A167" t="s">
        <v>668</v>
      </c>
      <c r="B167" t="s">
        <v>669</v>
      </c>
      <c r="C167" t="s">
        <v>15</v>
      </c>
      <c r="D167" t="s">
        <v>653</v>
      </c>
      <c r="E167" t="s">
        <v>654</v>
      </c>
      <c r="F167" t="s">
        <v>283</v>
      </c>
      <c r="G167" t="s">
        <v>670</v>
      </c>
      <c r="H167" t="str">
        <f>HYPERLINK("https://baanknet.com/view-property/284349/B38EED853ACC2A7A3BEFCEEAE90D7856DDE66EE697550BC2F596426C69FF86EE", "https://baanknet.com/view-property/284349/B38EED853ACC2A7A3BEFCEEAE90D7856DDE66EE697550BC2F596426C69FF86EE")</f>
        <v>https://baanknet.com/view-property/284349/B38EED853ACC2A7A3BEFCEEAE90D7856DDE66EE697550BC2F596426C69FF86EE</v>
      </c>
      <c r="I167" t="str">
        <f>HYPERLINK("https://baanknet.com/view-property/284349/B38EED853ACC2A7A3BEFCEEAE90D7856DDE66EE697550BC2F596426C69FF86EE", "Open")</f>
        <v>Open</v>
      </c>
      <c r="J167" t="s">
        <v>20</v>
      </c>
      <c r="K167" t="s">
        <v>21</v>
      </c>
      <c r="L167">
        <v>1150000</v>
      </c>
      <c r="M167">
        <v>115000</v>
      </c>
    </row>
    <row r="168" spans="1:13" x14ac:dyDescent="0.25">
      <c r="A168" t="s">
        <v>671</v>
      </c>
      <c r="B168" t="s">
        <v>672</v>
      </c>
      <c r="C168" t="s">
        <v>15</v>
      </c>
      <c r="D168" t="s">
        <v>673</v>
      </c>
      <c r="E168" t="s">
        <v>654</v>
      </c>
      <c r="F168" t="s">
        <v>283</v>
      </c>
      <c r="G168" t="s">
        <v>674</v>
      </c>
      <c r="H168" t="str">
        <f>HYPERLINK("https://baanknet.com/view-property/190063/55D6DD57E986FA320BC37E2BA998F6A5DC80EF83CADB3C58A9D8C16C846E3EC2", "https://baanknet.com/view-property/190063/55D6DD57E986FA320BC37E2BA998F6A5DC80EF83CADB3C58A9D8C16C846E3EC2")</f>
        <v>https://baanknet.com/view-property/190063/55D6DD57E986FA320BC37E2BA998F6A5DC80EF83CADB3C58A9D8C16C846E3EC2</v>
      </c>
      <c r="I168" t="str">
        <f>HYPERLINK("https://baanknet.com/view-property/190063/55D6DD57E986FA320BC37E2BA998F6A5DC80EF83CADB3C58A9D8C16C846E3EC2", "Open")</f>
        <v>Open</v>
      </c>
      <c r="J168" t="s">
        <v>20</v>
      </c>
      <c r="K168" t="s">
        <v>21</v>
      </c>
      <c r="L168">
        <v>2020000</v>
      </c>
      <c r="M168">
        <v>202000</v>
      </c>
    </row>
    <row r="169" spans="1:13" x14ac:dyDescent="0.25">
      <c r="A169" t="s">
        <v>675</v>
      </c>
      <c r="B169" t="s">
        <v>676</v>
      </c>
      <c r="C169" t="s">
        <v>15</v>
      </c>
      <c r="D169" t="s">
        <v>677</v>
      </c>
      <c r="E169" t="s">
        <v>654</v>
      </c>
      <c r="F169" t="s">
        <v>283</v>
      </c>
      <c r="G169" t="s">
        <v>678</v>
      </c>
      <c r="H169" t="str">
        <f>HYPERLINK("https://baanknet.com/view-property/250993/ACD8A244B7144467A4F60AD31BBCA5E30F445FA7FEEB1B8D67261ABA4DF01A67", "https://baanknet.com/view-property/250993/ACD8A244B7144467A4F60AD31BBCA5E30F445FA7FEEB1B8D67261ABA4DF01A67")</f>
        <v>https://baanknet.com/view-property/250993/ACD8A244B7144467A4F60AD31BBCA5E30F445FA7FEEB1B8D67261ABA4DF01A67</v>
      </c>
      <c r="I169" t="str">
        <f>HYPERLINK("https://baanknet.com/view-property/250993/ACD8A244B7144467A4F60AD31BBCA5E30F445FA7FEEB1B8D67261ABA4DF01A67", "Open")</f>
        <v>Open</v>
      </c>
      <c r="J169" t="s">
        <v>20</v>
      </c>
      <c r="K169" t="s">
        <v>21</v>
      </c>
      <c r="L169">
        <v>1400000</v>
      </c>
      <c r="M169">
        <v>140000</v>
      </c>
    </row>
    <row r="170" spans="1:13" x14ac:dyDescent="0.25">
      <c r="A170" t="s">
        <v>679</v>
      </c>
      <c r="B170" t="s">
        <v>680</v>
      </c>
      <c r="C170" t="s">
        <v>15</v>
      </c>
      <c r="D170" t="s">
        <v>653</v>
      </c>
      <c r="E170" t="s">
        <v>654</v>
      </c>
      <c r="F170" t="s">
        <v>283</v>
      </c>
      <c r="G170" t="s">
        <v>681</v>
      </c>
      <c r="H170" t="str">
        <f>HYPERLINK("https://baanknet.com/view-property/273989/190B2BB400A6CBA0D65A97C38D9600D3DD9A49272941585C39F5F0BA8C5DC1DE", "https://baanknet.com/view-property/273989/190B2BB400A6CBA0D65A97C38D9600D3DD9A49272941585C39F5F0BA8C5DC1DE")</f>
        <v>https://baanknet.com/view-property/273989/190B2BB400A6CBA0D65A97C38D9600D3DD9A49272941585C39F5F0BA8C5DC1DE</v>
      </c>
      <c r="I170" t="str">
        <f>HYPERLINK("https://baanknet.com/view-property/273989/190B2BB400A6CBA0D65A97C38D9600D3DD9A49272941585C39F5F0BA8C5DC1DE", "Open")</f>
        <v>Open</v>
      </c>
      <c r="J170" t="s">
        <v>20</v>
      </c>
      <c r="K170" t="s">
        <v>21</v>
      </c>
      <c r="L170">
        <v>3100000</v>
      </c>
      <c r="M170">
        <v>310000</v>
      </c>
    </row>
    <row r="171" spans="1:13" x14ac:dyDescent="0.25">
      <c r="A171" t="s">
        <v>682</v>
      </c>
      <c r="B171" t="s">
        <v>683</v>
      </c>
      <c r="C171" t="s">
        <v>15</v>
      </c>
      <c r="D171" t="s">
        <v>653</v>
      </c>
      <c r="E171" t="s">
        <v>654</v>
      </c>
      <c r="F171" t="s">
        <v>283</v>
      </c>
      <c r="G171" t="s">
        <v>684</v>
      </c>
      <c r="H171" t="str">
        <f>HYPERLINK("https://baanknet.com/view-property/273986/E11BD037AE8E6857248668165B9F9E4AE68D6DFCDDA7934C7E8977CC55C50233", "https://baanknet.com/view-property/273986/E11BD037AE8E6857248668165B9F9E4AE68D6DFCDDA7934C7E8977CC55C50233")</f>
        <v>https://baanknet.com/view-property/273986/E11BD037AE8E6857248668165B9F9E4AE68D6DFCDDA7934C7E8977CC55C50233</v>
      </c>
      <c r="I171" t="str">
        <f>HYPERLINK("https://baanknet.com/view-property/273986/E11BD037AE8E6857248668165B9F9E4AE68D6DFCDDA7934C7E8977CC55C50233", "Open")</f>
        <v>Open</v>
      </c>
      <c r="J171" t="s">
        <v>20</v>
      </c>
      <c r="K171" t="s">
        <v>21</v>
      </c>
      <c r="L171">
        <v>1400000</v>
      </c>
      <c r="M171">
        <v>140000</v>
      </c>
    </row>
    <row r="172" spans="1:13" x14ac:dyDescent="0.25">
      <c r="A172" t="s">
        <v>685</v>
      </c>
      <c r="B172" t="s">
        <v>686</v>
      </c>
      <c r="C172" t="s">
        <v>15</v>
      </c>
      <c r="D172" t="s">
        <v>687</v>
      </c>
      <c r="E172" t="s">
        <v>654</v>
      </c>
      <c r="F172" t="s">
        <v>283</v>
      </c>
      <c r="G172" t="s">
        <v>688</v>
      </c>
      <c r="H172" t="str">
        <f>HYPERLINK("https://baanknet.com/view-property/267153/059A335711DE01F179BA3BC521457647FADC3D7EB07FE831CA301A7BF731D2F9", "https://baanknet.com/view-property/267153/059A335711DE01F179BA3BC521457647FADC3D7EB07FE831CA301A7BF731D2F9")</f>
        <v>https://baanknet.com/view-property/267153/059A335711DE01F179BA3BC521457647FADC3D7EB07FE831CA301A7BF731D2F9</v>
      </c>
      <c r="I172" t="str">
        <f>HYPERLINK("https://baanknet.com/view-property/267153/059A335711DE01F179BA3BC521457647FADC3D7EB07FE831CA301A7BF731D2F9", "Open")</f>
        <v>Open</v>
      </c>
      <c r="J172" t="s">
        <v>20</v>
      </c>
      <c r="K172" t="s">
        <v>21</v>
      </c>
      <c r="L172">
        <v>1750000</v>
      </c>
      <c r="M172">
        <v>175000</v>
      </c>
    </row>
    <row r="173" spans="1:13" x14ac:dyDescent="0.25">
      <c r="A173" t="s">
        <v>689</v>
      </c>
      <c r="B173" t="s">
        <v>690</v>
      </c>
      <c r="C173" t="s">
        <v>15</v>
      </c>
      <c r="D173" t="s">
        <v>691</v>
      </c>
      <c r="E173" t="s">
        <v>654</v>
      </c>
      <c r="F173" t="s">
        <v>283</v>
      </c>
      <c r="G173" t="s">
        <v>692</v>
      </c>
      <c r="H173" t="str">
        <f>HYPERLINK("https://baanknet.com/view-property/279933/37EFF1477F00D631590C0EF6D2ECA83C61E103D8A84DBA68FCED2CE26192A99E", "https://baanknet.com/view-property/279933/37EFF1477F00D631590C0EF6D2ECA83C61E103D8A84DBA68FCED2CE26192A99E")</f>
        <v>https://baanknet.com/view-property/279933/37EFF1477F00D631590C0EF6D2ECA83C61E103D8A84DBA68FCED2CE26192A99E</v>
      </c>
      <c r="I173" t="str">
        <f>HYPERLINK("https://baanknet.com/view-property/279933/37EFF1477F00D631590C0EF6D2ECA83C61E103D8A84DBA68FCED2CE26192A99E", "Open")</f>
        <v>Open</v>
      </c>
      <c r="J173" t="s">
        <v>20</v>
      </c>
      <c r="K173" t="s">
        <v>21</v>
      </c>
      <c r="L173">
        <v>1900000</v>
      </c>
      <c r="M173">
        <v>190000</v>
      </c>
    </row>
    <row r="174" spans="1:13" x14ac:dyDescent="0.25">
      <c r="A174" t="s">
        <v>693</v>
      </c>
      <c r="B174" t="s">
        <v>694</v>
      </c>
      <c r="C174" t="s">
        <v>15</v>
      </c>
      <c r="D174" t="s">
        <v>695</v>
      </c>
      <c r="E174" t="s">
        <v>654</v>
      </c>
      <c r="F174" t="s">
        <v>283</v>
      </c>
      <c r="G174" t="s">
        <v>696</v>
      </c>
      <c r="H174" t="str">
        <f>HYPERLINK("https://baanknet.com/view-property/279591/941D8BF774EF7E6758D3C2CB73FFC53FB3B37BB5FB70216BCFC06FC56EC05856", "https://baanknet.com/view-property/279591/941D8BF774EF7E6758D3C2CB73FFC53FB3B37BB5FB70216BCFC06FC56EC05856")</f>
        <v>https://baanknet.com/view-property/279591/941D8BF774EF7E6758D3C2CB73FFC53FB3B37BB5FB70216BCFC06FC56EC05856</v>
      </c>
      <c r="I174" t="str">
        <f>HYPERLINK("https://baanknet.com/view-property/279591/941D8BF774EF7E6758D3C2CB73FFC53FB3B37BB5FB70216BCFC06FC56EC05856", "Open")</f>
        <v>Open</v>
      </c>
      <c r="J174" t="s">
        <v>20</v>
      </c>
      <c r="K174" t="s">
        <v>21</v>
      </c>
      <c r="L174">
        <v>3100000</v>
      </c>
      <c r="M174">
        <v>310000</v>
      </c>
    </row>
    <row r="175" spans="1:13" x14ac:dyDescent="0.25">
      <c r="A175" t="s">
        <v>697</v>
      </c>
      <c r="B175" t="s">
        <v>698</v>
      </c>
      <c r="C175" t="s">
        <v>15</v>
      </c>
      <c r="D175" t="s">
        <v>699</v>
      </c>
      <c r="E175" t="s">
        <v>654</v>
      </c>
      <c r="F175" t="s">
        <v>283</v>
      </c>
      <c r="G175" t="s">
        <v>700</v>
      </c>
      <c r="H175" t="str">
        <f>HYPERLINK("https://baanknet.com/view-property/237597/5869DAC28A9794CA04C01EA38E170829772A2035B9250E79CD9E4B76D240142E", "https://baanknet.com/view-property/237597/5869DAC28A9794CA04C01EA38E170829772A2035B9250E79CD9E4B76D240142E")</f>
        <v>https://baanknet.com/view-property/237597/5869DAC28A9794CA04C01EA38E170829772A2035B9250E79CD9E4B76D240142E</v>
      </c>
      <c r="I175" t="str">
        <f>HYPERLINK("https://baanknet.com/view-property/237597/5869DAC28A9794CA04C01EA38E170829772A2035B9250E79CD9E4B76D240142E", "Open")</f>
        <v>Open</v>
      </c>
      <c r="J175" t="s">
        <v>20</v>
      </c>
      <c r="K175" t="s">
        <v>21</v>
      </c>
      <c r="L175">
        <v>1540000</v>
      </c>
      <c r="M175">
        <v>154000</v>
      </c>
    </row>
    <row r="176" spans="1:13" x14ac:dyDescent="0.25">
      <c r="A176" t="s">
        <v>701</v>
      </c>
      <c r="B176" t="s">
        <v>702</v>
      </c>
      <c r="C176" t="s">
        <v>15</v>
      </c>
      <c r="D176" t="s">
        <v>653</v>
      </c>
      <c r="E176" t="s">
        <v>654</v>
      </c>
      <c r="F176" t="s">
        <v>283</v>
      </c>
      <c r="G176" t="s">
        <v>703</v>
      </c>
      <c r="H176" t="str">
        <f>HYPERLINK("https://baanknet.com/view-property/224528/C0ADCB48E845BAC699541AEAA85971F52ED22EE4AF5761EB9E4D024AF691FFE2", "https://baanknet.com/view-property/224528/C0ADCB48E845BAC699541AEAA85971F52ED22EE4AF5761EB9E4D024AF691FFE2")</f>
        <v>https://baanknet.com/view-property/224528/C0ADCB48E845BAC699541AEAA85971F52ED22EE4AF5761EB9E4D024AF691FFE2</v>
      </c>
      <c r="I176" t="str">
        <f>HYPERLINK("https://baanknet.com/view-property/224528/C0ADCB48E845BAC699541AEAA85971F52ED22EE4AF5761EB9E4D024AF691FFE2", "Open")</f>
        <v>Open</v>
      </c>
      <c r="J176" t="s">
        <v>20</v>
      </c>
      <c r="K176" t="s">
        <v>21</v>
      </c>
      <c r="L176">
        <v>2250000</v>
      </c>
      <c r="M176">
        <v>225000</v>
      </c>
    </row>
    <row r="177" spans="1:13" x14ac:dyDescent="0.25">
      <c r="A177" t="s">
        <v>704</v>
      </c>
      <c r="B177" t="s">
        <v>705</v>
      </c>
      <c r="C177" t="s">
        <v>15</v>
      </c>
      <c r="D177" t="s">
        <v>706</v>
      </c>
      <c r="E177" t="s">
        <v>654</v>
      </c>
      <c r="F177" t="s">
        <v>283</v>
      </c>
      <c r="G177" t="s">
        <v>707</v>
      </c>
      <c r="H177" t="str">
        <f>HYPERLINK("https://baanknet.com/view-property/250412/637CB36676F5ED83646A33F0B10B2C4F3527B85146CB48343E9D20A57D197E19", "https://baanknet.com/view-property/250412/637CB36676F5ED83646A33F0B10B2C4F3527B85146CB48343E9D20A57D197E19")</f>
        <v>https://baanknet.com/view-property/250412/637CB36676F5ED83646A33F0B10B2C4F3527B85146CB48343E9D20A57D197E19</v>
      </c>
      <c r="I177" t="str">
        <f>HYPERLINK("https://baanknet.com/view-property/250412/637CB36676F5ED83646A33F0B10B2C4F3527B85146CB48343E9D20A57D197E19", "Open")</f>
        <v>Open</v>
      </c>
      <c r="J177" t="s">
        <v>20</v>
      </c>
      <c r="K177" t="s">
        <v>21</v>
      </c>
      <c r="L177">
        <v>2070000</v>
      </c>
      <c r="M177">
        <v>207000</v>
      </c>
    </row>
    <row r="178" spans="1:13" x14ac:dyDescent="0.25">
      <c r="A178" t="s">
        <v>708</v>
      </c>
      <c r="B178" t="s">
        <v>709</v>
      </c>
      <c r="C178" t="s">
        <v>15</v>
      </c>
      <c r="D178" t="s">
        <v>710</v>
      </c>
      <c r="E178" t="s">
        <v>654</v>
      </c>
      <c r="F178" t="s">
        <v>283</v>
      </c>
      <c r="G178" t="s">
        <v>711</v>
      </c>
      <c r="H178" t="str">
        <f>HYPERLINK("https://baanknet.com/view-property/276162/6F20297CC411FBF3AFE3E0341A6AD9B8A2E16AB5ECCC12039A7604779B872AB2", "https://baanknet.com/view-property/276162/6F20297CC411FBF3AFE3E0341A6AD9B8A2E16AB5ECCC12039A7604779B872AB2")</f>
        <v>https://baanknet.com/view-property/276162/6F20297CC411FBF3AFE3E0341A6AD9B8A2E16AB5ECCC12039A7604779B872AB2</v>
      </c>
      <c r="I178" t="str">
        <f>HYPERLINK("https://baanknet.com/view-property/276162/6F20297CC411FBF3AFE3E0341A6AD9B8A2E16AB5ECCC12039A7604779B872AB2", "Open")</f>
        <v>Open</v>
      </c>
      <c r="J178" t="s">
        <v>20</v>
      </c>
      <c r="K178" t="s">
        <v>21</v>
      </c>
      <c r="L178">
        <v>5321000</v>
      </c>
      <c r="M178">
        <v>532100</v>
      </c>
    </row>
    <row r="179" spans="1:13" x14ac:dyDescent="0.25">
      <c r="A179" t="s">
        <v>712</v>
      </c>
      <c r="B179" t="s">
        <v>713</v>
      </c>
      <c r="C179" t="s">
        <v>15</v>
      </c>
      <c r="D179" t="s">
        <v>714</v>
      </c>
      <c r="E179" t="s">
        <v>654</v>
      </c>
      <c r="F179" t="s">
        <v>283</v>
      </c>
      <c r="G179" t="s">
        <v>715</v>
      </c>
      <c r="H179" t="str">
        <f>HYPERLINK("https://baanknet.com/view-property/248220/C80AACA64EE2C6CEEF30E739DF1F6E876C030BAB06CB64F8C1D3C69A3B5AC48B", "https://baanknet.com/view-property/248220/C80AACA64EE2C6CEEF30E739DF1F6E876C030BAB06CB64F8C1D3C69A3B5AC48B")</f>
        <v>https://baanknet.com/view-property/248220/C80AACA64EE2C6CEEF30E739DF1F6E876C030BAB06CB64F8C1D3C69A3B5AC48B</v>
      </c>
      <c r="I179" t="str">
        <f>HYPERLINK("https://baanknet.com/view-property/248220/C80AACA64EE2C6CEEF30E739DF1F6E876C030BAB06CB64F8C1D3C69A3B5AC48B", "Open")</f>
        <v>Open</v>
      </c>
      <c r="J179" t="s">
        <v>20</v>
      </c>
      <c r="K179" t="s">
        <v>21</v>
      </c>
      <c r="L179">
        <v>2400000</v>
      </c>
      <c r="M179">
        <v>240000</v>
      </c>
    </row>
    <row r="180" spans="1:13" x14ac:dyDescent="0.25">
      <c r="A180" t="s">
        <v>716</v>
      </c>
      <c r="B180" t="s">
        <v>717</v>
      </c>
      <c r="C180" t="s">
        <v>15</v>
      </c>
      <c r="D180" t="s">
        <v>718</v>
      </c>
      <c r="E180" t="s">
        <v>654</v>
      </c>
      <c r="F180" t="s">
        <v>283</v>
      </c>
      <c r="G180" t="s">
        <v>719</v>
      </c>
      <c r="H180" t="str">
        <f>HYPERLINK("https://baanknet.com/view-property/286539/F381AC4C6041587F68149E15DDE6DB547A26F09C8E9E25075B78B3872E5BF374", "https://baanknet.com/view-property/286539/F381AC4C6041587F68149E15DDE6DB547A26F09C8E9E25075B78B3872E5BF374")</f>
        <v>https://baanknet.com/view-property/286539/F381AC4C6041587F68149E15DDE6DB547A26F09C8E9E25075B78B3872E5BF374</v>
      </c>
      <c r="I180" t="str">
        <f>HYPERLINK("https://baanknet.com/view-property/286539/F381AC4C6041587F68149E15DDE6DB547A26F09C8E9E25075B78B3872E5BF374", "Open")</f>
        <v>Open</v>
      </c>
      <c r="J180" t="s">
        <v>20</v>
      </c>
      <c r="K180" t="s">
        <v>21</v>
      </c>
      <c r="L180">
        <v>2065500</v>
      </c>
      <c r="M180">
        <v>206550</v>
      </c>
    </row>
    <row r="181" spans="1:13" x14ac:dyDescent="0.25">
      <c r="A181" t="s">
        <v>720</v>
      </c>
      <c r="B181" t="s">
        <v>721</v>
      </c>
      <c r="C181" t="s">
        <v>15</v>
      </c>
      <c r="D181" t="s">
        <v>722</v>
      </c>
      <c r="E181" t="s">
        <v>654</v>
      </c>
      <c r="F181" t="s">
        <v>283</v>
      </c>
      <c r="G181" t="s">
        <v>723</v>
      </c>
      <c r="H181" t="str">
        <f>HYPERLINK("https://baanknet.com/view-property/279443/F407CBFCE5381506188718415D3959BAC647F156B507F1465891EDC1D77BDC0A", "https://baanknet.com/view-property/279443/F407CBFCE5381506188718415D3959BAC647F156B507F1465891EDC1D77BDC0A")</f>
        <v>https://baanknet.com/view-property/279443/F407CBFCE5381506188718415D3959BAC647F156B507F1465891EDC1D77BDC0A</v>
      </c>
      <c r="I181" t="str">
        <f>HYPERLINK("https://baanknet.com/view-property/279443/F407CBFCE5381506188718415D3959BAC647F156B507F1465891EDC1D77BDC0A", "Open")</f>
        <v>Open</v>
      </c>
      <c r="J181" t="s">
        <v>20</v>
      </c>
      <c r="K181" t="s">
        <v>21</v>
      </c>
      <c r="L181">
        <v>1900000</v>
      </c>
      <c r="M181">
        <v>190000</v>
      </c>
    </row>
    <row r="182" spans="1:13" x14ac:dyDescent="0.25">
      <c r="A182" t="s">
        <v>724</v>
      </c>
      <c r="B182" t="s">
        <v>725</v>
      </c>
      <c r="C182" t="s">
        <v>726</v>
      </c>
      <c r="D182" t="s">
        <v>526</v>
      </c>
      <c r="E182" t="s">
        <v>654</v>
      </c>
      <c r="F182" t="s">
        <v>283</v>
      </c>
      <c r="G182" t="s">
        <v>727</v>
      </c>
      <c r="H182" t="str">
        <f>HYPERLINK("https://baanknet.com/view-property/257807/D3BB7EC4560A8F7CE0305DAD56A3CA10ED0A2ED13CA29B27B341B0BC47B48191", "https://baanknet.com/view-property/257807/D3BB7EC4560A8F7CE0305DAD56A3CA10ED0A2ED13CA29B27B341B0BC47B48191")</f>
        <v>https://baanknet.com/view-property/257807/D3BB7EC4560A8F7CE0305DAD56A3CA10ED0A2ED13CA29B27B341B0BC47B48191</v>
      </c>
      <c r="I182" t="str">
        <f>HYPERLINK("https://baanknet.com/view-property/257807/D3BB7EC4560A8F7CE0305DAD56A3CA10ED0A2ED13CA29B27B341B0BC47B48191", "Open")</f>
        <v>Open</v>
      </c>
      <c r="J182" t="s">
        <v>20</v>
      </c>
      <c r="K182" t="s">
        <v>21</v>
      </c>
      <c r="L182">
        <v>3300000</v>
      </c>
      <c r="M182">
        <v>350000</v>
      </c>
    </row>
    <row r="183" spans="1:13" x14ac:dyDescent="0.25">
      <c r="A183" t="s">
        <v>728</v>
      </c>
      <c r="B183" t="s">
        <v>729</v>
      </c>
      <c r="C183" t="s">
        <v>726</v>
      </c>
      <c r="D183" t="s">
        <v>518</v>
      </c>
      <c r="E183" t="s">
        <v>654</v>
      </c>
      <c r="F183" t="s">
        <v>284</v>
      </c>
      <c r="G183" t="s">
        <v>730</v>
      </c>
      <c r="H183" t="str">
        <f>HYPERLINK("https://baanknet.com/view-property/246807/51130E0D521527F1AC5321EE8D058C9F1664717D12799F233DB8EED8B1C6A3DB", "https://baanknet.com/view-property/246807/51130E0D521527F1AC5321EE8D058C9F1664717D12799F233DB8EED8B1C6A3DB")</f>
        <v>https://baanknet.com/view-property/246807/51130E0D521527F1AC5321EE8D058C9F1664717D12799F233DB8EED8B1C6A3DB</v>
      </c>
      <c r="I183" t="str">
        <f>HYPERLINK("https://baanknet.com/view-property/246807/51130E0D521527F1AC5321EE8D058C9F1664717D12799F233DB8EED8B1C6A3DB", "Open")</f>
        <v>Open</v>
      </c>
      <c r="J183" t="s">
        <v>20</v>
      </c>
      <c r="K183" t="s">
        <v>21</v>
      </c>
      <c r="L183">
        <v>1440000</v>
      </c>
      <c r="M183">
        <v>144000</v>
      </c>
    </row>
    <row r="184" spans="1:13" x14ac:dyDescent="0.25">
      <c r="A184" t="s">
        <v>731</v>
      </c>
      <c r="B184" t="s">
        <v>732</v>
      </c>
      <c r="C184" t="s">
        <v>726</v>
      </c>
      <c r="D184" t="s">
        <v>733</v>
      </c>
      <c r="E184" t="s">
        <v>654</v>
      </c>
      <c r="F184" t="s">
        <v>284</v>
      </c>
      <c r="G184" t="s">
        <v>734</v>
      </c>
      <c r="H184" t="str">
        <f>HYPERLINK("https://baanknet.com/view-property/285707/3505C2B1AA63D1FF4B6E897FF96D4F1A184248233D3D08789C6EB14D726BE12F", "https://baanknet.com/view-property/285707/3505C2B1AA63D1FF4B6E897FF96D4F1A184248233D3D08789C6EB14D726BE12F")</f>
        <v>https://baanknet.com/view-property/285707/3505C2B1AA63D1FF4B6E897FF96D4F1A184248233D3D08789C6EB14D726BE12F</v>
      </c>
      <c r="I184" t="str">
        <f>HYPERLINK("https://baanknet.com/view-property/285707/3505C2B1AA63D1FF4B6E897FF96D4F1A184248233D3D08789C6EB14D726BE12F", "Open")</f>
        <v>Open</v>
      </c>
      <c r="J184" t="s">
        <v>20</v>
      </c>
      <c r="K184" t="s">
        <v>21</v>
      </c>
      <c r="L184">
        <v>1881000</v>
      </c>
      <c r="M184">
        <v>188100</v>
      </c>
    </row>
    <row r="185" spans="1:13" x14ac:dyDescent="0.25">
      <c r="A185" t="s">
        <v>735</v>
      </c>
      <c r="B185" t="s">
        <v>736</v>
      </c>
      <c r="C185" t="s">
        <v>726</v>
      </c>
      <c r="D185" t="s">
        <v>737</v>
      </c>
      <c r="E185" t="s">
        <v>654</v>
      </c>
      <c r="F185" t="s">
        <v>284</v>
      </c>
      <c r="G185" t="s">
        <v>738</v>
      </c>
      <c r="H185" t="str">
        <f>HYPERLINK("https://baanknet.com/view-property/285691/5FAE2E230A3217B2EC4AE904A3EC6A50FC11523077A3B684F9C6DC76028C19C5", "https://baanknet.com/view-property/285691/5FAE2E230A3217B2EC4AE904A3EC6A50FC11523077A3B684F9C6DC76028C19C5")</f>
        <v>https://baanknet.com/view-property/285691/5FAE2E230A3217B2EC4AE904A3EC6A50FC11523077A3B684F9C6DC76028C19C5</v>
      </c>
      <c r="I185" t="str">
        <f>HYPERLINK("https://baanknet.com/view-property/285691/5FAE2E230A3217B2EC4AE904A3EC6A50FC11523077A3B684F9C6DC76028C19C5", "Open")</f>
        <v>Open</v>
      </c>
      <c r="J185" t="s">
        <v>20</v>
      </c>
      <c r="K185" t="s">
        <v>21</v>
      </c>
      <c r="L185">
        <v>1688000</v>
      </c>
      <c r="M185">
        <v>168800</v>
      </c>
    </row>
    <row r="186" spans="1:13" x14ac:dyDescent="0.25">
      <c r="A186" t="s">
        <v>739</v>
      </c>
      <c r="B186" t="s">
        <v>740</v>
      </c>
      <c r="C186" t="s">
        <v>726</v>
      </c>
      <c r="D186" t="s">
        <v>518</v>
      </c>
      <c r="E186" t="s">
        <v>654</v>
      </c>
      <c r="F186" t="s">
        <v>284</v>
      </c>
      <c r="G186" t="s">
        <v>741</v>
      </c>
      <c r="H186" t="str">
        <f>HYPERLINK("https://baanknet.com/view-property/285703/4F78173B8B6532BB05CEF3B8584C1B47588E8178E1B63BCFEB8B8FB9ED923F28", "https://baanknet.com/view-property/285703/4F78173B8B6532BB05CEF3B8584C1B47588E8178E1B63BCFEB8B8FB9ED923F28")</f>
        <v>https://baanknet.com/view-property/285703/4F78173B8B6532BB05CEF3B8584C1B47588E8178E1B63BCFEB8B8FB9ED923F28</v>
      </c>
      <c r="I186" t="str">
        <f>HYPERLINK("https://baanknet.com/view-property/285703/4F78173B8B6532BB05CEF3B8584C1B47588E8178E1B63BCFEB8B8FB9ED923F28", "Open")</f>
        <v>Open</v>
      </c>
      <c r="J186" t="s">
        <v>20</v>
      </c>
      <c r="K186" t="s">
        <v>21</v>
      </c>
      <c r="L186">
        <v>2145000</v>
      </c>
      <c r="M186">
        <v>214500</v>
      </c>
    </row>
    <row r="187" spans="1:13" x14ac:dyDescent="0.25">
      <c r="A187" t="s">
        <v>742</v>
      </c>
      <c r="B187" t="s">
        <v>743</v>
      </c>
      <c r="C187" t="s">
        <v>144</v>
      </c>
      <c r="D187" t="s">
        <v>32</v>
      </c>
      <c r="E187" t="s">
        <v>654</v>
      </c>
      <c r="F187" t="s">
        <v>284</v>
      </c>
      <c r="G187" t="s">
        <v>744</v>
      </c>
      <c r="H187" t="str">
        <f>HYPERLINK("https://baanknet.com/view-property/271195/A856142CBD490E8D1C155D29E45DBBDE4A5C6E18EE2CFFBA8F5B57279906588F", "https://baanknet.com/view-property/271195/A856142CBD490E8D1C155D29E45DBBDE4A5C6E18EE2CFFBA8F5B57279906588F")</f>
        <v>https://baanknet.com/view-property/271195/A856142CBD490E8D1C155D29E45DBBDE4A5C6E18EE2CFFBA8F5B57279906588F</v>
      </c>
      <c r="I187" t="str">
        <f>HYPERLINK("https://baanknet.com/view-property/271195/A856142CBD490E8D1C155D29E45DBBDE4A5C6E18EE2CFFBA8F5B57279906588F", "Open")</f>
        <v>Open</v>
      </c>
      <c r="J187" t="s">
        <v>20</v>
      </c>
      <c r="K187" t="s">
        <v>21</v>
      </c>
      <c r="L187">
        <v>6668000</v>
      </c>
      <c r="M187">
        <v>666800</v>
      </c>
    </row>
    <row r="188" spans="1:13" x14ac:dyDescent="0.25">
      <c r="A188" t="s">
        <v>745</v>
      </c>
      <c r="B188" t="s">
        <v>746</v>
      </c>
      <c r="C188" t="s">
        <v>144</v>
      </c>
      <c r="D188" t="s">
        <v>32</v>
      </c>
      <c r="E188" t="s">
        <v>654</v>
      </c>
      <c r="F188" t="s">
        <v>284</v>
      </c>
      <c r="G188" t="s">
        <v>747</v>
      </c>
      <c r="H188" t="str">
        <f>HYPERLINK("https://baanknet.com/view-property/278696/0A0D7DD571DCCB69E32C053818037AFE4BD3A25D5EE4F1B84C3F89939469A41D", "https://baanknet.com/view-property/278696/0A0D7DD571DCCB69E32C053818037AFE4BD3A25D5EE4F1B84C3F89939469A41D")</f>
        <v>https://baanknet.com/view-property/278696/0A0D7DD571DCCB69E32C053818037AFE4BD3A25D5EE4F1B84C3F89939469A41D</v>
      </c>
      <c r="I188" t="str">
        <f>HYPERLINK("https://baanknet.com/view-property/278696/0A0D7DD571DCCB69E32C053818037AFE4BD3A25D5EE4F1B84C3F89939469A41D", "Open")</f>
        <v>Open</v>
      </c>
      <c r="J188" t="s">
        <v>20</v>
      </c>
      <c r="K188" t="s">
        <v>21</v>
      </c>
      <c r="L188">
        <v>4898000</v>
      </c>
      <c r="M188">
        <v>489800</v>
      </c>
    </row>
    <row r="189" spans="1:13" x14ac:dyDescent="0.25">
      <c r="A189" t="s">
        <v>748</v>
      </c>
      <c r="B189" t="s">
        <v>749</v>
      </c>
      <c r="C189" t="s">
        <v>15</v>
      </c>
      <c r="D189" t="s">
        <v>750</v>
      </c>
      <c r="E189" t="s">
        <v>654</v>
      </c>
      <c r="F189" t="s">
        <v>284</v>
      </c>
      <c r="G189" t="s">
        <v>751</v>
      </c>
      <c r="H189" t="str">
        <f>HYPERLINK("https://baanknet.com/view-property/171040/ABF1F7DC27282B90186E13120A4FA1AD4AD7CFCA6CF13AC9D7D4B232D141F053", "https://baanknet.com/view-property/171040/ABF1F7DC27282B90186E13120A4FA1AD4AD7CFCA6CF13AC9D7D4B232D141F053")</f>
        <v>https://baanknet.com/view-property/171040/ABF1F7DC27282B90186E13120A4FA1AD4AD7CFCA6CF13AC9D7D4B232D141F053</v>
      </c>
      <c r="I189" t="str">
        <f>HYPERLINK("https://baanknet.com/view-property/171040/ABF1F7DC27282B90186E13120A4FA1AD4AD7CFCA6CF13AC9D7D4B232D141F053", "Open")</f>
        <v>Open</v>
      </c>
      <c r="J189" t="s">
        <v>20</v>
      </c>
      <c r="K189" t="s">
        <v>21</v>
      </c>
      <c r="L189">
        <v>2250000</v>
      </c>
      <c r="M189">
        <v>225000</v>
      </c>
    </row>
    <row r="190" spans="1:13" x14ac:dyDescent="0.25">
      <c r="A190" t="s">
        <v>752</v>
      </c>
      <c r="B190" t="s">
        <v>753</v>
      </c>
      <c r="C190" t="s">
        <v>15</v>
      </c>
      <c r="D190" t="s">
        <v>754</v>
      </c>
      <c r="E190" t="s">
        <v>654</v>
      </c>
      <c r="F190" t="s">
        <v>284</v>
      </c>
      <c r="G190" t="s">
        <v>755</v>
      </c>
      <c r="H190" t="str">
        <f>HYPERLINK("https://baanknet.com/view-property/244239/184C2C79B5DBF336D76D8C92E310964AC295289014CD107EF11BA60FF7816466", "https://baanknet.com/view-property/244239/184C2C79B5DBF336D76D8C92E310964AC295289014CD107EF11BA60FF7816466")</f>
        <v>https://baanknet.com/view-property/244239/184C2C79B5DBF336D76D8C92E310964AC295289014CD107EF11BA60FF7816466</v>
      </c>
      <c r="I190" t="str">
        <f>HYPERLINK("https://baanknet.com/view-property/244239/184C2C79B5DBF336D76D8C92E310964AC295289014CD107EF11BA60FF7816466", "Open")</f>
        <v>Open</v>
      </c>
      <c r="J190" t="s">
        <v>20</v>
      </c>
      <c r="K190" t="s">
        <v>21</v>
      </c>
      <c r="L190">
        <v>1800000</v>
      </c>
      <c r="M190">
        <v>180000</v>
      </c>
    </row>
    <row r="191" spans="1:13" x14ac:dyDescent="0.25">
      <c r="A191" t="s">
        <v>756</v>
      </c>
      <c r="B191" t="s">
        <v>757</v>
      </c>
      <c r="C191" t="s">
        <v>15</v>
      </c>
      <c r="D191" t="s">
        <v>758</v>
      </c>
      <c r="E191" t="s">
        <v>654</v>
      </c>
      <c r="F191" t="s">
        <v>284</v>
      </c>
      <c r="G191" t="s">
        <v>759</v>
      </c>
      <c r="H191" t="str">
        <f>HYPERLINK("https://baanknet.com/view-property/256896/60A2FFB96A578C1EADE242353FC5AA5F4AE1DDDEB6A9BAD8593B27C0D72C95EA", "https://baanknet.com/view-property/256896/60A2FFB96A578C1EADE242353FC5AA5F4AE1DDDEB6A9BAD8593B27C0D72C95EA")</f>
        <v>https://baanknet.com/view-property/256896/60A2FFB96A578C1EADE242353FC5AA5F4AE1DDDEB6A9BAD8593B27C0D72C95EA</v>
      </c>
      <c r="I191" t="str">
        <f>HYPERLINK("https://baanknet.com/view-property/256896/60A2FFB96A578C1EADE242353FC5AA5F4AE1DDDEB6A9BAD8593B27C0D72C95EA", "Open")</f>
        <v>Open</v>
      </c>
      <c r="J191" t="s">
        <v>20</v>
      </c>
      <c r="K191" t="s">
        <v>21</v>
      </c>
      <c r="L191">
        <v>2150000</v>
      </c>
      <c r="M191">
        <v>215000</v>
      </c>
    </row>
    <row r="192" spans="1:13" x14ac:dyDescent="0.25">
      <c r="A192" t="s">
        <v>760</v>
      </c>
      <c r="B192" t="s">
        <v>761</v>
      </c>
      <c r="C192" t="s">
        <v>15</v>
      </c>
      <c r="D192" t="s">
        <v>762</v>
      </c>
      <c r="E192" t="s">
        <v>654</v>
      </c>
      <c r="F192" t="s">
        <v>284</v>
      </c>
      <c r="G192" t="s">
        <v>763</v>
      </c>
      <c r="H192" t="str">
        <f>HYPERLINK("https://baanknet.com/view-property/240679/B9FD2BA5EDC753B8E9034DAB474D7DC3E895255D1C50D78445EC94E4436F1AA4", "https://baanknet.com/view-property/240679/B9FD2BA5EDC753B8E9034DAB474D7DC3E895255D1C50D78445EC94E4436F1AA4")</f>
        <v>https://baanknet.com/view-property/240679/B9FD2BA5EDC753B8E9034DAB474D7DC3E895255D1C50D78445EC94E4436F1AA4</v>
      </c>
      <c r="I192" t="str">
        <f>HYPERLINK("https://baanknet.com/view-property/240679/B9FD2BA5EDC753B8E9034DAB474D7DC3E895255D1C50D78445EC94E4436F1AA4", "Open")</f>
        <v>Open</v>
      </c>
      <c r="J192" t="s">
        <v>20</v>
      </c>
      <c r="K192" t="s">
        <v>21</v>
      </c>
      <c r="L192">
        <v>3400000</v>
      </c>
      <c r="M192">
        <v>340000</v>
      </c>
    </row>
    <row r="193" spans="1:13" x14ac:dyDescent="0.25">
      <c r="A193" t="s">
        <v>764</v>
      </c>
      <c r="B193" t="s">
        <v>765</v>
      </c>
      <c r="C193" t="s">
        <v>15</v>
      </c>
      <c r="D193" t="s">
        <v>758</v>
      </c>
      <c r="E193" t="s">
        <v>654</v>
      </c>
      <c r="F193" t="s">
        <v>284</v>
      </c>
      <c r="G193" t="s">
        <v>766</v>
      </c>
      <c r="H193" t="str">
        <f>HYPERLINK("https://baanknet.com/view-property/240677/AD9EB6D1FC04922FDAF8F8305DE6C1AD91DC7A9336270949095D6744C5C44039", "https://baanknet.com/view-property/240677/AD9EB6D1FC04922FDAF8F8305DE6C1AD91DC7A9336270949095D6744C5C44039")</f>
        <v>https://baanknet.com/view-property/240677/AD9EB6D1FC04922FDAF8F8305DE6C1AD91DC7A9336270949095D6744C5C44039</v>
      </c>
      <c r="I193" t="str">
        <f>HYPERLINK("https://baanknet.com/view-property/240677/AD9EB6D1FC04922FDAF8F8305DE6C1AD91DC7A9336270949095D6744C5C44039", "Open")</f>
        <v>Open</v>
      </c>
      <c r="J193" t="s">
        <v>20</v>
      </c>
      <c r="K193" t="s">
        <v>21</v>
      </c>
      <c r="L193">
        <v>3362000</v>
      </c>
      <c r="M193">
        <v>336200</v>
      </c>
    </row>
    <row r="194" spans="1:13" x14ac:dyDescent="0.25">
      <c r="A194" t="s">
        <v>767</v>
      </c>
      <c r="B194" t="s">
        <v>768</v>
      </c>
      <c r="C194" t="s">
        <v>15</v>
      </c>
      <c r="D194" t="s">
        <v>758</v>
      </c>
      <c r="E194" t="s">
        <v>654</v>
      </c>
      <c r="F194" t="s">
        <v>284</v>
      </c>
      <c r="G194" t="s">
        <v>769</v>
      </c>
      <c r="H194" t="str">
        <f>HYPERLINK("https://baanknet.com/view-property/238063/DC427D86ABFE8DBD22CD943837CB84443582DE14A48591956B23AD9DFCA2AEDD", "https://baanknet.com/view-property/238063/DC427D86ABFE8DBD22CD943837CB84443582DE14A48591956B23AD9DFCA2AEDD")</f>
        <v>https://baanknet.com/view-property/238063/DC427D86ABFE8DBD22CD943837CB84443582DE14A48591956B23AD9DFCA2AEDD</v>
      </c>
      <c r="I194" t="str">
        <f>HYPERLINK("https://baanknet.com/view-property/238063/DC427D86ABFE8DBD22CD943837CB84443582DE14A48591956B23AD9DFCA2AEDD", "Open")</f>
        <v>Open</v>
      </c>
      <c r="J194" t="s">
        <v>20</v>
      </c>
      <c r="K194" t="s">
        <v>21</v>
      </c>
      <c r="L194">
        <v>1225000</v>
      </c>
      <c r="M194">
        <v>122500</v>
      </c>
    </row>
    <row r="195" spans="1:13" x14ac:dyDescent="0.25">
      <c r="A195" t="s">
        <v>770</v>
      </c>
      <c r="B195" t="s">
        <v>771</v>
      </c>
      <c r="C195" t="s">
        <v>15</v>
      </c>
      <c r="D195" t="s">
        <v>758</v>
      </c>
      <c r="E195" t="s">
        <v>654</v>
      </c>
      <c r="F195" t="s">
        <v>284</v>
      </c>
      <c r="G195" t="s">
        <v>772</v>
      </c>
      <c r="H195" t="str">
        <f>HYPERLINK("https://baanknet.com/view-property/240654/EAA571815C7431E2F94EC5584D5D2A2C3B5AB816D51FC4EBEB8864A308EC1828", "https://baanknet.com/view-property/240654/EAA571815C7431E2F94EC5584D5D2A2C3B5AB816D51FC4EBEB8864A308EC1828")</f>
        <v>https://baanknet.com/view-property/240654/EAA571815C7431E2F94EC5584D5D2A2C3B5AB816D51FC4EBEB8864A308EC1828</v>
      </c>
      <c r="I195" t="str">
        <f>HYPERLINK("https://baanknet.com/view-property/240654/EAA571815C7431E2F94EC5584D5D2A2C3B5AB816D51FC4EBEB8864A308EC1828", "Open")</f>
        <v>Open</v>
      </c>
      <c r="J195" t="s">
        <v>20</v>
      </c>
      <c r="K195" t="s">
        <v>21</v>
      </c>
      <c r="L195">
        <v>1850000</v>
      </c>
      <c r="M195">
        <v>185000</v>
      </c>
    </row>
    <row r="196" spans="1:13" x14ac:dyDescent="0.25">
      <c r="A196" t="s">
        <v>773</v>
      </c>
      <c r="B196" t="s">
        <v>774</v>
      </c>
      <c r="C196" t="s">
        <v>15</v>
      </c>
      <c r="D196" t="s">
        <v>758</v>
      </c>
      <c r="E196" t="s">
        <v>654</v>
      </c>
      <c r="F196" t="s">
        <v>284</v>
      </c>
      <c r="G196" t="s">
        <v>775</v>
      </c>
      <c r="H196" t="str">
        <f>HYPERLINK("https://baanknet.com/view-property/267910/FB348EBB2B31C66E741CB7C51FC1922411067A093E156D8291F8A620984C70E2", "https://baanknet.com/view-property/267910/FB348EBB2B31C66E741CB7C51FC1922411067A093E156D8291F8A620984C70E2")</f>
        <v>https://baanknet.com/view-property/267910/FB348EBB2B31C66E741CB7C51FC1922411067A093E156D8291F8A620984C70E2</v>
      </c>
      <c r="I196" t="str">
        <f>HYPERLINK("https://baanknet.com/view-property/267910/FB348EBB2B31C66E741CB7C51FC1922411067A093E156D8291F8A620984C70E2", "Open")</f>
        <v>Open</v>
      </c>
      <c r="J196" t="s">
        <v>20</v>
      </c>
      <c r="K196" t="s">
        <v>21</v>
      </c>
      <c r="L196">
        <v>970000</v>
      </c>
      <c r="M196">
        <v>97000</v>
      </c>
    </row>
    <row r="197" spans="1:13" x14ac:dyDescent="0.25">
      <c r="A197" t="s">
        <v>776</v>
      </c>
      <c r="B197" t="s">
        <v>777</v>
      </c>
      <c r="C197" t="s">
        <v>15</v>
      </c>
      <c r="D197" t="s">
        <v>778</v>
      </c>
      <c r="E197" t="s">
        <v>654</v>
      </c>
      <c r="F197" t="s">
        <v>284</v>
      </c>
      <c r="G197" t="s">
        <v>779</v>
      </c>
      <c r="H197" t="str">
        <f>HYPERLINK("https://baanknet.com/view-property/227962/C94C37653AF829B13F7EB23DE90F9588A6C05D80A08A1F26C157CBE6FD9465C8", "https://baanknet.com/view-property/227962/C94C37653AF829B13F7EB23DE90F9588A6C05D80A08A1F26C157CBE6FD9465C8")</f>
        <v>https://baanknet.com/view-property/227962/C94C37653AF829B13F7EB23DE90F9588A6C05D80A08A1F26C157CBE6FD9465C8</v>
      </c>
      <c r="I197" t="str">
        <f>HYPERLINK("https://baanknet.com/view-property/227962/C94C37653AF829B13F7EB23DE90F9588A6C05D80A08A1F26C157CBE6FD9465C8", "Open")</f>
        <v>Open</v>
      </c>
      <c r="J197" t="s">
        <v>20</v>
      </c>
      <c r="K197" t="s">
        <v>21</v>
      </c>
      <c r="L197">
        <v>1983000</v>
      </c>
      <c r="M197">
        <v>198300</v>
      </c>
    </row>
    <row r="198" spans="1:13" x14ac:dyDescent="0.25">
      <c r="A198" t="s">
        <v>780</v>
      </c>
      <c r="B198" t="s">
        <v>781</v>
      </c>
      <c r="C198" t="s">
        <v>15</v>
      </c>
      <c r="D198" t="s">
        <v>782</v>
      </c>
      <c r="E198" t="s">
        <v>654</v>
      </c>
      <c r="F198" t="s">
        <v>284</v>
      </c>
      <c r="G198" t="s">
        <v>783</v>
      </c>
      <c r="H198" t="str">
        <f>HYPERLINK("https://baanknet.com/view-property/190675/F13C3E9E970930B1A7DC5B5371DF3A50DE30DF0C14EE49D2D3E7D227887EE2AA", "https://baanknet.com/view-property/190675/F13C3E9E970930B1A7DC5B5371DF3A50DE30DF0C14EE49D2D3E7D227887EE2AA")</f>
        <v>https://baanknet.com/view-property/190675/F13C3E9E970930B1A7DC5B5371DF3A50DE30DF0C14EE49D2D3E7D227887EE2AA</v>
      </c>
      <c r="I198" t="str">
        <f>HYPERLINK("https://baanknet.com/view-property/190675/F13C3E9E970930B1A7DC5B5371DF3A50DE30DF0C14EE49D2D3E7D227887EE2AA", "Open")</f>
        <v>Open</v>
      </c>
      <c r="J198" t="s">
        <v>20</v>
      </c>
      <c r="K198" t="s">
        <v>21</v>
      </c>
      <c r="L198">
        <v>4513000</v>
      </c>
      <c r="M198">
        <v>451300</v>
      </c>
    </row>
    <row r="199" spans="1:13" x14ac:dyDescent="0.25">
      <c r="A199" t="s">
        <v>784</v>
      </c>
      <c r="B199" t="s">
        <v>785</v>
      </c>
      <c r="C199" t="s">
        <v>15</v>
      </c>
      <c r="D199" t="s">
        <v>778</v>
      </c>
      <c r="E199" t="s">
        <v>654</v>
      </c>
      <c r="F199" t="s">
        <v>284</v>
      </c>
      <c r="G199" t="s">
        <v>786</v>
      </c>
      <c r="H199" t="str">
        <f>HYPERLINK("https://baanknet.com/view-property/258961/47FB0BBF7757AB2A998305EC586AB2EE7394D8CCB95958105AFC1782B7FC0AB4", "https://baanknet.com/view-property/258961/47FB0BBF7757AB2A998305EC586AB2EE7394D8CCB95958105AFC1782B7FC0AB4")</f>
        <v>https://baanknet.com/view-property/258961/47FB0BBF7757AB2A998305EC586AB2EE7394D8CCB95958105AFC1782B7FC0AB4</v>
      </c>
      <c r="I199" t="str">
        <f>HYPERLINK("https://baanknet.com/view-property/258961/47FB0BBF7757AB2A998305EC586AB2EE7394D8CCB95958105AFC1782B7FC0AB4", "Open")</f>
        <v>Open</v>
      </c>
      <c r="J199" t="s">
        <v>20</v>
      </c>
      <c r="K199" t="s">
        <v>21</v>
      </c>
      <c r="L199">
        <v>7129000</v>
      </c>
      <c r="M199">
        <v>712900</v>
      </c>
    </row>
    <row r="200" spans="1:13" x14ac:dyDescent="0.25">
      <c r="A200" t="s">
        <v>787</v>
      </c>
      <c r="B200" t="s">
        <v>788</v>
      </c>
      <c r="C200" t="s">
        <v>15</v>
      </c>
      <c r="D200" t="s">
        <v>782</v>
      </c>
      <c r="E200" t="s">
        <v>654</v>
      </c>
      <c r="F200" t="s">
        <v>284</v>
      </c>
      <c r="G200" t="s">
        <v>789</v>
      </c>
      <c r="H200" t="str">
        <f>HYPERLINK("https://baanknet.com/view-property/190824/785D01A4FBB380BD649A9DC0E0DE18DF42D6E37145B600EBB73C1DE951AC6663", "https://baanknet.com/view-property/190824/785D01A4FBB380BD649A9DC0E0DE18DF42D6E37145B600EBB73C1DE951AC6663")</f>
        <v>https://baanknet.com/view-property/190824/785D01A4FBB380BD649A9DC0E0DE18DF42D6E37145B600EBB73C1DE951AC6663</v>
      </c>
      <c r="I200" t="str">
        <f>HYPERLINK("https://baanknet.com/view-property/190824/785D01A4FBB380BD649A9DC0E0DE18DF42D6E37145B600EBB73C1DE951AC6663", "Open")</f>
        <v>Open</v>
      </c>
      <c r="J200" t="s">
        <v>20</v>
      </c>
      <c r="K200" t="s">
        <v>21</v>
      </c>
      <c r="L200">
        <v>2221000</v>
      </c>
      <c r="M200">
        <v>222100</v>
      </c>
    </row>
    <row r="201" spans="1:13" x14ac:dyDescent="0.25">
      <c r="A201" t="s">
        <v>790</v>
      </c>
      <c r="B201" t="s">
        <v>791</v>
      </c>
      <c r="C201" t="s">
        <v>15</v>
      </c>
      <c r="D201" t="s">
        <v>792</v>
      </c>
      <c r="E201" t="s">
        <v>654</v>
      </c>
      <c r="F201" t="s">
        <v>284</v>
      </c>
      <c r="G201" t="s">
        <v>793</v>
      </c>
      <c r="H201" t="str">
        <f>HYPERLINK("https://baanknet.com/view-property/278533/ED95DE303DFBE45576B18E9A386C00609E76BC389131FAE60D30138F95F537F8", "https://baanknet.com/view-property/278533/ED95DE303DFBE45576B18E9A386C00609E76BC389131FAE60D30138F95F537F8")</f>
        <v>https://baanknet.com/view-property/278533/ED95DE303DFBE45576B18E9A386C00609E76BC389131FAE60D30138F95F537F8</v>
      </c>
      <c r="I201" t="str">
        <f>HYPERLINK("https://baanknet.com/view-property/278533/ED95DE303DFBE45576B18E9A386C00609E76BC389131FAE60D30138F95F537F8", "Open")</f>
        <v>Open</v>
      </c>
      <c r="J201" t="s">
        <v>20</v>
      </c>
      <c r="K201" t="s">
        <v>21</v>
      </c>
      <c r="L201">
        <v>2492000</v>
      </c>
      <c r="M201">
        <v>249200</v>
      </c>
    </row>
    <row r="202" spans="1:13" x14ac:dyDescent="0.25">
      <c r="A202" t="s">
        <v>794</v>
      </c>
      <c r="B202" t="s">
        <v>795</v>
      </c>
      <c r="C202" t="s">
        <v>15</v>
      </c>
      <c r="D202" t="s">
        <v>796</v>
      </c>
      <c r="E202" t="s">
        <v>654</v>
      </c>
      <c r="F202" t="s">
        <v>284</v>
      </c>
      <c r="G202" t="s">
        <v>797</v>
      </c>
      <c r="H202" t="str">
        <f>HYPERLINK("https://baanknet.com/view-property/205849/670B21AF31E077FACCC8E705DA4F7A267D608A06452E55FEFA6F45B6FA1EDB4E", "https://baanknet.com/view-property/205849/670B21AF31E077FACCC8E705DA4F7A267D608A06452E55FEFA6F45B6FA1EDB4E")</f>
        <v>https://baanknet.com/view-property/205849/670B21AF31E077FACCC8E705DA4F7A267D608A06452E55FEFA6F45B6FA1EDB4E</v>
      </c>
      <c r="I202" t="str">
        <f>HYPERLINK("https://baanknet.com/view-property/205849/670B21AF31E077FACCC8E705DA4F7A267D608A06452E55FEFA6F45B6FA1EDB4E", "Open")</f>
        <v>Open</v>
      </c>
      <c r="J202" t="s">
        <v>20</v>
      </c>
      <c r="K202" t="s">
        <v>21</v>
      </c>
      <c r="L202">
        <v>1649000</v>
      </c>
      <c r="M202">
        <v>164900</v>
      </c>
    </row>
    <row r="203" spans="1:13" x14ac:dyDescent="0.25">
      <c r="A203" t="s">
        <v>798</v>
      </c>
      <c r="B203" t="s">
        <v>799</v>
      </c>
      <c r="C203" t="s">
        <v>15</v>
      </c>
      <c r="D203" t="s">
        <v>800</v>
      </c>
      <c r="E203" t="s">
        <v>654</v>
      </c>
      <c r="F203" t="s">
        <v>284</v>
      </c>
      <c r="G203" t="s">
        <v>801</v>
      </c>
      <c r="H203" t="str">
        <f>HYPERLINK("https://baanknet.com/view-property/246174/D98FD48C3806388929E1FEFE5F318DD1E31AE7273EAB58C867FD0193134481CA", "https://baanknet.com/view-property/246174/D98FD48C3806388929E1FEFE5F318DD1E31AE7273EAB58C867FD0193134481CA")</f>
        <v>https://baanknet.com/view-property/246174/D98FD48C3806388929E1FEFE5F318DD1E31AE7273EAB58C867FD0193134481CA</v>
      </c>
      <c r="I203" t="str">
        <f>HYPERLINK("https://baanknet.com/view-property/246174/D98FD48C3806388929E1FEFE5F318DD1E31AE7273EAB58C867FD0193134481CA", "Open")</f>
        <v>Open</v>
      </c>
      <c r="J203" t="s">
        <v>20</v>
      </c>
      <c r="K203" t="s">
        <v>21</v>
      </c>
      <c r="L203">
        <v>10976000</v>
      </c>
      <c r="M203">
        <v>1097600</v>
      </c>
    </row>
    <row r="204" spans="1:13" x14ac:dyDescent="0.25">
      <c r="A204" t="s">
        <v>802</v>
      </c>
      <c r="B204" t="s">
        <v>803</v>
      </c>
      <c r="C204" t="s">
        <v>15</v>
      </c>
      <c r="D204" t="s">
        <v>792</v>
      </c>
      <c r="E204" t="s">
        <v>654</v>
      </c>
      <c r="F204" t="s">
        <v>284</v>
      </c>
      <c r="G204" t="s">
        <v>804</v>
      </c>
      <c r="H204" t="str">
        <f>HYPERLINK("https://baanknet.com/view-property/190668/19F3E8A7F020E3D8A42B1479C8A5252A7767D65FA0412924ED3410EA8EE580AD", "https://baanknet.com/view-property/190668/19F3E8A7F020E3D8A42B1479C8A5252A7767D65FA0412924ED3410EA8EE580AD")</f>
        <v>https://baanknet.com/view-property/190668/19F3E8A7F020E3D8A42B1479C8A5252A7767D65FA0412924ED3410EA8EE580AD</v>
      </c>
      <c r="I204" t="str">
        <f>HYPERLINK("https://baanknet.com/view-property/190668/19F3E8A7F020E3D8A42B1479C8A5252A7767D65FA0412924ED3410EA8EE580AD", "Open")</f>
        <v>Open</v>
      </c>
      <c r="J204" t="s">
        <v>20</v>
      </c>
      <c r="K204" t="s">
        <v>21</v>
      </c>
      <c r="L204">
        <v>2697000</v>
      </c>
      <c r="M204">
        <v>269700</v>
      </c>
    </row>
    <row r="205" spans="1:13" x14ac:dyDescent="0.25">
      <c r="A205" t="s">
        <v>805</v>
      </c>
      <c r="B205" t="s">
        <v>806</v>
      </c>
      <c r="C205" t="s">
        <v>15</v>
      </c>
      <c r="D205" t="s">
        <v>758</v>
      </c>
      <c r="E205" t="s">
        <v>654</v>
      </c>
      <c r="F205" t="s">
        <v>284</v>
      </c>
      <c r="G205" t="s">
        <v>807</v>
      </c>
      <c r="H205" t="str">
        <f>HYPERLINK("https://baanknet.com/view-property/267906/7B6CAEC7EDDB73AEE430E624A6234B182430FCF45CE76E40049DF99E09D43D36", "https://baanknet.com/view-property/267906/7B6CAEC7EDDB73AEE430E624A6234B182430FCF45CE76E40049DF99E09D43D36")</f>
        <v>https://baanknet.com/view-property/267906/7B6CAEC7EDDB73AEE430E624A6234B182430FCF45CE76E40049DF99E09D43D36</v>
      </c>
      <c r="I205" t="str">
        <f>HYPERLINK("https://baanknet.com/view-property/267906/7B6CAEC7EDDB73AEE430E624A6234B182430FCF45CE76E40049DF99E09D43D36", "Open")</f>
        <v>Open</v>
      </c>
      <c r="J205" t="s">
        <v>20</v>
      </c>
      <c r="K205" t="s">
        <v>21</v>
      </c>
      <c r="L205">
        <v>1000000</v>
      </c>
      <c r="M205">
        <v>100000</v>
      </c>
    </row>
    <row r="206" spans="1:13" x14ac:dyDescent="0.25">
      <c r="A206" t="s">
        <v>808</v>
      </c>
      <c r="B206" t="s">
        <v>809</v>
      </c>
      <c r="C206" t="s">
        <v>15</v>
      </c>
      <c r="D206" t="s">
        <v>758</v>
      </c>
      <c r="E206" t="s">
        <v>654</v>
      </c>
      <c r="F206" t="s">
        <v>284</v>
      </c>
      <c r="G206" t="s">
        <v>810</v>
      </c>
      <c r="H206" t="str">
        <f>HYPERLINK("https://baanknet.com/view-property/257493/5DEB0C38D95F85FEF96AE6E04EE4B439DC8866B82C69BF234AD9834B7BDC216D", "https://baanknet.com/view-property/257493/5DEB0C38D95F85FEF96AE6E04EE4B439DC8866B82C69BF234AD9834B7BDC216D")</f>
        <v>https://baanknet.com/view-property/257493/5DEB0C38D95F85FEF96AE6E04EE4B439DC8866B82C69BF234AD9834B7BDC216D</v>
      </c>
      <c r="I206" t="str">
        <f>HYPERLINK("https://baanknet.com/view-property/257493/5DEB0C38D95F85FEF96AE6E04EE4B439DC8866B82C69BF234AD9834B7BDC216D", "Open")</f>
        <v>Open</v>
      </c>
      <c r="J206" t="s">
        <v>20</v>
      </c>
      <c r="K206" t="s">
        <v>21</v>
      </c>
      <c r="L206">
        <v>800000</v>
      </c>
      <c r="M206">
        <v>80000</v>
      </c>
    </row>
    <row r="207" spans="1:13" x14ac:dyDescent="0.25">
      <c r="A207" t="s">
        <v>811</v>
      </c>
      <c r="B207" t="s">
        <v>812</v>
      </c>
      <c r="C207" t="s">
        <v>15</v>
      </c>
      <c r="D207" t="s">
        <v>813</v>
      </c>
      <c r="E207" t="s">
        <v>654</v>
      </c>
      <c r="F207" t="s">
        <v>284</v>
      </c>
      <c r="G207" t="s">
        <v>814</v>
      </c>
      <c r="H207" t="str">
        <f>HYPERLINK("https://baanknet.com/view-property/240722/9855634FCB0A7ADE7FF8240479BF1DD50FB33AB4E5476A5299CBB6A82BC59C9A", "https://baanknet.com/view-property/240722/9855634FCB0A7ADE7FF8240479BF1DD50FB33AB4E5476A5299CBB6A82BC59C9A")</f>
        <v>https://baanknet.com/view-property/240722/9855634FCB0A7ADE7FF8240479BF1DD50FB33AB4E5476A5299CBB6A82BC59C9A</v>
      </c>
      <c r="I207" t="str">
        <f>HYPERLINK("https://baanknet.com/view-property/240722/9855634FCB0A7ADE7FF8240479BF1DD50FB33AB4E5476A5299CBB6A82BC59C9A", "Open")</f>
        <v>Open</v>
      </c>
      <c r="J207" t="s">
        <v>20</v>
      </c>
      <c r="K207" t="s">
        <v>21</v>
      </c>
      <c r="L207">
        <v>2904000</v>
      </c>
      <c r="M207">
        <v>290400</v>
      </c>
    </row>
    <row r="208" spans="1:13" x14ac:dyDescent="0.25">
      <c r="A208" t="s">
        <v>815</v>
      </c>
      <c r="B208" t="s">
        <v>816</v>
      </c>
      <c r="C208" t="s">
        <v>15</v>
      </c>
      <c r="D208" t="s">
        <v>758</v>
      </c>
      <c r="E208" t="s">
        <v>654</v>
      </c>
      <c r="F208" t="s">
        <v>284</v>
      </c>
      <c r="G208" t="s">
        <v>817</v>
      </c>
      <c r="H208" t="str">
        <f>HYPERLINK("https://baanknet.com/view-property/240614/D6BFB92333B81C7F38DE54E52205B1100343DA7E1C476D54525D484428B7F92A", "https://baanknet.com/view-property/240614/D6BFB92333B81C7F38DE54E52205B1100343DA7E1C476D54525D484428B7F92A")</f>
        <v>https://baanknet.com/view-property/240614/D6BFB92333B81C7F38DE54E52205B1100343DA7E1C476D54525D484428B7F92A</v>
      </c>
      <c r="I208" t="str">
        <f>HYPERLINK("https://baanknet.com/view-property/240614/D6BFB92333B81C7F38DE54E52205B1100343DA7E1C476D54525D484428B7F92A", "Open")</f>
        <v>Open</v>
      </c>
      <c r="J208" t="s">
        <v>20</v>
      </c>
      <c r="K208" t="s">
        <v>21</v>
      </c>
      <c r="L208">
        <v>1225000</v>
      </c>
      <c r="M208">
        <v>122500</v>
      </c>
    </row>
    <row r="209" spans="1:13" x14ac:dyDescent="0.25">
      <c r="A209" t="s">
        <v>818</v>
      </c>
      <c r="B209" t="s">
        <v>819</v>
      </c>
      <c r="C209" t="s">
        <v>15</v>
      </c>
      <c r="D209" t="s">
        <v>762</v>
      </c>
      <c r="E209" t="s">
        <v>654</v>
      </c>
      <c r="F209" t="s">
        <v>284</v>
      </c>
      <c r="G209" t="s">
        <v>820</v>
      </c>
      <c r="H209" t="str">
        <f>HYPERLINK("https://baanknet.com/view-property/224375/7B22D2091D11F0B0C83EB69AB3EB123492284B1335245015935C9FC5E969DF5B", "https://baanknet.com/view-property/224375/7B22D2091D11F0B0C83EB69AB3EB123492284B1335245015935C9FC5E969DF5B")</f>
        <v>https://baanknet.com/view-property/224375/7B22D2091D11F0B0C83EB69AB3EB123492284B1335245015935C9FC5E969DF5B</v>
      </c>
      <c r="I209" t="str">
        <f>HYPERLINK("https://baanknet.com/view-property/224375/7B22D2091D11F0B0C83EB69AB3EB123492284B1335245015935C9FC5E969DF5B", "Open")</f>
        <v>Open</v>
      </c>
      <c r="J209" t="s">
        <v>20</v>
      </c>
      <c r="K209" t="s">
        <v>21</v>
      </c>
      <c r="L209">
        <v>11108000</v>
      </c>
      <c r="M209">
        <v>1110800</v>
      </c>
    </row>
    <row r="210" spans="1:13" x14ac:dyDescent="0.25">
      <c r="A210" t="s">
        <v>821</v>
      </c>
      <c r="B210" t="s">
        <v>822</v>
      </c>
      <c r="C210" t="s">
        <v>144</v>
      </c>
      <c r="D210" t="s">
        <v>32</v>
      </c>
      <c r="E210" t="s">
        <v>654</v>
      </c>
      <c r="F210" t="s">
        <v>284</v>
      </c>
      <c r="G210" t="s">
        <v>823</v>
      </c>
      <c r="H210" t="str">
        <f>HYPERLINK("https://baanknet.com/view-property/264498/2BAAAEEE175C24BF111F09EE04B7591CFB69BB2473E40AD905AA110A6FE8BDE3", "https://baanknet.com/view-property/264498/2BAAAEEE175C24BF111F09EE04B7591CFB69BB2473E40AD905AA110A6FE8BDE3")</f>
        <v>https://baanknet.com/view-property/264498/2BAAAEEE175C24BF111F09EE04B7591CFB69BB2473E40AD905AA110A6FE8BDE3</v>
      </c>
      <c r="I210" t="str">
        <f>HYPERLINK("https://baanknet.com/view-property/264498/2BAAAEEE175C24BF111F09EE04B7591CFB69BB2473E40AD905AA110A6FE8BDE3", "Open")</f>
        <v>Open</v>
      </c>
      <c r="J210" t="s">
        <v>20</v>
      </c>
      <c r="K210" t="s">
        <v>21</v>
      </c>
      <c r="L210">
        <v>4930000</v>
      </c>
      <c r="M210">
        <v>493000</v>
      </c>
    </row>
    <row r="211" spans="1:13" x14ac:dyDescent="0.25">
      <c r="A211" t="s">
        <v>824</v>
      </c>
      <c r="B211" t="s">
        <v>825</v>
      </c>
      <c r="C211" t="s">
        <v>144</v>
      </c>
      <c r="D211" t="s">
        <v>32</v>
      </c>
      <c r="E211" t="s">
        <v>654</v>
      </c>
      <c r="F211" t="s">
        <v>284</v>
      </c>
      <c r="G211" t="s">
        <v>826</v>
      </c>
      <c r="H211" t="str">
        <f>HYPERLINK("https://baanknet.com/view-property/258025/A8A13888DE82EDE42818F197136A0780B57326C39C38266C6E14FFF2D17BBDC4", "https://baanknet.com/view-property/258025/A8A13888DE82EDE42818F197136A0780B57326C39C38266C6E14FFF2D17BBDC4")</f>
        <v>https://baanknet.com/view-property/258025/A8A13888DE82EDE42818F197136A0780B57326C39C38266C6E14FFF2D17BBDC4</v>
      </c>
      <c r="I211" t="str">
        <f>HYPERLINK("https://baanknet.com/view-property/258025/A8A13888DE82EDE42818F197136A0780B57326C39C38266C6E14FFF2D17BBDC4", "Open")</f>
        <v>Open</v>
      </c>
      <c r="J211" t="s">
        <v>20</v>
      </c>
      <c r="K211" t="s">
        <v>21</v>
      </c>
      <c r="L211">
        <v>4270000</v>
      </c>
      <c r="M211">
        <v>427000</v>
      </c>
    </row>
    <row r="212" spans="1:13" x14ac:dyDescent="0.25">
      <c r="A212" t="s">
        <v>827</v>
      </c>
      <c r="B212" t="s">
        <v>828</v>
      </c>
      <c r="C212" t="s">
        <v>144</v>
      </c>
      <c r="D212" t="s">
        <v>32</v>
      </c>
      <c r="E212" t="s">
        <v>654</v>
      </c>
      <c r="F212" t="s">
        <v>284</v>
      </c>
      <c r="G212" t="s">
        <v>829</v>
      </c>
      <c r="H212" t="str">
        <f>HYPERLINK("https://baanknet.com/view-property/264501/161854BE789BDA00F677C1E2F952218EACF362D926B7EA3E0F02EC1E8874DD01", "https://baanknet.com/view-property/264501/161854BE789BDA00F677C1E2F952218EACF362D926B7EA3E0F02EC1E8874DD01")</f>
        <v>https://baanknet.com/view-property/264501/161854BE789BDA00F677C1E2F952218EACF362D926B7EA3E0F02EC1E8874DD01</v>
      </c>
      <c r="I212" t="str">
        <f>HYPERLINK("https://baanknet.com/view-property/264501/161854BE789BDA00F677C1E2F952218EACF362D926B7EA3E0F02EC1E8874DD01", "Open")</f>
        <v>Open</v>
      </c>
      <c r="J212" t="s">
        <v>20</v>
      </c>
      <c r="K212" t="s">
        <v>21</v>
      </c>
      <c r="L212">
        <v>4930000</v>
      </c>
      <c r="M212">
        <v>493000</v>
      </c>
    </row>
    <row r="213" spans="1:13" x14ac:dyDescent="0.25">
      <c r="A213" t="s">
        <v>830</v>
      </c>
      <c r="B213" t="s">
        <v>831</v>
      </c>
      <c r="C213" t="s">
        <v>832</v>
      </c>
      <c r="D213" t="s">
        <v>833</v>
      </c>
      <c r="E213" t="s">
        <v>654</v>
      </c>
      <c r="F213" t="s">
        <v>305</v>
      </c>
      <c r="G213" t="s">
        <v>834</v>
      </c>
      <c r="H213" t="str">
        <f>HYPERLINK("https://baanknet.com/view-property/171458/167B55789451F2C4F1F14323BB7D5D74A4A66B70A48FE3D84BD7C4E570E67A16", "https://baanknet.com/view-property/171458/167B55789451F2C4F1F14323BB7D5D74A4A66B70A48FE3D84BD7C4E570E67A16")</f>
        <v>https://baanknet.com/view-property/171458/167B55789451F2C4F1F14323BB7D5D74A4A66B70A48FE3D84BD7C4E570E67A16</v>
      </c>
      <c r="I213" t="str">
        <f>HYPERLINK("https://baanknet.com/view-property/171458/167B55789451F2C4F1F14323BB7D5D74A4A66B70A48FE3D84BD7C4E570E67A16", "Open")</f>
        <v>Open</v>
      </c>
      <c r="J213" t="s">
        <v>20</v>
      </c>
      <c r="K213" t="s">
        <v>21</v>
      </c>
      <c r="L213">
        <v>1072800</v>
      </c>
      <c r="M213">
        <v>107280</v>
      </c>
    </row>
    <row r="214" spans="1:13" x14ac:dyDescent="0.25">
      <c r="A214" t="s">
        <v>835</v>
      </c>
      <c r="B214" t="s">
        <v>836</v>
      </c>
      <c r="C214" t="s">
        <v>832</v>
      </c>
      <c r="D214" t="s">
        <v>837</v>
      </c>
      <c r="E214" t="s">
        <v>654</v>
      </c>
      <c r="F214" t="s">
        <v>305</v>
      </c>
      <c r="G214" t="s">
        <v>838</v>
      </c>
      <c r="H214" t="str">
        <f>HYPERLINK("https://baanknet.com/view-property/181345/D7C2832EBAD9F8C71963E612F86725B0A939B079BAFE3A762DA8D0BE214F31AC", "https://baanknet.com/view-property/181345/D7C2832EBAD9F8C71963E612F86725B0A939B079BAFE3A762DA8D0BE214F31AC")</f>
        <v>https://baanknet.com/view-property/181345/D7C2832EBAD9F8C71963E612F86725B0A939B079BAFE3A762DA8D0BE214F31AC</v>
      </c>
      <c r="I214" t="str">
        <f>HYPERLINK("https://baanknet.com/view-property/181345/D7C2832EBAD9F8C71963E612F86725B0A939B079BAFE3A762DA8D0BE214F31AC", "Open")</f>
        <v>Open</v>
      </c>
      <c r="J214" t="s">
        <v>20</v>
      </c>
      <c r="K214" t="s">
        <v>21</v>
      </c>
      <c r="L214">
        <v>3664210</v>
      </c>
      <c r="M214">
        <v>366421</v>
      </c>
    </row>
    <row r="215" spans="1:13" x14ac:dyDescent="0.25">
      <c r="A215" t="s">
        <v>839</v>
      </c>
      <c r="B215" t="s">
        <v>840</v>
      </c>
      <c r="C215" t="s">
        <v>15</v>
      </c>
      <c r="D215" t="s">
        <v>608</v>
      </c>
      <c r="E215" t="s">
        <v>841</v>
      </c>
      <c r="F215" t="s">
        <v>654</v>
      </c>
      <c r="G215" t="s">
        <v>842</v>
      </c>
      <c r="H215" t="str">
        <f>HYPERLINK("https://baanknet.com/view-property/283959/0963A732E233C8AA90ADB86702F763E7B6A3CE08F99D36E798B82E9B52EBDEC8", "https://baanknet.com/view-property/283959/0963A732E233C8AA90ADB86702F763E7B6A3CE08F99D36E798B82E9B52EBDEC8")</f>
        <v>https://baanknet.com/view-property/283959/0963A732E233C8AA90ADB86702F763E7B6A3CE08F99D36E798B82E9B52EBDEC8</v>
      </c>
      <c r="I215" t="str">
        <f>HYPERLINK("https://baanknet.com/view-property/283959/0963A732E233C8AA90ADB86702F763E7B6A3CE08F99D36E798B82E9B52EBDEC8", "Open")</f>
        <v>Open</v>
      </c>
      <c r="J215" t="s">
        <v>20</v>
      </c>
      <c r="K215" t="s">
        <v>21</v>
      </c>
      <c r="L215">
        <v>5100000</v>
      </c>
      <c r="M215">
        <v>510000</v>
      </c>
    </row>
    <row r="216" spans="1:13" x14ac:dyDescent="0.25">
      <c r="A216" t="s">
        <v>843</v>
      </c>
      <c r="B216" t="s">
        <v>844</v>
      </c>
      <c r="C216" t="s">
        <v>15</v>
      </c>
      <c r="D216" t="s">
        <v>845</v>
      </c>
      <c r="E216" t="s">
        <v>841</v>
      </c>
      <c r="F216" t="s">
        <v>654</v>
      </c>
      <c r="G216" t="s">
        <v>846</v>
      </c>
      <c r="H216" t="str">
        <f>HYPERLINK("https://baanknet.com/view-property/257556/B0390B50CCB572EFDFE8AACAE02DA10A401BC4C8C10DD8E0FDA6702F253690C6", "https://baanknet.com/view-property/257556/B0390B50CCB572EFDFE8AACAE02DA10A401BC4C8C10DD8E0FDA6702F253690C6")</f>
        <v>https://baanknet.com/view-property/257556/B0390B50CCB572EFDFE8AACAE02DA10A401BC4C8C10DD8E0FDA6702F253690C6</v>
      </c>
      <c r="I216" t="str">
        <f>HYPERLINK("https://baanknet.com/view-property/257556/B0390B50CCB572EFDFE8AACAE02DA10A401BC4C8C10DD8E0FDA6702F253690C6", "Open")</f>
        <v>Open</v>
      </c>
      <c r="J216" t="s">
        <v>20</v>
      </c>
      <c r="K216" t="s">
        <v>21</v>
      </c>
      <c r="L216">
        <v>2100000</v>
      </c>
      <c r="M216">
        <v>210000</v>
      </c>
    </row>
    <row r="217" spans="1:13" x14ac:dyDescent="0.25">
      <c r="A217" t="s">
        <v>847</v>
      </c>
      <c r="B217" t="s">
        <v>848</v>
      </c>
      <c r="C217" t="s">
        <v>15</v>
      </c>
      <c r="D217" t="s">
        <v>849</v>
      </c>
      <c r="E217" t="s">
        <v>841</v>
      </c>
      <c r="F217" t="s">
        <v>654</v>
      </c>
      <c r="G217" t="s">
        <v>850</v>
      </c>
      <c r="H217" t="str">
        <f>HYPERLINK("https://baanknet.com/view-property/278547/29B2F861FA428983DC1C20544432301C7007D91934CCCA65E502FAA19AB24C4A", "https://baanknet.com/view-property/278547/29B2F861FA428983DC1C20544432301C7007D91934CCCA65E502FAA19AB24C4A")</f>
        <v>https://baanknet.com/view-property/278547/29B2F861FA428983DC1C20544432301C7007D91934CCCA65E502FAA19AB24C4A</v>
      </c>
      <c r="I217" t="str">
        <f>HYPERLINK("https://baanknet.com/view-property/278547/29B2F861FA428983DC1C20544432301C7007D91934CCCA65E502FAA19AB24C4A", "Open")</f>
        <v>Open</v>
      </c>
      <c r="J217" t="s">
        <v>20</v>
      </c>
      <c r="K217" t="s">
        <v>21</v>
      </c>
      <c r="L217">
        <v>900000</v>
      </c>
      <c r="M217">
        <v>90000</v>
      </c>
    </row>
    <row r="218" spans="1:13" x14ac:dyDescent="0.25">
      <c r="A218" t="s">
        <v>851</v>
      </c>
      <c r="B218" t="s">
        <v>852</v>
      </c>
      <c r="C218" t="s">
        <v>121</v>
      </c>
      <c r="D218" t="s">
        <v>853</v>
      </c>
      <c r="E218" t="s">
        <v>841</v>
      </c>
      <c r="F218" t="s">
        <v>510</v>
      </c>
      <c r="G218" t="s">
        <v>854</v>
      </c>
      <c r="H218" t="str">
        <f>HYPERLINK("https://baanknet.com/view-property/285600/CADE5C2CFF136DEDB144C6647E500414F486681EC0454520933033DD44F3F900", "https://baanknet.com/view-property/285600/CADE5C2CFF136DEDB144C6647E500414F486681EC0454520933033DD44F3F900")</f>
        <v>https://baanknet.com/view-property/285600/CADE5C2CFF136DEDB144C6647E500414F486681EC0454520933033DD44F3F900</v>
      </c>
      <c r="I218" t="str">
        <f>HYPERLINK("https://baanknet.com/view-property/285600/CADE5C2CFF136DEDB144C6647E500414F486681EC0454520933033DD44F3F900", "Open")</f>
        <v>Open</v>
      </c>
      <c r="J218" t="s">
        <v>20</v>
      </c>
      <c r="K218" t="s">
        <v>21</v>
      </c>
      <c r="L218">
        <v>1377000</v>
      </c>
      <c r="M218">
        <v>137700</v>
      </c>
    </row>
    <row r="219" spans="1:13" x14ac:dyDescent="0.25">
      <c r="A219" t="s">
        <v>855</v>
      </c>
      <c r="B219" t="s">
        <v>856</v>
      </c>
      <c r="C219" t="s">
        <v>332</v>
      </c>
      <c r="D219" t="s">
        <v>857</v>
      </c>
      <c r="E219" t="s">
        <v>841</v>
      </c>
      <c r="F219" t="s">
        <v>334</v>
      </c>
      <c r="G219" t="s">
        <v>858</v>
      </c>
      <c r="H219" t="str">
        <f>HYPERLINK("https://baanknet.com/view-property/284126/8E45E2DEBB7FCA0FADC4803AB024D25C2C2897923B743173BB84A89C3095A927", "https://baanknet.com/view-property/284126/8E45E2DEBB7FCA0FADC4803AB024D25C2C2897923B743173BB84A89C3095A927")</f>
        <v>https://baanknet.com/view-property/284126/8E45E2DEBB7FCA0FADC4803AB024D25C2C2897923B743173BB84A89C3095A927</v>
      </c>
      <c r="I219" t="str">
        <f>HYPERLINK("https://baanknet.com/view-property/284126/8E45E2DEBB7FCA0FADC4803AB024D25C2C2897923B743173BB84A89C3095A927", "Open")</f>
        <v>Open</v>
      </c>
      <c r="J219" t="s">
        <v>20</v>
      </c>
      <c r="K219" t="s">
        <v>21</v>
      </c>
      <c r="L219">
        <v>5800000</v>
      </c>
      <c r="M219">
        <v>580000</v>
      </c>
    </row>
    <row r="220" spans="1:13" x14ac:dyDescent="0.25">
      <c r="A220" t="s">
        <v>859</v>
      </c>
      <c r="B220" t="s">
        <v>860</v>
      </c>
      <c r="C220" t="s">
        <v>121</v>
      </c>
      <c r="D220" t="s">
        <v>861</v>
      </c>
      <c r="E220" t="s">
        <v>841</v>
      </c>
      <c r="F220" t="s">
        <v>334</v>
      </c>
      <c r="G220" t="s">
        <v>862</v>
      </c>
      <c r="H220" t="str">
        <f>HYPERLINK("https://baanknet.com/view-property/179251/90B3E592452DB011C2808A1D29A2F2953DB5D953377DCA6F265E2EB9D3649E94", "https://baanknet.com/view-property/179251/90B3E592452DB011C2808A1D29A2F2953DB5D953377DCA6F265E2EB9D3649E94")</f>
        <v>https://baanknet.com/view-property/179251/90B3E592452DB011C2808A1D29A2F2953DB5D953377DCA6F265E2EB9D3649E94</v>
      </c>
      <c r="I220" t="str">
        <f>HYPERLINK("https://baanknet.com/view-property/179251/90B3E592452DB011C2808A1D29A2F2953DB5D953377DCA6F265E2EB9D3649E94", "Open")</f>
        <v>Open</v>
      </c>
      <c r="J220" t="s">
        <v>20</v>
      </c>
      <c r="K220" t="s">
        <v>21</v>
      </c>
      <c r="L220">
        <v>4837000</v>
      </c>
      <c r="M220">
        <v>483700</v>
      </c>
    </row>
    <row r="221" spans="1:13" x14ac:dyDescent="0.25">
      <c r="A221" t="s">
        <v>863</v>
      </c>
      <c r="B221" t="s">
        <v>864</v>
      </c>
      <c r="C221" t="s">
        <v>121</v>
      </c>
      <c r="D221" t="s">
        <v>865</v>
      </c>
      <c r="E221" t="s">
        <v>841</v>
      </c>
      <c r="F221" t="s">
        <v>334</v>
      </c>
      <c r="G221" t="s">
        <v>866</v>
      </c>
      <c r="H221" t="str">
        <f>HYPERLINK("https://baanknet.com/view-property/284600/E4CB9AC91F8A5842351CBB7A9C2E2E4E07E50824C2660B7D6375CD364ACCFE5A", "https://baanknet.com/view-property/284600/E4CB9AC91F8A5842351CBB7A9C2E2E4E07E50824C2660B7D6375CD364ACCFE5A")</f>
        <v>https://baanknet.com/view-property/284600/E4CB9AC91F8A5842351CBB7A9C2E2E4E07E50824C2660B7D6375CD364ACCFE5A</v>
      </c>
      <c r="I221" t="str">
        <f>HYPERLINK("https://baanknet.com/view-property/284600/E4CB9AC91F8A5842351CBB7A9C2E2E4E07E50824C2660B7D6375CD364ACCFE5A", "Open")</f>
        <v>Open</v>
      </c>
      <c r="J221" t="s">
        <v>20</v>
      </c>
      <c r="K221" t="s">
        <v>21</v>
      </c>
      <c r="L221">
        <v>4693000</v>
      </c>
      <c r="M221">
        <v>469300</v>
      </c>
    </row>
    <row r="222" spans="1:13" x14ac:dyDescent="0.25">
      <c r="A222" t="s">
        <v>867</v>
      </c>
      <c r="B222" t="s">
        <v>868</v>
      </c>
      <c r="C222" t="s">
        <v>832</v>
      </c>
      <c r="D222" t="s">
        <v>869</v>
      </c>
      <c r="E222" t="s">
        <v>654</v>
      </c>
      <c r="F222" t="s">
        <v>305</v>
      </c>
      <c r="G222" t="s">
        <v>870</v>
      </c>
      <c r="H222" t="str">
        <f>HYPERLINK("https://baanknet.com/view-property/181465/9831E453E8C8A8630C8EC9B23370B18DDA5AFF5EF1C57F161A445CC60A38D362", "https://baanknet.com/view-property/181465/9831E453E8C8A8630C8EC9B23370B18DDA5AFF5EF1C57F161A445CC60A38D362")</f>
        <v>https://baanknet.com/view-property/181465/9831E453E8C8A8630C8EC9B23370B18DDA5AFF5EF1C57F161A445CC60A38D362</v>
      </c>
      <c r="I222" t="str">
        <f>HYPERLINK("https://baanknet.com/view-property/181465/9831E453E8C8A8630C8EC9B23370B18DDA5AFF5EF1C57F161A445CC60A38D362", "Open")</f>
        <v>Open</v>
      </c>
      <c r="J222" t="s">
        <v>20</v>
      </c>
      <c r="K222" t="s">
        <v>21</v>
      </c>
      <c r="L222">
        <v>1350000</v>
      </c>
      <c r="M222">
        <v>135000</v>
      </c>
    </row>
    <row r="223" spans="1:13" x14ac:dyDescent="0.25">
      <c r="A223" t="s">
        <v>871</v>
      </c>
      <c r="B223" t="s">
        <v>872</v>
      </c>
      <c r="C223" t="s">
        <v>832</v>
      </c>
      <c r="D223" t="s">
        <v>873</v>
      </c>
      <c r="E223" t="s">
        <v>654</v>
      </c>
      <c r="F223" t="s">
        <v>305</v>
      </c>
      <c r="G223" t="s">
        <v>874</v>
      </c>
      <c r="H223" t="str">
        <f>HYPERLINK("https://baanknet.com/view-property/181458/C7DD73C8F84E3874F4C1A9D6CBE721725F3DCD7704906E0EE67EED786F6BA616", "https://baanknet.com/view-property/181458/C7DD73C8F84E3874F4C1A9D6CBE721725F3DCD7704906E0EE67EED786F6BA616")</f>
        <v>https://baanknet.com/view-property/181458/C7DD73C8F84E3874F4C1A9D6CBE721725F3DCD7704906E0EE67EED786F6BA616</v>
      </c>
      <c r="I223" t="str">
        <f>HYPERLINK("https://baanknet.com/view-property/181458/C7DD73C8F84E3874F4C1A9D6CBE721725F3DCD7704906E0EE67EED786F6BA616", "Open")</f>
        <v>Open</v>
      </c>
      <c r="J223" t="s">
        <v>20</v>
      </c>
      <c r="K223" t="s">
        <v>21</v>
      </c>
      <c r="L223">
        <v>1393010</v>
      </c>
      <c r="M223">
        <v>139301</v>
      </c>
    </row>
    <row r="224" spans="1:13" x14ac:dyDescent="0.25">
      <c r="A224" t="s">
        <v>875</v>
      </c>
      <c r="B224" t="s">
        <v>876</v>
      </c>
      <c r="C224" t="s">
        <v>832</v>
      </c>
      <c r="D224" t="s">
        <v>877</v>
      </c>
      <c r="E224" t="s">
        <v>654</v>
      </c>
      <c r="F224" t="s">
        <v>305</v>
      </c>
      <c r="G224" t="s">
        <v>878</v>
      </c>
      <c r="H224" t="str">
        <f>HYPERLINK("https://baanknet.com/view-property/220343/6D042949264005F16293688ED16FE57160B605E79F18A4EE621FA48B0893D43C", "https://baanknet.com/view-property/220343/6D042949264005F16293688ED16FE57160B605E79F18A4EE621FA48B0893D43C")</f>
        <v>https://baanknet.com/view-property/220343/6D042949264005F16293688ED16FE57160B605E79F18A4EE621FA48B0893D43C</v>
      </c>
      <c r="I224" t="str">
        <f>HYPERLINK("https://baanknet.com/view-property/220343/6D042949264005F16293688ED16FE57160B605E79F18A4EE621FA48B0893D43C", "Open")</f>
        <v>Open</v>
      </c>
      <c r="J224" t="s">
        <v>20</v>
      </c>
      <c r="K224" t="s">
        <v>21</v>
      </c>
      <c r="L224">
        <v>1215000</v>
      </c>
      <c r="M224">
        <v>121500</v>
      </c>
    </row>
    <row r="225" spans="1:13" x14ac:dyDescent="0.25">
      <c r="A225" t="s">
        <v>879</v>
      </c>
      <c r="B225" t="s">
        <v>880</v>
      </c>
      <c r="C225" t="s">
        <v>832</v>
      </c>
      <c r="D225" t="s">
        <v>881</v>
      </c>
      <c r="E225" t="s">
        <v>654</v>
      </c>
      <c r="F225" t="s">
        <v>305</v>
      </c>
      <c r="G225" t="s">
        <v>882</v>
      </c>
      <c r="H225" t="str">
        <f>HYPERLINK("https://baanknet.com/view-property/220352/6267137E0218ED349B73990628E98C46F52CC30E18EC56A372B8BE6722538FFC", "https://baanknet.com/view-property/220352/6267137E0218ED349B73990628E98C46F52CC30E18EC56A372B8BE6722538FFC")</f>
        <v>https://baanknet.com/view-property/220352/6267137E0218ED349B73990628E98C46F52CC30E18EC56A372B8BE6722538FFC</v>
      </c>
      <c r="I225" t="str">
        <f>HYPERLINK("https://baanknet.com/view-property/220352/6267137E0218ED349B73990628E98C46F52CC30E18EC56A372B8BE6722538FFC", "Open")</f>
        <v>Open</v>
      </c>
      <c r="J225" t="s">
        <v>20</v>
      </c>
      <c r="K225" t="s">
        <v>21</v>
      </c>
      <c r="L225">
        <v>933300</v>
      </c>
      <c r="M225">
        <v>93330</v>
      </c>
    </row>
    <row r="226" spans="1:13" x14ac:dyDescent="0.25">
      <c r="A226" t="s">
        <v>883</v>
      </c>
      <c r="B226" t="s">
        <v>884</v>
      </c>
      <c r="C226" t="s">
        <v>832</v>
      </c>
      <c r="D226" t="s">
        <v>833</v>
      </c>
      <c r="E226" t="s">
        <v>654</v>
      </c>
      <c r="F226" t="s">
        <v>305</v>
      </c>
      <c r="G226" t="s">
        <v>885</v>
      </c>
      <c r="H226" t="str">
        <f>HYPERLINK("https://baanknet.com/view-property/273642/F9BB6114AA8C2A0A4CE59053F19BFD763B5151CF5A95C43F527DB9E0FFCBB5FD", "https://baanknet.com/view-property/273642/F9BB6114AA8C2A0A4CE59053F19BFD763B5151CF5A95C43F527DB9E0FFCBB5FD")</f>
        <v>https://baanknet.com/view-property/273642/F9BB6114AA8C2A0A4CE59053F19BFD763B5151CF5A95C43F527DB9E0FFCBB5FD</v>
      </c>
      <c r="I226" t="str">
        <f>HYPERLINK("https://baanknet.com/view-property/273642/F9BB6114AA8C2A0A4CE59053F19BFD763B5151CF5A95C43F527DB9E0FFCBB5FD", "Open")</f>
        <v>Open</v>
      </c>
      <c r="J226" t="s">
        <v>20</v>
      </c>
      <c r="K226" t="s">
        <v>21</v>
      </c>
      <c r="L226">
        <v>351900</v>
      </c>
      <c r="M226">
        <v>35190</v>
      </c>
    </row>
    <row r="227" spans="1:13" x14ac:dyDescent="0.25">
      <c r="A227" t="s">
        <v>886</v>
      </c>
      <c r="B227" t="s">
        <v>887</v>
      </c>
      <c r="C227" t="s">
        <v>144</v>
      </c>
      <c r="D227" t="s">
        <v>888</v>
      </c>
      <c r="E227" t="s">
        <v>654</v>
      </c>
      <c r="F227" t="s">
        <v>305</v>
      </c>
      <c r="G227" t="s">
        <v>889</v>
      </c>
      <c r="H227" t="str">
        <f>HYPERLINK("https://baanknet.com/view-property/274442/A442AFB0401D5871B97B84BADF9670ADC6A26876964640746CBB014AFDC3FCCA", "https://baanknet.com/view-property/274442/A442AFB0401D5871B97B84BADF9670ADC6A26876964640746CBB014AFDC3FCCA")</f>
        <v>https://baanknet.com/view-property/274442/A442AFB0401D5871B97B84BADF9670ADC6A26876964640746CBB014AFDC3FCCA</v>
      </c>
      <c r="I227" t="str">
        <f>HYPERLINK("https://baanknet.com/view-property/274442/A442AFB0401D5871B97B84BADF9670ADC6A26876964640746CBB014AFDC3FCCA", "Open")</f>
        <v>Open</v>
      </c>
      <c r="J227" t="s">
        <v>20</v>
      </c>
      <c r="K227" t="s">
        <v>21</v>
      </c>
      <c r="L227">
        <v>10700000</v>
      </c>
      <c r="M227">
        <v>1070000</v>
      </c>
    </row>
    <row r="228" spans="1:13" x14ac:dyDescent="0.25">
      <c r="A228" t="s">
        <v>890</v>
      </c>
      <c r="B228" t="s">
        <v>891</v>
      </c>
      <c r="C228" t="s">
        <v>144</v>
      </c>
      <c r="D228" t="s">
        <v>892</v>
      </c>
      <c r="E228" t="s">
        <v>654</v>
      </c>
      <c r="F228" t="s">
        <v>305</v>
      </c>
      <c r="G228" t="s">
        <v>893</v>
      </c>
      <c r="H228" t="str">
        <f>HYPERLINK("https://baanknet.com/view-property/283835/5FCDCEB4FC8C5E01D7A210E2DF0DD89EB8351CD2F9D5B490D805DF3E6998F949", "https://baanknet.com/view-property/283835/5FCDCEB4FC8C5E01D7A210E2DF0DD89EB8351CD2F9D5B490D805DF3E6998F949")</f>
        <v>https://baanknet.com/view-property/283835/5FCDCEB4FC8C5E01D7A210E2DF0DD89EB8351CD2F9D5B490D805DF3E6998F949</v>
      </c>
      <c r="I228" t="str">
        <f>HYPERLINK("https://baanknet.com/view-property/283835/5FCDCEB4FC8C5E01D7A210E2DF0DD89EB8351CD2F9D5B490D805DF3E6998F949", "Open")</f>
        <v>Open</v>
      </c>
      <c r="J228" t="s">
        <v>20</v>
      </c>
      <c r="K228" t="s">
        <v>21</v>
      </c>
      <c r="L228">
        <v>600800</v>
      </c>
      <c r="M228">
        <v>60080</v>
      </c>
    </row>
    <row r="229" spans="1:13" x14ac:dyDescent="0.25">
      <c r="A229" t="s">
        <v>894</v>
      </c>
      <c r="B229" t="s">
        <v>895</v>
      </c>
      <c r="C229" t="s">
        <v>332</v>
      </c>
      <c r="D229" t="s">
        <v>896</v>
      </c>
      <c r="E229" t="s">
        <v>654</v>
      </c>
      <c r="F229" t="s">
        <v>305</v>
      </c>
      <c r="G229" t="s">
        <v>897</v>
      </c>
      <c r="H229" t="str">
        <f>HYPERLINK("https://baanknet.com/view-property/107504/BD94EE64F83A4F18A5008BC361F377F24662BE45CB9960E1E5956745E6AAE965", "https://baanknet.com/view-property/107504/BD94EE64F83A4F18A5008BC361F377F24662BE45CB9960E1E5956745E6AAE965")</f>
        <v>https://baanknet.com/view-property/107504/BD94EE64F83A4F18A5008BC361F377F24662BE45CB9960E1E5956745E6AAE965</v>
      </c>
      <c r="I229" t="str">
        <f>HYPERLINK("https://baanknet.com/view-property/107504/BD94EE64F83A4F18A5008BC361F377F24662BE45CB9960E1E5956745E6AAE965", "Open")</f>
        <v>Open</v>
      </c>
      <c r="J229" t="s">
        <v>20</v>
      </c>
      <c r="K229" t="s">
        <v>21</v>
      </c>
      <c r="L229">
        <v>1250000</v>
      </c>
      <c r="M229">
        <v>125000</v>
      </c>
    </row>
    <row r="230" spans="1:13" x14ac:dyDescent="0.25">
      <c r="A230" t="s">
        <v>898</v>
      </c>
      <c r="B230" t="s">
        <v>899</v>
      </c>
      <c r="C230" t="s">
        <v>121</v>
      </c>
      <c r="D230" t="s">
        <v>900</v>
      </c>
      <c r="E230" t="s">
        <v>654</v>
      </c>
      <c r="F230" t="s">
        <v>510</v>
      </c>
      <c r="G230" t="s">
        <v>901</v>
      </c>
      <c r="H230" t="str">
        <f>HYPERLINK("https://baanknet.com/view-property/277037/BE8854647839B4C7113924CC72DAE4EC15583E6F61BCCD545848F4711A8EE963", "https://baanknet.com/view-property/277037/BE8854647839B4C7113924CC72DAE4EC15583E6F61BCCD545848F4711A8EE963")</f>
        <v>https://baanknet.com/view-property/277037/BE8854647839B4C7113924CC72DAE4EC15583E6F61BCCD545848F4711A8EE963</v>
      </c>
      <c r="I230" t="str">
        <f>HYPERLINK("https://baanknet.com/view-property/277037/BE8854647839B4C7113924CC72DAE4EC15583E6F61BCCD545848F4711A8EE963", "Open")</f>
        <v>Open</v>
      </c>
      <c r="J230" t="s">
        <v>20</v>
      </c>
      <c r="K230" t="s">
        <v>21</v>
      </c>
      <c r="L230">
        <v>6703000</v>
      </c>
      <c r="M230">
        <v>670300</v>
      </c>
    </row>
    <row r="231" spans="1:13" x14ac:dyDescent="0.25">
      <c r="A231" t="s">
        <v>902</v>
      </c>
      <c r="B231" t="s">
        <v>903</v>
      </c>
      <c r="C231" t="s">
        <v>121</v>
      </c>
      <c r="D231" t="s">
        <v>900</v>
      </c>
      <c r="E231" t="s">
        <v>654</v>
      </c>
      <c r="F231" t="s">
        <v>510</v>
      </c>
      <c r="G231" t="s">
        <v>904</v>
      </c>
      <c r="H231" t="str">
        <f>HYPERLINK("https://baanknet.com/view-property/266876/FDB4E24F13CD36920CB93D9194DC590B5330B820C75F0DBA6087EDE2BB939366", "https://baanknet.com/view-property/266876/FDB4E24F13CD36920CB93D9194DC590B5330B820C75F0DBA6087EDE2BB939366")</f>
        <v>https://baanknet.com/view-property/266876/FDB4E24F13CD36920CB93D9194DC590B5330B820C75F0DBA6087EDE2BB939366</v>
      </c>
      <c r="I231" t="str">
        <f>HYPERLINK("https://baanknet.com/view-property/266876/FDB4E24F13CD36920CB93D9194DC590B5330B820C75F0DBA6087EDE2BB939366", "Open")</f>
        <v>Open</v>
      </c>
      <c r="J231" t="s">
        <v>20</v>
      </c>
      <c r="K231" t="s">
        <v>21</v>
      </c>
      <c r="L231">
        <v>3456000</v>
      </c>
      <c r="M231">
        <v>345600</v>
      </c>
    </row>
    <row r="232" spans="1:13" x14ac:dyDescent="0.25">
      <c r="A232" t="s">
        <v>905</v>
      </c>
      <c r="B232" t="s">
        <v>906</v>
      </c>
      <c r="C232" t="s">
        <v>121</v>
      </c>
      <c r="D232" t="s">
        <v>907</v>
      </c>
      <c r="E232" t="s">
        <v>654</v>
      </c>
      <c r="F232" t="s">
        <v>510</v>
      </c>
      <c r="G232" t="s">
        <v>908</v>
      </c>
      <c r="H232" t="str">
        <f>HYPERLINK("https://baanknet.com/view-property/259888/7808E46A12EEFD7EDE490BCD87063260987332119EEC9A41960C52964A14F93B", "https://baanknet.com/view-property/259888/7808E46A12EEFD7EDE490BCD87063260987332119EEC9A41960C52964A14F93B")</f>
        <v>https://baanknet.com/view-property/259888/7808E46A12EEFD7EDE490BCD87063260987332119EEC9A41960C52964A14F93B</v>
      </c>
      <c r="I232" t="str">
        <f>HYPERLINK("https://baanknet.com/view-property/259888/7808E46A12EEFD7EDE490BCD87063260987332119EEC9A41960C52964A14F93B", "Open")</f>
        <v>Open</v>
      </c>
      <c r="J232" t="s">
        <v>20</v>
      </c>
      <c r="K232" t="s">
        <v>21</v>
      </c>
      <c r="L232">
        <v>11800000</v>
      </c>
      <c r="M232">
        <v>1180000</v>
      </c>
    </row>
    <row r="233" spans="1:13" x14ac:dyDescent="0.25">
      <c r="A233" t="s">
        <v>909</v>
      </c>
      <c r="B233" t="s">
        <v>910</v>
      </c>
      <c r="C233" t="s">
        <v>121</v>
      </c>
      <c r="D233" t="s">
        <v>501</v>
      </c>
      <c r="E233" t="s">
        <v>654</v>
      </c>
      <c r="F233" t="s">
        <v>510</v>
      </c>
      <c r="G233" t="s">
        <v>911</v>
      </c>
      <c r="H233" t="str">
        <f>HYPERLINK("https://baanknet.com/view-property/223825/875158556A00D191C211BC3C8B2BCE103FFD41BBF51EC629F9F16CAFC9DD960D", "https://baanknet.com/view-property/223825/875158556A00D191C211BC3C8B2BCE103FFD41BBF51EC629F9F16CAFC9DD960D")</f>
        <v>https://baanknet.com/view-property/223825/875158556A00D191C211BC3C8B2BCE103FFD41BBF51EC629F9F16CAFC9DD960D</v>
      </c>
      <c r="I233" t="str">
        <f>HYPERLINK("https://baanknet.com/view-property/223825/875158556A00D191C211BC3C8B2BCE103FFD41BBF51EC629F9F16CAFC9DD960D", "Open")</f>
        <v>Open</v>
      </c>
      <c r="J233" t="s">
        <v>20</v>
      </c>
      <c r="K233" t="s">
        <v>21</v>
      </c>
      <c r="L233">
        <v>11800000</v>
      </c>
      <c r="M233">
        <v>1180000</v>
      </c>
    </row>
    <row r="234" spans="1:13" x14ac:dyDescent="0.25">
      <c r="A234" t="s">
        <v>912</v>
      </c>
      <c r="B234" t="s">
        <v>913</v>
      </c>
      <c r="C234" t="s">
        <v>121</v>
      </c>
      <c r="D234" t="s">
        <v>501</v>
      </c>
      <c r="E234" t="s">
        <v>654</v>
      </c>
      <c r="F234" t="s">
        <v>510</v>
      </c>
      <c r="G234" t="s">
        <v>914</v>
      </c>
      <c r="H234" t="str">
        <f>HYPERLINK("https://baanknet.com/view-property/177098/E128E5C0115B99BB6FB9F62C13048B51CBFDE3DDBE28FBC7455525F5EB962442", "https://baanknet.com/view-property/177098/E128E5C0115B99BB6FB9F62C13048B51CBFDE3DDBE28FBC7455525F5EB962442")</f>
        <v>https://baanknet.com/view-property/177098/E128E5C0115B99BB6FB9F62C13048B51CBFDE3DDBE28FBC7455525F5EB962442</v>
      </c>
      <c r="I234" t="str">
        <f>HYPERLINK("https://baanknet.com/view-property/177098/E128E5C0115B99BB6FB9F62C13048B51CBFDE3DDBE28FBC7455525F5EB962442", "Open")</f>
        <v>Open</v>
      </c>
      <c r="J234" t="s">
        <v>20</v>
      </c>
      <c r="K234" t="s">
        <v>21</v>
      </c>
      <c r="L234">
        <v>11800000</v>
      </c>
      <c r="M234">
        <v>1180000</v>
      </c>
    </row>
    <row r="235" spans="1:13" x14ac:dyDescent="0.25">
      <c r="A235" t="s">
        <v>915</v>
      </c>
      <c r="B235" t="s">
        <v>916</v>
      </c>
      <c r="C235" t="s">
        <v>121</v>
      </c>
      <c r="D235" t="s">
        <v>501</v>
      </c>
      <c r="E235" t="s">
        <v>654</v>
      </c>
      <c r="F235" t="s">
        <v>510</v>
      </c>
      <c r="G235" t="s">
        <v>917</v>
      </c>
      <c r="H235" t="str">
        <f>HYPERLINK("https://baanknet.com/view-property/177097/0AE024ED264276EE486F1B270B607F15D29B0A0BF6DB5827DECD36313363B08F", "https://baanknet.com/view-property/177097/0AE024ED264276EE486F1B270B607F15D29B0A0BF6DB5827DECD36313363B08F")</f>
        <v>https://baanknet.com/view-property/177097/0AE024ED264276EE486F1B270B607F15D29B0A0BF6DB5827DECD36313363B08F</v>
      </c>
      <c r="I235" t="str">
        <f>HYPERLINK("https://baanknet.com/view-property/177097/0AE024ED264276EE486F1B270B607F15D29B0A0BF6DB5827DECD36313363B08F", "Open")</f>
        <v>Open</v>
      </c>
      <c r="J235" t="s">
        <v>20</v>
      </c>
      <c r="K235" t="s">
        <v>21</v>
      </c>
      <c r="L235">
        <v>11800000</v>
      </c>
      <c r="M235">
        <v>1180000</v>
      </c>
    </row>
    <row r="236" spans="1:13" x14ac:dyDescent="0.25">
      <c r="A236" t="s">
        <v>918</v>
      </c>
      <c r="B236" t="s">
        <v>919</v>
      </c>
      <c r="C236" t="s">
        <v>121</v>
      </c>
      <c r="D236" t="s">
        <v>501</v>
      </c>
      <c r="E236" t="s">
        <v>654</v>
      </c>
      <c r="F236" t="s">
        <v>510</v>
      </c>
      <c r="G236" t="s">
        <v>920</v>
      </c>
      <c r="H236" t="str">
        <f>HYPERLINK("https://baanknet.com/view-property/177096/7E7CA1177E597922813B2F7B838EC8A9A6A069D976B7F3630A56E7772BDD9989", "https://baanknet.com/view-property/177096/7E7CA1177E597922813B2F7B838EC8A9A6A069D976B7F3630A56E7772BDD9989")</f>
        <v>https://baanknet.com/view-property/177096/7E7CA1177E597922813B2F7B838EC8A9A6A069D976B7F3630A56E7772BDD9989</v>
      </c>
      <c r="I236" t="str">
        <f>HYPERLINK("https://baanknet.com/view-property/177096/7E7CA1177E597922813B2F7B838EC8A9A6A069D976B7F3630A56E7772BDD9989", "Open")</f>
        <v>Open</v>
      </c>
      <c r="J236" t="s">
        <v>20</v>
      </c>
      <c r="K236" t="s">
        <v>21</v>
      </c>
      <c r="L236">
        <v>11800000</v>
      </c>
      <c r="M236">
        <v>1180000</v>
      </c>
    </row>
    <row r="237" spans="1:13" x14ac:dyDescent="0.25">
      <c r="A237" t="s">
        <v>921</v>
      </c>
      <c r="B237" t="s">
        <v>922</v>
      </c>
      <c r="C237" t="s">
        <v>121</v>
      </c>
      <c r="D237" t="s">
        <v>923</v>
      </c>
      <c r="E237" t="s">
        <v>654</v>
      </c>
      <c r="F237" t="s">
        <v>510</v>
      </c>
      <c r="G237" t="s">
        <v>924</v>
      </c>
      <c r="H237" t="str">
        <f>HYPERLINK("https://baanknet.com/view-property/258268/DEE53766AE799597A31B2B6BA0F092D336DDB93FCC3D0E8157E83D3018F8DE3C", "https://baanknet.com/view-property/258268/DEE53766AE799597A31B2B6BA0F092D336DDB93FCC3D0E8157E83D3018F8DE3C")</f>
        <v>https://baanknet.com/view-property/258268/DEE53766AE799597A31B2B6BA0F092D336DDB93FCC3D0E8157E83D3018F8DE3C</v>
      </c>
      <c r="I237" t="str">
        <f>HYPERLINK("https://baanknet.com/view-property/258268/DEE53766AE799597A31B2B6BA0F092D336DDB93FCC3D0E8157E83D3018F8DE3C", "Open")</f>
        <v>Open</v>
      </c>
      <c r="J237" t="s">
        <v>20</v>
      </c>
      <c r="K237" t="s">
        <v>21</v>
      </c>
      <c r="L237">
        <v>6480000</v>
      </c>
      <c r="M237">
        <v>648000</v>
      </c>
    </row>
    <row r="238" spans="1:13" x14ac:dyDescent="0.25">
      <c r="A238" t="s">
        <v>925</v>
      </c>
      <c r="B238" t="s">
        <v>926</v>
      </c>
      <c r="C238" t="s">
        <v>121</v>
      </c>
      <c r="D238" t="s">
        <v>923</v>
      </c>
      <c r="E238" t="s">
        <v>654</v>
      </c>
      <c r="F238" t="s">
        <v>510</v>
      </c>
      <c r="G238" t="s">
        <v>927</v>
      </c>
      <c r="H238" t="str">
        <f>HYPERLINK("https://baanknet.com/view-property/258260/F8037DF9499DF351F88E652686D9BE92DFC01455DC26C731F74948D8BC4D3222", "https://baanknet.com/view-property/258260/F8037DF9499DF351F88E652686D9BE92DFC01455DC26C731F74948D8BC4D3222")</f>
        <v>https://baanknet.com/view-property/258260/F8037DF9499DF351F88E652686D9BE92DFC01455DC26C731F74948D8BC4D3222</v>
      </c>
      <c r="I238" t="str">
        <f>HYPERLINK("https://baanknet.com/view-property/258260/F8037DF9499DF351F88E652686D9BE92DFC01455DC26C731F74948D8BC4D3222", "Open")</f>
        <v>Open</v>
      </c>
      <c r="J238" t="s">
        <v>20</v>
      </c>
      <c r="K238" t="s">
        <v>21</v>
      </c>
      <c r="L238">
        <v>2000000</v>
      </c>
      <c r="M238">
        <v>200000</v>
      </c>
    </row>
    <row r="239" spans="1:13" x14ac:dyDescent="0.25">
      <c r="A239" t="s">
        <v>928</v>
      </c>
      <c r="B239" t="s">
        <v>929</v>
      </c>
      <c r="C239" t="s">
        <v>121</v>
      </c>
      <c r="D239" t="s">
        <v>930</v>
      </c>
      <c r="E239" t="s">
        <v>654</v>
      </c>
      <c r="F239" t="s">
        <v>510</v>
      </c>
      <c r="G239" t="s">
        <v>931</v>
      </c>
      <c r="H239" t="str">
        <f>HYPERLINK("https://baanknet.com/view-property/226667/D80C988917FC73B4932A69E99E88DA7DC9A9B4703BCA44AFA9A30C4D94488C4F", "https://baanknet.com/view-property/226667/D80C988917FC73B4932A69E99E88DA7DC9A9B4703BCA44AFA9A30C4D94488C4F")</f>
        <v>https://baanknet.com/view-property/226667/D80C988917FC73B4932A69E99E88DA7DC9A9B4703BCA44AFA9A30C4D94488C4F</v>
      </c>
      <c r="I239" t="str">
        <f>HYPERLINK("https://baanknet.com/view-property/226667/D80C988917FC73B4932A69E99E88DA7DC9A9B4703BCA44AFA9A30C4D94488C4F", "Open")</f>
        <v>Open</v>
      </c>
      <c r="J239" t="s">
        <v>20</v>
      </c>
      <c r="K239" t="s">
        <v>21</v>
      </c>
      <c r="L239">
        <v>2840000</v>
      </c>
      <c r="M239">
        <v>284000</v>
      </c>
    </row>
    <row r="240" spans="1:13" x14ac:dyDescent="0.25">
      <c r="A240" t="s">
        <v>932</v>
      </c>
      <c r="B240" t="s">
        <v>933</v>
      </c>
      <c r="C240" t="s">
        <v>121</v>
      </c>
      <c r="D240" t="s">
        <v>930</v>
      </c>
      <c r="E240" t="s">
        <v>654</v>
      </c>
      <c r="F240" t="s">
        <v>510</v>
      </c>
      <c r="G240" t="s">
        <v>934</v>
      </c>
      <c r="H240" t="str">
        <f>HYPERLINK("https://baanknet.com/view-property/226666/07E655793BF4055982E277CED6FC75C34AFE1597FE8B8E696D31F9966481C3F4", "https://baanknet.com/view-property/226666/07E655793BF4055982E277CED6FC75C34AFE1597FE8B8E696D31F9966481C3F4")</f>
        <v>https://baanknet.com/view-property/226666/07E655793BF4055982E277CED6FC75C34AFE1597FE8B8E696D31F9966481C3F4</v>
      </c>
      <c r="I240" t="str">
        <f>HYPERLINK("https://baanknet.com/view-property/226666/07E655793BF4055982E277CED6FC75C34AFE1597FE8B8E696D31F9966481C3F4", "Open")</f>
        <v>Open</v>
      </c>
      <c r="J240" t="s">
        <v>20</v>
      </c>
      <c r="K240" t="s">
        <v>21</v>
      </c>
      <c r="L240">
        <v>2230000</v>
      </c>
      <c r="M240">
        <v>223000</v>
      </c>
    </row>
    <row r="241" spans="1:13" x14ac:dyDescent="0.25">
      <c r="A241" t="s">
        <v>935</v>
      </c>
      <c r="B241" t="s">
        <v>936</v>
      </c>
      <c r="C241" t="s">
        <v>121</v>
      </c>
      <c r="D241" t="s">
        <v>937</v>
      </c>
      <c r="E241" t="s">
        <v>654</v>
      </c>
      <c r="F241" t="s">
        <v>510</v>
      </c>
      <c r="G241" t="s">
        <v>938</v>
      </c>
      <c r="H241" t="str">
        <f>HYPERLINK("https://baanknet.com/view-property/171351/5BC82FC175A8529982628A3A0605BACFAB68F7CA5C31125DE6DA7546F1FA788A", "https://baanknet.com/view-property/171351/5BC82FC175A8529982628A3A0605BACFAB68F7CA5C31125DE6DA7546F1FA788A")</f>
        <v>https://baanknet.com/view-property/171351/5BC82FC175A8529982628A3A0605BACFAB68F7CA5C31125DE6DA7546F1FA788A</v>
      </c>
      <c r="I241" t="str">
        <f>HYPERLINK("https://baanknet.com/view-property/171351/5BC82FC175A8529982628A3A0605BACFAB68F7CA5C31125DE6DA7546F1FA788A", "Open")</f>
        <v>Open</v>
      </c>
      <c r="J241" t="s">
        <v>20</v>
      </c>
      <c r="K241" t="s">
        <v>21</v>
      </c>
      <c r="L241">
        <v>2791000</v>
      </c>
      <c r="M241">
        <v>279100</v>
      </c>
    </row>
    <row r="242" spans="1:13" x14ac:dyDescent="0.25">
      <c r="A242" t="s">
        <v>939</v>
      </c>
      <c r="B242" t="s">
        <v>940</v>
      </c>
      <c r="C242" t="s">
        <v>121</v>
      </c>
      <c r="D242" t="s">
        <v>937</v>
      </c>
      <c r="E242" t="s">
        <v>654</v>
      </c>
      <c r="F242" t="s">
        <v>510</v>
      </c>
      <c r="G242" t="s">
        <v>941</v>
      </c>
      <c r="H242" t="str">
        <f>HYPERLINK("https://baanknet.com/view-property/256103/347E08710E6708DB1E76CD84B624885FDF2EC8FC971C90A9DF4DD090B8935DB5", "https://baanknet.com/view-property/256103/347E08710E6708DB1E76CD84B624885FDF2EC8FC971C90A9DF4DD090B8935DB5")</f>
        <v>https://baanknet.com/view-property/256103/347E08710E6708DB1E76CD84B624885FDF2EC8FC971C90A9DF4DD090B8935DB5</v>
      </c>
      <c r="I242" t="str">
        <f>HYPERLINK("https://baanknet.com/view-property/256103/347E08710E6708DB1E76CD84B624885FDF2EC8FC971C90A9DF4DD090B8935DB5", "Open")</f>
        <v>Open</v>
      </c>
      <c r="J242" t="s">
        <v>20</v>
      </c>
      <c r="K242" t="s">
        <v>21</v>
      </c>
      <c r="L242">
        <v>2927569</v>
      </c>
      <c r="M242">
        <v>292756.90000000002</v>
      </c>
    </row>
    <row r="243" spans="1:13" x14ac:dyDescent="0.25">
      <c r="A243" t="s">
        <v>942</v>
      </c>
      <c r="B243" t="s">
        <v>943</v>
      </c>
      <c r="C243" t="s">
        <v>121</v>
      </c>
      <c r="D243" t="s">
        <v>937</v>
      </c>
      <c r="E243" t="s">
        <v>654</v>
      </c>
      <c r="F243" t="s">
        <v>510</v>
      </c>
      <c r="G243" t="s">
        <v>944</v>
      </c>
      <c r="H243" t="str">
        <f>HYPERLINK("https://baanknet.com/view-property/183775/14C5CAEAAED94AB8D6511B1335AD62F1FA367CE1D61D78FAABE32724CBB5C97B", "https://baanknet.com/view-property/183775/14C5CAEAAED94AB8D6511B1335AD62F1FA367CE1D61D78FAABE32724CBB5C97B")</f>
        <v>https://baanknet.com/view-property/183775/14C5CAEAAED94AB8D6511B1335AD62F1FA367CE1D61D78FAABE32724CBB5C97B</v>
      </c>
      <c r="I243" t="str">
        <f>HYPERLINK("https://baanknet.com/view-property/183775/14C5CAEAAED94AB8D6511B1335AD62F1FA367CE1D61D78FAABE32724CBB5C97B", "Open")</f>
        <v>Open</v>
      </c>
      <c r="J243" t="s">
        <v>20</v>
      </c>
      <c r="K243" t="s">
        <v>21</v>
      </c>
      <c r="L243">
        <v>1980000</v>
      </c>
      <c r="M243">
        <v>198000</v>
      </c>
    </row>
    <row r="244" spans="1:13" x14ac:dyDescent="0.25">
      <c r="A244" t="s">
        <v>945</v>
      </c>
      <c r="B244" t="s">
        <v>946</v>
      </c>
      <c r="C244" t="s">
        <v>121</v>
      </c>
      <c r="D244" t="s">
        <v>937</v>
      </c>
      <c r="E244" t="s">
        <v>654</v>
      </c>
      <c r="F244" t="s">
        <v>510</v>
      </c>
      <c r="G244" t="s">
        <v>947</v>
      </c>
      <c r="H244" t="str">
        <f>HYPERLINK("https://baanknet.com/view-property/183818/355A8EAFBE4EA64A42DA85E90777AEC7E573BFEABE15A66CC251026DF9644417", "https://baanknet.com/view-property/183818/355A8EAFBE4EA64A42DA85E90777AEC7E573BFEABE15A66CC251026DF9644417")</f>
        <v>https://baanknet.com/view-property/183818/355A8EAFBE4EA64A42DA85E90777AEC7E573BFEABE15A66CC251026DF9644417</v>
      </c>
      <c r="I244" t="str">
        <f>HYPERLINK("https://baanknet.com/view-property/183818/355A8EAFBE4EA64A42DA85E90777AEC7E573BFEABE15A66CC251026DF9644417", "Open")</f>
        <v>Open</v>
      </c>
      <c r="J244" t="s">
        <v>20</v>
      </c>
      <c r="K244" t="s">
        <v>21</v>
      </c>
      <c r="L244">
        <v>2745000</v>
      </c>
      <c r="M244">
        <v>274500</v>
      </c>
    </row>
    <row r="245" spans="1:13" x14ac:dyDescent="0.25">
      <c r="A245" t="s">
        <v>948</v>
      </c>
      <c r="B245" t="s">
        <v>949</v>
      </c>
      <c r="C245" t="s">
        <v>121</v>
      </c>
      <c r="D245" t="s">
        <v>950</v>
      </c>
      <c r="E245" t="s">
        <v>654</v>
      </c>
      <c r="F245" t="s">
        <v>510</v>
      </c>
      <c r="G245" t="s">
        <v>951</v>
      </c>
      <c r="H245" t="str">
        <f>HYPERLINK("https://baanknet.com/view-property/171416/1F698540F7EE5AB04E08A266BAAD20BE2C8DD1894A3564B5F255074839202B01", "https://baanknet.com/view-property/171416/1F698540F7EE5AB04E08A266BAAD20BE2C8DD1894A3564B5F255074839202B01")</f>
        <v>https://baanknet.com/view-property/171416/1F698540F7EE5AB04E08A266BAAD20BE2C8DD1894A3564B5F255074839202B01</v>
      </c>
      <c r="I245" t="str">
        <f>HYPERLINK("https://baanknet.com/view-property/171416/1F698540F7EE5AB04E08A266BAAD20BE2C8DD1894A3564B5F255074839202B01", "Open")</f>
        <v>Open</v>
      </c>
      <c r="J245" t="s">
        <v>20</v>
      </c>
      <c r="K245" t="s">
        <v>21</v>
      </c>
      <c r="L245">
        <v>1158000</v>
      </c>
      <c r="M245">
        <v>115800</v>
      </c>
    </row>
    <row r="246" spans="1:13" x14ac:dyDescent="0.25">
      <c r="A246" t="s">
        <v>952</v>
      </c>
      <c r="B246" t="s">
        <v>953</v>
      </c>
      <c r="C246" t="s">
        <v>121</v>
      </c>
      <c r="D246" t="s">
        <v>937</v>
      </c>
      <c r="E246" t="s">
        <v>654</v>
      </c>
      <c r="F246" t="s">
        <v>510</v>
      </c>
      <c r="G246" t="s">
        <v>954</v>
      </c>
      <c r="H246" t="str">
        <f>HYPERLINK("https://baanknet.com/view-property/183813/3F5CC4C99E3AE0F8CFCB35CF35EB7455330F9B6C725F38A8F2942FA743EEA484", "https://baanknet.com/view-property/183813/3F5CC4C99E3AE0F8CFCB35CF35EB7455330F9B6C725F38A8F2942FA743EEA484")</f>
        <v>https://baanknet.com/view-property/183813/3F5CC4C99E3AE0F8CFCB35CF35EB7455330F9B6C725F38A8F2942FA743EEA484</v>
      </c>
      <c r="I246" t="str">
        <f>HYPERLINK("https://baanknet.com/view-property/183813/3F5CC4C99E3AE0F8CFCB35CF35EB7455330F9B6C725F38A8F2942FA743EEA484", "Open")</f>
        <v>Open</v>
      </c>
      <c r="J246" t="s">
        <v>20</v>
      </c>
      <c r="K246" t="s">
        <v>21</v>
      </c>
      <c r="L246">
        <v>5001000</v>
      </c>
      <c r="M246">
        <v>500100</v>
      </c>
    </row>
    <row r="247" spans="1:13" x14ac:dyDescent="0.25">
      <c r="A247" t="s">
        <v>955</v>
      </c>
      <c r="B247" t="s">
        <v>956</v>
      </c>
      <c r="C247" t="s">
        <v>121</v>
      </c>
      <c r="D247" t="s">
        <v>937</v>
      </c>
      <c r="E247" t="s">
        <v>654</v>
      </c>
      <c r="F247" t="s">
        <v>510</v>
      </c>
      <c r="G247" t="s">
        <v>957</v>
      </c>
      <c r="H247" t="str">
        <f>HYPERLINK("https://baanknet.com/view-property/183741/62385DDD886FDE4F43CC5A0AF1C74F8F7891217A5458739E7283A65DB989F35C", "https://baanknet.com/view-property/183741/62385DDD886FDE4F43CC5A0AF1C74F8F7891217A5458739E7283A65DB989F35C")</f>
        <v>https://baanknet.com/view-property/183741/62385DDD886FDE4F43CC5A0AF1C74F8F7891217A5458739E7283A65DB989F35C</v>
      </c>
      <c r="I247" t="str">
        <f>HYPERLINK("https://baanknet.com/view-property/183741/62385DDD886FDE4F43CC5A0AF1C74F8F7891217A5458739E7283A65DB989F35C", "Open")</f>
        <v>Open</v>
      </c>
      <c r="J247" t="s">
        <v>20</v>
      </c>
      <c r="K247" t="s">
        <v>21</v>
      </c>
      <c r="L247">
        <v>2780000</v>
      </c>
      <c r="M247">
        <v>278000</v>
      </c>
    </row>
    <row r="248" spans="1:13" x14ac:dyDescent="0.25">
      <c r="A248" t="s">
        <v>958</v>
      </c>
      <c r="B248" t="s">
        <v>959</v>
      </c>
      <c r="C248" t="s">
        <v>121</v>
      </c>
      <c r="D248" t="s">
        <v>960</v>
      </c>
      <c r="E248" t="s">
        <v>654</v>
      </c>
      <c r="F248" t="s">
        <v>510</v>
      </c>
      <c r="G248" t="s">
        <v>961</v>
      </c>
      <c r="H248" t="str">
        <f>HYPERLINK("https://baanknet.com/view-property/254171/826A2D045A0CA3BCD1E14C5E5B5699AB0985B1C675AEED3B06F863E566EDF405", "https://baanknet.com/view-property/254171/826A2D045A0CA3BCD1E14C5E5B5699AB0985B1C675AEED3B06F863E566EDF405")</f>
        <v>https://baanknet.com/view-property/254171/826A2D045A0CA3BCD1E14C5E5B5699AB0985B1C675AEED3B06F863E566EDF405</v>
      </c>
      <c r="I248" t="str">
        <f>HYPERLINK("https://baanknet.com/view-property/254171/826A2D045A0CA3BCD1E14C5E5B5699AB0985B1C675AEED3B06F863E566EDF405", "Open")</f>
        <v>Open</v>
      </c>
      <c r="J248" t="s">
        <v>20</v>
      </c>
      <c r="K248" t="s">
        <v>21</v>
      </c>
      <c r="L248">
        <v>12508000</v>
      </c>
      <c r="M248">
        <v>1250800</v>
      </c>
    </row>
    <row r="249" spans="1:13" x14ac:dyDescent="0.25">
      <c r="A249" t="s">
        <v>962</v>
      </c>
      <c r="B249" t="s">
        <v>963</v>
      </c>
      <c r="C249" t="s">
        <v>121</v>
      </c>
      <c r="D249" t="s">
        <v>937</v>
      </c>
      <c r="E249" t="s">
        <v>654</v>
      </c>
      <c r="F249" t="s">
        <v>510</v>
      </c>
      <c r="G249" t="s">
        <v>964</v>
      </c>
      <c r="H249" t="str">
        <f>HYPERLINK("https://baanknet.com/view-property/190211/555834E8298325D726E10CA802D824AB963335C5913BC43D1CDDA235691CD5EE", "https://baanknet.com/view-property/190211/555834E8298325D726E10CA802D824AB963335C5913BC43D1CDDA235691CD5EE")</f>
        <v>https://baanknet.com/view-property/190211/555834E8298325D726E10CA802D824AB963335C5913BC43D1CDDA235691CD5EE</v>
      </c>
      <c r="I249" t="str">
        <f>HYPERLINK("https://baanknet.com/view-property/190211/555834E8298325D726E10CA802D824AB963335C5913BC43D1CDDA235691CD5EE", "Open")</f>
        <v>Open</v>
      </c>
      <c r="J249" t="s">
        <v>20</v>
      </c>
      <c r="K249" t="s">
        <v>21</v>
      </c>
      <c r="L249">
        <v>5099000</v>
      </c>
      <c r="M249">
        <v>509900</v>
      </c>
    </row>
    <row r="250" spans="1:13" x14ac:dyDescent="0.25">
      <c r="A250" t="s">
        <v>965</v>
      </c>
      <c r="B250" t="s">
        <v>966</v>
      </c>
      <c r="C250" t="s">
        <v>121</v>
      </c>
      <c r="D250" t="s">
        <v>750</v>
      </c>
      <c r="E250" t="s">
        <v>841</v>
      </c>
      <c r="F250" t="s">
        <v>334</v>
      </c>
      <c r="G250" t="s">
        <v>967</v>
      </c>
      <c r="H250" t="str">
        <f>HYPERLINK("https://baanknet.com/view-property/231928/2D9061F5F3B706CFA0EFB92ECA34C6459281B35A624CFB29761284D1EB14DFF2", "https://baanknet.com/view-property/231928/2D9061F5F3B706CFA0EFB92ECA34C6459281B35A624CFB29761284D1EB14DFF2")</f>
        <v>https://baanknet.com/view-property/231928/2D9061F5F3B706CFA0EFB92ECA34C6459281B35A624CFB29761284D1EB14DFF2</v>
      </c>
      <c r="I250" t="str">
        <f>HYPERLINK("https://baanknet.com/view-property/231928/2D9061F5F3B706CFA0EFB92ECA34C6459281B35A624CFB29761284D1EB14DFF2", "Open")</f>
        <v>Open</v>
      </c>
      <c r="J250" t="s">
        <v>20</v>
      </c>
      <c r="K250" t="s">
        <v>21</v>
      </c>
      <c r="L250">
        <v>2749000</v>
      </c>
      <c r="M250">
        <v>274900</v>
      </c>
    </row>
    <row r="251" spans="1:13" x14ac:dyDescent="0.25">
      <c r="A251" t="s">
        <v>968</v>
      </c>
      <c r="B251" t="s">
        <v>969</v>
      </c>
      <c r="C251" t="s">
        <v>121</v>
      </c>
      <c r="D251" t="s">
        <v>937</v>
      </c>
      <c r="E251" t="s">
        <v>654</v>
      </c>
      <c r="F251" t="s">
        <v>510</v>
      </c>
      <c r="G251" t="s">
        <v>970</v>
      </c>
      <c r="H251" t="str">
        <f>HYPERLINK("https://baanknet.com/view-property/233957/3E63EB895D7C7286265EF3A65DAF8A097971E7DCB2B1F971A1F20F6E917E9C9E", "https://baanknet.com/view-property/233957/3E63EB895D7C7286265EF3A65DAF8A097971E7DCB2B1F971A1F20F6E917E9C9E")</f>
        <v>https://baanknet.com/view-property/233957/3E63EB895D7C7286265EF3A65DAF8A097971E7DCB2B1F971A1F20F6E917E9C9E</v>
      </c>
      <c r="I251" t="str">
        <f>HYPERLINK("https://baanknet.com/view-property/233957/3E63EB895D7C7286265EF3A65DAF8A097971E7DCB2B1F971A1F20F6E917E9C9E", "Open")</f>
        <v>Open</v>
      </c>
      <c r="J251" t="s">
        <v>20</v>
      </c>
      <c r="K251" t="s">
        <v>21</v>
      </c>
      <c r="L251">
        <v>4652000</v>
      </c>
      <c r="M251">
        <v>465200</v>
      </c>
    </row>
    <row r="252" spans="1:13" x14ac:dyDescent="0.25">
      <c r="A252" t="s">
        <v>971</v>
      </c>
      <c r="B252" t="s">
        <v>972</v>
      </c>
      <c r="C252" t="s">
        <v>121</v>
      </c>
      <c r="D252" t="s">
        <v>333</v>
      </c>
      <c r="E252" t="s">
        <v>654</v>
      </c>
      <c r="F252" t="s">
        <v>510</v>
      </c>
      <c r="G252" t="s">
        <v>973</v>
      </c>
      <c r="H252" t="str">
        <f>HYPERLINK("https://baanknet.com/view-property/183735/25599788ABBE23597E248F93D27B8E83FBC5D8F80D09418B123AA9E18E03D3F6", "https://baanknet.com/view-property/183735/25599788ABBE23597E248F93D27B8E83FBC5D8F80D09418B123AA9E18E03D3F6")</f>
        <v>https://baanknet.com/view-property/183735/25599788ABBE23597E248F93D27B8E83FBC5D8F80D09418B123AA9E18E03D3F6</v>
      </c>
      <c r="I252" t="str">
        <f>HYPERLINK("https://baanknet.com/view-property/183735/25599788ABBE23597E248F93D27B8E83FBC5D8F80D09418B123AA9E18E03D3F6", "Open")</f>
        <v>Open</v>
      </c>
      <c r="J252" t="s">
        <v>20</v>
      </c>
      <c r="K252" t="s">
        <v>21</v>
      </c>
      <c r="L252">
        <v>3248000</v>
      </c>
      <c r="M252">
        <v>324800</v>
      </c>
    </row>
    <row r="253" spans="1:13" x14ac:dyDescent="0.25">
      <c r="A253" t="s">
        <v>974</v>
      </c>
      <c r="B253" t="s">
        <v>975</v>
      </c>
      <c r="C253" t="s">
        <v>121</v>
      </c>
      <c r="D253" t="s">
        <v>937</v>
      </c>
      <c r="E253" t="s">
        <v>654</v>
      </c>
      <c r="F253" t="s">
        <v>510</v>
      </c>
      <c r="G253" t="s">
        <v>976</v>
      </c>
      <c r="H253" t="str">
        <f>HYPERLINK("https://baanknet.com/view-property/183751/A6C44C39432C6E9F7EE0B0350262D7225E04D5FFB4B2D7B1987A9472276DC401", "https://baanknet.com/view-property/183751/A6C44C39432C6E9F7EE0B0350262D7225E04D5FFB4B2D7B1987A9472276DC401")</f>
        <v>https://baanknet.com/view-property/183751/A6C44C39432C6E9F7EE0B0350262D7225E04D5FFB4B2D7B1987A9472276DC401</v>
      </c>
      <c r="I253" t="str">
        <f>HYPERLINK("https://baanknet.com/view-property/183751/A6C44C39432C6E9F7EE0B0350262D7225E04D5FFB4B2D7B1987A9472276DC401", "Open")</f>
        <v>Open</v>
      </c>
      <c r="J253" t="s">
        <v>20</v>
      </c>
      <c r="K253" t="s">
        <v>21</v>
      </c>
      <c r="L253">
        <v>15303000</v>
      </c>
      <c r="M253">
        <v>1530300</v>
      </c>
    </row>
    <row r="254" spans="1:13" x14ac:dyDescent="0.25">
      <c r="A254" t="s">
        <v>977</v>
      </c>
      <c r="B254" t="s">
        <v>978</v>
      </c>
      <c r="C254" t="s">
        <v>121</v>
      </c>
      <c r="D254" t="s">
        <v>937</v>
      </c>
      <c r="E254" t="s">
        <v>654</v>
      </c>
      <c r="F254" t="s">
        <v>510</v>
      </c>
      <c r="G254" t="s">
        <v>979</v>
      </c>
      <c r="H254" t="str">
        <f>HYPERLINK("https://baanknet.com/view-property/170537/743369C27FA3D389A65AF7335502053DB8057026F6350F3FF9E0A6FE4E6155A6", "https://baanknet.com/view-property/170537/743369C27FA3D389A65AF7335502053DB8057026F6350F3FF9E0A6FE4E6155A6")</f>
        <v>https://baanknet.com/view-property/170537/743369C27FA3D389A65AF7335502053DB8057026F6350F3FF9E0A6FE4E6155A6</v>
      </c>
      <c r="I254" t="str">
        <f>HYPERLINK("https://baanknet.com/view-property/170537/743369C27FA3D389A65AF7335502053DB8057026F6350F3FF9E0A6FE4E6155A6", "Open")</f>
        <v>Open</v>
      </c>
      <c r="J254" t="s">
        <v>20</v>
      </c>
      <c r="K254" t="s">
        <v>21</v>
      </c>
      <c r="L254">
        <v>3118000</v>
      </c>
      <c r="M254">
        <v>311800</v>
      </c>
    </row>
    <row r="255" spans="1:13" x14ac:dyDescent="0.25">
      <c r="A255" t="s">
        <v>980</v>
      </c>
      <c r="B255" t="s">
        <v>981</v>
      </c>
      <c r="C255" t="s">
        <v>121</v>
      </c>
      <c r="D255" t="s">
        <v>937</v>
      </c>
      <c r="E255" t="s">
        <v>654</v>
      </c>
      <c r="F255" t="s">
        <v>510</v>
      </c>
      <c r="G255" t="s">
        <v>982</v>
      </c>
      <c r="H255" t="str">
        <f>HYPERLINK("https://baanknet.com/view-property/183743/2CCF27D8788E81BC10F9DFA3EB06C28EFDAAB40E3C03461036CCE9931AFAC6AE", "https://baanknet.com/view-property/183743/2CCF27D8788E81BC10F9DFA3EB06C28EFDAAB40E3C03461036CCE9931AFAC6AE")</f>
        <v>https://baanknet.com/view-property/183743/2CCF27D8788E81BC10F9DFA3EB06C28EFDAAB40E3C03461036CCE9931AFAC6AE</v>
      </c>
      <c r="I255" t="str">
        <f>HYPERLINK("https://baanknet.com/view-property/183743/2CCF27D8788E81BC10F9DFA3EB06C28EFDAAB40E3C03461036CCE9931AFAC6AE", "Open")</f>
        <v>Open</v>
      </c>
      <c r="J255" t="s">
        <v>20</v>
      </c>
      <c r="K255" t="s">
        <v>21</v>
      </c>
      <c r="L255">
        <v>4347000</v>
      </c>
      <c r="M255">
        <v>434700</v>
      </c>
    </row>
    <row r="256" spans="1:13" x14ac:dyDescent="0.25">
      <c r="A256" t="s">
        <v>983</v>
      </c>
      <c r="B256" t="s">
        <v>984</v>
      </c>
      <c r="C256" t="s">
        <v>121</v>
      </c>
      <c r="D256" t="s">
        <v>937</v>
      </c>
      <c r="E256" t="s">
        <v>654</v>
      </c>
      <c r="F256" t="s">
        <v>510</v>
      </c>
      <c r="G256" t="s">
        <v>985</v>
      </c>
      <c r="H256" t="str">
        <f>HYPERLINK("https://baanknet.com/view-property/269934/365F09AFA30ADD76D21911F68FA55BE01C389EBA44A52A38D5FF886C245A79FA", "https://baanknet.com/view-property/269934/365F09AFA30ADD76D21911F68FA55BE01C389EBA44A52A38D5FF886C245A79FA")</f>
        <v>https://baanknet.com/view-property/269934/365F09AFA30ADD76D21911F68FA55BE01C389EBA44A52A38D5FF886C245A79FA</v>
      </c>
      <c r="I256" t="str">
        <f>HYPERLINK("https://baanknet.com/view-property/269934/365F09AFA30ADD76D21911F68FA55BE01C389EBA44A52A38D5FF886C245A79FA", "Open")</f>
        <v>Open</v>
      </c>
      <c r="J256" t="s">
        <v>20</v>
      </c>
      <c r="K256" t="s">
        <v>21</v>
      </c>
      <c r="L256">
        <v>5666000</v>
      </c>
      <c r="M256">
        <v>566600</v>
      </c>
    </row>
    <row r="257" spans="1:13" x14ac:dyDescent="0.25">
      <c r="A257" t="s">
        <v>986</v>
      </c>
      <c r="B257" t="s">
        <v>987</v>
      </c>
      <c r="C257" t="s">
        <v>121</v>
      </c>
      <c r="D257" t="s">
        <v>937</v>
      </c>
      <c r="E257" t="s">
        <v>654</v>
      </c>
      <c r="F257" t="s">
        <v>510</v>
      </c>
      <c r="G257" t="s">
        <v>988</v>
      </c>
      <c r="H257" t="str">
        <f>HYPERLINK("https://baanknet.com/view-property/183802/F058B674F45E748C1A95700783C0CCA8950EC8BC50365A3155CD0BF7C7609F88", "https://baanknet.com/view-property/183802/F058B674F45E748C1A95700783C0CCA8950EC8BC50365A3155CD0BF7C7609F88")</f>
        <v>https://baanknet.com/view-property/183802/F058B674F45E748C1A95700783C0CCA8950EC8BC50365A3155CD0BF7C7609F88</v>
      </c>
      <c r="I257" t="str">
        <f>HYPERLINK("https://baanknet.com/view-property/183802/F058B674F45E748C1A95700783C0CCA8950EC8BC50365A3155CD0BF7C7609F88", "Open")</f>
        <v>Open</v>
      </c>
      <c r="J257" t="s">
        <v>20</v>
      </c>
      <c r="K257" t="s">
        <v>21</v>
      </c>
      <c r="L257">
        <v>16380000</v>
      </c>
      <c r="M257">
        <v>1638000</v>
      </c>
    </row>
    <row r="258" spans="1:13" x14ac:dyDescent="0.25">
      <c r="A258" t="s">
        <v>989</v>
      </c>
      <c r="B258" t="s">
        <v>990</v>
      </c>
      <c r="C258" t="s">
        <v>121</v>
      </c>
      <c r="D258" t="s">
        <v>991</v>
      </c>
      <c r="E258" t="s">
        <v>654</v>
      </c>
      <c r="F258" t="s">
        <v>334</v>
      </c>
      <c r="G258" t="s">
        <v>992</v>
      </c>
      <c r="H258" t="str">
        <f>HYPERLINK("https://baanknet.com/view-property/284381/9C217E5A3095039AD1E6ECC983E34AA552E225EF4A82B3F3009096D53A0D733B", "https://baanknet.com/view-property/284381/9C217E5A3095039AD1E6ECC983E34AA552E225EF4A82B3F3009096D53A0D733B")</f>
        <v>https://baanknet.com/view-property/284381/9C217E5A3095039AD1E6ECC983E34AA552E225EF4A82B3F3009096D53A0D733B</v>
      </c>
      <c r="I258" t="str">
        <f>HYPERLINK("https://baanknet.com/view-property/284381/9C217E5A3095039AD1E6ECC983E34AA552E225EF4A82B3F3009096D53A0D733B", "Open")</f>
        <v>Open</v>
      </c>
      <c r="J258" t="s">
        <v>20</v>
      </c>
      <c r="K258" t="s">
        <v>21</v>
      </c>
      <c r="L258">
        <v>8767800</v>
      </c>
      <c r="M258">
        <v>876780</v>
      </c>
    </row>
    <row r="259" spans="1:13" x14ac:dyDescent="0.25">
      <c r="A259" t="s">
        <v>993</v>
      </c>
      <c r="B259" t="s">
        <v>994</v>
      </c>
      <c r="C259" t="s">
        <v>121</v>
      </c>
      <c r="D259" t="s">
        <v>995</v>
      </c>
      <c r="E259" t="s">
        <v>654</v>
      </c>
      <c r="F259" t="s">
        <v>334</v>
      </c>
      <c r="G259" t="s">
        <v>996</v>
      </c>
      <c r="H259" t="str">
        <f>HYPERLINK("https://baanknet.com/view-property/257549/E266DD83F9761CA165F6A49250EBC75E6F72A4C96F0A27538B9C6846ED5529D7", "https://baanknet.com/view-property/257549/E266DD83F9761CA165F6A49250EBC75E6F72A4C96F0A27538B9C6846ED5529D7")</f>
        <v>https://baanknet.com/view-property/257549/E266DD83F9761CA165F6A49250EBC75E6F72A4C96F0A27538B9C6846ED5529D7</v>
      </c>
      <c r="I259" t="str">
        <f>HYPERLINK("https://baanknet.com/view-property/257549/E266DD83F9761CA165F6A49250EBC75E6F72A4C96F0A27538B9C6846ED5529D7", "Open")</f>
        <v>Open</v>
      </c>
      <c r="J259" t="s">
        <v>20</v>
      </c>
      <c r="K259" t="s">
        <v>21</v>
      </c>
      <c r="L259">
        <v>2945000</v>
      </c>
      <c r="M259">
        <v>294500</v>
      </c>
    </row>
    <row r="260" spans="1:13" x14ac:dyDescent="0.25">
      <c r="A260" t="s">
        <v>997</v>
      </c>
      <c r="B260" t="s">
        <v>998</v>
      </c>
      <c r="C260" t="s">
        <v>121</v>
      </c>
      <c r="D260" t="s">
        <v>999</v>
      </c>
      <c r="E260" t="s">
        <v>654</v>
      </c>
      <c r="F260" t="s">
        <v>334</v>
      </c>
      <c r="G260" t="s">
        <v>1000</v>
      </c>
      <c r="H260" t="str">
        <f>HYPERLINK("https://baanknet.com/view-property/285127/384EF8E5952C79F9FA7F8E67B30D2A578A1A5064565BFC2A0BF0E9CD17FD22AD", "https://baanknet.com/view-property/285127/384EF8E5952C79F9FA7F8E67B30D2A578A1A5064565BFC2A0BF0E9CD17FD22AD")</f>
        <v>https://baanknet.com/view-property/285127/384EF8E5952C79F9FA7F8E67B30D2A578A1A5064565BFC2A0BF0E9CD17FD22AD</v>
      </c>
      <c r="I260" t="str">
        <f>HYPERLINK("https://baanknet.com/view-property/285127/384EF8E5952C79F9FA7F8E67B30D2A578A1A5064565BFC2A0BF0E9CD17FD22AD", "Open")</f>
        <v>Open</v>
      </c>
      <c r="J260" t="s">
        <v>20</v>
      </c>
      <c r="K260" t="s">
        <v>21</v>
      </c>
      <c r="L260">
        <v>2273000</v>
      </c>
      <c r="M260">
        <v>227300</v>
      </c>
    </row>
    <row r="261" spans="1:13" x14ac:dyDescent="0.25">
      <c r="A261" t="s">
        <v>1001</v>
      </c>
      <c r="B261" t="s">
        <v>1002</v>
      </c>
      <c r="C261" t="s">
        <v>332</v>
      </c>
      <c r="D261" t="s">
        <v>1003</v>
      </c>
      <c r="E261" t="s">
        <v>654</v>
      </c>
      <c r="F261" t="s">
        <v>334</v>
      </c>
      <c r="G261" t="s">
        <v>1004</v>
      </c>
      <c r="H261" t="str">
        <f>HYPERLINK("https://baanknet.com/view-property/284947/0C36BA14357FCF37809EC5205D65C5FF483B77D9F1482C3167C4138E2A5A112D", "https://baanknet.com/view-property/284947/0C36BA14357FCF37809EC5205D65C5FF483B77D9F1482C3167C4138E2A5A112D")</f>
        <v>https://baanknet.com/view-property/284947/0C36BA14357FCF37809EC5205D65C5FF483B77D9F1482C3167C4138E2A5A112D</v>
      </c>
      <c r="I261" t="str">
        <f>HYPERLINK("https://baanknet.com/view-property/284947/0C36BA14357FCF37809EC5205D65C5FF483B77D9F1482C3167C4138E2A5A112D", "Open")</f>
        <v>Open</v>
      </c>
      <c r="J261" t="s">
        <v>20</v>
      </c>
      <c r="K261" t="s">
        <v>21</v>
      </c>
      <c r="L261">
        <v>1930000</v>
      </c>
      <c r="M261">
        <v>193000</v>
      </c>
    </row>
    <row r="262" spans="1:13" x14ac:dyDescent="0.25">
      <c r="A262" t="s">
        <v>1005</v>
      </c>
      <c r="B262" t="s">
        <v>1006</v>
      </c>
      <c r="C262" t="s">
        <v>121</v>
      </c>
      <c r="D262" t="s">
        <v>1007</v>
      </c>
      <c r="E262" t="s">
        <v>654</v>
      </c>
      <c r="F262" t="s">
        <v>334</v>
      </c>
      <c r="G262" t="s">
        <v>1008</v>
      </c>
      <c r="H262" t="str">
        <f>HYPERLINK("https://baanknet.com/view-property/257234/B7507E957A8C4CFC2B94796779AF79308E417EF91242FD00087943FD62163DBA", "https://baanknet.com/view-property/257234/B7507E957A8C4CFC2B94796779AF79308E417EF91242FD00087943FD62163DBA")</f>
        <v>https://baanknet.com/view-property/257234/B7507E957A8C4CFC2B94796779AF79308E417EF91242FD00087943FD62163DBA</v>
      </c>
      <c r="I262" t="str">
        <f>HYPERLINK("https://baanknet.com/view-property/257234/B7507E957A8C4CFC2B94796779AF79308E417EF91242FD00087943FD62163DBA", "Open")</f>
        <v>Open</v>
      </c>
      <c r="J262" t="s">
        <v>20</v>
      </c>
      <c r="K262" t="s">
        <v>21</v>
      </c>
      <c r="L262">
        <v>1637865</v>
      </c>
      <c r="M262">
        <v>163786.5</v>
      </c>
    </row>
    <row r="263" spans="1:13" x14ac:dyDescent="0.25">
      <c r="A263" t="s">
        <v>1009</v>
      </c>
      <c r="B263" t="s">
        <v>1010</v>
      </c>
      <c r="C263" t="s">
        <v>121</v>
      </c>
      <c r="D263" t="s">
        <v>1007</v>
      </c>
      <c r="E263" t="s">
        <v>654</v>
      </c>
      <c r="F263" t="s">
        <v>334</v>
      </c>
      <c r="G263" t="s">
        <v>1011</v>
      </c>
      <c r="H263" t="str">
        <f>HYPERLINK("https://baanknet.com/view-property/238380/2FAFA91B00F566AC898446E80EE5498A4E21CC5AF7B8B1A614EBBEA63EBA95D4", "https://baanknet.com/view-property/238380/2FAFA91B00F566AC898446E80EE5498A4E21CC5AF7B8B1A614EBBEA63EBA95D4")</f>
        <v>https://baanknet.com/view-property/238380/2FAFA91B00F566AC898446E80EE5498A4E21CC5AF7B8B1A614EBBEA63EBA95D4</v>
      </c>
      <c r="I263" t="str">
        <f>HYPERLINK("https://baanknet.com/view-property/238380/2FAFA91B00F566AC898446E80EE5498A4E21CC5AF7B8B1A614EBBEA63EBA95D4", "Open")</f>
        <v>Open</v>
      </c>
      <c r="J263" t="s">
        <v>20</v>
      </c>
      <c r="K263" t="s">
        <v>21</v>
      </c>
      <c r="L263">
        <v>898200</v>
      </c>
      <c r="M263">
        <v>89820</v>
      </c>
    </row>
    <row r="264" spans="1:13" x14ac:dyDescent="0.25">
      <c r="A264" t="s">
        <v>1012</v>
      </c>
      <c r="B264" t="s">
        <v>1013</v>
      </c>
      <c r="C264" t="s">
        <v>121</v>
      </c>
      <c r="D264" t="s">
        <v>1007</v>
      </c>
      <c r="E264" t="s">
        <v>654</v>
      </c>
      <c r="F264" t="s">
        <v>334</v>
      </c>
      <c r="G264" t="s">
        <v>1014</v>
      </c>
      <c r="H264" t="str">
        <f>HYPERLINK("https://baanknet.com/view-property/172766/B556EA24182365C6F7AFE72B6EFDD5E7211C215E058695FCE5CB78D62F0D6A9D", "https://baanknet.com/view-property/172766/B556EA24182365C6F7AFE72B6EFDD5E7211C215E058695FCE5CB78D62F0D6A9D")</f>
        <v>https://baanknet.com/view-property/172766/B556EA24182365C6F7AFE72B6EFDD5E7211C215E058695FCE5CB78D62F0D6A9D</v>
      </c>
      <c r="I264" t="str">
        <f>HYPERLINK("https://baanknet.com/view-property/172766/B556EA24182365C6F7AFE72B6EFDD5E7211C215E058695FCE5CB78D62F0D6A9D", "Open")</f>
        <v>Open</v>
      </c>
      <c r="J264" t="s">
        <v>20</v>
      </c>
      <c r="K264" t="s">
        <v>21</v>
      </c>
      <c r="L264">
        <v>682000</v>
      </c>
      <c r="M264">
        <v>68200</v>
      </c>
    </row>
    <row r="265" spans="1:13" x14ac:dyDescent="0.25">
      <c r="A265" t="s">
        <v>1015</v>
      </c>
      <c r="B265" t="s">
        <v>1016</v>
      </c>
      <c r="C265" t="s">
        <v>121</v>
      </c>
      <c r="D265" t="s">
        <v>1007</v>
      </c>
      <c r="E265" t="s">
        <v>654</v>
      </c>
      <c r="F265" t="s">
        <v>334</v>
      </c>
      <c r="G265" t="s">
        <v>1017</v>
      </c>
      <c r="H265" t="str">
        <f>HYPERLINK("https://baanknet.com/view-property/276283/4636334CA81FE8F7B956A834C467EA295B5E263475F6CAB672086DC7F3773EC1", "https://baanknet.com/view-property/276283/4636334CA81FE8F7B956A834C467EA295B5E263475F6CAB672086DC7F3773EC1")</f>
        <v>https://baanknet.com/view-property/276283/4636334CA81FE8F7B956A834C467EA295B5E263475F6CAB672086DC7F3773EC1</v>
      </c>
      <c r="I265" t="str">
        <f>HYPERLINK("https://baanknet.com/view-property/276283/4636334CA81FE8F7B956A834C467EA295B5E263475F6CAB672086DC7F3773EC1", "Open")</f>
        <v>Open</v>
      </c>
      <c r="J265" t="s">
        <v>20</v>
      </c>
      <c r="K265" t="s">
        <v>21</v>
      </c>
      <c r="L265">
        <v>1504755</v>
      </c>
      <c r="M265">
        <v>150475.5</v>
      </c>
    </row>
    <row r="266" spans="1:13" x14ac:dyDescent="0.25">
      <c r="A266" t="s">
        <v>1018</v>
      </c>
      <c r="B266" t="s">
        <v>1019</v>
      </c>
      <c r="C266" t="s">
        <v>121</v>
      </c>
      <c r="D266" t="s">
        <v>1007</v>
      </c>
      <c r="E266" t="s">
        <v>654</v>
      </c>
      <c r="F266" t="s">
        <v>334</v>
      </c>
      <c r="G266" t="s">
        <v>1020</v>
      </c>
      <c r="H266" t="str">
        <f>HYPERLINK("https://baanknet.com/view-property/253872/DD49C3530E182A02AD554233E9151F5BDB715C90BDCC8561B139D0FBCEBCB4EE", "https://baanknet.com/view-property/253872/DD49C3530E182A02AD554233E9151F5BDB715C90BDCC8561B139D0FBCEBCB4EE")</f>
        <v>https://baanknet.com/view-property/253872/DD49C3530E182A02AD554233E9151F5BDB715C90BDCC8561B139D0FBCEBCB4EE</v>
      </c>
      <c r="I266" t="str">
        <f>HYPERLINK("https://baanknet.com/view-property/253872/DD49C3530E182A02AD554233E9151F5BDB715C90BDCC8561B139D0FBCEBCB4EE", "Open")</f>
        <v>Open</v>
      </c>
      <c r="J266" t="s">
        <v>20</v>
      </c>
      <c r="K266" t="s">
        <v>21</v>
      </c>
      <c r="L266">
        <v>1260000</v>
      </c>
      <c r="M266">
        <v>126000</v>
      </c>
    </row>
    <row r="267" spans="1:13" x14ac:dyDescent="0.25">
      <c r="A267" t="s">
        <v>1021</v>
      </c>
      <c r="B267" t="s">
        <v>1022</v>
      </c>
      <c r="C267" t="s">
        <v>121</v>
      </c>
      <c r="D267" t="s">
        <v>1023</v>
      </c>
      <c r="E267" t="s">
        <v>654</v>
      </c>
      <c r="F267" t="s">
        <v>334</v>
      </c>
      <c r="G267" t="s">
        <v>1024</v>
      </c>
      <c r="H267" t="str">
        <f>HYPERLINK("https://baanknet.com/view-property/284542/9EE84C134BBCC5F306A9D83D14CF1CA14698BD6C510D1D44A60995AB6F94FE80", "https://baanknet.com/view-property/284542/9EE84C134BBCC5F306A9D83D14CF1CA14698BD6C510D1D44A60995AB6F94FE80")</f>
        <v>https://baanknet.com/view-property/284542/9EE84C134BBCC5F306A9D83D14CF1CA14698BD6C510D1D44A60995AB6F94FE80</v>
      </c>
      <c r="I267" t="str">
        <f>HYPERLINK("https://baanknet.com/view-property/284542/9EE84C134BBCC5F306A9D83D14CF1CA14698BD6C510D1D44A60995AB6F94FE80", "Open")</f>
        <v>Open</v>
      </c>
      <c r="J267" t="s">
        <v>20</v>
      </c>
      <c r="K267" t="s">
        <v>21</v>
      </c>
      <c r="L267">
        <v>4500000</v>
      </c>
      <c r="M267">
        <v>450000</v>
      </c>
    </row>
    <row r="268" spans="1:13" x14ac:dyDescent="0.25">
      <c r="A268" t="s">
        <v>1025</v>
      </c>
      <c r="B268" t="s">
        <v>1026</v>
      </c>
      <c r="C268" t="s">
        <v>121</v>
      </c>
      <c r="D268" t="s">
        <v>1023</v>
      </c>
      <c r="E268" t="s">
        <v>654</v>
      </c>
      <c r="F268" t="s">
        <v>334</v>
      </c>
      <c r="G268" t="s">
        <v>1027</v>
      </c>
      <c r="H268" t="str">
        <f>HYPERLINK("https://baanknet.com/view-property/284537/53A3A0ABF13BBC28C5DAA859C84E12EB2BC86DD448F5DB6E58999156B55A6FBC", "https://baanknet.com/view-property/284537/53A3A0ABF13BBC28C5DAA859C84E12EB2BC86DD448F5DB6E58999156B55A6FBC")</f>
        <v>https://baanknet.com/view-property/284537/53A3A0ABF13BBC28C5DAA859C84E12EB2BC86DD448F5DB6E58999156B55A6FBC</v>
      </c>
      <c r="I268" t="str">
        <f>HYPERLINK("https://baanknet.com/view-property/284537/53A3A0ABF13BBC28C5DAA859C84E12EB2BC86DD448F5DB6E58999156B55A6FBC", "Open")</f>
        <v>Open</v>
      </c>
      <c r="J268" t="s">
        <v>20</v>
      </c>
      <c r="K268" t="s">
        <v>21</v>
      </c>
      <c r="L268">
        <v>2300000</v>
      </c>
      <c r="M268">
        <v>230000</v>
      </c>
    </row>
    <row r="269" spans="1:13" x14ac:dyDescent="0.25">
      <c r="A269" t="s">
        <v>1028</v>
      </c>
      <c r="B269" t="s">
        <v>1029</v>
      </c>
      <c r="C269" t="s">
        <v>121</v>
      </c>
      <c r="D269" t="s">
        <v>1030</v>
      </c>
      <c r="E269" t="s">
        <v>654</v>
      </c>
      <c r="F269" t="s">
        <v>334</v>
      </c>
      <c r="G269" t="s">
        <v>1031</v>
      </c>
      <c r="H269" t="str">
        <f>HYPERLINK("https://baanknet.com/view-property/282746/B2356FB7E94F5C9D258A66E81BB032B9CEAAF538FC8C13EC670C2DCD4C4078B2", "https://baanknet.com/view-property/282746/B2356FB7E94F5C9D258A66E81BB032B9CEAAF538FC8C13EC670C2DCD4C4078B2")</f>
        <v>https://baanknet.com/view-property/282746/B2356FB7E94F5C9D258A66E81BB032B9CEAAF538FC8C13EC670C2DCD4C4078B2</v>
      </c>
      <c r="I269" t="str">
        <f>HYPERLINK("https://baanknet.com/view-property/282746/B2356FB7E94F5C9D258A66E81BB032B9CEAAF538FC8C13EC670C2DCD4C4078B2", "Open")</f>
        <v>Open</v>
      </c>
      <c r="J269" t="s">
        <v>20</v>
      </c>
      <c r="K269" t="s">
        <v>21</v>
      </c>
      <c r="L269">
        <v>2295000</v>
      </c>
      <c r="M269">
        <v>229500</v>
      </c>
    </row>
    <row r="270" spans="1:13" x14ac:dyDescent="0.25">
      <c r="A270" t="s">
        <v>1032</v>
      </c>
      <c r="B270" t="s">
        <v>1033</v>
      </c>
      <c r="C270" t="s">
        <v>121</v>
      </c>
      <c r="D270" t="s">
        <v>1034</v>
      </c>
      <c r="E270" t="s">
        <v>654</v>
      </c>
      <c r="F270" t="s">
        <v>334</v>
      </c>
      <c r="G270" t="s">
        <v>1035</v>
      </c>
      <c r="H270" t="str">
        <f>HYPERLINK("https://baanknet.com/view-property/227884/2CBFB870EDB7417148FDD5EB06525CAA458158C4137C20DCCF79D57258A1D97B", "https://baanknet.com/view-property/227884/2CBFB870EDB7417148FDD5EB06525CAA458158C4137C20DCCF79D57258A1D97B")</f>
        <v>https://baanknet.com/view-property/227884/2CBFB870EDB7417148FDD5EB06525CAA458158C4137C20DCCF79D57258A1D97B</v>
      </c>
      <c r="I270" t="str">
        <f>HYPERLINK("https://baanknet.com/view-property/227884/2CBFB870EDB7417148FDD5EB06525CAA458158C4137C20DCCF79D57258A1D97B", "Open")</f>
        <v>Open</v>
      </c>
      <c r="J270" t="s">
        <v>20</v>
      </c>
      <c r="K270" t="s">
        <v>21</v>
      </c>
      <c r="L270">
        <v>1163000</v>
      </c>
      <c r="M270">
        <v>116300</v>
      </c>
    </row>
    <row r="271" spans="1:13" x14ac:dyDescent="0.25">
      <c r="A271" t="s">
        <v>1036</v>
      </c>
      <c r="B271" t="s">
        <v>1037</v>
      </c>
      <c r="C271" t="s">
        <v>121</v>
      </c>
      <c r="D271" t="s">
        <v>1038</v>
      </c>
      <c r="E271" t="s">
        <v>654</v>
      </c>
      <c r="F271" t="s">
        <v>334</v>
      </c>
      <c r="G271" t="s">
        <v>1039</v>
      </c>
      <c r="H271" t="str">
        <f>HYPERLINK("https://baanknet.com/view-property/250748/D26218ED6838A5B301AD64A4D1DD3ED8A174B747071AA969DC6FAA2493B817B6", "https://baanknet.com/view-property/250748/D26218ED6838A5B301AD64A4D1DD3ED8A174B747071AA969DC6FAA2493B817B6")</f>
        <v>https://baanknet.com/view-property/250748/D26218ED6838A5B301AD64A4D1DD3ED8A174B747071AA969DC6FAA2493B817B6</v>
      </c>
      <c r="I271" t="str">
        <f>HYPERLINK("https://baanknet.com/view-property/250748/D26218ED6838A5B301AD64A4D1DD3ED8A174B747071AA969DC6FAA2493B817B6", "Open")</f>
        <v>Open</v>
      </c>
      <c r="J271" t="s">
        <v>20</v>
      </c>
      <c r="K271" t="s">
        <v>21</v>
      </c>
      <c r="L271">
        <v>2385000</v>
      </c>
      <c r="M271">
        <v>238500</v>
      </c>
    </row>
    <row r="272" spans="1:13" x14ac:dyDescent="0.25">
      <c r="A272" t="s">
        <v>1040</v>
      </c>
      <c r="B272" t="s">
        <v>1041</v>
      </c>
      <c r="C272" t="s">
        <v>121</v>
      </c>
      <c r="D272" t="s">
        <v>813</v>
      </c>
      <c r="E272" t="s">
        <v>654</v>
      </c>
      <c r="F272" t="s">
        <v>334</v>
      </c>
      <c r="G272" t="s">
        <v>1042</v>
      </c>
      <c r="H272" t="str">
        <f>HYPERLINK("https://baanknet.com/view-property/284677/297BD06D2C23507E9333BB97DCB80F4EB7C53A8C158A624C9C7C070E0B9B992D", "https://baanknet.com/view-property/284677/297BD06D2C23507E9333BB97DCB80F4EB7C53A8C158A624C9C7C070E0B9B992D")</f>
        <v>https://baanknet.com/view-property/284677/297BD06D2C23507E9333BB97DCB80F4EB7C53A8C158A624C9C7C070E0B9B992D</v>
      </c>
      <c r="I272" t="str">
        <f>HYPERLINK("https://baanknet.com/view-property/284677/297BD06D2C23507E9333BB97DCB80F4EB7C53A8C158A624C9C7C070E0B9B992D", "Open")</f>
        <v>Open</v>
      </c>
      <c r="J272" t="s">
        <v>20</v>
      </c>
      <c r="K272" t="s">
        <v>21</v>
      </c>
      <c r="L272">
        <v>4320000</v>
      </c>
      <c r="M272">
        <v>432000</v>
      </c>
    </row>
    <row r="273" spans="1:13" x14ac:dyDescent="0.25">
      <c r="A273" t="s">
        <v>1043</v>
      </c>
      <c r="B273" t="s">
        <v>1044</v>
      </c>
      <c r="C273" t="s">
        <v>121</v>
      </c>
      <c r="D273" t="s">
        <v>991</v>
      </c>
      <c r="E273" t="s">
        <v>654</v>
      </c>
      <c r="F273" t="s">
        <v>334</v>
      </c>
      <c r="G273" t="s">
        <v>1045</v>
      </c>
      <c r="H273" t="str">
        <f>HYPERLINK("https://baanknet.com/view-property/206615/7EA7A5185DA9C5F42394D657279F060749FB847AF9B56EB32DEE9D4B6CF12000", "https://baanknet.com/view-property/206615/7EA7A5185DA9C5F42394D657279F060749FB847AF9B56EB32DEE9D4B6CF12000")</f>
        <v>https://baanknet.com/view-property/206615/7EA7A5185DA9C5F42394D657279F060749FB847AF9B56EB32DEE9D4B6CF12000</v>
      </c>
      <c r="I273" t="str">
        <f>HYPERLINK("https://baanknet.com/view-property/206615/7EA7A5185DA9C5F42394D657279F060749FB847AF9B56EB32DEE9D4B6CF12000", "Open")</f>
        <v>Open</v>
      </c>
      <c r="J273" t="s">
        <v>20</v>
      </c>
      <c r="K273" t="s">
        <v>21</v>
      </c>
      <c r="L273">
        <v>8316400</v>
      </c>
      <c r="M273">
        <v>831640</v>
      </c>
    </row>
    <row r="274" spans="1:13" x14ac:dyDescent="0.25">
      <c r="A274" t="s">
        <v>1046</v>
      </c>
      <c r="B274" t="s">
        <v>1047</v>
      </c>
      <c r="C274" t="s">
        <v>121</v>
      </c>
      <c r="D274" t="s">
        <v>145</v>
      </c>
      <c r="E274" t="s">
        <v>654</v>
      </c>
      <c r="F274" t="s">
        <v>334</v>
      </c>
      <c r="G274" t="s">
        <v>1048</v>
      </c>
      <c r="H274" t="str">
        <f>HYPERLINK("https://baanknet.com/view-property/285541/CB3E62948A404865FE0FD10D88561F8F4212CB2C1126BD648B2E2CADBC49E82A", "https://baanknet.com/view-property/285541/CB3E62948A404865FE0FD10D88561F8F4212CB2C1126BD648B2E2CADBC49E82A")</f>
        <v>https://baanknet.com/view-property/285541/CB3E62948A404865FE0FD10D88561F8F4212CB2C1126BD648B2E2CADBC49E82A</v>
      </c>
      <c r="I274" t="str">
        <f>HYPERLINK("https://baanknet.com/view-property/285541/CB3E62948A404865FE0FD10D88561F8F4212CB2C1126BD648B2E2CADBC49E82A", "Open")</f>
        <v>Open</v>
      </c>
      <c r="J274" t="s">
        <v>20</v>
      </c>
      <c r="K274" t="s">
        <v>21</v>
      </c>
      <c r="L274">
        <v>670000</v>
      </c>
      <c r="M274">
        <v>67000</v>
      </c>
    </row>
    <row r="275" spans="1:13" x14ac:dyDescent="0.25">
      <c r="A275" t="s">
        <v>1049</v>
      </c>
      <c r="B275" t="s">
        <v>1050</v>
      </c>
      <c r="C275" t="s">
        <v>121</v>
      </c>
      <c r="D275" t="s">
        <v>1051</v>
      </c>
      <c r="E275" t="s">
        <v>654</v>
      </c>
      <c r="F275" t="s">
        <v>334</v>
      </c>
      <c r="G275" t="s">
        <v>1052</v>
      </c>
      <c r="H275" t="str">
        <f>HYPERLINK("https://baanknet.com/view-property/187079/0357B896B7AFDCBEDA7796E2D610F4018B09D800DE377A78DB0D0AE12C6A9E34", "https://baanknet.com/view-property/187079/0357B896B7AFDCBEDA7796E2D610F4018B09D800DE377A78DB0D0AE12C6A9E34")</f>
        <v>https://baanknet.com/view-property/187079/0357B896B7AFDCBEDA7796E2D610F4018B09D800DE377A78DB0D0AE12C6A9E34</v>
      </c>
      <c r="I275" t="str">
        <f>HYPERLINK("https://baanknet.com/view-property/187079/0357B896B7AFDCBEDA7796E2D610F4018B09D800DE377A78DB0D0AE12C6A9E34", "Open")</f>
        <v>Open</v>
      </c>
      <c r="J275" t="s">
        <v>20</v>
      </c>
      <c r="K275" t="s">
        <v>21</v>
      </c>
      <c r="L275">
        <v>588000</v>
      </c>
      <c r="M275">
        <v>58800</v>
      </c>
    </row>
    <row r="276" spans="1:13" x14ac:dyDescent="0.25">
      <c r="A276" t="s">
        <v>1053</v>
      </c>
      <c r="B276" t="s">
        <v>1054</v>
      </c>
      <c r="C276" t="s">
        <v>121</v>
      </c>
      <c r="D276" t="s">
        <v>1055</v>
      </c>
      <c r="E276" t="s">
        <v>654</v>
      </c>
      <c r="F276" t="s">
        <v>334</v>
      </c>
      <c r="G276" t="s">
        <v>1056</v>
      </c>
      <c r="H276" t="str">
        <f>HYPERLINK("https://baanknet.com/view-property/267951/55F8858739AC23139DA7CB1CA7F009388AAF87A39E284682F060E9AE178382A3", "https://baanknet.com/view-property/267951/55F8858739AC23139DA7CB1CA7F009388AAF87A39E284682F060E9AE178382A3")</f>
        <v>https://baanknet.com/view-property/267951/55F8858739AC23139DA7CB1CA7F009388AAF87A39E284682F060E9AE178382A3</v>
      </c>
      <c r="I276" t="str">
        <f>HYPERLINK("https://baanknet.com/view-property/267951/55F8858739AC23139DA7CB1CA7F009388AAF87A39E284682F060E9AE178382A3", "Open")</f>
        <v>Open</v>
      </c>
      <c r="J276" t="s">
        <v>20</v>
      </c>
      <c r="K276" t="s">
        <v>21</v>
      </c>
      <c r="L276">
        <v>10210000</v>
      </c>
      <c r="M276">
        <v>1021000</v>
      </c>
    </row>
    <row r="277" spans="1:13" x14ac:dyDescent="0.25">
      <c r="A277" t="s">
        <v>1057</v>
      </c>
      <c r="B277" t="s">
        <v>1058</v>
      </c>
      <c r="C277" t="s">
        <v>121</v>
      </c>
      <c r="D277" t="s">
        <v>1059</v>
      </c>
      <c r="E277" t="s">
        <v>654</v>
      </c>
      <c r="F277" t="s">
        <v>334</v>
      </c>
      <c r="G277" t="s">
        <v>1060</v>
      </c>
      <c r="H277" t="str">
        <f>HYPERLINK("https://baanknet.com/view-property/278858/52F22F935D3ECF44EE3452E88F8234791CDBD357A1F5F25FF1729A4A4A39CAD5", "https://baanknet.com/view-property/278858/52F22F935D3ECF44EE3452E88F8234791CDBD357A1F5F25FF1729A4A4A39CAD5")</f>
        <v>https://baanknet.com/view-property/278858/52F22F935D3ECF44EE3452E88F8234791CDBD357A1F5F25FF1729A4A4A39CAD5</v>
      </c>
      <c r="I277" t="str">
        <f>HYPERLINK("https://baanknet.com/view-property/278858/52F22F935D3ECF44EE3452E88F8234791CDBD357A1F5F25FF1729A4A4A39CAD5", "Open")</f>
        <v>Open</v>
      </c>
      <c r="J277" t="s">
        <v>20</v>
      </c>
      <c r="K277" t="s">
        <v>21</v>
      </c>
      <c r="L277">
        <v>1926000</v>
      </c>
      <c r="M277">
        <v>192600</v>
      </c>
    </row>
    <row r="278" spans="1:13" x14ac:dyDescent="0.25">
      <c r="A278" t="s">
        <v>1061</v>
      </c>
      <c r="B278" t="s">
        <v>1062</v>
      </c>
      <c r="C278" t="s">
        <v>121</v>
      </c>
      <c r="D278" t="s">
        <v>518</v>
      </c>
      <c r="E278" t="s">
        <v>654</v>
      </c>
      <c r="F278" t="s">
        <v>334</v>
      </c>
      <c r="G278" t="s">
        <v>1063</v>
      </c>
      <c r="H278" t="str">
        <f>HYPERLINK("https://baanknet.com/view-property/235562/319636A1ECF7F60D34D6C5C8FC51C5BAB23A78D3C05F8F3B92296C502A217585", "https://baanknet.com/view-property/235562/319636A1ECF7F60D34D6C5C8FC51C5BAB23A78D3C05F8F3B92296C502A217585")</f>
        <v>https://baanknet.com/view-property/235562/319636A1ECF7F60D34D6C5C8FC51C5BAB23A78D3C05F8F3B92296C502A217585</v>
      </c>
      <c r="I278" t="str">
        <f>HYPERLINK("https://baanknet.com/view-property/235562/319636A1ECF7F60D34D6C5C8FC51C5BAB23A78D3C05F8F3B92296C502A217585", "Open")</f>
        <v>Open</v>
      </c>
      <c r="J278" t="s">
        <v>20</v>
      </c>
      <c r="K278" t="s">
        <v>21</v>
      </c>
      <c r="L278">
        <v>681000</v>
      </c>
      <c r="M278">
        <v>68100</v>
      </c>
    </row>
    <row r="279" spans="1:13" x14ac:dyDescent="0.25">
      <c r="A279" t="s">
        <v>1064</v>
      </c>
      <c r="B279" t="s">
        <v>1065</v>
      </c>
      <c r="C279" t="s">
        <v>121</v>
      </c>
      <c r="D279" t="s">
        <v>1066</v>
      </c>
      <c r="E279" t="s">
        <v>654</v>
      </c>
      <c r="F279" t="s">
        <v>334</v>
      </c>
      <c r="G279" t="s">
        <v>1067</v>
      </c>
      <c r="H279" t="str">
        <f>HYPERLINK("https://baanknet.com/view-property/191180/A39DA9AE911882B4C222A614EE65E527F204EBAFCC32E3D9E79590530CBFA936", "https://baanknet.com/view-property/191180/A39DA9AE911882B4C222A614EE65E527F204EBAFCC32E3D9E79590530CBFA936")</f>
        <v>https://baanknet.com/view-property/191180/A39DA9AE911882B4C222A614EE65E527F204EBAFCC32E3D9E79590530CBFA936</v>
      </c>
      <c r="I279" t="str">
        <f>HYPERLINK("https://baanknet.com/view-property/191180/A39DA9AE911882B4C222A614EE65E527F204EBAFCC32E3D9E79590530CBFA936", "Open")</f>
        <v>Open</v>
      </c>
      <c r="J279" t="s">
        <v>20</v>
      </c>
      <c r="K279" t="s">
        <v>21</v>
      </c>
      <c r="L279">
        <v>1515000</v>
      </c>
      <c r="M279">
        <v>151500</v>
      </c>
    </row>
    <row r="280" spans="1:13" x14ac:dyDescent="0.25">
      <c r="A280" t="s">
        <v>1068</v>
      </c>
      <c r="B280" t="s">
        <v>1069</v>
      </c>
      <c r="C280" t="s">
        <v>121</v>
      </c>
      <c r="D280" t="s">
        <v>1070</v>
      </c>
      <c r="E280" t="s">
        <v>654</v>
      </c>
      <c r="F280" t="s">
        <v>334</v>
      </c>
      <c r="G280" t="s">
        <v>1071</v>
      </c>
      <c r="H280" t="str">
        <f>HYPERLINK("https://baanknet.com/view-property/255070/794D8136838AE777D6CD922145F1FA3077BB56EF3229CEE17E13016A16F4880E", "https://baanknet.com/view-property/255070/794D8136838AE777D6CD922145F1FA3077BB56EF3229CEE17E13016A16F4880E")</f>
        <v>https://baanknet.com/view-property/255070/794D8136838AE777D6CD922145F1FA3077BB56EF3229CEE17E13016A16F4880E</v>
      </c>
      <c r="I280" t="str">
        <f>HYPERLINK("https://baanknet.com/view-property/255070/794D8136838AE777D6CD922145F1FA3077BB56EF3229CEE17E13016A16F4880E", "Open")</f>
        <v>Open</v>
      </c>
      <c r="J280" t="s">
        <v>20</v>
      </c>
      <c r="K280" t="s">
        <v>21</v>
      </c>
      <c r="L280">
        <v>773000</v>
      </c>
      <c r="M280">
        <v>77300</v>
      </c>
    </row>
    <row r="281" spans="1:13" x14ac:dyDescent="0.25">
      <c r="A281" t="s">
        <v>1072</v>
      </c>
      <c r="B281" t="s">
        <v>1073</v>
      </c>
      <c r="C281" t="s">
        <v>121</v>
      </c>
      <c r="D281" t="s">
        <v>509</v>
      </c>
      <c r="E281" t="s">
        <v>654</v>
      </c>
      <c r="F281" t="s">
        <v>334</v>
      </c>
      <c r="G281" t="s">
        <v>1074</v>
      </c>
      <c r="H281" t="str">
        <f>HYPERLINK("https://baanknet.com/view-property/264988/6D2148E832D380D4252DAE508D6FEB2B715B5C216165AD68ED12CDC7AF231569", "https://baanknet.com/view-property/264988/6D2148E832D380D4252DAE508D6FEB2B715B5C216165AD68ED12CDC7AF231569")</f>
        <v>https://baanknet.com/view-property/264988/6D2148E832D380D4252DAE508D6FEB2B715B5C216165AD68ED12CDC7AF231569</v>
      </c>
      <c r="I281" t="str">
        <f>HYPERLINK("https://baanknet.com/view-property/264988/6D2148E832D380D4252DAE508D6FEB2B715B5C216165AD68ED12CDC7AF231569", "Open")</f>
        <v>Open</v>
      </c>
      <c r="J281" t="s">
        <v>20</v>
      </c>
      <c r="K281" t="s">
        <v>21</v>
      </c>
      <c r="L281">
        <v>324000</v>
      </c>
      <c r="M281">
        <v>32400</v>
      </c>
    </row>
    <row r="282" spans="1:13" x14ac:dyDescent="0.25">
      <c r="A282" t="s">
        <v>1075</v>
      </c>
      <c r="B282" t="s">
        <v>1076</v>
      </c>
      <c r="C282" t="s">
        <v>121</v>
      </c>
      <c r="D282" t="s">
        <v>509</v>
      </c>
      <c r="E282" t="s">
        <v>654</v>
      </c>
      <c r="F282" t="s">
        <v>334</v>
      </c>
      <c r="G282" t="s">
        <v>1077</v>
      </c>
      <c r="H282" t="str">
        <f>HYPERLINK("https://baanknet.com/view-property/250047/3929127616563AEA64F7E724D3CB71CDDAF78BF1FF68CA2E4409B291CB93098E", "https://baanknet.com/view-property/250047/3929127616563AEA64F7E724D3CB71CDDAF78BF1FF68CA2E4409B291CB93098E")</f>
        <v>https://baanknet.com/view-property/250047/3929127616563AEA64F7E724D3CB71CDDAF78BF1FF68CA2E4409B291CB93098E</v>
      </c>
      <c r="I282" t="str">
        <f>HYPERLINK("https://baanknet.com/view-property/250047/3929127616563AEA64F7E724D3CB71CDDAF78BF1FF68CA2E4409B291CB93098E", "Open")</f>
        <v>Open</v>
      </c>
      <c r="J282" t="s">
        <v>20</v>
      </c>
      <c r="K282" t="s">
        <v>21</v>
      </c>
      <c r="L282">
        <v>638000</v>
      </c>
      <c r="M282">
        <v>63800</v>
      </c>
    </row>
    <row r="283" spans="1:13" x14ac:dyDescent="0.25">
      <c r="A283" t="s">
        <v>1078</v>
      </c>
      <c r="B283" t="s">
        <v>1079</v>
      </c>
      <c r="C283" t="s">
        <v>121</v>
      </c>
      <c r="D283" t="s">
        <v>572</v>
      </c>
      <c r="E283" t="s">
        <v>654</v>
      </c>
      <c r="F283" t="s">
        <v>334</v>
      </c>
      <c r="G283" t="s">
        <v>1080</v>
      </c>
      <c r="H283" t="str">
        <f>HYPERLINK("https://baanknet.com/view-property/282403/F347140053DE32E8A7642C6F8FA0D1C8E7B3618B8C8FB16B11CE7B5107459FBB", "https://baanknet.com/view-property/282403/F347140053DE32E8A7642C6F8FA0D1C8E7B3618B8C8FB16B11CE7B5107459FBB")</f>
        <v>https://baanknet.com/view-property/282403/F347140053DE32E8A7642C6F8FA0D1C8E7B3618B8C8FB16B11CE7B5107459FBB</v>
      </c>
      <c r="I283" t="str">
        <f>HYPERLINK("https://baanknet.com/view-property/282403/F347140053DE32E8A7642C6F8FA0D1C8E7B3618B8C8FB16B11CE7B5107459FBB", "Open")</f>
        <v>Open</v>
      </c>
      <c r="J283" t="s">
        <v>20</v>
      </c>
      <c r="K283" t="s">
        <v>21</v>
      </c>
      <c r="L283">
        <v>603000</v>
      </c>
      <c r="M283">
        <v>60300</v>
      </c>
    </row>
    <row r="284" spans="1:13" x14ac:dyDescent="0.25">
      <c r="A284" t="s">
        <v>1081</v>
      </c>
      <c r="B284" t="s">
        <v>1082</v>
      </c>
      <c r="C284" t="s">
        <v>121</v>
      </c>
      <c r="D284" t="s">
        <v>1083</v>
      </c>
      <c r="E284" t="s">
        <v>654</v>
      </c>
      <c r="F284" t="s">
        <v>334</v>
      </c>
      <c r="G284" t="s">
        <v>1084</v>
      </c>
      <c r="H284" t="str">
        <f>HYPERLINK("https://baanknet.com/view-property/258368/596BA8A14C054537785173DB93DA888026A8DAB48616396CC814E4D7B51EBF54", "https://baanknet.com/view-property/258368/596BA8A14C054537785173DB93DA888026A8DAB48616396CC814E4D7B51EBF54")</f>
        <v>https://baanknet.com/view-property/258368/596BA8A14C054537785173DB93DA888026A8DAB48616396CC814E4D7B51EBF54</v>
      </c>
      <c r="I284" t="str">
        <f>HYPERLINK("https://baanknet.com/view-property/258368/596BA8A14C054537785173DB93DA888026A8DAB48616396CC814E4D7B51EBF54", "Open")</f>
        <v>Open</v>
      </c>
      <c r="J284" t="s">
        <v>20</v>
      </c>
      <c r="K284" t="s">
        <v>21</v>
      </c>
      <c r="L284">
        <v>598000</v>
      </c>
      <c r="M284">
        <v>59800</v>
      </c>
    </row>
    <row r="285" spans="1:13" x14ac:dyDescent="0.25">
      <c r="A285" t="s">
        <v>1085</v>
      </c>
      <c r="B285" t="s">
        <v>1086</v>
      </c>
      <c r="C285" t="s">
        <v>121</v>
      </c>
      <c r="D285" t="s">
        <v>1083</v>
      </c>
      <c r="E285" t="s">
        <v>654</v>
      </c>
      <c r="F285" t="s">
        <v>334</v>
      </c>
      <c r="G285" t="s">
        <v>1087</v>
      </c>
      <c r="H285" t="str">
        <f>HYPERLINK("https://baanknet.com/view-property/258371/91DDE7D58768B90D6E26D333AC97BC120247F9DA0C6A514880F235489935F55B", "https://baanknet.com/view-property/258371/91DDE7D58768B90D6E26D333AC97BC120247F9DA0C6A514880F235489935F55B")</f>
        <v>https://baanknet.com/view-property/258371/91DDE7D58768B90D6E26D333AC97BC120247F9DA0C6A514880F235489935F55B</v>
      </c>
      <c r="I285" t="str">
        <f>HYPERLINK("https://baanknet.com/view-property/258371/91DDE7D58768B90D6E26D333AC97BC120247F9DA0C6A514880F235489935F55B", "Open")</f>
        <v>Open</v>
      </c>
      <c r="J285" t="s">
        <v>20</v>
      </c>
      <c r="K285" t="s">
        <v>21</v>
      </c>
      <c r="L285">
        <v>598000</v>
      </c>
      <c r="M285">
        <v>59800</v>
      </c>
    </row>
    <row r="286" spans="1:13" x14ac:dyDescent="0.25">
      <c r="A286" t="s">
        <v>1088</v>
      </c>
      <c r="B286" t="s">
        <v>1089</v>
      </c>
      <c r="C286" t="s">
        <v>121</v>
      </c>
      <c r="D286" t="s">
        <v>1090</v>
      </c>
      <c r="E286" t="s">
        <v>654</v>
      </c>
      <c r="F286" t="s">
        <v>334</v>
      </c>
      <c r="G286" t="s">
        <v>1091</v>
      </c>
      <c r="H286" t="str">
        <f>HYPERLINK("https://baanknet.com/view-property/255210/44AF58CD7EF317F5F4724BF2A54126E6619F1BD5E2FD7CB631A6F0CD3BCA44E4", "https://baanknet.com/view-property/255210/44AF58CD7EF317F5F4724BF2A54126E6619F1BD5E2FD7CB631A6F0CD3BCA44E4")</f>
        <v>https://baanknet.com/view-property/255210/44AF58CD7EF317F5F4724BF2A54126E6619F1BD5E2FD7CB631A6F0CD3BCA44E4</v>
      </c>
      <c r="I286" t="str">
        <f>HYPERLINK("https://baanknet.com/view-property/255210/44AF58CD7EF317F5F4724BF2A54126E6619F1BD5E2FD7CB631A6F0CD3BCA44E4", "Open")</f>
        <v>Open</v>
      </c>
      <c r="J286" t="s">
        <v>20</v>
      </c>
      <c r="K286" t="s">
        <v>21</v>
      </c>
      <c r="L286">
        <v>3843000</v>
      </c>
      <c r="M286">
        <v>384300</v>
      </c>
    </row>
    <row r="287" spans="1:13" x14ac:dyDescent="0.25">
      <c r="A287" t="s">
        <v>1092</v>
      </c>
      <c r="B287" t="s">
        <v>1093</v>
      </c>
      <c r="C287" t="s">
        <v>121</v>
      </c>
      <c r="D287" t="s">
        <v>1094</v>
      </c>
      <c r="E287" t="s">
        <v>654</v>
      </c>
      <c r="F287" t="s">
        <v>334</v>
      </c>
      <c r="G287" t="s">
        <v>1095</v>
      </c>
      <c r="H287" t="str">
        <f>HYPERLINK("https://baanknet.com/view-property/213271/15053C0F9C847C71A03524294B9BD52E4038D7F4FA5736A1D6C331DAAE8C058D", "https://baanknet.com/view-property/213271/15053C0F9C847C71A03524294B9BD52E4038D7F4FA5736A1D6C331DAAE8C058D")</f>
        <v>https://baanknet.com/view-property/213271/15053C0F9C847C71A03524294B9BD52E4038D7F4FA5736A1D6C331DAAE8C058D</v>
      </c>
      <c r="I287" t="str">
        <f>HYPERLINK("https://baanknet.com/view-property/213271/15053C0F9C847C71A03524294B9BD52E4038D7F4FA5736A1D6C331DAAE8C058D", "Open")</f>
        <v>Open</v>
      </c>
      <c r="J287" t="s">
        <v>20</v>
      </c>
      <c r="K287" t="s">
        <v>21</v>
      </c>
      <c r="L287">
        <v>3661000</v>
      </c>
      <c r="M287">
        <v>366100</v>
      </c>
    </row>
    <row r="288" spans="1:13" x14ac:dyDescent="0.25">
      <c r="A288" t="s">
        <v>1096</v>
      </c>
      <c r="B288" t="s">
        <v>1097</v>
      </c>
      <c r="C288" t="s">
        <v>121</v>
      </c>
      <c r="D288" t="s">
        <v>1098</v>
      </c>
      <c r="E288" t="s">
        <v>654</v>
      </c>
      <c r="F288" t="s">
        <v>334</v>
      </c>
      <c r="G288" t="s">
        <v>1099</v>
      </c>
      <c r="H288" t="str">
        <f>HYPERLINK("https://baanknet.com/view-property/178675/A7422247EDABECB392A28F86C4925F2876D22EC40BBE8419A907F34182042A11", "https://baanknet.com/view-property/178675/A7422247EDABECB392A28F86C4925F2876D22EC40BBE8419A907F34182042A11")</f>
        <v>https://baanknet.com/view-property/178675/A7422247EDABECB392A28F86C4925F2876D22EC40BBE8419A907F34182042A11</v>
      </c>
      <c r="I288" t="str">
        <f>HYPERLINK("https://baanknet.com/view-property/178675/A7422247EDABECB392A28F86C4925F2876D22EC40BBE8419A907F34182042A11", "Open")</f>
        <v>Open</v>
      </c>
      <c r="J288" t="s">
        <v>20</v>
      </c>
      <c r="K288" t="s">
        <v>21</v>
      </c>
      <c r="L288">
        <v>1613000</v>
      </c>
      <c r="M288">
        <v>161300</v>
      </c>
    </row>
    <row r="289" spans="1:13" x14ac:dyDescent="0.25">
      <c r="A289" t="s">
        <v>1100</v>
      </c>
      <c r="B289" t="s">
        <v>1101</v>
      </c>
      <c r="C289" t="s">
        <v>121</v>
      </c>
      <c r="D289" t="s">
        <v>1007</v>
      </c>
      <c r="E289" t="s">
        <v>654</v>
      </c>
      <c r="F289" t="s">
        <v>334</v>
      </c>
      <c r="G289" t="s">
        <v>1102</v>
      </c>
      <c r="H289" t="str">
        <f>HYPERLINK("https://baanknet.com/view-property/285348/8ECC1F042AFCB3799CA07E8AD1AAF348DE1A228FF53351AFD28EA75677B65900", "https://baanknet.com/view-property/285348/8ECC1F042AFCB3799CA07E8AD1AAF348DE1A228FF53351AFD28EA75677B65900")</f>
        <v>https://baanknet.com/view-property/285348/8ECC1F042AFCB3799CA07E8AD1AAF348DE1A228FF53351AFD28EA75677B65900</v>
      </c>
      <c r="I289" t="str">
        <f>HYPERLINK("https://baanknet.com/view-property/285348/8ECC1F042AFCB3799CA07E8AD1AAF348DE1A228FF53351AFD28EA75677B65900", "Open")</f>
        <v>Open</v>
      </c>
      <c r="J289" t="s">
        <v>20</v>
      </c>
      <c r="K289" t="s">
        <v>21</v>
      </c>
      <c r="L289">
        <v>1350000</v>
      </c>
      <c r="M289">
        <v>135000</v>
      </c>
    </row>
    <row r="290" spans="1:13" x14ac:dyDescent="0.25">
      <c r="A290" t="s">
        <v>1103</v>
      </c>
      <c r="B290" t="s">
        <v>1104</v>
      </c>
      <c r="C290" t="s">
        <v>121</v>
      </c>
      <c r="D290" t="s">
        <v>1007</v>
      </c>
      <c r="E290" t="s">
        <v>654</v>
      </c>
      <c r="F290" t="s">
        <v>334</v>
      </c>
      <c r="G290" t="s">
        <v>1105</v>
      </c>
      <c r="H290" t="str">
        <f>HYPERLINK("https://baanknet.com/view-property/285353/C2ED45D90DEB9C93F2DAA6A02DFC7FDD016EE25D4FCB12AACBD9AA863B5857DC", "https://baanknet.com/view-property/285353/C2ED45D90DEB9C93F2DAA6A02DFC7FDD016EE25D4FCB12AACBD9AA863B5857DC")</f>
        <v>https://baanknet.com/view-property/285353/C2ED45D90DEB9C93F2DAA6A02DFC7FDD016EE25D4FCB12AACBD9AA863B5857DC</v>
      </c>
      <c r="I290" t="str">
        <f>HYPERLINK("https://baanknet.com/view-property/285353/C2ED45D90DEB9C93F2DAA6A02DFC7FDD016EE25D4FCB12AACBD9AA863B5857DC", "Open")</f>
        <v>Open</v>
      </c>
      <c r="J290" t="s">
        <v>20</v>
      </c>
      <c r="K290" t="s">
        <v>21</v>
      </c>
      <c r="L290">
        <v>2175000</v>
      </c>
      <c r="M290">
        <v>217500</v>
      </c>
    </row>
    <row r="291" spans="1:13" x14ac:dyDescent="0.25">
      <c r="A291" t="s">
        <v>1106</v>
      </c>
      <c r="B291" t="s">
        <v>1107</v>
      </c>
      <c r="C291" t="s">
        <v>121</v>
      </c>
      <c r="D291" t="s">
        <v>991</v>
      </c>
      <c r="E291" t="s">
        <v>654</v>
      </c>
      <c r="F291" t="s">
        <v>334</v>
      </c>
      <c r="G291" t="s">
        <v>1108</v>
      </c>
      <c r="H291" t="str">
        <f>HYPERLINK("https://baanknet.com/view-property/285790/0F2B663191127B74E5E46EDCBA86D5485B96C70CA486CBD03B90C928FA3FAA5C", "https://baanknet.com/view-property/285790/0F2B663191127B74E5E46EDCBA86D5485B96C70CA486CBD03B90C928FA3FAA5C")</f>
        <v>https://baanknet.com/view-property/285790/0F2B663191127B74E5E46EDCBA86D5485B96C70CA486CBD03B90C928FA3FAA5C</v>
      </c>
      <c r="I291" t="str">
        <f>HYPERLINK("https://baanknet.com/view-property/285790/0F2B663191127B74E5E46EDCBA86D5485B96C70CA486CBD03B90C928FA3FAA5C", "Open")</f>
        <v>Open</v>
      </c>
      <c r="J291" t="s">
        <v>20</v>
      </c>
      <c r="K291" t="s">
        <v>21</v>
      </c>
      <c r="L291">
        <v>11027000</v>
      </c>
      <c r="M291">
        <v>1102700</v>
      </c>
    </row>
    <row r="292" spans="1:13" x14ac:dyDescent="0.25">
      <c r="A292" t="s">
        <v>1109</v>
      </c>
      <c r="B292" t="s">
        <v>1110</v>
      </c>
      <c r="C292" t="s">
        <v>121</v>
      </c>
      <c r="D292" t="s">
        <v>157</v>
      </c>
      <c r="E292" t="s">
        <v>654</v>
      </c>
      <c r="F292" t="s">
        <v>334</v>
      </c>
      <c r="G292" t="s">
        <v>1111</v>
      </c>
      <c r="H292" t="str">
        <f>HYPERLINK("https://baanknet.com/view-property/285817/EC4A8FABC5F3DDBE3C1A584ECCE7D5E9D92C23053E6358F73357ED10B9D69419", "https://baanknet.com/view-property/285817/EC4A8FABC5F3DDBE3C1A584ECCE7D5E9D92C23053E6358F73357ED10B9D69419")</f>
        <v>https://baanknet.com/view-property/285817/EC4A8FABC5F3DDBE3C1A584ECCE7D5E9D92C23053E6358F73357ED10B9D69419</v>
      </c>
      <c r="I292" t="str">
        <f>HYPERLINK("https://baanknet.com/view-property/285817/EC4A8FABC5F3DDBE3C1A584ECCE7D5E9D92C23053E6358F73357ED10B9D69419", "Open")</f>
        <v>Open</v>
      </c>
      <c r="J292" t="s">
        <v>20</v>
      </c>
      <c r="K292" t="s">
        <v>21</v>
      </c>
      <c r="L292">
        <v>6112000</v>
      </c>
      <c r="M292">
        <v>611200</v>
      </c>
    </row>
    <row r="293" spans="1:13" x14ac:dyDescent="0.25">
      <c r="A293" t="s">
        <v>1112</v>
      </c>
      <c r="B293" t="s">
        <v>1113</v>
      </c>
      <c r="C293" t="s">
        <v>121</v>
      </c>
      <c r="D293" t="s">
        <v>157</v>
      </c>
      <c r="E293" t="s">
        <v>654</v>
      </c>
      <c r="F293" t="s">
        <v>334</v>
      </c>
      <c r="G293" t="s">
        <v>1114</v>
      </c>
      <c r="H293" t="str">
        <f>HYPERLINK("https://baanknet.com/view-property/285830/7BE1892B967B7848B6F4C95950E8E45A0D467D8A34675A1601A1C8506C45E3B3", "https://baanknet.com/view-property/285830/7BE1892B967B7848B6F4C95950E8E45A0D467D8A34675A1601A1C8506C45E3B3")</f>
        <v>https://baanknet.com/view-property/285830/7BE1892B967B7848B6F4C95950E8E45A0D467D8A34675A1601A1C8506C45E3B3</v>
      </c>
      <c r="I293" t="str">
        <f>HYPERLINK("https://baanknet.com/view-property/285830/7BE1892B967B7848B6F4C95950E8E45A0D467D8A34675A1601A1C8506C45E3B3", "Open")</f>
        <v>Open</v>
      </c>
      <c r="J293" t="s">
        <v>20</v>
      </c>
      <c r="K293" t="s">
        <v>21</v>
      </c>
      <c r="L293">
        <v>4777000</v>
      </c>
      <c r="M293">
        <v>477700</v>
      </c>
    </row>
    <row r="294" spans="1:13" x14ac:dyDescent="0.25">
      <c r="A294" t="s">
        <v>1115</v>
      </c>
      <c r="B294" t="s">
        <v>1116</v>
      </c>
      <c r="C294" t="s">
        <v>121</v>
      </c>
      <c r="D294" t="s">
        <v>157</v>
      </c>
      <c r="E294" t="s">
        <v>654</v>
      </c>
      <c r="F294" t="s">
        <v>334</v>
      </c>
      <c r="G294" t="s">
        <v>1117</v>
      </c>
      <c r="H294" t="str">
        <f>HYPERLINK("https://baanknet.com/view-property/285832/62BD3DF002B5A3982ABCB08A711059CEE563540ACE17D17FD2BC9B6D28F84909", "https://baanknet.com/view-property/285832/62BD3DF002B5A3982ABCB08A711059CEE563540ACE17D17FD2BC9B6D28F84909")</f>
        <v>https://baanknet.com/view-property/285832/62BD3DF002B5A3982ABCB08A711059CEE563540ACE17D17FD2BC9B6D28F84909</v>
      </c>
      <c r="I294" t="str">
        <f>HYPERLINK("https://baanknet.com/view-property/285832/62BD3DF002B5A3982ABCB08A711059CEE563540ACE17D17FD2BC9B6D28F84909", "Open")</f>
        <v>Open</v>
      </c>
      <c r="J294" t="s">
        <v>20</v>
      </c>
      <c r="K294" t="s">
        <v>21</v>
      </c>
      <c r="L294">
        <v>5189000</v>
      </c>
      <c r="M294">
        <v>518900</v>
      </c>
    </row>
    <row r="295" spans="1:13" x14ac:dyDescent="0.25">
      <c r="A295" t="s">
        <v>1118</v>
      </c>
      <c r="B295" t="s">
        <v>1119</v>
      </c>
      <c r="C295" t="s">
        <v>121</v>
      </c>
      <c r="D295" t="s">
        <v>1120</v>
      </c>
      <c r="E295" t="s">
        <v>654</v>
      </c>
      <c r="F295" t="s">
        <v>334</v>
      </c>
      <c r="G295" t="s">
        <v>1121</v>
      </c>
      <c r="H295" t="str">
        <f>HYPERLINK("https://baanknet.com/view-property/283781/6907727495CD21E9CB6C556A448AEF760649154F03C9CE1DA03187A5745C511D", "https://baanknet.com/view-property/283781/6907727495CD21E9CB6C556A448AEF760649154F03C9CE1DA03187A5745C511D")</f>
        <v>https://baanknet.com/view-property/283781/6907727495CD21E9CB6C556A448AEF760649154F03C9CE1DA03187A5745C511D</v>
      </c>
      <c r="I295" t="str">
        <f>HYPERLINK("https://baanknet.com/view-property/283781/6907727495CD21E9CB6C556A448AEF760649154F03C9CE1DA03187A5745C511D", "Open")</f>
        <v>Open</v>
      </c>
      <c r="J295" t="s">
        <v>20</v>
      </c>
      <c r="K295" t="s">
        <v>21</v>
      </c>
      <c r="L295">
        <v>1172000</v>
      </c>
      <c r="M295">
        <v>117200</v>
      </c>
    </row>
    <row r="296" spans="1:13" x14ac:dyDescent="0.25">
      <c r="A296" t="s">
        <v>1122</v>
      </c>
      <c r="B296" t="s">
        <v>1123</v>
      </c>
      <c r="C296" t="s">
        <v>121</v>
      </c>
      <c r="D296" t="s">
        <v>526</v>
      </c>
      <c r="E296" t="s">
        <v>654</v>
      </c>
      <c r="F296" t="s">
        <v>334</v>
      </c>
      <c r="G296" t="s">
        <v>1124</v>
      </c>
      <c r="H296" t="str">
        <f>HYPERLINK("https://baanknet.com/view-property/175725/AD50A9FDF01690F3039AA8058D5C7F3182BDFAE46A0FEE235F71F82379AEF7D5", "https://baanknet.com/view-property/175725/AD50A9FDF01690F3039AA8058D5C7F3182BDFAE46A0FEE235F71F82379AEF7D5")</f>
        <v>https://baanknet.com/view-property/175725/AD50A9FDF01690F3039AA8058D5C7F3182BDFAE46A0FEE235F71F82379AEF7D5</v>
      </c>
      <c r="I296" t="str">
        <f>HYPERLINK("https://baanknet.com/view-property/175725/AD50A9FDF01690F3039AA8058D5C7F3182BDFAE46A0FEE235F71F82379AEF7D5", "Open")</f>
        <v>Open</v>
      </c>
      <c r="J296" t="s">
        <v>20</v>
      </c>
      <c r="K296" t="s">
        <v>21</v>
      </c>
      <c r="L296">
        <v>950000</v>
      </c>
      <c r="M296">
        <v>95000</v>
      </c>
    </row>
    <row r="297" spans="1:13" x14ac:dyDescent="0.25">
      <c r="A297" t="s">
        <v>1125</v>
      </c>
      <c r="B297" t="s">
        <v>1126</v>
      </c>
      <c r="C297" t="s">
        <v>121</v>
      </c>
      <c r="D297" t="s">
        <v>1127</v>
      </c>
      <c r="E297" t="s">
        <v>654</v>
      </c>
      <c r="F297" t="s">
        <v>334</v>
      </c>
      <c r="G297" t="s">
        <v>1128</v>
      </c>
      <c r="H297" t="str">
        <f>HYPERLINK("https://baanknet.com/view-property/283787/AA9F980D6A480F28AA627A8F6AB15A787A3E64E5D2A695A967D3106C2F658473", "https://baanknet.com/view-property/283787/AA9F980D6A480F28AA627A8F6AB15A787A3E64E5D2A695A967D3106C2F658473")</f>
        <v>https://baanknet.com/view-property/283787/AA9F980D6A480F28AA627A8F6AB15A787A3E64E5D2A695A967D3106C2F658473</v>
      </c>
      <c r="I297" t="str">
        <f>HYPERLINK("https://baanknet.com/view-property/283787/AA9F980D6A480F28AA627A8F6AB15A787A3E64E5D2A695A967D3106C2F658473", "Open")</f>
        <v>Open</v>
      </c>
      <c r="J297" t="s">
        <v>20</v>
      </c>
      <c r="K297" t="s">
        <v>21</v>
      </c>
      <c r="L297">
        <v>2060000</v>
      </c>
      <c r="M297">
        <v>206000</v>
      </c>
    </row>
    <row r="298" spans="1:13" x14ac:dyDescent="0.25">
      <c r="A298" t="s">
        <v>1129</v>
      </c>
      <c r="B298" t="s">
        <v>1130</v>
      </c>
      <c r="C298" t="s">
        <v>121</v>
      </c>
      <c r="D298" t="s">
        <v>813</v>
      </c>
      <c r="E298" t="s">
        <v>654</v>
      </c>
      <c r="F298" t="s">
        <v>334</v>
      </c>
      <c r="G298" t="s">
        <v>1131</v>
      </c>
      <c r="H298" t="str">
        <f>HYPERLINK("https://baanknet.com/view-property/285846/EDCF069EB98083EED5D1A59A49898693C445B3E8B9C5C78ADC7FD87954F8140C", "https://baanknet.com/view-property/285846/EDCF069EB98083EED5D1A59A49898693C445B3E8B9C5C78ADC7FD87954F8140C")</f>
        <v>https://baanknet.com/view-property/285846/EDCF069EB98083EED5D1A59A49898693C445B3E8B9C5C78ADC7FD87954F8140C</v>
      </c>
      <c r="I298" t="str">
        <f>HYPERLINK("https://baanknet.com/view-property/285846/EDCF069EB98083EED5D1A59A49898693C445B3E8B9C5C78ADC7FD87954F8140C", "Open")</f>
        <v>Open</v>
      </c>
      <c r="J298" t="s">
        <v>20</v>
      </c>
      <c r="K298" t="s">
        <v>21</v>
      </c>
      <c r="L298">
        <v>1770000</v>
      </c>
      <c r="M298">
        <v>177000</v>
      </c>
    </row>
    <row r="299" spans="1:13" x14ac:dyDescent="0.25">
      <c r="A299" t="s">
        <v>1132</v>
      </c>
      <c r="B299" t="s">
        <v>1133</v>
      </c>
      <c r="C299" t="s">
        <v>121</v>
      </c>
      <c r="D299" t="s">
        <v>813</v>
      </c>
      <c r="E299" t="s">
        <v>654</v>
      </c>
      <c r="F299" t="s">
        <v>334</v>
      </c>
      <c r="G299" t="s">
        <v>1134</v>
      </c>
      <c r="H299" t="str">
        <f>HYPERLINK("https://baanknet.com/view-property/285849/FC02DF014F7ADFC3FBDE05BDAF13DD57EFCA8DD257ECA20C1EC6E94BAD7C5D96", "https://baanknet.com/view-property/285849/FC02DF014F7ADFC3FBDE05BDAF13DD57EFCA8DD257ECA20C1EC6E94BAD7C5D96")</f>
        <v>https://baanknet.com/view-property/285849/FC02DF014F7ADFC3FBDE05BDAF13DD57EFCA8DD257ECA20C1EC6E94BAD7C5D96</v>
      </c>
      <c r="I299" t="str">
        <f>HYPERLINK("https://baanknet.com/view-property/285849/FC02DF014F7ADFC3FBDE05BDAF13DD57EFCA8DD257ECA20C1EC6E94BAD7C5D96", "Open")</f>
        <v>Open</v>
      </c>
      <c r="J299" t="s">
        <v>20</v>
      </c>
      <c r="K299" t="s">
        <v>21</v>
      </c>
      <c r="L299">
        <v>3500000</v>
      </c>
      <c r="M299">
        <v>350000</v>
      </c>
    </row>
    <row r="300" spans="1:13" x14ac:dyDescent="0.25">
      <c r="A300" t="s">
        <v>1135</v>
      </c>
      <c r="B300" t="s">
        <v>1136</v>
      </c>
      <c r="C300" t="s">
        <v>121</v>
      </c>
      <c r="D300" t="s">
        <v>1137</v>
      </c>
      <c r="E300" t="s">
        <v>654</v>
      </c>
      <c r="F300" t="s">
        <v>334</v>
      </c>
      <c r="G300" t="s">
        <v>1138</v>
      </c>
      <c r="H300" t="str">
        <f>HYPERLINK("https://baanknet.com/view-property/285794/F3506E1FA5C5811B7342352D1E5C9055ED7ABB4EB55E4EB12493CA14A39116A1", "https://baanknet.com/view-property/285794/F3506E1FA5C5811B7342352D1E5C9055ED7ABB4EB55E4EB12493CA14A39116A1")</f>
        <v>https://baanknet.com/view-property/285794/F3506E1FA5C5811B7342352D1E5C9055ED7ABB4EB55E4EB12493CA14A39116A1</v>
      </c>
      <c r="I300" t="str">
        <f>HYPERLINK("https://baanknet.com/view-property/285794/F3506E1FA5C5811B7342352D1E5C9055ED7ABB4EB55E4EB12493CA14A39116A1", "Open")</f>
        <v>Open</v>
      </c>
      <c r="J300" t="s">
        <v>20</v>
      </c>
      <c r="K300" t="s">
        <v>21</v>
      </c>
      <c r="L300">
        <v>4960000</v>
      </c>
      <c r="M300">
        <v>496000</v>
      </c>
    </row>
    <row r="301" spans="1:13" x14ac:dyDescent="0.25">
      <c r="A301" t="s">
        <v>1139</v>
      </c>
      <c r="B301" t="s">
        <v>1140</v>
      </c>
      <c r="C301" t="s">
        <v>121</v>
      </c>
      <c r="D301" t="s">
        <v>1141</v>
      </c>
      <c r="E301" t="s">
        <v>654</v>
      </c>
      <c r="F301" t="s">
        <v>334</v>
      </c>
      <c r="G301" t="s">
        <v>1142</v>
      </c>
      <c r="H301" t="str">
        <f>HYPERLINK("https://baanknet.com/view-property/201801/1C9EE469B5553FD9536DB24F59088CA101D8E984CC2090350889E2E86DD6C494", "https://baanknet.com/view-property/201801/1C9EE469B5553FD9536DB24F59088CA101D8E984CC2090350889E2E86DD6C494")</f>
        <v>https://baanknet.com/view-property/201801/1C9EE469B5553FD9536DB24F59088CA101D8E984CC2090350889E2E86DD6C494</v>
      </c>
      <c r="I301" t="str">
        <f>HYPERLINK("https://baanknet.com/view-property/201801/1C9EE469B5553FD9536DB24F59088CA101D8E984CC2090350889E2E86DD6C494", "Open")</f>
        <v>Open</v>
      </c>
      <c r="J301" t="s">
        <v>20</v>
      </c>
      <c r="K301" t="s">
        <v>21</v>
      </c>
      <c r="L301">
        <v>11220000</v>
      </c>
      <c r="M301">
        <v>1122000</v>
      </c>
    </row>
    <row r="302" spans="1:13" x14ac:dyDescent="0.25">
      <c r="A302" t="s">
        <v>1143</v>
      </c>
      <c r="B302" t="s">
        <v>1144</v>
      </c>
      <c r="C302" t="s">
        <v>121</v>
      </c>
      <c r="D302" t="s">
        <v>1127</v>
      </c>
      <c r="E302" t="s">
        <v>654</v>
      </c>
      <c r="F302" t="s">
        <v>334</v>
      </c>
      <c r="G302" t="s">
        <v>1145</v>
      </c>
      <c r="H302" t="str">
        <f>HYPERLINK("https://baanknet.com/view-property/257782/3B7ED872260D9471EB9DFAE0E83893B5765885298AEEFE80003570D238AFB302", "https://baanknet.com/view-property/257782/3B7ED872260D9471EB9DFAE0E83893B5765885298AEEFE80003570D238AFB302")</f>
        <v>https://baanknet.com/view-property/257782/3B7ED872260D9471EB9DFAE0E83893B5765885298AEEFE80003570D238AFB302</v>
      </c>
      <c r="I302" t="str">
        <f>HYPERLINK("https://baanknet.com/view-property/257782/3B7ED872260D9471EB9DFAE0E83893B5765885298AEEFE80003570D238AFB302", "Open")</f>
        <v>Open</v>
      </c>
      <c r="J302" t="s">
        <v>20</v>
      </c>
      <c r="K302" t="s">
        <v>21</v>
      </c>
      <c r="L302">
        <v>1672000</v>
      </c>
      <c r="M302">
        <v>167200</v>
      </c>
    </row>
    <row r="303" spans="1:13" x14ac:dyDescent="0.25">
      <c r="A303" t="s">
        <v>1146</v>
      </c>
      <c r="B303" t="s">
        <v>1147</v>
      </c>
      <c r="C303" t="s">
        <v>121</v>
      </c>
      <c r="D303" t="s">
        <v>1127</v>
      </c>
      <c r="E303" t="s">
        <v>654</v>
      </c>
      <c r="F303" t="s">
        <v>334</v>
      </c>
      <c r="G303" t="s">
        <v>1148</v>
      </c>
      <c r="H303" t="str">
        <f>HYPERLINK("https://baanknet.com/view-property/285813/37CE0323884C3A45BB0023948A86ECA1D37A7928457A587FB05BC49F0DEA7A36", "https://baanknet.com/view-property/285813/37CE0323884C3A45BB0023948A86ECA1D37A7928457A587FB05BC49F0DEA7A36")</f>
        <v>https://baanknet.com/view-property/285813/37CE0323884C3A45BB0023948A86ECA1D37A7928457A587FB05BC49F0DEA7A36</v>
      </c>
      <c r="I303" t="str">
        <f>HYPERLINK("https://baanknet.com/view-property/285813/37CE0323884C3A45BB0023948A86ECA1D37A7928457A587FB05BC49F0DEA7A36", "Open")</f>
        <v>Open</v>
      </c>
      <c r="J303" t="s">
        <v>20</v>
      </c>
      <c r="K303" t="s">
        <v>21</v>
      </c>
      <c r="L303">
        <v>1150000</v>
      </c>
      <c r="M303">
        <v>115000</v>
      </c>
    </row>
    <row r="304" spans="1:13" x14ac:dyDescent="0.25">
      <c r="A304" t="s">
        <v>1149</v>
      </c>
      <c r="B304" t="s">
        <v>1150</v>
      </c>
      <c r="C304" t="s">
        <v>121</v>
      </c>
      <c r="D304" t="s">
        <v>1127</v>
      </c>
      <c r="E304" t="s">
        <v>654</v>
      </c>
      <c r="F304" t="s">
        <v>334</v>
      </c>
      <c r="G304" t="s">
        <v>1151</v>
      </c>
      <c r="H304" t="str">
        <f>HYPERLINK("https://baanknet.com/view-property/283785/BEB715B317F4697E59EFF4F86D7A9DBC0E99954846185704EDFA0FFFC6491865", "https://baanknet.com/view-property/283785/BEB715B317F4697E59EFF4F86D7A9DBC0E99954846185704EDFA0FFFC6491865")</f>
        <v>https://baanknet.com/view-property/283785/BEB715B317F4697E59EFF4F86D7A9DBC0E99954846185704EDFA0FFFC6491865</v>
      </c>
      <c r="I304" t="str">
        <f>HYPERLINK("https://baanknet.com/view-property/283785/BEB715B317F4697E59EFF4F86D7A9DBC0E99954846185704EDFA0FFFC6491865", "Open")</f>
        <v>Open</v>
      </c>
      <c r="J304" t="s">
        <v>20</v>
      </c>
      <c r="K304" t="s">
        <v>21</v>
      </c>
      <c r="L304">
        <v>840000</v>
      </c>
      <c r="M304">
        <v>84000</v>
      </c>
    </row>
    <row r="305" spans="1:13" x14ac:dyDescent="0.25">
      <c r="A305" t="s">
        <v>1152</v>
      </c>
      <c r="B305" t="s">
        <v>1153</v>
      </c>
      <c r="C305" t="s">
        <v>121</v>
      </c>
      <c r="D305" t="s">
        <v>1127</v>
      </c>
      <c r="E305" t="s">
        <v>654</v>
      </c>
      <c r="F305" t="s">
        <v>334</v>
      </c>
      <c r="G305" t="s">
        <v>1154</v>
      </c>
      <c r="H305" t="str">
        <f>HYPERLINK("https://baanknet.com/view-property/285818/1ACCFCCDFCE93C998493423E67FD512C5ED4C24BEA13E5B6E6055DE9F5267CFB", "https://baanknet.com/view-property/285818/1ACCFCCDFCE93C998493423E67FD512C5ED4C24BEA13E5B6E6055DE9F5267CFB")</f>
        <v>https://baanknet.com/view-property/285818/1ACCFCCDFCE93C998493423E67FD512C5ED4C24BEA13E5B6E6055DE9F5267CFB</v>
      </c>
      <c r="I305" t="str">
        <f>HYPERLINK("https://baanknet.com/view-property/285818/1ACCFCCDFCE93C998493423E67FD512C5ED4C24BEA13E5B6E6055DE9F5267CFB", "Open")</f>
        <v>Open</v>
      </c>
      <c r="J305" t="s">
        <v>20</v>
      </c>
      <c r="K305" t="s">
        <v>21</v>
      </c>
      <c r="L305">
        <v>876000</v>
      </c>
      <c r="M305">
        <v>87600</v>
      </c>
    </row>
    <row r="306" spans="1:13" x14ac:dyDescent="0.25">
      <c r="A306" t="s">
        <v>1155</v>
      </c>
      <c r="B306" t="s">
        <v>1156</v>
      </c>
      <c r="C306" t="s">
        <v>121</v>
      </c>
      <c r="D306" t="s">
        <v>1127</v>
      </c>
      <c r="E306" t="s">
        <v>654</v>
      </c>
      <c r="F306" t="s">
        <v>334</v>
      </c>
      <c r="G306" t="s">
        <v>1157</v>
      </c>
      <c r="H306" t="str">
        <f>HYPERLINK("https://baanknet.com/view-property/285819/EAFD7F4EABBF52CE2F49E20BC69DCB93F18C32989D5B5D7FD82D3BE0FB209B3E", "https://baanknet.com/view-property/285819/EAFD7F4EABBF52CE2F49E20BC69DCB93F18C32989D5B5D7FD82D3BE0FB209B3E")</f>
        <v>https://baanknet.com/view-property/285819/EAFD7F4EABBF52CE2F49E20BC69DCB93F18C32989D5B5D7FD82D3BE0FB209B3E</v>
      </c>
      <c r="I306" t="str">
        <f>HYPERLINK("https://baanknet.com/view-property/285819/EAFD7F4EABBF52CE2F49E20BC69DCB93F18C32989D5B5D7FD82D3BE0FB209B3E", "Open")</f>
        <v>Open</v>
      </c>
      <c r="J306" t="s">
        <v>20</v>
      </c>
      <c r="K306" t="s">
        <v>21</v>
      </c>
      <c r="L306">
        <v>2016000</v>
      </c>
      <c r="M306">
        <v>201600</v>
      </c>
    </row>
    <row r="307" spans="1:13" x14ac:dyDescent="0.25">
      <c r="A307" t="s">
        <v>1158</v>
      </c>
      <c r="B307" t="s">
        <v>1159</v>
      </c>
      <c r="C307" t="s">
        <v>121</v>
      </c>
      <c r="D307" t="s">
        <v>526</v>
      </c>
      <c r="E307" t="s">
        <v>654</v>
      </c>
      <c r="F307" t="s">
        <v>334</v>
      </c>
      <c r="G307" t="s">
        <v>1160</v>
      </c>
      <c r="H307" t="str">
        <f>HYPERLINK("https://baanknet.com/view-property/260285/0591DF7D9383C9D735C7DE46C97003452286173BC2804D49EA9BEBB8D848E1F1", "https://baanknet.com/view-property/260285/0591DF7D9383C9D735C7DE46C97003452286173BC2804D49EA9BEBB8D848E1F1")</f>
        <v>https://baanknet.com/view-property/260285/0591DF7D9383C9D735C7DE46C97003452286173BC2804D49EA9BEBB8D848E1F1</v>
      </c>
      <c r="I307" t="str">
        <f>HYPERLINK("https://baanknet.com/view-property/260285/0591DF7D9383C9D735C7DE46C97003452286173BC2804D49EA9BEBB8D848E1F1", "Open")</f>
        <v>Open</v>
      </c>
      <c r="J307" t="s">
        <v>20</v>
      </c>
      <c r="K307" t="s">
        <v>21</v>
      </c>
      <c r="L307">
        <v>2900000</v>
      </c>
      <c r="M307">
        <v>290000</v>
      </c>
    </row>
    <row r="308" spans="1:13" x14ac:dyDescent="0.25">
      <c r="A308" t="s">
        <v>1161</v>
      </c>
      <c r="B308" t="s">
        <v>1162</v>
      </c>
      <c r="C308" t="s">
        <v>121</v>
      </c>
      <c r="D308" t="s">
        <v>1127</v>
      </c>
      <c r="E308" t="s">
        <v>654</v>
      </c>
      <c r="F308" t="s">
        <v>334</v>
      </c>
      <c r="G308" t="s">
        <v>1163</v>
      </c>
      <c r="H308" t="str">
        <f>HYPERLINK("https://baanknet.com/view-property/285828/766DF9312D2F308EB9C03120A18D5560444F6F073B2016B1AF4B2E2CA4A8066D", "https://baanknet.com/view-property/285828/766DF9312D2F308EB9C03120A18D5560444F6F073B2016B1AF4B2E2CA4A8066D")</f>
        <v>https://baanknet.com/view-property/285828/766DF9312D2F308EB9C03120A18D5560444F6F073B2016B1AF4B2E2CA4A8066D</v>
      </c>
      <c r="I308" t="str">
        <f>HYPERLINK("https://baanknet.com/view-property/285828/766DF9312D2F308EB9C03120A18D5560444F6F073B2016B1AF4B2E2CA4A8066D", "Open")</f>
        <v>Open</v>
      </c>
      <c r="J308" t="s">
        <v>20</v>
      </c>
      <c r="K308" t="s">
        <v>21</v>
      </c>
      <c r="L308">
        <v>748000</v>
      </c>
      <c r="M308">
        <v>74800</v>
      </c>
    </row>
    <row r="309" spans="1:13" x14ac:dyDescent="0.25">
      <c r="A309" t="s">
        <v>1164</v>
      </c>
      <c r="B309" t="s">
        <v>1165</v>
      </c>
      <c r="C309" t="s">
        <v>121</v>
      </c>
      <c r="D309" t="s">
        <v>526</v>
      </c>
      <c r="E309" t="s">
        <v>654</v>
      </c>
      <c r="F309" t="s">
        <v>334</v>
      </c>
      <c r="G309" t="s">
        <v>1166</v>
      </c>
      <c r="H309" t="str">
        <f>HYPERLINK("https://baanknet.com/view-property/278145/17A69AD3C33844F3309F28EF0B83B4AF7D1919485C1F7D461DC7B2FC88995005", "https://baanknet.com/view-property/278145/17A69AD3C33844F3309F28EF0B83B4AF7D1919485C1F7D461DC7B2FC88995005")</f>
        <v>https://baanknet.com/view-property/278145/17A69AD3C33844F3309F28EF0B83B4AF7D1919485C1F7D461DC7B2FC88995005</v>
      </c>
      <c r="I309" t="str">
        <f>HYPERLINK("https://baanknet.com/view-property/278145/17A69AD3C33844F3309F28EF0B83B4AF7D1919485C1F7D461DC7B2FC88995005", "Open")</f>
        <v>Open</v>
      </c>
      <c r="J309" t="s">
        <v>20</v>
      </c>
      <c r="K309" t="s">
        <v>21</v>
      </c>
      <c r="L309">
        <v>1186000</v>
      </c>
      <c r="M309">
        <v>118600</v>
      </c>
    </row>
    <row r="310" spans="1:13" x14ac:dyDescent="0.25">
      <c r="A310" t="s">
        <v>1167</v>
      </c>
      <c r="B310" t="s">
        <v>1168</v>
      </c>
      <c r="C310" t="s">
        <v>121</v>
      </c>
      <c r="D310" t="s">
        <v>1169</v>
      </c>
      <c r="E310" t="s">
        <v>654</v>
      </c>
      <c r="F310" t="s">
        <v>334</v>
      </c>
      <c r="G310" t="s">
        <v>1170</v>
      </c>
      <c r="H310" t="str">
        <f>HYPERLINK("https://baanknet.com/view-property/191880/FFA401FADA5A22F2FF3B22A2440ADCCA1F384B01C4B4873207CC22862C55C822", "https://baanknet.com/view-property/191880/FFA401FADA5A22F2FF3B22A2440ADCCA1F384B01C4B4873207CC22862C55C822")</f>
        <v>https://baanknet.com/view-property/191880/FFA401FADA5A22F2FF3B22A2440ADCCA1F384B01C4B4873207CC22862C55C822</v>
      </c>
      <c r="I310" t="str">
        <f>HYPERLINK("https://baanknet.com/view-property/191880/FFA401FADA5A22F2FF3B22A2440ADCCA1F384B01C4B4873207CC22862C55C822", "Open")</f>
        <v>Open</v>
      </c>
      <c r="J310" t="s">
        <v>20</v>
      </c>
      <c r="K310" t="s">
        <v>21</v>
      </c>
      <c r="L310">
        <v>3500000</v>
      </c>
      <c r="M310">
        <v>350000</v>
      </c>
    </row>
    <row r="311" spans="1:13" x14ac:dyDescent="0.25">
      <c r="A311" t="s">
        <v>1171</v>
      </c>
      <c r="B311" t="s">
        <v>1172</v>
      </c>
      <c r="C311" t="s">
        <v>121</v>
      </c>
      <c r="D311" t="s">
        <v>1169</v>
      </c>
      <c r="E311" t="s">
        <v>654</v>
      </c>
      <c r="F311" t="s">
        <v>334</v>
      </c>
      <c r="G311" t="s">
        <v>1173</v>
      </c>
      <c r="H311" t="str">
        <f>HYPERLINK("https://baanknet.com/view-property/173809/DE97D5E1FEB19870131FB6AA162737E93233A6E9C9F1035D171B9729FF30F13E", "https://baanknet.com/view-property/173809/DE97D5E1FEB19870131FB6AA162737E93233A6E9C9F1035D171B9729FF30F13E")</f>
        <v>https://baanknet.com/view-property/173809/DE97D5E1FEB19870131FB6AA162737E93233A6E9C9F1035D171B9729FF30F13E</v>
      </c>
      <c r="I311" t="str">
        <f>HYPERLINK("https://baanknet.com/view-property/173809/DE97D5E1FEB19870131FB6AA162737E93233A6E9C9F1035D171B9729FF30F13E", "Open")</f>
        <v>Open</v>
      </c>
      <c r="J311" t="s">
        <v>20</v>
      </c>
      <c r="K311" t="s">
        <v>21</v>
      </c>
      <c r="L311">
        <v>2850000</v>
      </c>
      <c r="M311">
        <v>285000</v>
      </c>
    </row>
    <row r="312" spans="1:13" x14ac:dyDescent="0.25">
      <c r="A312" t="s">
        <v>1174</v>
      </c>
      <c r="B312" t="s">
        <v>1175</v>
      </c>
      <c r="C312" t="s">
        <v>121</v>
      </c>
      <c r="D312" t="s">
        <v>1169</v>
      </c>
      <c r="E312" t="s">
        <v>654</v>
      </c>
      <c r="F312" t="s">
        <v>334</v>
      </c>
      <c r="G312" t="s">
        <v>1176</v>
      </c>
      <c r="H312" t="str">
        <f>HYPERLINK("https://baanknet.com/view-property/228087/7D052D9850EA888163ED4A0FE41D548269BC483B1F74E10F480994B0694306E3", "https://baanknet.com/view-property/228087/7D052D9850EA888163ED4A0FE41D548269BC483B1F74E10F480994B0694306E3")</f>
        <v>https://baanknet.com/view-property/228087/7D052D9850EA888163ED4A0FE41D548269BC483B1F74E10F480994B0694306E3</v>
      </c>
      <c r="I312" t="str">
        <f>HYPERLINK("https://baanknet.com/view-property/228087/7D052D9850EA888163ED4A0FE41D548269BC483B1F74E10F480994B0694306E3", "Open")</f>
        <v>Open</v>
      </c>
      <c r="J312" t="s">
        <v>20</v>
      </c>
      <c r="K312" t="s">
        <v>21</v>
      </c>
      <c r="L312">
        <v>9800000</v>
      </c>
      <c r="M312">
        <v>980000</v>
      </c>
    </row>
    <row r="313" spans="1:13" x14ac:dyDescent="0.25">
      <c r="A313" t="s">
        <v>1177</v>
      </c>
      <c r="B313" t="s">
        <v>1178</v>
      </c>
      <c r="C313" t="s">
        <v>121</v>
      </c>
      <c r="D313" t="s">
        <v>1169</v>
      </c>
      <c r="E313" t="s">
        <v>654</v>
      </c>
      <c r="F313" t="s">
        <v>334</v>
      </c>
      <c r="G313" t="s">
        <v>1179</v>
      </c>
      <c r="H313" t="str">
        <f>HYPERLINK("https://baanknet.com/view-property/173805/3D96D5C7D54F85F0627C8D3075C6D6C195DAA0A7C8C558900725C1F3F3A2D50F", "https://baanknet.com/view-property/173805/3D96D5C7D54F85F0627C8D3075C6D6C195DAA0A7C8C558900725C1F3F3A2D50F")</f>
        <v>https://baanknet.com/view-property/173805/3D96D5C7D54F85F0627C8D3075C6D6C195DAA0A7C8C558900725C1F3F3A2D50F</v>
      </c>
      <c r="I313" t="str">
        <f>HYPERLINK("https://baanknet.com/view-property/173805/3D96D5C7D54F85F0627C8D3075C6D6C195DAA0A7C8C558900725C1F3F3A2D50F", "Open")</f>
        <v>Open</v>
      </c>
      <c r="J313" t="s">
        <v>20</v>
      </c>
      <c r="K313" t="s">
        <v>21</v>
      </c>
      <c r="L313">
        <v>2700000</v>
      </c>
      <c r="M313">
        <v>270000</v>
      </c>
    </row>
    <row r="314" spans="1:13" x14ac:dyDescent="0.25">
      <c r="A314" t="s">
        <v>1180</v>
      </c>
      <c r="B314" t="s">
        <v>1181</v>
      </c>
      <c r="C314" t="s">
        <v>121</v>
      </c>
      <c r="D314" t="s">
        <v>1182</v>
      </c>
      <c r="E314" t="s">
        <v>654</v>
      </c>
      <c r="F314" t="s">
        <v>334</v>
      </c>
      <c r="G314" t="s">
        <v>1183</v>
      </c>
      <c r="H314" t="str">
        <f>HYPERLINK("https://baanknet.com/view-property/232193/682A1E02A99A8D167DF4CD850117173E58818D93A96C2A0C76D4FFB18A1F56BE", "https://baanknet.com/view-property/232193/682A1E02A99A8D167DF4CD850117173E58818D93A96C2A0C76D4FFB18A1F56BE")</f>
        <v>https://baanknet.com/view-property/232193/682A1E02A99A8D167DF4CD850117173E58818D93A96C2A0C76D4FFB18A1F56BE</v>
      </c>
      <c r="I314" t="str">
        <f>HYPERLINK("https://baanknet.com/view-property/232193/682A1E02A99A8D167DF4CD850117173E58818D93A96C2A0C76D4FFB18A1F56BE", "Open")</f>
        <v>Open</v>
      </c>
      <c r="J314" t="s">
        <v>20</v>
      </c>
      <c r="K314" t="s">
        <v>21</v>
      </c>
      <c r="L314">
        <v>2300000</v>
      </c>
      <c r="M314">
        <v>230000</v>
      </c>
    </row>
    <row r="315" spans="1:13" x14ac:dyDescent="0.25">
      <c r="A315" t="s">
        <v>1184</v>
      </c>
      <c r="B315" t="s">
        <v>1185</v>
      </c>
      <c r="C315" t="s">
        <v>121</v>
      </c>
      <c r="D315" t="s">
        <v>1186</v>
      </c>
      <c r="E315" t="s">
        <v>654</v>
      </c>
      <c r="F315" t="s">
        <v>334</v>
      </c>
      <c r="G315" t="s">
        <v>1187</v>
      </c>
      <c r="H315" t="str">
        <f>HYPERLINK("https://baanknet.com/view-property/232179/35B619007ADB59B70A8CB9CB1B4F32B30DA870988623AA6CF2F33DBD763C5AC5", "https://baanknet.com/view-property/232179/35B619007ADB59B70A8CB9CB1B4F32B30DA870988623AA6CF2F33DBD763C5AC5")</f>
        <v>https://baanknet.com/view-property/232179/35B619007ADB59B70A8CB9CB1B4F32B30DA870988623AA6CF2F33DBD763C5AC5</v>
      </c>
      <c r="I315" t="str">
        <f>HYPERLINK("https://baanknet.com/view-property/232179/35B619007ADB59B70A8CB9CB1B4F32B30DA870988623AA6CF2F33DBD763C5AC5", "Open")</f>
        <v>Open</v>
      </c>
      <c r="J315" t="s">
        <v>20</v>
      </c>
      <c r="K315" t="s">
        <v>21</v>
      </c>
      <c r="L315">
        <v>1890000</v>
      </c>
      <c r="M315">
        <v>189000</v>
      </c>
    </row>
    <row r="316" spans="1:13" x14ac:dyDescent="0.25">
      <c r="A316" t="s">
        <v>1188</v>
      </c>
      <c r="B316" t="s">
        <v>1189</v>
      </c>
      <c r="C316" t="s">
        <v>121</v>
      </c>
      <c r="D316" t="s">
        <v>1190</v>
      </c>
      <c r="E316" t="s">
        <v>654</v>
      </c>
      <c r="F316" t="s">
        <v>334</v>
      </c>
      <c r="G316" t="s">
        <v>1191</v>
      </c>
      <c r="H316" t="str">
        <f>HYPERLINK("https://baanknet.com/view-property/232285/A7341E495ABB79233FA1BBD6028BE9F626341E94B30578C34A0449B8DA536819", "https://baanknet.com/view-property/232285/A7341E495ABB79233FA1BBD6028BE9F626341E94B30578C34A0449B8DA536819")</f>
        <v>https://baanknet.com/view-property/232285/A7341E495ABB79233FA1BBD6028BE9F626341E94B30578C34A0449B8DA536819</v>
      </c>
      <c r="I316" t="str">
        <f>HYPERLINK("https://baanknet.com/view-property/232285/A7341E495ABB79233FA1BBD6028BE9F626341E94B30578C34A0449B8DA536819", "Open")</f>
        <v>Open</v>
      </c>
      <c r="J316" t="s">
        <v>20</v>
      </c>
      <c r="K316" t="s">
        <v>21</v>
      </c>
      <c r="L316">
        <v>7730000</v>
      </c>
      <c r="M316">
        <v>773000</v>
      </c>
    </row>
    <row r="317" spans="1:13" x14ac:dyDescent="0.25">
      <c r="A317" t="s">
        <v>1192</v>
      </c>
      <c r="B317" t="s">
        <v>1193</v>
      </c>
      <c r="C317" t="s">
        <v>121</v>
      </c>
      <c r="D317" t="s">
        <v>1190</v>
      </c>
      <c r="E317" t="s">
        <v>654</v>
      </c>
      <c r="F317" t="s">
        <v>334</v>
      </c>
      <c r="G317" t="s">
        <v>1194</v>
      </c>
      <c r="H317" t="str">
        <f>HYPERLINK("https://baanknet.com/view-property/232286/15339E9170139AA3168A6DBFF3D00C93F7ADCBD1D5BF0AA056F3D3DAFAFE8B11", "https://baanknet.com/view-property/232286/15339E9170139AA3168A6DBFF3D00C93F7ADCBD1D5BF0AA056F3D3DAFAFE8B11")</f>
        <v>https://baanknet.com/view-property/232286/15339E9170139AA3168A6DBFF3D00C93F7ADCBD1D5BF0AA056F3D3DAFAFE8B11</v>
      </c>
      <c r="I317" t="str">
        <f>HYPERLINK("https://baanknet.com/view-property/232286/15339E9170139AA3168A6DBFF3D00C93F7ADCBD1D5BF0AA056F3D3DAFAFE8B11", "Open")</f>
        <v>Open</v>
      </c>
      <c r="J317" t="s">
        <v>20</v>
      </c>
      <c r="K317" t="s">
        <v>21</v>
      </c>
      <c r="L317">
        <v>9220000</v>
      </c>
      <c r="M317">
        <v>922000</v>
      </c>
    </row>
    <row r="318" spans="1:13" x14ac:dyDescent="0.25">
      <c r="A318" t="s">
        <v>1195</v>
      </c>
      <c r="B318" t="s">
        <v>1196</v>
      </c>
      <c r="C318" t="s">
        <v>121</v>
      </c>
      <c r="D318" t="s">
        <v>1190</v>
      </c>
      <c r="E318" t="s">
        <v>654</v>
      </c>
      <c r="F318" t="s">
        <v>334</v>
      </c>
      <c r="G318" t="s">
        <v>1197</v>
      </c>
      <c r="H318" t="str">
        <f>HYPERLINK("https://baanknet.com/view-property/188697/BB3D53BA94CAB45B124AFBDBED951EC8C37168082321E2DA4DEAF015941AF155", "https://baanknet.com/view-property/188697/BB3D53BA94CAB45B124AFBDBED951EC8C37168082321E2DA4DEAF015941AF155")</f>
        <v>https://baanknet.com/view-property/188697/BB3D53BA94CAB45B124AFBDBED951EC8C37168082321E2DA4DEAF015941AF155</v>
      </c>
      <c r="I318" t="str">
        <f>HYPERLINK("https://baanknet.com/view-property/188697/BB3D53BA94CAB45B124AFBDBED951EC8C37168082321E2DA4DEAF015941AF155", "Open")</f>
        <v>Open</v>
      </c>
      <c r="J318" t="s">
        <v>20</v>
      </c>
      <c r="K318" t="s">
        <v>21</v>
      </c>
      <c r="L318">
        <v>16600000</v>
      </c>
      <c r="M318">
        <v>1660000</v>
      </c>
    </row>
    <row r="319" spans="1:13" x14ac:dyDescent="0.25">
      <c r="A319" t="s">
        <v>1198</v>
      </c>
      <c r="B319" t="s">
        <v>1199</v>
      </c>
      <c r="C319" t="s">
        <v>121</v>
      </c>
      <c r="D319" t="s">
        <v>1190</v>
      </c>
      <c r="E319" t="s">
        <v>654</v>
      </c>
      <c r="F319" t="s">
        <v>334</v>
      </c>
      <c r="G319" t="s">
        <v>1200</v>
      </c>
      <c r="H319" t="str">
        <f>HYPERLINK("https://baanknet.com/view-property/188522/3C465A5C608A99322EA0FFDC148A6975A4F567C73ACCEA4639EFEF93B4E6D3DB", "https://baanknet.com/view-property/188522/3C465A5C608A99322EA0FFDC148A6975A4F567C73ACCEA4639EFEF93B4E6D3DB")</f>
        <v>https://baanknet.com/view-property/188522/3C465A5C608A99322EA0FFDC148A6975A4F567C73ACCEA4639EFEF93B4E6D3DB</v>
      </c>
      <c r="I319" t="str">
        <f>HYPERLINK("https://baanknet.com/view-property/188522/3C465A5C608A99322EA0FFDC148A6975A4F567C73ACCEA4639EFEF93B4E6D3DB", "Open")</f>
        <v>Open</v>
      </c>
      <c r="J319" t="s">
        <v>20</v>
      </c>
      <c r="K319" t="s">
        <v>21</v>
      </c>
      <c r="L319">
        <v>1565000</v>
      </c>
      <c r="M319">
        <v>156500</v>
      </c>
    </row>
    <row r="320" spans="1:13" x14ac:dyDescent="0.25">
      <c r="A320" t="s">
        <v>1201</v>
      </c>
      <c r="B320" t="s">
        <v>1202</v>
      </c>
      <c r="C320" t="s">
        <v>121</v>
      </c>
      <c r="D320" t="s">
        <v>1190</v>
      </c>
      <c r="E320" t="s">
        <v>654</v>
      </c>
      <c r="F320" t="s">
        <v>334</v>
      </c>
      <c r="G320" t="s">
        <v>1203</v>
      </c>
      <c r="H320" t="str">
        <f>HYPERLINK("https://baanknet.com/view-property/170983/33B88B9EA14834E885CB57872A7420F643F009872060467BFD995566E279DC32", "https://baanknet.com/view-property/170983/33B88B9EA14834E885CB57872A7420F643F009872060467BFD995566E279DC32")</f>
        <v>https://baanknet.com/view-property/170983/33B88B9EA14834E885CB57872A7420F643F009872060467BFD995566E279DC32</v>
      </c>
      <c r="I320" t="str">
        <f>HYPERLINK("https://baanknet.com/view-property/170983/33B88B9EA14834E885CB57872A7420F643F009872060467BFD995566E279DC32", "Open")</f>
        <v>Open</v>
      </c>
      <c r="J320" t="s">
        <v>20</v>
      </c>
      <c r="K320" t="s">
        <v>21</v>
      </c>
      <c r="L320">
        <v>1595000</v>
      </c>
      <c r="M320">
        <v>159500</v>
      </c>
    </row>
    <row r="321" spans="1:13" x14ac:dyDescent="0.25">
      <c r="A321" t="s">
        <v>1204</v>
      </c>
      <c r="B321" t="s">
        <v>1205</v>
      </c>
      <c r="C321" t="s">
        <v>121</v>
      </c>
      <c r="D321" t="s">
        <v>1190</v>
      </c>
      <c r="E321" t="s">
        <v>654</v>
      </c>
      <c r="F321" t="s">
        <v>334</v>
      </c>
      <c r="G321" t="s">
        <v>1206</v>
      </c>
      <c r="H321" t="str">
        <f>HYPERLINK("https://baanknet.com/view-property/171245/96EE149F099F80B6179F38853F5A43979FD3DCB90EED4BEC5F854592656ECCAB", "https://baanknet.com/view-property/171245/96EE149F099F80B6179F38853F5A43979FD3DCB90EED4BEC5F854592656ECCAB")</f>
        <v>https://baanknet.com/view-property/171245/96EE149F099F80B6179F38853F5A43979FD3DCB90EED4BEC5F854592656ECCAB</v>
      </c>
      <c r="I321" t="str">
        <f>HYPERLINK("https://baanknet.com/view-property/171245/96EE149F099F80B6179F38853F5A43979FD3DCB90EED4BEC5F854592656ECCAB", "Open")</f>
        <v>Open</v>
      </c>
      <c r="J321" t="s">
        <v>20</v>
      </c>
      <c r="K321" t="s">
        <v>21</v>
      </c>
      <c r="L321">
        <v>1890000</v>
      </c>
      <c r="M321">
        <v>189000</v>
      </c>
    </row>
    <row r="322" spans="1:13" x14ac:dyDescent="0.25">
      <c r="A322" t="s">
        <v>1207</v>
      </c>
      <c r="B322" t="s">
        <v>1208</v>
      </c>
      <c r="C322" t="s">
        <v>121</v>
      </c>
      <c r="D322" t="s">
        <v>1190</v>
      </c>
      <c r="E322" t="s">
        <v>654</v>
      </c>
      <c r="F322" t="s">
        <v>334</v>
      </c>
      <c r="G322" t="s">
        <v>1209</v>
      </c>
      <c r="H322" t="str">
        <f>HYPERLINK("https://baanknet.com/view-property/171350/BAF3C9FC26B210B2987A03DC8B4A80C89EF4350DEB0E9EB7B0412F10B2141538", "https://baanknet.com/view-property/171350/BAF3C9FC26B210B2987A03DC8B4A80C89EF4350DEB0E9EB7B0412F10B2141538")</f>
        <v>https://baanknet.com/view-property/171350/BAF3C9FC26B210B2987A03DC8B4A80C89EF4350DEB0E9EB7B0412F10B2141538</v>
      </c>
      <c r="I322" t="str">
        <f>HYPERLINK("https://baanknet.com/view-property/171350/BAF3C9FC26B210B2987A03DC8B4A80C89EF4350DEB0E9EB7B0412F10B2141538", "Open")</f>
        <v>Open</v>
      </c>
      <c r="J322" t="s">
        <v>20</v>
      </c>
      <c r="K322" t="s">
        <v>21</v>
      </c>
      <c r="L322">
        <v>2700000</v>
      </c>
      <c r="M322">
        <v>270000</v>
      </c>
    </row>
    <row r="323" spans="1:13" x14ac:dyDescent="0.25">
      <c r="A323" t="s">
        <v>1210</v>
      </c>
      <c r="B323" t="s">
        <v>1211</v>
      </c>
      <c r="C323" t="s">
        <v>121</v>
      </c>
      <c r="D323" t="s">
        <v>1190</v>
      </c>
      <c r="E323" t="s">
        <v>654</v>
      </c>
      <c r="F323" t="s">
        <v>334</v>
      </c>
      <c r="G323" t="s">
        <v>1212</v>
      </c>
      <c r="H323" t="str">
        <f>HYPERLINK("https://baanknet.com/view-property/232453/34595E9F0D896A029F642C0AAAE3F70E22A9D8A2A57A6157CF023F4D80484512", "https://baanknet.com/view-property/232453/34595E9F0D896A029F642C0AAAE3F70E22A9D8A2A57A6157CF023F4D80484512")</f>
        <v>https://baanknet.com/view-property/232453/34595E9F0D896A029F642C0AAAE3F70E22A9D8A2A57A6157CF023F4D80484512</v>
      </c>
      <c r="I323" t="str">
        <f>HYPERLINK("https://baanknet.com/view-property/232453/34595E9F0D896A029F642C0AAAE3F70E22A9D8A2A57A6157CF023F4D80484512", "Open")</f>
        <v>Open</v>
      </c>
      <c r="J323" t="s">
        <v>20</v>
      </c>
      <c r="K323" t="s">
        <v>21</v>
      </c>
      <c r="L323">
        <v>3420000</v>
      </c>
      <c r="M323">
        <v>342000</v>
      </c>
    </row>
    <row r="324" spans="1:13" x14ac:dyDescent="0.25">
      <c r="A324" t="s">
        <v>1213</v>
      </c>
      <c r="B324" t="s">
        <v>1214</v>
      </c>
      <c r="C324" t="s">
        <v>121</v>
      </c>
      <c r="D324" t="s">
        <v>1190</v>
      </c>
      <c r="E324" t="s">
        <v>654</v>
      </c>
      <c r="F324" t="s">
        <v>334</v>
      </c>
      <c r="G324" t="s">
        <v>1215</v>
      </c>
      <c r="H324" t="str">
        <f>HYPERLINK("https://baanknet.com/view-property/232457/C91F2B18F0D946213DD0AFAEDE9BBA4A8803AD55756148D29077F880F0B0EDA4", "https://baanknet.com/view-property/232457/C91F2B18F0D946213DD0AFAEDE9BBA4A8803AD55756148D29077F880F0B0EDA4")</f>
        <v>https://baanknet.com/view-property/232457/C91F2B18F0D946213DD0AFAEDE9BBA4A8803AD55756148D29077F880F0B0EDA4</v>
      </c>
      <c r="I324" t="str">
        <f>HYPERLINK("https://baanknet.com/view-property/232457/C91F2B18F0D946213DD0AFAEDE9BBA4A8803AD55756148D29077F880F0B0EDA4", "Open")</f>
        <v>Open</v>
      </c>
      <c r="J324" t="s">
        <v>20</v>
      </c>
      <c r="K324" t="s">
        <v>21</v>
      </c>
      <c r="L324">
        <v>2430000</v>
      </c>
      <c r="M324">
        <v>243000</v>
      </c>
    </row>
    <row r="325" spans="1:13" x14ac:dyDescent="0.25">
      <c r="A325" t="s">
        <v>1216</v>
      </c>
      <c r="B325" t="s">
        <v>1217</v>
      </c>
      <c r="C325" t="s">
        <v>121</v>
      </c>
      <c r="D325" t="s">
        <v>1218</v>
      </c>
      <c r="E325" t="s">
        <v>654</v>
      </c>
      <c r="F325" t="s">
        <v>334</v>
      </c>
      <c r="G325" t="s">
        <v>1219</v>
      </c>
      <c r="H325" t="str">
        <f>HYPERLINK("https://baanknet.com/view-property/282310/96390BBA6F29D31BF61BAC06359DC71A301ED6E9AA924DE833AB0CA9C1C4197B", "https://baanknet.com/view-property/282310/96390BBA6F29D31BF61BAC06359DC71A301ED6E9AA924DE833AB0CA9C1C4197B")</f>
        <v>https://baanknet.com/view-property/282310/96390BBA6F29D31BF61BAC06359DC71A301ED6E9AA924DE833AB0CA9C1C4197B</v>
      </c>
      <c r="I325" t="str">
        <f>HYPERLINK("https://baanknet.com/view-property/282310/96390BBA6F29D31BF61BAC06359DC71A301ED6E9AA924DE833AB0CA9C1C4197B", "Open")</f>
        <v>Open</v>
      </c>
      <c r="J325" t="s">
        <v>20</v>
      </c>
      <c r="K325" t="s">
        <v>21</v>
      </c>
      <c r="L325">
        <v>2350000</v>
      </c>
      <c r="M325">
        <v>235000</v>
      </c>
    </row>
    <row r="326" spans="1:13" x14ac:dyDescent="0.25">
      <c r="A326" t="s">
        <v>1220</v>
      </c>
      <c r="B326" t="s">
        <v>1221</v>
      </c>
      <c r="C326" t="s">
        <v>121</v>
      </c>
      <c r="D326" t="s">
        <v>1222</v>
      </c>
      <c r="E326" t="s">
        <v>654</v>
      </c>
      <c r="F326" t="s">
        <v>334</v>
      </c>
      <c r="G326" t="s">
        <v>1223</v>
      </c>
      <c r="H326" t="str">
        <f>HYPERLINK("https://baanknet.com/view-property/284915/D24173DBE447241A27938185CC80A4DFA6BFD7A3520E9F4067A13A453316DF9E", "https://baanknet.com/view-property/284915/D24173DBE447241A27938185CC80A4DFA6BFD7A3520E9F4067A13A453316DF9E")</f>
        <v>https://baanknet.com/view-property/284915/D24173DBE447241A27938185CC80A4DFA6BFD7A3520E9F4067A13A453316DF9E</v>
      </c>
      <c r="I326" t="str">
        <f>HYPERLINK("https://baanknet.com/view-property/284915/D24173DBE447241A27938185CC80A4DFA6BFD7A3520E9F4067A13A453316DF9E", "Open")</f>
        <v>Open</v>
      </c>
      <c r="J326" t="s">
        <v>20</v>
      </c>
      <c r="K326" t="s">
        <v>21</v>
      </c>
      <c r="L326">
        <v>4400000</v>
      </c>
      <c r="M326">
        <v>440000</v>
      </c>
    </row>
    <row r="327" spans="1:13" x14ac:dyDescent="0.25">
      <c r="A327" t="s">
        <v>1224</v>
      </c>
      <c r="B327" t="s">
        <v>1225</v>
      </c>
      <c r="C327" t="s">
        <v>121</v>
      </c>
      <c r="D327" t="s">
        <v>907</v>
      </c>
      <c r="E327" t="s">
        <v>654</v>
      </c>
      <c r="F327" t="s">
        <v>334</v>
      </c>
      <c r="G327" t="s">
        <v>1226</v>
      </c>
      <c r="H327" t="str">
        <f>HYPERLINK("https://baanknet.com/view-property/285758/2577697329414E9080623B07CF72FE378FAA5C30E72E57B7A6405A14533159CC", "https://baanknet.com/view-property/285758/2577697329414E9080623B07CF72FE378FAA5C30E72E57B7A6405A14533159CC")</f>
        <v>https://baanknet.com/view-property/285758/2577697329414E9080623B07CF72FE378FAA5C30E72E57B7A6405A14533159CC</v>
      </c>
      <c r="I327" t="str">
        <f>HYPERLINK("https://baanknet.com/view-property/285758/2577697329414E9080623B07CF72FE378FAA5C30E72E57B7A6405A14533159CC", "Open")</f>
        <v>Open</v>
      </c>
      <c r="J327" t="s">
        <v>20</v>
      </c>
      <c r="K327" t="s">
        <v>21</v>
      </c>
      <c r="L327">
        <v>3725000</v>
      </c>
      <c r="M327">
        <v>372500</v>
      </c>
    </row>
    <row r="328" spans="1:13" x14ac:dyDescent="0.25">
      <c r="A328" t="s">
        <v>1227</v>
      </c>
      <c r="B328" t="s">
        <v>1228</v>
      </c>
      <c r="C328" t="s">
        <v>332</v>
      </c>
      <c r="D328" t="s">
        <v>1229</v>
      </c>
      <c r="E328" t="s">
        <v>654</v>
      </c>
      <c r="F328" t="s">
        <v>334</v>
      </c>
      <c r="G328" t="s">
        <v>1230</v>
      </c>
      <c r="H328" t="str">
        <f>HYPERLINK("https://baanknet.com/view-property/17678/D8F903C91B362AE7C9E65B380F1E2C6E400EB973BDEA0A300EB3B4D54F4BBBF8", "https://baanknet.com/view-property/17678/D8F903C91B362AE7C9E65B380F1E2C6E400EB973BDEA0A300EB3B4D54F4BBBF8")</f>
        <v>https://baanknet.com/view-property/17678/D8F903C91B362AE7C9E65B380F1E2C6E400EB973BDEA0A300EB3B4D54F4BBBF8</v>
      </c>
      <c r="I328" t="str">
        <f>HYPERLINK("https://baanknet.com/view-property/17678/D8F903C91B362AE7C9E65B380F1E2C6E400EB973BDEA0A300EB3B4D54F4BBBF8", "Open")</f>
        <v>Open</v>
      </c>
      <c r="J328" t="s">
        <v>20</v>
      </c>
      <c r="K328" t="s">
        <v>21</v>
      </c>
      <c r="L328">
        <v>7600000</v>
      </c>
      <c r="M328">
        <v>760000</v>
      </c>
    </row>
    <row r="329" spans="1:13" x14ac:dyDescent="0.25">
      <c r="A329" t="s">
        <v>1231</v>
      </c>
      <c r="B329" t="s">
        <v>1232</v>
      </c>
      <c r="C329" t="s">
        <v>121</v>
      </c>
      <c r="D329" t="s">
        <v>1233</v>
      </c>
      <c r="E329" t="s">
        <v>654</v>
      </c>
      <c r="F329" t="s">
        <v>334</v>
      </c>
      <c r="G329" t="s">
        <v>1234</v>
      </c>
      <c r="H329" t="str">
        <f>HYPERLINK("https://baanknet.com/view-property/250756/1551FB8A1D0E9AB8DE0F2C6F1782E649060044F8BA2A2B1D5357513E8D5518B6", "https://baanknet.com/view-property/250756/1551FB8A1D0E9AB8DE0F2C6F1782E649060044F8BA2A2B1D5357513E8D5518B6")</f>
        <v>https://baanknet.com/view-property/250756/1551FB8A1D0E9AB8DE0F2C6F1782E649060044F8BA2A2B1D5357513E8D5518B6</v>
      </c>
      <c r="I329" t="str">
        <f>HYPERLINK("https://baanknet.com/view-property/250756/1551FB8A1D0E9AB8DE0F2C6F1782E649060044F8BA2A2B1D5357513E8D5518B6", "Open")</f>
        <v>Open</v>
      </c>
      <c r="J329" t="s">
        <v>20</v>
      </c>
      <c r="K329" t="s">
        <v>21</v>
      </c>
      <c r="L329">
        <v>450000</v>
      </c>
      <c r="M329">
        <v>45000</v>
      </c>
    </row>
    <row r="330" spans="1:13" x14ac:dyDescent="0.25">
      <c r="A330" t="s">
        <v>1235</v>
      </c>
      <c r="B330" t="s">
        <v>1236</v>
      </c>
      <c r="C330" t="s">
        <v>121</v>
      </c>
      <c r="D330" t="s">
        <v>1233</v>
      </c>
      <c r="E330" t="s">
        <v>654</v>
      </c>
      <c r="F330" t="s">
        <v>334</v>
      </c>
      <c r="G330" t="s">
        <v>1237</v>
      </c>
      <c r="H330" t="str">
        <f>HYPERLINK("https://baanknet.com/view-property/177959/CBFE6A42221CCFF9549619037FE384AA28A625EA2F5DBD44DF45865E70FB3980", "https://baanknet.com/view-property/177959/CBFE6A42221CCFF9549619037FE384AA28A625EA2F5DBD44DF45865E70FB3980")</f>
        <v>https://baanknet.com/view-property/177959/CBFE6A42221CCFF9549619037FE384AA28A625EA2F5DBD44DF45865E70FB3980</v>
      </c>
      <c r="I330" t="str">
        <f>HYPERLINK("https://baanknet.com/view-property/177959/CBFE6A42221CCFF9549619037FE384AA28A625EA2F5DBD44DF45865E70FB3980", "Open")</f>
        <v>Open</v>
      </c>
      <c r="J330" t="s">
        <v>20</v>
      </c>
      <c r="K330" t="s">
        <v>21</v>
      </c>
      <c r="L330">
        <v>1800000</v>
      </c>
      <c r="M330">
        <v>180000</v>
      </c>
    </row>
    <row r="331" spans="1:13" x14ac:dyDescent="0.25">
      <c r="A331" t="s">
        <v>1238</v>
      </c>
      <c r="B331" t="s">
        <v>1239</v>
      </c>
      <c r="C331" t="s">
        <v>121</v>
      </c>
      <c r="D331" t="s">
        <v>1233</v>
      </c>
      <c r="E331" t="s">
        <v>654</v>
      </c>
      <c r="F331" t="s">
        <v>334</v>
      </c>
      <c r="G331" t="s">
        <v>1240</v>
      </c>
      <c r="H331" t="str">
        <f>HYPERLINK("https://baanknet.com/view-property/177958/62820AD0554F555F9A2EFAFFE28D2BB642BDD8BADC8370D23040A609DC6F52B9", "https://baanknet.com/view-property/177958/62820AD0554F555F9A2EFAFFE28D2BB642BDD8BADC8370D23040A609DC6F52B9")</f>
        <v>https://baanknet.com/view-property/177958/62820AD0554F555F9A2EFAFFE28D2BB642BDD8BADC8370D23040A609DC6F52B9</v>
      </c>
      <c r="I331" t="str">
        <f>HYPERLINK("https://baanknet.com/view-property/177958/62820AD0554F555F9A2EFAFFE28D2BB642BDD8BADC8370D23040A609DC6F52B9", "Open")</f>
        <v>Open</v>
      </c>
      <c r="J331" t="s">
        <v>20</v>
      </c>
      <c r="K331" t="s">
        <v>21</v>
      </c>
      <c r="L331">
        <v>1550000</v>
      </c>
      <c r="M331">
        <v>155000</v>
      </c>
    </row>
    <row r="332" spans="1:13" x14ac:dyDescent="0.25">
      <c r="A332" t="s">
        <v>1241</v>
      </c>
      <c r="B332" t="s">
        <v>1242</v>
      </c>
      <c r="C332" t="s">
        <v>121</v>
      </c>
      <c r="D332" t="s">
        <v>1233</v>
      </c>
      <c r="E332" t="s">
        <v>654</v>
      </c>
      <c r="F332" t="s">
        <v>334</v>
      </c>
      <c r="G332" t="s">
        <v>1243</v>
      </c>
      <c r="H332" t="str">
        <f>HYPERLINK("https://baanknet.com/view-property/216232/F77B58008715C8A28FF43A6F9668E30F32971B29245F75346E5BC1299AA43FD5", "https://baanknet.com/view-property/216232/F77B58008715C8A28FF43A6F9668E30F32971B29245F75346E5BC1299AA43FD5")</f>
        <v>https://baanknet.com/view-property/216232/F77B58008715C8A28FF43A6F9668E30F32971B29245F75346E5BC1299AA43FD5</v>
      </c>
      <c r="I332" t="str">
        <f>HYPERLINK("https://baanknet.com/view-property/216232/F77B58008715C8A28FF43A6F9668E30F32971B29245F75346E5BC1299AA43FD5", "Open")</f>
        <v>Open</v>
      </c>
      <c r="J332" t="s">
        <v>20</v>
      </c>
      <c r="K332" t="s">
        <v>21</v>
      </c>
      <c r="L332">
        <v>5800000</v>
      </c>
      <c r="M332">
        <v>580000</v>
      </c>
    </row>
    <row r="333" spans="1:13" x14ac:dyDescent="0.25">
      <c r="A333" t="s">
        <v>1244</v>
      </c>
      <c r="B333" t="s">
        <v>1245</v>
      </c>
      <c r="C333" t="s">
        <v>15</v>
      </c>
      <c r="D333" t="s">
        <v>1246</v>
      </c>
      <c r="E333" t="s">
        <v>654</v>
      </c>
      <c r="F333" t="s">
        <v>283</v>
      </c>
      <c r="G333" t="s">
        <v>1247</v>
      </c>
      <c r="H333" t="str">
        <f>HYPERLINK("https://baanknet.com/view-property/285124/28E701C7F05B4AA405E0E70908994CC40BD020639BDB119DDFFEE8ADD71C60A4", "https://baanknet.com/view-property/285124/28E701C7F05B4AA405E0E70908994CC40BD020639BDB119DDFFEE8ADD71C60A4")</f>
        <v>https://baanknet.com/view-property/285124/28E701C7F05B4AA405E0E70908994CC40BD020639BDB119DDFFEE8ADD71C60A4</v>
      </c>
      <c r="I333" t="str">
        <f>HYPERLINK("https://baanknet.com/view-property/285124/28E701C7F05B4AA405E0E70908994CC40BD020639BDB119DDFFEE8ADD71C60A4", "Open")</f>
        <v>Open</v>
      </c>
      <c r="J333" t="s">
        <v>20</v>
      </c>
      <c r="K333" t="s">
        <v>21</v>
      </c>
      <c r="L333">
        <v>3500000</v>
      </c>
      <c r="M333">
        <v>350000</v>
      </c>
    </row>
    <row r="334" spans="1:13" x14ac:dyDescent="0.25">
      <c r="A334" t="s">
        <v>1248</v>
      </c>
      <c r="B334" t="s">
        <v>1249</v>
      </c>
      <c r="C334" t="s">
        <v>15</v>
      </c>
      <c r="D334" t="s">
        <v>691</v>
      </c>
      <c r="E334" t="s">
        <v>654</v>
      </c>
      <c r="F334" t="s">
        <v>283</v>
      </c>
      <c r="G334" t="s">
        <v>1250</v>
      </c>
      <c r="H334" t="str">
        <f>HYPERLINK("https://baanknet.com/view-property/203709/A5CDE636101EE53B31F18FE128CE4746CF08721D8B2FEF42C616C0B11384DA86", "https://baanknet.com/view-property/203709/A5CDE636101EE53B31F18FE128CE4746CF08721D8B2FEF42C616C0B11384DA86")</f>
        <v>https://baanknet.com/view-property/203709/A5CDE636101EE53B31F18FE128CE4746CF08721D8B2FEF42C616C0B11384DA86</v>
      </c>
      <c r="I334" t="str">
        <f>HYPERLINK("https://baanknet.com/view-property/203709/A5CDE636101EE53B31F18FE128CE4746CF08721D8B2FEF42C616C0B11384DA86", "Open")</f>
        <v>Open</v>
      </c>
      <c r="J334" t="s">
        <v>20</v>
      </c>
      <c r="K334" t="s">
        <v>21</v>
      </c>
      <c r="L334">
        <v>1350000</v>
      </c>
      <c r="M334">
        <v>135000</v>
      </c>
    </row>
    <row r="335" spans="1:13" x14ac:dyDescent="0.25">
      <c r="A335" t="s">
        <v>1251</v>
      </c>
      <c r="B335" t="s">
        <v>1252</v>
      </c>
      <c r="C335" t="s">
        <v>15</v>
      </c>
      <c r="D335" t="s">
        <v>1253</v>
      </c>
      <c r="E335" t="s">
        <v>654</v>
      </c>
      <c r="F335" t="s">
        <v>283</v>
      </c>
      <c r="G335" t="s">
        <v>1254</v>
      </c>
      <c r="H335" t="str">
        <f>HYPERLINK("https://baanknet.com/view-property/240104/F5F88E1D3D11C073A7FD1FA9B48D381A28EC550B6CFBE2DE56A7FB5654545290", "https://baanknet.com/view-property/240104/F5F88E1D3D11C073A7FD1FA9B48D381A28EC550B6CFBE2DE56A7FB5654545290")</f>
        <v>https://baanknet.com/view-property/240104/F5F88E1D3D11C073A7FD1FA9B48D381A28EC550B6CFBE2DE56A7FB5654545290</v>
      </c>
      <c r="I335" t="str">
        <f>HYPERLINK("https://baanknet.com/view-property/240104/F5F88E1D3D11C073A7FD1FA9B48D381A28EC550B6CFBE2DE56A7FB5654545290", "Open")</f>
        <v>Open</v>
      </c>
      <c r="J335" t="s">
        <v>20</v>
      </c>
      <c r="K335" t="s">
        <v>21</v>
      </c>
      <c r="L335">
        <v>2400000</v>
      </c>
      <c r="M335">
        <v>240000</v>
      </c>
    </row>
    <row r="336" spans="1:13" x14ac:dyDescent="0.25">
      <c r="A336" t="s">
        <v>1255</v>
      </c>
      <c r="B336" t="s">
        <v>1256</v>
      </c>
      <c r="C336" t="s">
        <v>332</v>
      </c>
      <c r="D336" t="s">
        <v>1229</v>
      </c>
      <c r="E336" t="s">
        <v>654</v>
      </c>
      <c r="F336" t="s">
        <v>334</v>
      </c>
      <c r="G336" t="s">
        <v>1257</v>
      </c>
      <c r="H336" t="str">
        <f>HYPERLINK("https://baanknet.com/view-property/126623/B6EEFEB106047C779386D75F84516EEC8DADE6FB421AB3E9C41D3C80EC6408D8", "https://baanknet.com/view-property/126623/B6EEFEB106047C779386D75F84516EEC8DADE6FB421AB3E9C41D3C80EC6408D8")</f>
        <v>https://baanknet.com/view-property/126623/B6EEFEB106047C779386D75F84516EEC8DADE6FB421AB3E9C41D3C80EC6408D8</v>
      </c>
      <c r="I336" t="str">
        <f>HYPERLINK("https://baanknet.com/view-property/126623/B6EEFEB106047C779386D75F84516EEC8DADE6FB421AB3E9C41D3C80EC6408D8", "Open")</f>
        <v>Open</v>
      </c>
      <c r="J336" t="s">
        <v>20</v>
      </c>
      <c r="K336" t="s">
        <v>21</v>
      </c>
      <c r="L336">
        <v>4500000</v>
      </c>
      <c r="M336">
        <v>450000</v>
      </c>
    </row>
    <row r="337" spans="1:13" x14ac:dyDescent="0.25">
      <c r="A337" t="s">
        <v>1258</v>
      </c>
      <c r="B337" t="s">
        <v>1259</v>
      </c>
      <c r="C337" t="s">
        <v>121</v>
      </c>
      <c r="D337" t="s">
        <v>1218</v>
      </c>
      <c r="E337" t="s">
        <v>654</v>
      </c>
      <c r="F337" t="s">
        <v>334</v>
      </c>
      <c r="G337" t="s">
        <v>1260</v>
      </c>
      <c r="H337" t="str">
        <f>HYPERLINK("https://baanknet.com/view-property/286034/FD7C2BA21D5954125D256EB37CBC434F40BDBEB40BCAFDFEAD9B1725525EA75E", "https://baanknet.com/view-property/286034/FD7C2BA21D5954125D256EB37CBC434F40BDBEB40BCAFDFEAD9B1725525EA75E")</f>
        <v>https://baanknet.com/view-property/286034/FD7C2BA21D5954125D256EB37CBC434F40BDBEB40BCAFDFEAD9B1725525EA75E</v>
      </c>
      <c r="I337" t="str">
        <f>HYPERLINK("https://baanknet.com/view-property/286034/FD7C2BA21D5954125D256EB37CBC434F40BDBEB40BCAFDFEAD9B1725525EA75E", "Open")</f>
        <v>Open</v>
      </c>
      <c r="J337" t="s">
        <v>20</v>
      </c>
      <c r="K337" t="s">
        <v>21</v>
      </c>
      <c r="L337">
        <v>2520000</v>
      </c>
      <c r="M337">
        <v>252000</v>
      </c>
    </row>
    <row r="338" spans="1:13" x14ac:dyDescent="0.25">
      <c r="A338" t="s">
        <v>1261</v>
      </c>
      <c r="B338" t="s">
        <v>1262</v>
      </c>
      <c r="C338" t="s">
        <v>121</v>
      </c>
      <c r="D338" t="s">
        <v>1263</v>
      </c>
      <c r="E338" t="s">
        <v>654</v>
      </c>
      <c r="F338" t="s">
        <v>334</v>
      </c>
      <c r="G338" t="s">
        <v>1264</v>
      </c>
      <c r="H338" t="str">
        <f>HYPERLINK("https://baanknet.com/view-property/271803/BEECD91165751E3E04F58F43C0DAB0D9F769267C299FDC069282BFF78CD0F4B5", "https://baanknet.com/view-property/271803/BEECD91165751E3E04F58F43C0DAB0D9F769267C299FDC069282BFF78CD0F4B5")</f>
        <v>https://baanknet.com/view-property/271803/BEECD91165751E3E04F58F43C0DAB0D9F769267C299FDC069282BFF78CD0F4B5</v>
      </c>
      <c r="I338" t="str">
        <f>HYPERLINK("https://baanknet.com/view-property/271803/BEECD91165751E3E04F58F43C0DAB0D9F769267C299FDC069282BFF78CD0F4B5", "Open")</f>
        <v>Open</v>
      </c>
      <c r="J338" t="s">
        <v>20</v>
      </c>
      <c r="K338" t="s">
        <v>21</v>
      </c>
      <c r="L338">
        <v>1406000</v>
      </c>
      <c r="M338">
        <v>140600</v>
      </c>
    </row>
    <row r="339" spans="1:13" x14ac:dyDescent="0.25">
      <c r="A339" t="s">
        <v>1265</v>
      </c>
      <c r="B339" t="s">
        <v>1266</v>
      </c>
      <c r="C339" t="s">
        <v>121</v>
      </c>
      <c r="D339" t="s">
        <v>1267</v>
      </c>
      <c r="E339" t="s">
        <v>654</v>
      </c>
      <c r="F339" t="s">
        <v>334</v>
      </c>
      <c r="G339" t="s">
        <v>1268</v>
      </c>
      <c r="H339" t="str">
        <f>HYPERLINK("https://baanknet.com/view-property/249783/9949D72E0C8F951529926EF1A25059506BA25CB72B6978DC7E5198752D783CD8", "https://baanknet.com/view-property/249783/9949D72E0C8F951529926EF1A25059506BA25CB72B6978DC7E5198752D783CD8")</f>
        <v>https://baanknet.com/view-property/249783/9949D72E0C8F951529926EF1A25059506BA25CB72B6978DC7E5198752D783CD8</v>
      </c>
      <c r="I339" t="str">
        <f>HYPERLINK("https://baanknet.com/view-property/249783/9949D72E0C8F951529926EF1A25059506BA25CB72B6978DC7E5198752D783CD8", "Open")</f>
        <v>Open</v>
      </c>
      <c r="J339" t="s">
        <v>20</v>
      </c>
      <c r="K339" t="s">
        <v>21</v>
      </c>
      <c r="L339">
        <v>1350000</v>
      </c>
      <c r="M339">
        <v>135000</v>
      </c>
    </row>
    <row r="340" spans="1:13" x14ac:dyDescent="0.25">
      <c r="A340" t="s">
        <v>1269</v>
      </c>
      <c r="B340" t="s">
        <v>1270</v>
      </c>
      <c r="C340" t="s">
        <v>121</v>
      </c>
      <c r="D340" t="s">
        <v>357</v>
      </c>
      <c r="E340" t="s">
        <v>654</v>
      </c>
      <c r="F340" t="s">
        <v>334</v>
      </c>
      <c r="G340" t="s">
        <v>1271</v>
      </c>
      <c r="H340" t="str">
        <f>HYPERLINK("https://baanknet.com/view-property/277764/F44760EAE72578670CA65E868F6AC87E728E3100F51EAFF26F3413795B6A1A06", "https://baanknet.com/view-property/277764/F44760EAE72578670CA65E868F6AC87E728E3100F51EAFF26F3413795B6A1A06")</f>
        <v>https://baanknet.com/view-property/277764/F44760EAE72578670CA65E868F6AC87E728E3100F51EAFF26F3413795B6A1A06</v>
      </c>
      <c r="I340" t="str">
        <f>HYPERLINK("https://baanknet.com/view-property/277764/F44760EAE72578670CA65E868F6AC87E728E3100F51EAFF26F3413795B6A1A06", "Open")</f>
        <v>Open</v>
      </c>
      <c r="J340" t="s">
        <v>20</v>
      </c>
      <c r="K340" t="s">
        <v>21</v>
      </c>
      <c r="L340">
        <v>6017000</v>
      </c>
      <c r="M340">
        <v>601700</v>
      </c>
    </row>
    <row r="341" spans="1:13" x14ac:dyDescent="0.25">
      <c r="A341" t="s">
        <v>1272</v>
      </c>
      <c r="B341" t="s">
        <v>1273</v>
      </c>
      <c r="C341" t="s">
        <v>121</v>
      </c>
      <c r="D341" t="s">
        <v>853</v>
      </c>
      <c r="E341" t="s">
        <v>654</v>
      </c>
      <c r="F341" t="s">
        <v>334</v>
      </c>
      <c r="G341" t="s">
        <v>1274</v>
      </c>
      <c r="H341" t="str">
        <f>HYPERLINK("https://baanknet.com/view-property/254469/506626E464CD1C001EB81D1CBE10C930EBD6D2CC88EB791E1D6C4222A726874F", "https://baanknet.com/view-property/254469/506626E464CD1C001EB81D1CBE10C930EBD6D2CC88EB791E1D6C4222A726874F")</f>
        <v>https://baanknet.com/view-property/254469/506626E464CD1C001EB81D1CBE10C930EBD6D2CC88EB791E1D6C4222A726874F</v>
      </c>
      <c r="I341" t="str">
        <f>HYPERLINK("https://baanknet.com/view-property/254469/506626E464CD1C001EB81D1CBE10C930EBD6D2CC88EB791E1D6C4222A726874F", "Open")</f>
        <v>Open</v>
      </c>
      <c r="J341" t="s">
        <v>20</v>
      </c>
      <c r="K341" t="s">
        <v>21</v>
      </c>
      <c r="L341">
        <v>2835000</v>
      </c>
      <c r="M341">
        <v>283500</v>
      </c>
    </row>
    <row r="342" spans="1:13" x14ac:dyDescent="0.25">
      <c r="A342" t="s">
        <v>1275</v>
      </c>
      <c r="B342" t="s">
        <v>1276</v>
      </c>
      <c r="C342" t="s">
        <v>121</v>
      </c>
      <c r="D342" t="s">
        <v>1277</v>
      </c>
      <c r="E342" t="s">
        <v>654</v>
      </c>
      <c r="F342" t="s">
        <v>334</v>
      </c>
      <c r="G342" t="s">
        <v>1278</v>
      </c>
      <c r="H342" t="str">
        <f>HYPERLINK("https://baanknet.com/view-property/186790/08BA52D863E0333A1A67D32AD6A9EB5E92B1F80EC6E855E8817D10ACBD565AF3", "https://baanknet.com/view-property/186790/08BA52D863E0333A1A67D32AD6A9EB5E92B1F80EC6E855E8817D10ACBD565AF3")</f>
        <v>https://baanknet.com/view-property/186790/08BA52D863E0333A1A67D32AD6A9EB5E92B1F80EC6E855E8817D10ACBD565AF3</v>
      </c>
      <c r="I342" t="str">
        <f>HYPERLINK("https://baanknet.com/view-property/186790/08BA52D863E0333A1A67D32AD6A9EB5E92B1F80EC6E855E8817D10ACBD565AF3", "Open")</f>
        <v>Open</v>
      </c>
      <c r="J342" t="s">
        <v>20</v>
      </c>
      <c r="K342" t="s">
        <v>21</v>
      </c>
      <c r="L342">
        <v>5619600</v>
      </c>
      <c r="M342">
        <v>561960</v>
      </c>
    </row>
    <row r="343" spans="1:13" x14ac:dyDescent="0.25">
      <c r="A343" t="s">
        <v>1279</v>
      </c>
      <c r="B343" t="s">
        <v>1280</v>
      </c>
      <c r="C343" t="s">
        <v>121</v>
      </c>
      <c r="D343" t="s">
        <v>1277</v>
      </c>
      <c r="E343" t="s">
        <v>654</v>
      </c>
      <c r="F343" t="s">
        <v>334</v>
      </c>
      <c r="G343" t="s">
        <v>1281</v>
      </c>
      <c r="H343" t="str">
        <f>HYPERLINK("https://baanknet.com/view-property/253488/622259DB859311427B147689F0C2F943D8A63BA51FF70A994C56CCA7A1308FDA", "https://baanknet.com/view-property/253488/622259DB859311427B147689F0C2F943D8A63BA51FF70A994C56CCA7A1308FDA")</f>
        <v>https://baanknet.com/view-property/253488/622259DB859311427B147689F0C2F943D8A63BA51FF70A994C56CCA7A1308FDA</v>
      </c>
      <c r="I343" t="str">
        <f>HYPERLINK("https://baanknet.com/view-property/253488/622259DB859311427B147689F0C2F943D8A63BA51FF70A994C56CCA7A1308FDA", "Open")</f>
        <v>Open</v>
      </c>
      <c r="J343" t="s">
        <v>20</v>
      </c>
      <c r="K343" t="s">
        <v>21</v>
      </c>
      <c r="L343">
        <v>5619600</v>
      </c>
      <c r="M343">
        <v>561960</v>
      </c>
    </row>
    <row r="344" spans="1:13" x14ac:dyDescent="0.25">
      <c r="A344" t="s">
        <v>1282</v>
      </c>
      <c r="B344" t="s">
        <v>1283</v>
      </c>
      <c r="C344" t="s">
        <v>121</v>
      </c>
      <c r="D344" t="s">
        <v>553</v>
      </c>
      <c r="E344" t="s">
        <v>654</v>
      </c>
      <c r="F344" t="s">
        <v>334</v>
      </c>
      <c r="G344" t="s">
        <v>1284</v>
      </c>
      <c r="H344" t="str">
        <f>HYPERLINK("https://baanknet.com/view-property/180981/F4ACE132AEEACB78FB2394FF73196D37E8FF734A423A1FD9B940CB0DE2138EDF", "https://baanknet.com/view-property/180981/F4ACE132AEEACB78FB2394FF73196D37E8FF734A423A1FD9B940CB0DE2138EDF")</f>
        <v>https://baanknet.com/view-property/180981/F4ACE132AEEACB78FB2394FF73196D37E8FF734A423A1FD9B940CB0DE2138EDF</v>
      </c>
      <c r="I344" t="str">
        <f>HYPERLINK("https://baanknet.com/view-property/180981/F4ACE132AEEACB78FB2394FF73196D37E8FF734A423A1FD9B940CB0DE2138EDF", "Open")</f>
        <v>Open</v>
      </c>
      <c r="J344" t="s">
        <v>20</v>
      </c>
      <c r="K344" t="s">
        <v>21</v>
      </c>
      <c r="L344">
        <v>1593000</v>
      </c>
      <c r="M344">
        <v>159300</v>
      </c>
    </row>
    <row r="345" spans="1:13" x14ac:dyDescent="0.25">
      <c r="A345" t="s">
        <v>1285</v>
      </c>
      <c r="B345" t="s">
        <v>1286</v>
      </c>
      <c r="C345" t="s">
        <v>332</v>
      </c>
      <c r="D345" t="s">
        <v>497</v>
      </c>
      <c r="E345" t="s">
        <v>654</v>
      </c>
      <c r="F345" t="s">
        <v>334</v>
      </c>
      <c r="G345" t="s">
        <v>1287</v>
      </c>
      <c r="H345" t="str">
        <f>HYPERLINK("https://baanknet.com/view-property/281865/E5C403FF1FDF2F27837422327FA4AE526AA011E3D598FCC238705D4F355658E7", "https://baanknet.com/view-property/281865/E5C403FF1FDF2F27837422327FA4AE526AA011E3D598FCC238705D4F355658E7")</f>
        <v>https://baanknet.com/view-property/281865/E5C403FF1FDF2F27837422327FA4AE526AA011E3D598FCC238705D4F355658E7</v>
      </c>
      <c r="I345" t="str">
        <f>HYPERLINK("https://baanknet.com/view-property/281865/E5C403FF1FDF2F27837422327FA4AE526AA011E3D598FCC238705D4F355658E7", "Open")</f>
        <v>Open</v>
      </c>
      <c r="J345" t="s">
        <v>20</v>
      </c>
      <c r="K345" t="s">
        <v>21</v>
      </c>
      <c r="L345">
        <v>13800000</v>
      </c>
      <c r="M345">
        <v>1380000</v>
      </c>
    </row>
    <row r="346" spans="1:13" x14ac:dyDescent="0.25">
      <c r="A346" t="s">
        <v>1288</v>
      </c>
      <c r="B346" t="s">
        <v>1289</v>
      </c>
      <c r="C346" t="s">
        <v>121</v>
      </c>
      <c r="D346" t="s">
        <v>553</v>
      </c>
      <c r="E346" t="s">
        <v>654</v>
      </c>
      <c r="F346" t="s">
        <v>334</v>
      </c>
      <c r="G346" t="s">
        <v>1290</v>
      </c>
      <c r="H346" t="str">
        <f>HYPERLINK("https://baanknet.com/view-property/217297/9838CAFD925D687FF5656EF5E4F72C93884B93A3FE5980FFD381AB53BFE2C98D", "https://baanknet.com/view-property/217297/9838CAFD925D687FF5656EF5E4F72C93884B93A3FE5980FFD381AB53BFE2C98D")</f>
        <v>https://baanknet.com/view-property/217297/9838CAFD925D687FF5656EF5E4F72C93884B93A3FE5980FFD381AB53BFE2C98D</v>
      </c>
      <c r="I346" t="str">
        <f>HYPERLINK("https://baanknet.com/view-property/217297/9838CAFD925D687FF5656EF5E4F72C93884B93A3FE5980FFD381AB53BFE2C98D", "Open")</f>
        <v>Open</v>
      </c>
      <c r="J346" t="s">
        <v>20</v>
      </c>
      <c r="K346" t="s">
        <v>21</v>
      </c>
      <c r="L346">
        <v>1899000</v>
      </c>
      <c r="M346">
        <v>189900</v>
      </c>
    </row>
    <row r="347" spans="1:13" x14ac:dyDescent="0.25">
      <c r="A347" t="s">
        <v>1291</v>
      </c>
      <c r="B347" t="s">
        <v>1292</v>
      </c>
      <c r="C347" t="s">
        <v>121</v>
      </c>
      <c r="D347" t="s">
        <v>1293</v>
      </c>
      <c r="E347" t="s">
        <v>654</v>
      </c>
      <c r="F347" t="s">
        <v>334</v>
      </c>
      <c r="G347" t="s">
        <v>1294</v>
      </c>
      <c r="H347" t="str">
        <f>HYPERLINK("https://baanknet.com/view-property/188340/C709CA0D2F8F1D46C99FDF92BBA6E471D127423C255EBC0EDBC6659CD1E5E4B3", "https://baanknet.com/view-property/188340/C709CA0D2F8F1D46C99FDF92BBA6E471D127423C255EBC0EDBC6659CD1E5E4B3")</f>
        <v>https://baanknet.com/view-property/188340/C709CA0D2F8F1D46C99FDF92BBA6E471D127423C255EBC0EDBC6659CD1E5E4B3</v>
      </c>
      <c r="I347" t="str">
        <f>HYPERLINK("https://baanknet.com/view-property/188340/C709CA0D2F8F1D46C99FDF92BBA6E471D127423C255EBC0EDBC6659CD1E5E4B3", "Open")</f>
        <v>Open</v>
      </c>
      <c r="J347" t="s">
        <v>20</v>
      </c>
      <c r="K347" t="s">
        <v>21</v>
      </c>
      <c r="L347">
        <v>1035000</v>
      </c>
      <c r="M347">
        <v>103500</v>
      </c>
    </row>
    <row r="348" spans="1:13" x14ac:dyDescent="0.25">
      <c r="A348" t="s">
        <v>1295</v>
      </c>
      <c r="B348" t="s">
        <v>1296</v>
      </c>
      <c r="C348" t="s">
        <v>121</v>
      </c>
      <c r="D348" t="s">
        <v>1293</v>
      </c>
      <c r="E348" t="s">
        <v>654</v>
      </c>
      <c r="F348" t="s">
        <v>334</v>
      </c>
      <c r="G348" t="s">
        <v>1297</v>
      </c>
      <c r="H348" t="str">
        <f>HYPERLINK("https://baanknet.com/view-property/188646/D191D859E0D0CFEAD66217BF693DD6ECC63D874D73738165F3F4712E373AA7DE", "https://baanknet.com/view-property/188646/D191D859E0D0CFEAD66217BF693DD6ECC63D874D73738165F3F4712E373AA7DE")</f>
        <v>https://baanknet.com/view-property/188646/D191D859E0D0CFEAD66217BF693DD6ECC63D874D73738165F3F4712E373AA7DE</v>
      </c>
      <c r="I348" t="str">
        <f>HYPERLINK("https://baanknet.com/view-property/188646/D191D859E0D0CFEAD66217BF693DD6ECC63D874D73738165F3F4712E373AA7DE", "Open")</f>
        <v>Open</v>
      </c>
      <c r="J348" t="s">
        <v>20</v>
      </c>
      <c r="K348" t="s">
        <v>21</v>
      </c>
      <c r="L348">
        <v>1170000</v>
      </c>
      <c r="M348">
        <v>117000</v>
      </c>
    </row>
    <row r="349" spans="1:13" x14ac:dyDescent="0.25">
      <c r="A349" t="s">
        <v>1298</v>
      </c>
      <c r="B349" t="s">
        <v>1299</v>
      </c>
      <c r="C349" t="s">
        <v>121</v>
      </c>
      <c r="D349" t="s">
        <v>1300</v>
      </c>
      <c r="E349" t="s">
        <v>654</v>
      </c>
      <c r="F349" t="s">
        <v>334</v>
      </c>
      <c r="G349" t="s">
        <v>1301</v>
      </c>
      <c r="H349" t="str">
        <f>HYPERLINK("https://baanknet.com/view-property/190516/EA619F0D8F2F5F16042E325BE5BB462F5A4C19C0C9D92328F013013960E59046", "https://baanknet.com/view-property/190516/EA619F0D8F2F5F16042E325BE5BB462F5A4C19C0C9D92328F013013960E59046")</f>
        <v>https://baanknet.com/view-property/190516/EA619F0D8F2F5F16042E325BE5BB462F5A4C19C0C9D92328F013013960E59046</v>
      </c>
      <c r="I349" t="str">
        <f>HYPERLINK("https://baanknet.com/view-property/190516/EA619F0D8F2F5F16042E325BE5BB462F5A4C19C0C9D92328F013013960E59046", "Open")</f>
        <v>Open</v>
      </c>
      <c r="J349" t="s">
        <v>20</v>
      </c>
      <c r="K349" t="s">
        <v>21</v>
      </c>
      <c r="L349">
        <v>4617000</v>
      </c>
      <c r="M349">
        <v>461700</v>
      </c>
    </row>
    <row r="350" spans="1:13" x14ac:dyDescent="0.25">
      <c r="A350" t="s">
        <v>1302</v>
      </c>
      <c r="B350" t="s">
        <v>1303</v>
      </c>
      <c r="C350" t="s">
        <v>121</v>
      </c>
      <c r="D350" t="s">
        <v>526</v>
      </c>
      <c r="E350" t="s">
        <v>654</v>
      </c>
      <c r="F350" t="s">
        <v>334</v>
      </c>
      <c r="G350" t="s">
        <v>1304</v>
      </c>
      <c r="H350" t="str">
        <f>HYPERLINK("https://baanknet.com/view-property/257204/433F7888D7D10BF0EEFF0FCD95EA79E5BAFAEDCF64E5D3C4A0315A5ED502632B", "https://baanknet.com/view-property/257204/433F7888D7D10BF0EEFF0FCD95EA79E5BAFAEDCF64E5D3C4A0315A5ED502632B")</f>
        <v>https://baanknet.com/view-property/257204/433F7888D7D10BF0EEFF0FCD95EA79E5BAFAEDCF64E5D3C4A0315A5ED502632B</v>
      </c>
      <c r="I350" t="str">
        <f>HYPERLINK("https://baanknet.com/view-property/257204/433F7888D7D10BF0EEFF0FCD95EA79E5BAFAEDCF64E5D3C4A0315A5ED502632B", "Open")</f>
        <v>Open</v>
      </c>
      <c r="J350" t="s">
        <v>20</v>
      </c>
      <c r="K350" t="s">
        <v>21</v>
      </c>
      <c r="L350">
        <v>1186000</v>
      </c>
      <c r="M350">
        <v>118600</v>
      </c>
    </row>
    <row r="351" spans="1:13" x14ac:dyDescent="0.25">
      <c r="A351" t="s">
        <v>1305</v>
      </c>
      <c r="B351" t="s">
        <v>1306</v>
      </c>
      <c r="C351" t="s">
        <v>121</v>
      </c>
      <c r="D351" t="s">
        <v>304</v>
      </c>
      <c r="E351" t="s">
        <v>654</v>
      </c>
      <c r="F351" t="s">
        <v>334</v>
      </c>
      <c r="G351" t="s">
        <v>1307</v>
      </c>
      <c r="H351" t="str">
        <f>HYPERLINK("https://baanknet.com/view-property/229690/F9D3C9CB3A6794AB1CE73B34D610F9AE6E8A64A02D094306171665E736B324E3", "https://baanknet.com/view-property/229690/F9D3C9CB3A6794AB1CE73B34D610F9AE6E8A64A02D094306171665E736B324E3")</f>
        <v>https://baanknet.com/view-property/229690/F9D3C9CB3A6794AB1CE73B34D610F9AE6E8A64A02D094306171665E736B324E3</v>
      </c>
      <c r="I351" t="str">
        <f>HYPERLINK("https://baanknet.com/view-property/229690/F9D3C9CB3A6794AB1CE73B34D610F9AE6E8A64A02D094306171665E736B324E3", "Open")</f>
        <v>Open</v>
      </c>
      <c r="J351" t="s">
        <v>20</v>
      </c>
      <c r="K351" t="s">
        <v>21</v>
      </c>
      <c r="L351">
        <v>9460500</v>
      </c>
      <c r="M351">
        <v>946050</v>
      </c>
    </row>
    <row r="352" spans="1:13" x14ac:dyDescent="0.25">
      <c r="A352" t="s">
        <v>1308</v>
      </c>
      <c r="B352" t="s">
        <v>1309</v>
      </c>
      <c r="C352" t="s">
        <v>121</v>
      </c>
      <c r="D352" t="s">
        <v>1310</v>
      </c>
      <c r="E352" t="s">
        <v>654</v>
      </c>
      <c r="F352" t="s">
        <v>334</v>
      </c>
      <c r="G352" t="s">
        <v>1311</v>
      </c>
      <c r="H352" t="str">
        <f>HYPERLINK("https://baanknet.com/view-property/184148/AB0268C2B1193171DAD1E555DD39C312DBF8F864B109B17CDF789BF2F9BD308C", "https://baanknet.com/view-property/184148/AB0268C2B1193171DAD1E555DD39C312DBF8F864B109B17CDF789BF2F9BD308C")</f>
        <v>https://baanknet.com/view-property/184148/AB0268C2B1193171DAD1E555DD39C312DBF8F864B109B17CDF789BF2F9BD308C</v>
      </c>
      <c r="I352" t="str">
        <f>HYPERLINK("https://baanknet.com/view-property/184148/AB0268C2B1193171DAD1E555DD39C312DBF8F864B109B17CDF789BF2F9BD308C", "Open")</f>
        <v>Open</v>
      </c>
      <c r="J352" t="s">
        <v>20</v>
      </c>
      <c r="K352" t="s">
        <v>21</v>
      </c>
      <c r="L352">
        <v>12603000</v>
      </c>
      <c r="M352">
        <v>1260300</v>
      </c>
    </row>
    <row r="353" spans="1:13" x14ac:dyDescent="0.25">
      <c r="A353" t="s">
        <v>1312</v>
      </c>
      <c r="B353" t="s">
        <v>1313</v>
      </c>
      <c r="C353" t="s">
        <v>121</v>
      </c>
      <c r="D353" t="s">
        <v>853</v>
      </c>
      <c r="E353" t="s">
        <v>654</v>
      </c>
      <c r="F353" t="s">
        <v>334</v>
      </c>
      <c r="G353" t="s">
        <v>1314</v>
      </c>
      <c r="H353" t="str">
        <f>HYPERLINK("https://baanknet.com/view-property/184220/3A6CFB4D73B8C8A37E3212A34D2ADD781451C955942A9EB2924718B25916B5C9", "https://baanknet.com/view-property/184220/3A6CFB4D73B8C8A37E3212A34D2ADD781451C955942A9EB2924718B25916B5C9")</f>
        <v>https://baanknet.com/view-property/184220/3A6CFB4D73B8C8A37E3212A34D2ADD781451C955942A9EB2924718B25916B5C9</v>
      </c>
      <c r="I353" t="str">
        <f>HYPERLINK("https://baanknet.com/view-property/184220/3A6CFB4D73B8C8A37E3212A34D2ADD781451C955942A9EB2924718B25916B5C9", "Open")</f>
        <v>Open</v>
      </c>
      <c r="J353" t="s">
        <v>20</v>
      </c>
      <c r="K353" t="s">
        <v>21</v>
      </c>
      <c r="L353">
        <v>3756000</v>
      </c>
      <c r="M353">
        <v>375600</v>
      </c>
    </row>
    <row r="354" spans="1:13" x14ac:dyDescent="0.25">
      <c r="A354" t="s">
        <v>1315</v>
      </c>
      <c r="B354" t="s">
        <v>1316</v>
      </c>
      <c r="C354" t="s">
        <v>121</v>
      </c>
      <c r="D354" t="s">
        <v>853</v>
      </c>
      <c r="E354" t="s">
        <v>654</v>
      </c>
      <c r="F354" t="s">
        <v>334</v>
      </c>
      <c r="G354" t="s">
        <v>1317</v>
      </c>
      <c r="H354" t="str">
        <f>HYPERLINK("https://baanknet.com/view-property/253941/EABE1D53E66B8952FEA362085A6E56A47E891F8BF980BF5EB956B17A98222EDF", "https://baanknet.com/view-property/253941/EABE1D53E66B8952FEA362085A6E56A47E891F8BF980BF5EB956B17A98222EDF")</f>
        <v>https://baanknet.com/view-property/253941/EABE1D53E66B8952FEA362085A6E56A47E891F8BF980BF5EB956B17A98222EDF</v>
      </c>
      <c r="I354" t="str">
        <f>HYPERLINK("https://baanknet.com/view-property/253941/EABE1D53E66B8952FEA362085A6E56A47E891F8BF980BF5EB956B17A98222EDF", "Open")</f>
        <v>Open</v>
      </c>
      <c r="J354" t="s">
        <v>20</v>
      </c>
      <c r="K354" t="s">
        <v>21</v>
      </c>
      <c r="L354">
        <v>3043000</v>
      </c>
      <c r="M354">
        <v>304300</v>
      </c>
    </row>
    <row r="355" spans="1:13" x14ac:dyDescent="0.25">
      <c r="A355" t="s">
        <v>1318</v>
      </c>
      <c r="B355" t="s">
        <v>1319</v>
      </c>
      <c r="C355" t="s">
        <v>332</v>
      </c>
      <c r="D355" t="s">
        <v>497</v>
      </c>
      <c r="E355" t="s">
        <v>654</v>
      </c>
      <c r="F355" t="s">
        <v>334</v>
      </c>
      <c r="G355" t="s">
        <v>1320</v>
      </c>
      <c r="H355" t="str">
        <f>HYPERLINK("https://baanknet.com/view-property/278545/75A3E9139948E90FE147D4517F5FBE96E0A22D6A98D91B20B8BDDEB659142D12", "https://baanknet.com/view-property/278545/75A3E9139948E90FE147D4517F5FBE96E0A22D6A98D91B20B8BDDEB659142D12")</f>
        <v>https://baanknet.com/view-property/278545/75A3E9139948E90FE147D4517F5FBE96E0A22D6A98D91B20B8BDDEB659142D12</v>
      </c>
      <c r="I355" t="str">
        <f>HYPERLINK("https://baanknet.com/view-property/278545/75A3E9139948E90FE147D4517F5FBE96E0A22D6A98D91B20B8BDDEB659142D12", "Open")</f>
        <v>Open</v>
      </c>
      <c r="J355" t="s">
        <v>20</v>
      </c>
      <c r="K355" t="s">
        <v>21</v>
      </c>
      <c r="L355">
        <v>9950000</v>
      </c>
      <c r="M355">
        <v>995000</v>
      </c>
    </row>
    <row r="356" spans="1:13" x14ac:dyDescent="0.25">
      <c r="A356" t="s">
        <v>1321</v>
      </c>
      <c r="B356" t="s">
        <v>1322</v>
      </c>
      <c r="C356" t="s">
        <v>332</v>
      </c>
      <c r="D356" t="s">
        <v>1323</v>
      </c>
      <c r="E356" t="s">
        <v>654</v>
      </c>
      <c r="F356" t="s">
        <v>334</v>
      </c>
      <c r="G356" t="s">
        <v>1324</v>
      </c>
      <c r="H356" t="str">
        <f>HYPERLINK("https://baanknet.com/view-property/271676/58ADD4D78FA38BE29A2707565CCCF3524036F1268BD5EC9F2CBDF3CC4BA7EF2A", "https://baanknet.com/view-property/271676/58ADD4D78FA38BE29A2707565CCCF3524036F1268BD5EC9F2CBDF3CC4BA7EF2A")</f>
        <v>https://baanknet.com/view-property/271676/58ADD4D78FA38BE29A2707565CCCF3524036F1268BD5EC9F2CBDF3CC4BA7EF2A</v>
      </c>
      <c r="I356" t="str">
        <f>HYPERLINK("https://baanknet.com/view-property/271676/58ADD4D78FA38BE29A2707565CCCF3524036F1268BD5EC9F2CBDF3CC4BA7EF2A", "Open")</f>
        <v>Open</v>
      </c>
      <c r="J356" t="s">
        <v>20</v>
      </c>
      <c r="K356" t="s">
        <v>21</v>
      </c>
      <c r="L356">
        <v>10900000</v>
      </c>
      <c r="M356">
        <v>1090000</v>
      </c>
    </row>
    <row r="357" spans="1:13" x14ac:dyDescent="0.25">
      <c r="A357" t="s">
        <v>1325</v>
      </c>
      <c r="B357" t="s">
        <v>1326</v>
      </c>
      <c r="C357" t="s">
        <v>332</v>
      </c>
      <c r="D357" t="s">
        <v>1323</v>
      </c>
      <c r="E357" t="s">
        <v>654</v>
      </c>
      <c r="F357" t="s">
        <v>334</v>
      </c>
      <c r="G357" t="s">
        <v>1327</v>
      </c>
      <c r="H357" t="str">
        <f>HYPERLINK("https://baanknet.com/view-property/271694/95E89D976082C65DD4771D99F502DC5F8F7CC9B3EEB9A01ACDB6B91679B998AE", "https://baanknet.com/view-property/271694/95E89D976082C65DD4771D99F502DC5F8F7CC9B3EEB9A01ACDB6B91679B998AE")</f>
        <v>https://baanknet.com/view-property/271694/95E89D976082C65DD4771D99F502DC5F8F7CC9B3EEB9A01ACDB6B91679B998AE</v>
      </c>
      <c r="I357" t="str">
        <f>HYPERLINK("https://baanknet.com/view-property/271694/95E89D976082C65DD4771D99F502DC5F8F7CC9B3EEB9A01ACDB6B91679B998AE", "Open")</f>
        <v>Open</v>
      </c>
      <c r="J357" t="s">
        <v>20</v>
      </c>
      <c r="K357" t="s">
        <v>21</v>
      </c>
      <c r="L357">
        <v>13400000</v>
      </c>
      <c r="M357">
        <v>1340000</v>
      </c>
    </row>
    <row r="358" spans="1:13" x14ac:dyDescent="0.25">
      <c r="A358" t="s">
        <v>1328</v>
      </c>
      <c r="B358" t="s">
        <v>1329</v>
      </c>
      <c r="C358" t="s">
        <v>15</v>
      </c>
      <c r="D358" t="s">
        <v>778</v>
      </c>
      <c r="E358" t="s">
        <v>654</v>
      </c>
      <c r="F358" t="s">
        <v>283</v>
      </c>
      <c r="G358" t="s">
        <v>1330</v>
      </c>
      <c r="H358" t="str">
        <f>HYPERLINK("https://baanknet.com/view-property/271846/7BB4DA8D1B55AA7D079D3D52D2618D45073A411A36F3112BEAFDB4C62E59393B", "https://baanknet.com/view-property/271846/7BB4DA8D1B55AA7D079D3D52D2618D45073A411A36F3112BEAFDB4C62E59393B")</f>
        <v>https://baanknet.com/view-property/271846/7BB4DA8D1B55AA7D079D3D52D2618D45073A411A36F3112BEAFDB4C62E59393B</v>
      </c>
      <c r="I358" t="str">
        <f>HYPERLINK("https://baanknet.com/view-property/271846/7BB4DA8D1B55AA7D079D3D52D2618D45073A411A36F3112BEAFDB4C62E59393B", "Open")</f>
        <v>Open</v>
      </c>
      <c r="J358" t="s">
        <v>20</v>
      </c>
      <c r="K358" t="s">
        <v>21</v>
      </c>
      <c r="L358">
        <v>7100000</v>
      </c>
      <c r="M358">
        <v>710000</v>
      </c>
    </row>
    <row r="359" spans="1:13" x14ac:dyDescent="0.25">
      <c r="A359" t="s">
        <v>1331</v>
      </c>
      <c r="B359" t="s">
        <v>1332</v>
      </c>
      <c r="C359" t="s">
        <v>121</v>
      </c>
      <c r="D359" t="s">
        <v>1333</v>
      </c>
      <c r="E359" t="s">
        <v>654</v>
      </c>
      <c r="F359" t="s">
        <v>334</v>
      </c>
      <c r="G359" t="s">
        <v>1334</v>
      </c>
      <c r="H359" t="str">
        <f>HYPERLINK("https://baanknet.com/view-property/285789/4A547E268A420976AD5BC2289F0EADAEF5B9E7CD2ADDFCF6E1AE14DBED703F7D", "https://baanknet.com/view-property/285789/4A547E268A420976AD5BC2289F0EADAEF5B9E7CD2ADDFCF6E1AE14DBED703F7D")</f>
        <v>https://baanknet.com/view-property/285789/4A547E268A420976AD5BC2289F0EADAEF5B9E7CD2ADDFCF6E1AE14DBED703F7D</v>
      </c>
      <c r="I359" t="str">
        <f>HYPERLINK("https://baanknet.com/view-property/285789/4A547E268A420976AD5BC2289F0EADAEF5B9E7CD2ADDFCF6E1AE14DBED703F7D", "Open")</f>
        <v>Open</v>
      </c>
      <c r="J359" t="s">
        <v>20</v>
      </c>
      <c r="K359" t="s">
        <v>21</v>
      </c>
      <c r="L359">
        <v>4914000</v>
      </c>
      <c r="M359">
        <v>491400</v>
      </c>
    </row>
    <row r="360" spans="1:13" x14ac:dyDescent="0.25">
      <c r="A360" t="s">
        <v>1335</v>
      </c>
      <c r="B360" t="s">
        <v>1336</v>
      </c>
      <c r="C360" t="s">
        <v>121</v>
      </c>
      <c r="D360" t="s">
        <v>1337</v>
      </c>
      <c r="E360" t="s">
        <v>654</v>
      </c>
      <c r="F360" t="s">
        <v>334</v>
      </c>
      <c r="G360" t="s">
        <v>1338</v>
      </c>
      <c r="H360" t="str">
        <f>HYPERLINK("https://baanknet.com/view-property/264119/57DA3D431BCC6748B0FE1DCD605EABDEAA64A312620D62DEC354058C01CE6C2C", "https://baanknet.com/view-property/264119/57DA3D431BCC6748B0FE1DCD605EABDEAA64A312620D62DEC354058C01CE6C2C")</f>
        <v>https://baanknet.com/view-property/264119/57DA3D431BCC6748B0FE1DCD605EABDEAA64A312620D62DEC354058C01CE6C2C</v>
      </c>
      <c r="I360" t="str">
        <f>HYPERLINK("https://baanknet.com/view-property/264119/57DA3D431BCC6748B0FE1DCD605EABDEAA64A312620D62DEC354058C01CE6C2C", "Open")</f>
        <v>Open</v>
      </c>
      <c r="J360" t="s">
        <v>20</v>
      </c>
      <c r="K360" t="s">
        <v>21</v>
      </c>
      <c r="L360">
        <v>2951000</v>
      </c>
      <c r="M360">
        <v>295100</v>
      </c>
    </row>
    <row r="361" spans="1:13" x14ac:dyDescent="0.25">
      <c r="A361" t="s">
        <v>1339</v>
      </c>
      <c r="B361" t="s">
        <v>1340</v>
      </c>
      <c r="C361" t="s">
        <v>121</v>
      </c>
      <c r="D361" t="s">
        <v>1337</v>
      </c>
      <c r="E361" t="s">
        <v>654</v>
      </c>
      <c r="F361" t="s">
        <v>334</v>
      </c>
      <c r="G361" t="s">
        <v>1341</v>
      </c>
      <c r="H361" t="str">
        <f>HYPERLINK("https://baanknet.com/view-property/264099/18B6E4FEB860712FC901FF9A98F021F7574B8E5C72399C03B52335FB35DAAF84", "https://baanknet.com/view-property/264099/18B6E4FEB860712FC901FF9A98F021F7574B8E5C72399C03B52335FB35DAAF84")</f>
        <v>https://baanknet.com/view-property/264099/18B6E4FEB860712FC901FF9A98F021F7574B8E5C72399C03B52335FB35DAAF84</v>
      </c>
      <c r="I361" t="str">
        <f>HYPERLINK("https://baanknet.com/view-property/264099/18B6E4FEB860712FC901FF9A98F021F7574B8E5C72399C03B52335FB35DAAF84", "Open")</f>
        <v>Open</v>
      </c>
      <c r="J361" t="s">
        <v>20</v>
      </c>
      <c r="K361" t="s">
        <v>21</v>
      </c>
      <c r="L361">
        <v>5589000</v>
      </c>
      <c r="M361">
        <v>558900</v>
      </c>
    </row>
    <row r="362" spans="1:13" x14ac:dyDescent="0.25">
      <c r="A362" t="s">
        <v>1342</v>
      </c>
      <c r="B362" t="s">
        <v>1343</v>
      </c>
      <c r="C362" t="s">
        <v>121</v>
      </c>
      <c r="D362" t="s">
        <v>1344</v>
      </c>
      <c r="E362" t="s">
        <v>654</v>
      </c>
      <c r="F362" t="s">
        <v>334</v>
      </c>
      <c r="G362" t="s">
        <v>1345</v>
      </c>
      <c r="H362" t="str">
        <f>HYPERLINK("https://baanknet.com/view-property/170901/95CFBA23A1F206F4E2A616CC7EE21A5FF6F07FBDE1F6E45B2EF5B3238F0496A9", "https://baanknet.com/view-property/170901/95CFBA23A1F206F4E2A616CC7EE21A5FF6F07FBDE1F6E45B2EF5B3238F0496A9")</f>
        <v>https://baanknet.com/view-property/170901/95CFBA23A1F206F4E2A616CC7EE21A5FF6F07FBDE1F6E45B2EF5B3238F0496A9</v>
      </c>
      <c r="I362" t="str">
        <f>HYPERLINK("https://baanknet.com/view-property/170901/95CFBA23A1F206F4E2A616CC7EE21A5FF6F07FBDE1F6E45B2EF5B3238F0496A9", "Open")</f>
        <v>Open</v>
      </c>
      <c r="J362" t="s">
        <v>20</v>
      </c>
      <c r="K362" t="s">
        <v>21</v>
      </c>
      <c r="L362">
        <v>32040000</v>
      </c>
      <c r="M362">
        <v>3204000</v>
      </c>
    </row>
    <row r="363" spans="1:13" x14ac:dyDescent="0.25">
      <c r="A363" t="s">
        <v>1346</v>
      </c>
      <c r="B363" t="s">
        <v>1347</v>
      </c>
      <c r="C363" t="s">
        <v>121</v>
      </c>
      <c r="D363" t="s">
        <v>1348</v>
      </c>
      <c r="E363" t="s">
        <v>654</v>
      </c>
      <c r="F363" t="s">
        <v>334</v>
      </c>
      <c r="G363" t="s">
        <v>1349</v>
      </c>
      <c r="H363" t="str">
        <f>HYPERLINK("https://baanknet.com/view-property/286186/C8F5F60BBCE3901EFD0AA08C4F4BCBB3D3835927E10A6C96D1F3E136F2649406", "https://baanknet.com/view-property/286186/C8F5F60BBCE3901EFD0AA08C4F4BCBB3D3835927E10A6C96D1F3E136F2649406")</f>
        <v>https://baanknet.com/view-property/286186/C8F5F60BBCE3901EFD0AA08C4F4BCBB3D3835927E10A6C96D1F3E136F2649406</v>
      </c>
      <c r="I363" t="str">
        <f>HYPERLINK("https://baanknet.com/view-property/286186/C8F5F60BBCE3901EFD0AA08C4F4BCBB3D3835927E10A6C96D1F3E136F2649406", "Open")</f>
        <v>Open</v>
      </c>
      <c r="J363" t="s">
        <v>20</v>
      </c>
      <c r="K363" t="s">
        <v>21</v>
      </c>
      <c r="L363">
        <v>5184000</v>
      </c>
      <c r="M363">
        <v>518400</v>
      </c>
    </row>
    <row r="364" spans="1:13" x14ac:dyDescent="0.25">
      <c r="A364" t="s">
        <v>1350</v>
      </c>
      <c r="B364" t="s">
        <v>1351</v>
      </c>
      <c r="C364" t="s">
        <v>121</v>
      </c>
      <c r="D364" t="s">
        <v>1352</v>
      </c>
      <c r="E364" t="s">
        <v>654</v>
      </c>
      <c r="F364" t="s">
        <v>334</v>
      </c>
      <c r="G364" t="s">
        <v>1353</v>
      </c>
      <c r="H364" t="str">
        <f>HYPERLINK("https://baanknet.com/view-property/252282/24C7FEF5CB4CF546E40F7A79F0C0D5F7E11E8D356BB9D4EE25A3151986DB6673", "https://baanknet.com/view-property/252282/24C7FEF5CB4CF546E40F7A79F0C0D5F7E11E8D356BB9D4EE25A3151986DB6673")</f>
        <v>https://baanknet.com/view-property/252282/24C7FEF5CB4CF546E40F7A79F0C0D5F7E11E8D356BB9D4EE25A3151986DB6673</v>
      </c>
      <c r="I364" t="str">
        <f>HYPERLINK("https://baanknet.com/view-property/252282/24C7FEF5CB4CF546E40F7A79F0C0D5F7E11E8D356BB9D4EE25A3151986DB6673", "Open")</f>
        <v>Open</v>
      </c>
      <c r="J364" t="s">
        <v>20</v>
      </c>
      <c r="K364" t="s">
        <v>21</v>
      </c>
      <c r="L364">
        <v>4690000</v>
      </c>
      <c r="M364">
        <v>469000</v>
      </c>
    </row>
    <row r="365" spans="1:13" x14ac:dyDescent="0.25">
      <c r="A365" t="s">
        <v>1354</v>
      </c>
      <c r="B365" t="s">
        <v>1355</v>
      </c>
      <c r="C365" t="s">
        <v>121</v>
      </c>
      <c r="D365" t="s">
        <v>706</v>
      </c>
      <c r="E365" t="s">
        <v>654</v>
      </c>
      <c r="F365" t="s">
        <v>334</v>
      </c>
      <c r="G365" t="s">
        <v>1356</v>
      </c>
      <c r="H365" t="str">
        <f>HYPERLINK("https://baanknet.com/view-property/202443/D01E5C496C92B23EC5299951CD978E3F3FF4042B368CDB1205BFC79DE5A6FD60", "https://baanknet.com/view-property/202443/D01E5C496C92B23EC5299951CD978E3F3FF4042B368CDB1205BFC79DE5A6FD60")</f>
        <v>https://baanknet.com/view-property/202443/D01E5C496C92B23EC5299951CD978E3F3FF4042B368CDB1205BFC79DE5A6FD60</v>
      </c>
      <c r="I365" t="str">
        <f>HYPERLINK("https://baanknet.com/view-property/202443/D01E5C496C92B23EC5299951CD978E3F3FF4042B368CDB1205BFC79DE5A6FD60", "Open")</f>
        <v>Open</v>
      </c>
      <c r="J365" t="s">
        <v>20</v>
      </c>
      <c r="K365" t="s">
        <v>21</v>
      </c>
      <c r="L365">
        <v>5730000</v>
      </c>
      <c r="M365">
        <v>573000</v>
      </c>
    </row>
    <row r="366" spans="1:13" x14ac:dyDescent="0.25">
      <c r="A366" t="s">
        <v>1357</v>
      </c>
      <c r="B366" t="s">
        <v>1358</v>
      </c>
      <c r="C366" t="s">
        <v>121</v>
      </c>
      <c r="D366" t="s">
        <v>706</v>
      </c>
      <c r="E366" t="s">
        <v>654</v>
      </c>
      <c r="F366" t="s">
        <v>334</v>
      </c>
      <c r="G366" t="s">
        <v>1359</v>
      </c>
      <c r="H366" t="str">
        <f>HYPERLINK("https://baanknet.com/view-property/202412/E0E4920855DC7AEE6E2FEF2CD1E86A429C97471B3AD9A549E79FB1A259A479B4", "https://baanknet.com/view-property/202412/E0E4920855DC7AEE6E2FEF2CD1E86A429C97471B3AD9A549E79FB1A259A479B4")</f>
        <v>https://baanknet.com/view-property/202412/E0E4920855DC7AEE6E2FEF2CD1E86A429C97471B3AD9A549E79FB1A259A479B4</v>
      </c>
      <c r="I366" t="str">
        <f>HYPERLINK("https://baanknet.com/view-property/202412/E0E4920855DC7AEE6E2FEF2CD1E86A429C97471B3AD9A549E79FB1A259A479B4", "Open")</f>
        <v>Open</v>
      </c>
      <c r="J366" t="s">
        <v>20</v>
      </c>
      <c r="K366" t="s">
        <v>21</v>
      </c>
      <c r="L366">
        <v>4104000</v>
      </c>
      <c r="M366">
        <v>410400</v>
      </c>
    </row>
    <row r="367" spans="1:13" x14ac:dyDescent="0.25">
      <c r="A367" t="s">
        <v>1360</v>
      </c>
      <c r="B367" t="s">
        <v>1361</v>
      </c>
      <c r="C367" t="s">
        <v>121</v>
      </c>
      <c r="D367" t="s">
        <v>1362</v>
      </c>
      <c r="E367" t="s">
        <v>654</v>
      </c>
      <c r="F367" t="s">
        <v>334</v>
      </c>
      <c r="G367" t="s">
        <v>1363</v>
      </c>
      <c r="H367" t="str">
        <f>HYPERLINK("https://baanknet.com/view-property/180712/59A2604028CF62766F41B2D23A59AF51DDE651468CEA1AC8985E94278C286364", "https://baanknet.com/view-property/180712/59A2604028CF62766F41B2D23A59AF51DDE651468CEA1AC8985E94278C286364")</f>
        <v>https://baanknet.com/view-property/180712/59A2604028CF62766F41B2D23A59AF51DDE651468CEA1AC8985E94278C286364</v>
      </c>
      <c r="I367" t="str">
        <f>HYPERLINK("https://baanknet.com/view-property/180712/59A2604028CF62766F41B2D23A59AF51DDE651468CEA1AC8985E94278C286364", "Open")</f>
        <v>Open</v>
      </c>
      <c r="J367" t="s">
        <v>20</v>
      </c>
      <c r="K367" t="s">
        <v>21</v>
      </c>
      <c r="L367">
        <v>4850000</v>
      </c>
      <c r="M367">
        <v>485000</v>
      </c>
    </row>
    <row r="368" spans="1:13" x14ac:dyDescent="0.25">
      <c r="A368" t="s">
        <v>1364</v>
      </c>
      <c r="B368" t="s">
        <v>1365</v>
      </c>
      <c r="C368" t="s">
        <v>121</v>
      </c>
      <c r="D368" t="s">
        <v>1366</v>
      </c>
      <c r="E368" t="s">
        <v>654</v>
      </c>
      <c r="F368" t="s">
        <v>334</v>
      </c>
      <c r="G368" t="s">
        <v>1367</v>
      </c>
      <c r="H368" t="str">
        <f>HYPERLINK("https://baanknet.com/view-property/171717/957923B09C4DBF9B8083BA91EAA3B8D8EF91A2099356236A7B7934F3264C883A", "https://baanknet.com/view-property/171717/957923B09C4DBF9B8083BA91EAA3B8D8EF91A2099356236A7B7934F3264C883A")</f>
        <v>https://baanknet.com/view-property/171717/957923B09C4DBF9B8083BA91EAA3B8D8EF91A2099356236A7B7934F3264C883A</v>
      </c>
      <c r="I368" t="str">
        <f>HYPERLINK("https://baanknet.com/view-property/171717/957923B09C4DBF9B8083BA91EAA3B8D8EF91A2099356236A7B7934F3264C883A", "Open")</f>
        <v>Open</v>
      </c>
      <c r="J368" t="s">
        <v>20</v>
      </c>
      <c r="K368" t="s">
        <v>21</v>
      </c>
      <c r="L368">
        <v>10300000</v>
      </c>
      <c r="M368">
        <v>1030000</v>
      </c>
    </row>
    <row r="369" spans="1:13" x14ac:dyDescent="0.25">
      <c r="A369" t="s">
        <v>1368</v>
      </c>
      <c r="B369" t="s">
        <v>1369</v>
      </c>
      <c r="C369" t="s">
        <v>121</v>
      </c>
      <c r="D369" t="s">
        <v>1366</v>
      </c>
      <c r="E369" t="s">
        <v>654</v>
      </c>
      <c r="F369" t="s">
        <v>334</v>
      </c>
      <c r="G369" t="s">
        <v>1370</v>
      </c>
      <c r="H369" t="str">
        <f>HYPERLINK("https://baanknet.com/view-property/171661/328D844294FBDB94825D3396CC05C168E8CAE8D20123EF07C39AF7E7A3D7564A", "https://baanknet.com/view-property/171661/328D844294FBDB94825D3396CC05C168E8CAE8D20123EF07C39AF7E7A3D7564A")</f>
        <v>https://baanknet.com/view-property/171661/328D844294FBDB94825D3396CC05C168E8CAE8D20123EF07C39AF7E7A3D7564A</v>
      </c>
      <c r="I369" t="str">
        <f>HYPERLINK("https://baanknet.com/view-property/171661/328D844294FBDB94825D3396CC05C168E8CAE8D20123EF07C39AF7E7A3D7564A", "Open")</f>
        <v>Open</v>
      </c>
      <c r="J369" t="s">
        <v>20</v>
      </c>
      <c r="K369" t="s">
        <v>21</v>
      </c>
      <c r="L369">
        <v>7300000</v>
      </c>
      <c r="M369">
        <v>730000</v>
      </c>
    </row>
    <row r="370" spans="1:13" x14ac:dyDescent="0.25">
      <c r="A370" t="s">
        <v>1371</v>
      </c>
      <c r="B370" t="s">
        <v>1372</v>
      </c>
      <c r="C370" t="s">
        <v>121</v>
      </c>
      <c r="D370" t="s">
        <v>1373</v>
      </c>
      <c r="E370" t="s">
        <v>654</v>
      </c>
      <c r="F370" t="s">
        <v>334</v>
      </c>
      <c r="G370" t="s">
        <v>1374</v>
      </c>
      <c r="H370" t="str">
        <f>HYPERLINK("https://baanknet.com/view-property/176380/DE21843712B6951128625A18077306443AC08A22C423240AD259A52B4A25E200", "https://baanknet.com/view-property/176380/DE21843712B6951128625A18077306443AC08A22C423240AD259A52B4A25E200")</f>
        <v>https://baanknet.com/view-property/176380/DE21843712B6951128625A18077306443AC08A22C423240AD259A52B4A25E200</v>
      </c>
      <c r="I370" t="str">
        <f>HYPERLINK("https://baanknet.com/view-property/176380/DE21843712B6951128625A18077306443AC08A22C423240AD259A52B4A25E200", "Open")</f>
        <v>Open</v>
      </c>
      <c r="J370" t="s">
        <v>20</v>
      </c>
      <c r="K370" t="s">
        <v>21</v>
      </c>
      <c r="L370">
        <v>2250000</v>
      </c>
      <c r="M370">
        <v>225000</v>
      </c>
    </row>
    <row r="371" spans="1:13" x14ac:dyDescent="0.25">
      <c r="A371" t="s">
        <v>1375</v>
      </c>
      <c r="B371" t="s">
        <v>1376</v>
      </c>
      <c r="C371" t="s">
        <v>121</v>
      </c>
      <c r="D371" t="s">
        <v>1366</v>
      </c>
      <c r="E371" t="s">
        <v>654</v>
      </c>
      <c r="F371" t="s">
        <v>334</v>
      </c>
      <c r="G371" t="s">
        <v>1377</v>
      </c>
      <c r="H371" t="str">
        <f>HYPERLINK("https://baanknet.com/view-property/171708/233190BB05056BED4F9243AA78675B0BD2D971EC2CB9B3B2C655E1B2C3BA929F", "https://baanknet.com/view-property/171708/233190BB05056BED4F9243AA78675B0BD2D971EC2CB9B3B2C655E1B2C3BA929F")</f>
        <v>https://baanknet.com/view-property/171708/233190BB05056BED4F9243AA78675B0BD2D971EC2CB9B3B2C655E1B2C3BA929F</v>
      </c>
      <c r="I371" t="str">
        <f>HYPERLINK("https://baanknet.com/view-property/171708/233190BB05056BED4F9243AA78675B0BD2D971EC2CB9B3B2C655E1B2C3BA929F", "Open")</f>
        <v>Open</v>
      </c>
      <c r="J371" t="s">
        <v>20</v>
      </c>
      <c r="K371" t="s">
        <v>21</v>
      </c>
      <c r="L371">
        <v>16700000</v>
      </c>
      <c r="M371">
        <v>1670000</v>
      </c>
    </row>
    <row r="372" spans="1:13" x14ac:dyDescent="0.25">
      <c r="A372" t="s">
        <v>1378</v>
      </c>
      <c r="B372" t="s">
        <v>1379</v>
      </c>
      <c r="C372" t="s">
        <v>121</v>
      </c>
      <c r="D372" t="s">
        <v>1380</v>
      </c>
      <c r="E372" t="s">
        <v>654</v>
      </c>
      <c r="F372" t="s">
        <v>334</v>
      </c>
      <c r="G372" t="s">
        <v>1381</v>
      </c>
      <c r="H372" t="str">
        <f>HYPERLINK("https://baanknet.com/view-property/273527/3E3124C01FA5AD616E3DA54F749075725EEEA574BFC30AB074CCB7DD44A0BB09", "https://baanknet.com/view-property/273527/3E3124C01FA5AD616E3DA54F749075725EEEA574BFC30AB074CCB7DD44A0BB09")</f>
        <v>https://baanknet.com/view-property/273527/3E3124C01FA5AD616E3DA54F749075725EEEA574BFC30AB074CCB7DD44A0BB09</v>
      </c>
      <c r="I372" t="str">
        <f>HYPERLINK("https://baanknet.com/view-property/273527/3E3124C01FA5AD616E3DA54F749075725EEEA574BFC30AB074CCB7DD44A0BB09", "Open")</f>
        <v>Open</v>
      </c>
      <c r="J372" t="s">
        <v>20</v>
      </c>
      <c r="K372" t="s">
        <v>21</v>
      </c>
      <c r="L372">
        <v>8600000</v>
      </c>
      <c r="M372">
        <v>860000</v>
      </c>
    </row>
    <row r="373" spans="1:13" x14ac:dyDescent="0.25">
      <c r="A373" t="s">
        <v>1382</v>
      </c>
      <c r="B373" t="s">
        <v>1383</v>
      </c>
      <c r="C373" t="s">
        <v>121</v>
      </c>
      <c r="D373" t="s">
        <v>1348</v>
      </c>
      <c r="E373" t="s">
        <v>654</v>
      </c>
      <c r="F373" t="s">
        <v>334</v>
      </c>
      <c r="G373" t="s">
        <v>1384</v>
      </c>
      <c r="H373" t="str">
        <f>HYPERLINK("https://baanknet.com/view-property/179137/96319D11A607E85D0601112FEFBA2371359C09B27E7E8BF7E631517632618273", "https://baanknet.com/view-property/179137/96319D11A607E85D0601112FEFBA2371359C09B27E7E8BF7E631517632618273")</f>
        <v>https://baanknet.com/view-property/179137/96319D11A607E85D0601112FEFBA2371359C09B27E7E8BF7E631517632618273</v>
      </c>
      <c r="I373" t="str">
        <f>HYPERLINK("https://baanknet.com/view-property/179137/96319D11A607E85D0601112FEFBA2371359C09B27E7E8BF7E631517632618273", "Open")</f>
        <v>Open</v>
      </c>
      <c r="J373" t="s">
        <v>20</v>
      </c>
      <c r="K373" t="s">
        <v>21</v>
      </c>
      <c r="L373">
        <v>3216000</v>
      </c>
      <c r="M373">
        <v>321600</v>
      </c>
    </row>
    <row r="374" spans="1:13" x14ac:dyDescent="0.25">
      <c r="A374" t="s">
        <v>1385</v>
      </c>
      <c r="B374" t="s">
        <v>1386</v>
      </c>
      <c r="C374" t="s">
        <v>121</v>
      </c>
      <c r="D374" t="s">
        <v>157</v>
      </c>
      <c r="E374" t="s">
        <v>654</v>
      </c>
      <c r="F374" t="s">
        <v>334</v>
      </c>
      <c r="G374" t="s">
        <v>1387</v>
      </c>
      <c r="H374" t="str">
        <f>HYPERLINK("https://baanknet.com/view-property/186939/D852F7268FBE3D5E8BE4E87DF6D1E622494CA61E3B20BAD478872B1BCEFC08EF", "https://baanknet.com/view-property/186939/D852F7268FBE3D5E8BE4E87DF6D1E622494CA61E3B20BAD478872B1BCEFC08EF")</f>
        <v>https://baanknet.com/view-property/186939/D852F7268FBE3D5E8BE4E87DF6D1E622494CA61E3B20BAD478872B1BCEFC08EF</v>
      </c>
      <c r="I374" t="str">
        <f>HYPERLINK("https://baanknet.com/view-property/186939/D852F7268FBE3D5E8BE4E87DF6D1E622494CA61E3B20BAD478872B1BCEFC08EF", "Open")</f>
        <v>Open</v>
      </c>
      <c r="J374" t="s">
        <v>20</v>
      </c>
      <c r="K374" t="s">
        <v>21</v>
      </c>
      <c r="L374">
        <v>2947000</v>
      </c>
      <c r="M374">
        <v>294700</v>
      </c>
    </row>
    <row r="375" spans="1:13" x14ac:dyDescent="0.25">
      <c r="A375" t="s">
        <v>1388</v>
      </c>
      <c r="B375" t="s">
        <v>1389</v>
      </c>
      <c r="C375" t="s">
        <v>121</v>
      </c>
      <c r="D375" t="s">
        <v>1380</v>
      </c>
      <c r="E375" t="s">
        <v>654</v>
      </c>
      <c r="F375" t="s">
        <v>334</v>
      </c>
      <c r="G375" t="s">
        <v>1390</v>
      </c>
      <c r="H375" t="str">
        <f>HYPERLINK("https://baanknet.com/view-property/286164/317F4F4A23B161CE83F6CF95C8D26EA95C5559CF60E4AC9699B44B6EBA948D95", "https://baanknet.com/view-property/286164/317F4F4A23B161CE83F6CF95C8D26EA95C5559CF60E4AC9699B44B6EBA948D95")</f>
        <v>https://baanknet.com/view-property/286164/317F4F4A23B161CE83F6CF95C8D26EA95C5559CF60E4AC9699B44B6EBA948D95</v>
      </c>
      <c r="I375" t="str">
        <f>HYPERLINK("https://baanknet.com/view-property/286164/317F4F4A23B161CE83F6CF95C8D26EA95C5559CF60E4AC9699B44B6EBA948D95", "Open")</f>
        <v>Open</v>
      </c>
      <c r="J375" t="s">
        <v>20</v>
      </c>
      <c r="K375" t="s">
        <v>21</v>
      </c>
      <c r="L375">
        <v>1483000</v>
      </c>
      <c r="M375">
        <v>148300</v>
      </c>
    </row>
    <row r="376" spans="1:13" x14ac:dyDescent="0.25">
      <c r="A376" t="s">
        <v>1391</v>
      </c>
      <c r="B376" t="s">
        <v>1392</v>
      </c>
      <c r="C376" t="s">
        <v>121</v>
      </c>
      <c r="D376" t="s">
        <v>157</v>
      </c>
      <c r="E376" t="s">
        <v>654</v>
      </c>
      <c r="F376" t="s">
        <v>334</v>
      </c>
      <c r="G376" t="s">
        <v>1393</v>
      </c>
      <c r="H376" t="str">
        <f>HYPERLINK("https://baanknet.com/view-property/225707/030FA860176F37D1EA3B9D08EB73F45AB0C5A2ED135FB96592BC1A97418F4A3E", "https://baanknet.com/view-property/225707/030FA860176F37D1EA3B9D08EB73F45AB0C5A2ED135FB96592BC1A97418F4A3E")</f>
        <v>https://baanknet.com/view-property/225707/030FA860176F37D1EA3B9D08EB73F45AB0C5A2ED135FB96592BC1A97418F4A3E</v>
      </c>
      <c r="I376" t="str">
        <f>HYPERLINK("https://baanknet.com/view-property/225707/030FA860176F37D1EA3B9D08EB73F45AB0C5A2ED135FB96592BC1A97418F4A3E", "Open")</f>
        <v>Open</v>
      </c>
      <c r="J376" t="s">
        <v>20</v>
      </c>
      <c r="K376" t="s">
        <v>21</v>
      </c>
      <c r="L376">
        <v>1266000</v>
      </c>
      <c r="M376">
        <v>126600</v>
      </c>
    </row>
    <row r="377" spans="1:13" x14ac:dyDescent="0.25">
      <c r="A377" t="s">
        <v>1394</v>
      </c>
      <c r="B377" t="s">
        <v>1395</v>
      </c>
      <c r="C377" t="s">
        <v>121</v>
      </c>
      <c r="D377" t="s">
        <v>157</v>
      </c>
      <c r="E377" t="s">
        <v>654</v>
      </c>
      <c r="F377" t="s">
        <v>334</v>
      </c>
      <c r="G377" t="s">
        <v>1396</v>
      </c>
      <c r="H377" t="str">
        <f>HYPERLINK("https://baanknet.com/view-property/227574/427310219BC11F9F368A8A3005BF49DDC0419FE17886CA02AE8A0C734C8C786A", "https://baanknet.com/view-property/227574/427310219BC11F9F368A8A3005BF49DDC0419FE17886CA02AE8A0C734C8C786A")</f>
        <v>https://baanknet.com/view-property/227574/427310219BC11F9F368A8A3005BF49DDC0419FE17886CA02AE8A0C734C8C786A</v>
      </c>
      <c r="I377" t="str">
        <f>HYPERLINK("https://baanknet.com/view-property/227574/427310219BC11F9F368A8A3005BF49DDC0419FE17886CA02AE8A0C734C8C786A", "Open")</f>
        <v>Open</v>
      </c>
      <c r="J377" t="s">
        <v>20</v>
      </c>
      <c r="K377" t="s">
        <v>21</v>
      </c>
      <c r="L377">
        <v>1503000</v>
      </c>
      <c r="M377">
        <v>150300</v>
      </c>
    </row>
    <row r="378" spans="1:13" x14ac:dyDescent="0.25">
      <c r="A378" t="s">
        <v>1397</v>
      </c>
      <c r="B378" t="s">
        <v>1398</v>
      </c>
      <c r="C378" t="s">
        <v>121</v>
      </c>
      <c r="D378" t="s">
        <v>157</v>
      </c>
      <c r="E378" t="s">
        <v>654</v>
      </c>
      <c r="F378" t="s">
        <v>334</v>
      </c>
      <c r="G378" t="s">
        <v>1399</v>
      </c>
      <c r="H378" t="str">
        <f>HYPERLINK("https://baanknet.com/view-property/227334/431F6A58E9145A79FFA2A85CFC6C7E36AD76759025D30A902B05A5DB70A5B093", "https://baanknet.com/view-property/227334/431F6A58E9145A79FFA2A85CFC6C7E36AD76759025D30A902B05A5DB70A5B093")</f>
        <v>https://baanknet.com/view-property/227334/431F6A58E9145A79FFA2A85CFC6C7E36AD76759025D30A902B05A5DB70A5B093</v>
      </c>
      <c r="I378" t="str">
        <f>HYPERLINK("https://baanknet.com/view-property/227334/431F6A58E9145A79FFA2A85CFC6C7E36AD76759025D30A902B05A5DB70A5B093", "Open")</f>
        <v>Open</v>
      </c>
      <c r="J378" t="s">
        <v>20</v>
      </c>
      <c r="K378" t="s">
        <v>21</v>
      </c>
      <c r="L378">
        <v>1451000</v>
      </c>
      <c r="M378">
        <v>145100</v>
      </c>
    </row>
    <row r="379" spans="1:13" x14ac:dyDescent="0.25">
      <c r="A379" t="s">
        <v>1400</v>
      </c>
      <c r="B379" t="s">
        <v>1401</v>
      </c>
      <c r="C379" t="s">
        <v>121</v>
      </c>
      <c r="D379" t="s">
        <v>1402</v>
      </c>
      <c r="E379" t="s">
        <v>654</v>
      </c>
      <c r="F379" t="s">
        <v>334</v>
      </c>
      <c r="G379" t="s">
        <v>1403</v>
      </c>
      <c r="H379" t="str">
        <f>HYPERLINK("https://baanknet.com/view-property/263090/DCACD31F060F009DAF272AF80871EB70F84430866C13C272C7CE36E642A13D10", "https://baanknet.com/view-property/263090/DCACD31F060F009DAF272AF80871EB70F84430866C13C272C7CE36E642A13D10")</f>
        <v>https://baanknet.com/view-property/263090/DCACD31F060F009DAF272AF80871EB70F84430866C13C272C7CE36E642A13D10</v>
      </c>
      <c r="I379" t="str">
        <f>HYPERLINK("https://baanknet.com/view-property/263090/DCACD31F060F009DAF272AF80871EB70F84430866C13C272C7CE36E642A13D10", "Open")</f>
        <v>Open</v>
      </c>
      <c r="J379" t="s">
        <v>20</v>
      </c>
      <c r="K379" t="s">
        <v>21</v>
      </c>
      <c r="L379">
        <v>1652000</v>
      </c>
      <c r="M379">
        <v>165200</v>
      </c>
    </row>
    <row r="380" spans="1:13" x14ac:dyDescent="0.25">
      <c r="A380" t="s">
        <v>1404</v>
      </c>
      <c r="B380" t="s">
        <v>1405</v>
      </c>
      <c r="C380" t="s">
        <v>121</v>
      </c>
      <c r="D380" t="s">
        <v>157</v>
      </c>
      <c r="E380" t="s">
        <v>654</v>
      </c>
      <c r="F380" t="s">
        <v>334</v>
      </c>
      <c r="G380" t="s">
        <v>1406</v>
      </c>
      <c r="H380" t="str">
        <f>HYPERLINK("https://baanknet.com/view-property/271946/1108F34561AF61C6AECC75D7F04453320C13F4B71FC7DA9D27C3BE6B5DEF5D2F", "https://baanknet.com/view-property/271946/1108F34561AF61C6AECC75D7F04453320C13F4B71FC7DA9D27C3BE6B5DEF5D2F")</f>
        <v>https://baanknet.com/view-property/271946/1108F34561AF61C6AECC75D7F04453320C13F4B71FC7DA9D27C3BE6B5DEF5D2F</v>
      </c>
      <c r="I380" t="str">
        <f>HYPERLINK("https://baanknet.com/view-property/271946/1108F34561AF61C6AECC75D7F04453320C13F4B71FC7DA9D27C3BE6B5DEF5D2F", "Open")</f>
        <v>Open</v>
      </c>
      <c r="J380" t="s">
        <v>20</v>
      </c>
      <c r="K380" t="s">
        <v>21</v>
      </c>
      <c r="L380">
        <v>897000</v>
      </c>
      <c r="M380">
        <v>89700</v>
      </c>
    </row>
    <row r="381" spans="1:13" x14ac:dyDescent="0.25">
      <c r="A381" t="s">
        <v>1407</v>
      </c>
      <c r="B381" t="s">
        <v>1408</v>
      </c>
      <c r="C381" t="s">
        <v>1409</v>
      </c>
      <c r="D381" t="s">
        <v>853</v>
      </c>
      <c r="E381" t="s">
        <v>654</v>
      </c>
      <c r="F381" t="s">
        <v>334</v>
      </c>
      <c r="G381" t="s">
        <v>1410</v>
      </c>
      <c r="H381" t="str">
        <f>HYPERLINK("https://baanknet.com/view-property/251014/D96226E0F4750F24782332B566681D4505B16BBC2A9C9B84F2660F606DE39EDF", "https://baanknet.com/view-property/251014/D96226E0F4750F24782332B566681D4505B16BBC2A9C9B84F2660F606DE39EDF")</f>
        <v>https://baanknet.com/view-property/251014/D96226E0F4750F24782332B566681D4505B16BBC2A9C9B84F2660F606DE39EDF</v>
      </c>
      <c r="I381" t="str">
        <f>HYPERLINK("https://baanknet.com/view-property/251014/D96226E0F4750F24782332B566681D4505B16BBC2A9C9B84F2660F606DE39EDF", "Open")</f>
        <v>Open</v>
      </c>
      <c r="J381" t="s">
        <v>20</v>
      </c>
      <c r="K381" t="s">
        <v>21</v>
      </c>
      <c r="L381">
        <v>1980000</v>
      </c>
      <c r="M381">
        <v>198000</v>
      </c>
    </row>
    <row r="382" spans="1:13" x14ac:dyDescent="0.25">
      <c r="A382" t="s">
        <v>1411</v>
      </c>
      <c r="B382" t="s">
        <v>1412</v>
      </c>
      <c r="C382" t="s">
        <v>121</v>
      </c>
      <c r="D382" t="s">
        <v>157</v>
      </c>
      <c r="E382" t="s">
        <v>654</v>
      </c>
      <c r="F382" t="s">
        <v>334</v>
      </c>
      <c r="G382" t="s">
        <v>1413</v>
      </c>
      <c r="H382" t="str">
        <f>HYPERLINK("https://baanknet.com/view-property/171131/CC6618F2CCCDE0BE7E55F62240DAA92A476C9D700CA2CB531B16166159E149A1", "https://baanknet.com/view-property/171131/CC6618F2CCCDE0BE7E55F62240DAA92A476C9D700CA2CB531B16166159E149A1")</f>
        <v>https://baanknet.com/view-property/171131/CC6618F2CCCDE0BE7E55F62240DAA92A476C9D700CA2CB531B16166159E149A1</v>
      </c>
      <c r="I382" t="str">
        <f>HYPERLINK("https://baanknet.com/view-property/171131/CC6618F2CCCDE0BE7E55F62240DAA92A476C9D700CA2CB531B16166159E149A1", "Open")</f>
        <v>Open</v>
      </c>
      <c r="J382" t="s">
        <v>20</v>
      </c>
      <c r="K382" t="s">
        <v>21</v>
      </c>
      <c r="L382">
        <v>1452000</v>
      </c>
      <c r="M382">
        <v>145200</v>
      </c>
    </row>
    <row r="383" spans="1:13" x14ac:dyDescent="0.25">
      <c r="A383" t="s">
        <v>1414</v>
      </c>
      <c r="B383" t="s">
        <v>1415</v>
      </c>
      <c r="C383" t="s">
        <v>1409</v>
      </c>
      <c r="D383" t="s">
        <v>845</v>
      </c>
      <c r="E383" t="s">
        <v>654</v>
      </c>
      <c r="F383" t="s">
        <v>334</v>
      </c>
      <c r="G383" t="s">
        <v>1416</v>
      </c>
      <c r="H383" t="str">
        <f>HYPERLINK("https://baanknet.com/view-property/256361/FBBC1E464782CD0736A89E54516409DB2C0BCEEBAAE483D580C8F452B4DB925C", "https://baanknet.com/view-property/256361/FBBC1E464782CD0736A89E54516409DB2C0BCEEBAAE483D580C8F452B4DB925C")</f>
        <v>https://baanknet.com/view-property/256361/FBBC1E464782CD0736A89E54516409DB2C0BCEEBAAE483D580C8F452B4DB925C</v>
      </c>
      <c r="I383" t="str">
        <f>HYPERLINK("https://baanknet.com/view-property/256361/FBBC1E464782CD0736A89E54516409DB2C0BCEEBAAE483D580C8F452B4DB925C", "Open")</f>
        <v>Open</v>
      </c>
      <c r="J383" t="s">
        <v>20</v>
      </c>
      <c r="K383" t="s">
        <v>21</v>
      </c>
      <c r="L383">
        <v>1850000</v>
      </c>
      <c r="M383">
        <v>185000</v>
      </c>
    </row>
    <row r="384" spans="1:13" x14ac:dyDescent="0.25">
      <c r="A384" t="s">
        <v>1417</v>
      </c>
      <c r="B384" t="s">
        <v>1418</v>
      </c>
      <c r="C384" t="s">
        <v>1409</v>
      </c>
      <c r="D384" t="s">
        <v>710</v>
      </c>
      <c r="E384" t="s">
        <v>654</v>
      </c>
      <c r="F384" t="s">
        <v>334</v>
      </c>
      <c r="G384" t="s">
        <v>1419</v>
      </c>
      <c r="H384" t="str">
        <f>HYPERLINK("https://baanknet.com/view-property/261008/BC799B8A88F6342C59E409ADD9C7AF9244330B2C41F55172BC2E4E30F4991A3A", "https://baanknet.com/view-property/261008/BC799B8A88F6342C59E409ADD9C7AF9244330B2C41F55172BC2E4E30F4991A3A")</f>
        <v>https://baanknet.com/view-property/261008/BC799B8A88F6342C59E409ADD9C7AF9244330B2C41F55172BC2E4E30F4991A3A</v>
      </c>
      <c r="I384" t="str">
        <f>HYPERLINK("https://baanknet.com/view-property/261008/BC799B8A88F6342C59E409ADD9C7AF9244330B2C41F55172BC2E4E30F4991A3A", "Open")</f>
        <v>Open</v>
      </c>
      <c r="J384" t="s">
        <v>20</v>
      </c>
      <c r="K384" t="s">
        <v>21</v>
      </c>
      <c r="L384">
        <v>1470000</v>
      </c>
      <c r="M384">
        <v>147000</v>
      </c>
    </row>
    <row r="385" spans="1:13" x14ac:dyDescent="0.25">
      <c r="A385" t="s">
        <v>1420</v>
      </c>
      <c r="B385" t="s">
        <v>1421</v>
      </c>
      <c r="C385" t="s">
        <v>1409</v>
      </c>
      <c r="D385" t="s">
        <v>849</v>
      </c>
      <c r="E385" t="s">
        <v>654</v>
      </c>
      <c r="F385" t="s">
        <v>334</v>
      </c>
      <c r="G385" t="s">
        <v>1422</v>
      </c>
      <c r="H385" t="str">
        <f>HYPERLINK("https://baanknet.com/view-property/261019/09FDF5ED320E2AB47BA212B417ED1387DDDBA4343B54676A9742E3E075CA210F", "https://baanknet.com/view-property/261019/09FDF5ED320E2AB47BA212B417ED1387DDDBA4343B54676A9742E3E075CA210F")</f>
        <v>https://baanknet.com/view-property/261019/09FDF5ED320E2AB47BA212B417ED1387DDDBA4343B54676A9742E3E075CA210F</v>
      </c>
      <c r="I385" t="str">
        <f>HYPERLINK("https://baanknet.com/view-property/261019/09FDF5ED320E2AB47BA212B417ED1387DDDBA4343B54676A9742E3E075CA210F", "Open")</f>
        <v>Open</v>
      </c>
      <c r="J385" t="s">
        <v>20</v>
      </c>
      <c r="K385" t="s">
        <v>21</v>
      </c>
      <c r="L385">
        <v>1960000</v>
      </c>
      <c r="M385">
        <v>196000</v>
      </c>
    </row>
    <row r="386" spans="1:13" x14ac:dyDescent="0.25">
      <c r="A386" t="s">
        <v>1423</v>
      </c>
      <c r="B386" t="s">
        <v>1424</v>
      </c>
      <c r="C386" t="s">
        <v>1409</v>
      </c>
      <c r="D386" t="s">
        <v>1300</v>
      </c>
      <c r="E386" t="s">
        <v>654</v>
      </c>
      <c r="F386" t="s">
        <v>334</v>
      </c>
      <c r="G386" t="s">
        <v>1425</v>
      </c>
      <c r="H386" t="str">
        <f>HYPERLINK("https://baanknet.com/view-property/270394/A6C1634A982A1D2D83EECA290B53301CA6067C16F2692C7EBA91CA9F2802E657", "https://baanknet.com/view-property/270394/A6C1634A982A1D2D83EECA290B53301CA6067C16F2692C7EBA91CA9F2802E657")</f>
        <v>https://baanknet.com/view-property/270394/A6C1634A982A1D2D83EECA290B53301CA6067C16F2692C7EBA91CA9F2802E657</v>
      </c>
      <c r="I386" t="str">
        <f>HYPERLINK("https://baanknet.com/view-property/270394/A6C1634A982A1D2D83EECA290B53301CA6067C16F2692C7EBA91CA9F2802E657", "Open")</f>
        <v>Open</v>
      </c>
      <c r="J386" t="s">
        <v>20</v>
      </c>
      <c r="K386" t="s">
        <v>21</v>
      </c>
      <c r="L386">
        <v>2150000</v>
      </c>
      <c r="M386">
        <v>215000</v>
      </c>
    </row>
    <row r="387" spans="1:13" x14ac:dyDescent="0.25">
      <c r="A387" t="s">
        <v>1426</v>
      </c>
      <c r="B387" t="s">
        <v>1427</v>
      </c>
      <c r="C387" t="s">
        <v>1409</v>
      </c>
      <c r="D387" t="s">
        <v>1300</v>
      </c>
      <c r="E387" t="s">
        <v>654</v>
      </c>
      <c r="F387" t="s">
        <v>334</v>
      </c>
      <c r="G387" t="s">
        <v>1428</v>
      </c>
      <c r="H387" t="str">
        <f>HYPERLINK("https://baanknet.com/view-property/270396/4505FBD404DF427BF89B8F10928E566CFD28995FA043F637BF1AC6355937F732", "https://baanknet.com/view-property/270396/4505FBD404DF427BF89B8F10928E566CFD28995FA043F637BF1AC6355937F732")</f>
        <v>https://baanknet.com/view-property/270396/4505FBD404DF427BF89B8F10928E566CFD28995FA043F637BF1AC6355937F732</v>
      </c>
      <c r="I387" t="str">
        <f>HYPERLINK("https://baanknet.com/view-property/270396/4505FBD404DF427BF89B8F10928E566CFD28995FA043F637BF1AC6355937F732", "Open")</f>
        <v>Open</v>
      </c>
      <c r="J387" t="s">
        <v>20</v>
      </c>
      <c r="K387" t="s">
        <v>21</v>
      </c>
      <c r="L387">
        <v>5400000</v>
      </c>
      <c r="M387">
        <v>540000</v>
      </c>
    </row>
    <row r="388" spans="1:13" x14ac:dyDescent="0.25">
      <c r="A388" t="s">
        <v>1429</v>
      </c>
      <c r="B388" t="s">
        <v>1430</v>
      </c>
      <c r="C388" t="s">
        <v>1409</v>
      </c>
      <c r="D388" t="s">
        <v>1300</v>
      </c>
      <c r="E388" t="s">
        <v>654</v>
      </c>
      <c r="F388" t="s">
        <v>334</v>
      </c>
      <c r="G388" t="s">
        <v>1431</v>
      </c>
      <c r="H388" t="str">
        <f>HYPERLINK("https://baanknet.com/view-property/270395/F1D1F65C029705710F7739963FDF708873884C44B6B89CB6CD011F340A0F5B22", "https://baanknet.com/view-property/270395/F1D1F65C029705710F7739963FDF708873884C44B6B89CB6CD011F340A0F5B22")</f>
        <v>https://baanknet.com/view-property/270395/F1D1F65C029705710F7739963FDF708873884C44B6B89CB6CD011F340A0F5B22</v>
      </c>
      <c r="I388" t="str">
        <f>HYPERLINK("https://baanknet.com/view-property/270395/F1D1F65C029705710F7739963FDF708873884C44B6B89CB6CD011F340A0F5B22", "Open")</f>
        <v>Open</v>
      </c>
      <c r="J388" t="s">
        <v>20</v>
      </c>
      <c r="K388" t="s">
        <v>21</v>
      </c>
      <c r="L388">
        <v>5400000</v>
      </c>
      <c r="M388">
        <v>540000</v>
      </c>
    </row>
    <row r="389" spans="1:13" x14ac:dyDescent="0.25">
      <c r="A389" t="s">
        <v>1432</v>
      </c>
      <c r="B389" t="s">
        <v>1433</v>
      </c>
      <c r="C389" t="s">
        <v>121</v>
      </c>
      <c r="D389" t="s">
        <v>1434</v>
      </c>
      <c r="E389" t="s">
        <v>654</v>
      </c>
      <c r="F389" t="s">
        <v>334</v>
      </c>
      <c r="G389" t="s">
        <v>1435</v>
      </c>
      <c r="H389" t="str">
        <f>HYPERLINK("https://baanknet.com/view-property/177238/BEAE4C88B61B85D95E20BB6398D1C8C954B04D7D94E1129367E75FB788AC1246", "https://baanknet.com/view-property/177238/BEAE4C88B61B85D95E20BB6398D1C8C954B04D7D94E1129367E75FB788AC1246")</f>
        <v>https://baanknet.com/view-property/177238/BEAE4C88B61B85D95E20BB6398D1C8C954B04D7D94E1129367E75FB788AC1246</v>
      </c>
      <c r="I389" t="str">
        <f>HYPERLINK("https://baanknet.com/view-property/177238/BEAE4C88B61B85D95E20BB6398D1C8C954B04D7D94E1129367E75FB788AC1246", "Open")</f>
        <v>Open</v>
      </c>
      <c r="J389" t="s">
        <v>20</v>
      </c>
      <c r="K389" t="s">
        <v>21</v>
      </c>
      <c r="L389">
        <v>1119000</v>
      </c>
      <c r="M389">
        <v>111900</v>
      </c>
    </row>
    <row r="390" spans="1:13" x14ac:dyDescent="0.25">
      <c r="A390" t="s">
        <v>1436</v>
      </c>
      <c r="B390" t="s">
        <v>1437</v>
      </c>
      <c r="C390" t="s">
        <v>1409</v>
      </c>
      <c r="D390" t="s">
        <v>710</v>
      </c>
      <c r="E390" t="s">
        <v>654</v>
      </c>
      <c r="F390" t="s">
        <v>334</v>
      </c>
      <c r="G390" t="s">
        <v>1438</v>
      </c>
      <c r="H390" t="str">
        <f>HYPERLINK("https://baanknet.com/view-property/270673/D5677298A6FCADA5A7A48EBD97E07023F37E4193A91053A4FBD1877E210A30FA", "https://baanknet.com/view-property/270673/D5677298A6FCADA5A7A48EBD97E07023F37E4193A91053A4FBD1877E210A30FA")</f>
        <v>https://baanknet.com/view-property/270673/D5677298A6FCADA5A7A48EBD97E07023F37E4193A91053A4FBD1877E210A30FA</v>
      </c>
      <c r="I390" t="str">
        <f>HYPERLINK("https://baanknet.com/view-property/270673/D5677298A6FCADA5A7A48EBD97E07023F37E4193A91053A4FBD1877E210A30FA", "Open")</f>
        <v>Open</v>
      </c>
      <c r="J390" t="s">
        <v>20</v>
      </c>
      <c r="K390" t="s">
        <v>21</v>
      </c>
      <c r="L390">
        <v>3300000</v>
      </c>
      <c r="M390">
        <v>330000</v>
      </c>
    </row>
    <row r="391" spans="1:13" x14ac:dyDescent="0.25">
      <c r="A391" t="s">
        <v>1439</v>
      </c>
      <c r="B391" t="s">
        <v>1440</v>
      </c>
      <c r="C391" t="s">
        <v>121</v>
      </c>
      <c r="D391" t="s">
        <v>153</v>
      </c>
      <c r="E391" t="s">
        <v>654</v>
      </c>
      <c r="F391" t="s">
        <v>334</v>
      </c>
      <c r="G391" t="s">
        <v>1441</v>
      </c>
      <c r="H391" t="str">
        <f>HYPERLINK("https://baanknet.com/view-property/227288/CCA549F7223702A34EEFD95F8C74752CEFB50E94B3BBBD94741EC726F02A2E76", "https://baanknet.com/view-property/227288/CCA549F7223702A34EEFD95F8C74752CEFB50E94B3BBBD94741EC726F02A2E76")</f>
        <v>https://baanknet.com/view-property/227288/CCA549F7223702A34EEFD95F8C74752CEFB50E94B3BBBD94741EC726F02A2E76</v>
      </c>
      <c r="I391" t="str">
        <f>HYPERLINK("https://baanknet.com/view-property/227288/CCA549F7223702A34EEFD95F8C74752CEFB50E94B3BBBD94741EC726F02A2E76", "Open")</f>
        <v>Open</v>
      </c>
      <c r="J391" t="s">
        <v>20</v>
      </c>
      <c r="K391" t="s">
        <v>21</v>
      </c>
      <c r="L391">
        <v>2662000</v>
      </c>
      <c r="M391">
        <v>266200</v>
      </c>
    </row>
    <row r="392" spans="1:13" x14ac:dyDescent="0.25">
      <c r="A392" t="s">
        <v>1442</v>
      </c>
      <c r="B392" t="s">
        <v>1443</v>
      </c>
      <c r="C392" t="s">
        <v>1409</v>
      </c>
      <c r="D392" t="s">
        <v>937</v>
      </c>
      <c r="E392" t="s">
        <v>654</v>
      </c>
      <c r="F392" t="s">
        <v>334</v>
      </c>
      <c r="G392" t="s">
        <v>1444</v>
      </c>
      <c r="H392" t="str">
        <f>HYPERLINK("https://baanknet.com/view-property/261021/07F8CD474C2EBC69C929F46FBFD1D16330275C77D11C28FAD3AD2588AC2D9484", "https://baanknet.com/view-property/261021/07F8CD474C2EBC69C929F46FBFD1D16330275C77D11C28FAD3AD2588AC2D9484")</f>
        <v>https://baanknet.com/view-property/261021/07F8CD474C2EBC69C929F46FBFD1D16330275C77D11C28FAD3AD2588AC2D9484</v>
      </c>
      <c r="I392" t="str">
        <f>HYPERLINK("https://baanknet.com/view-property/261021/07F8CD474C2EBC69C929F46FBFD1D16330275C77D11C28FAD3AD2588AC2D9484", "Open")</f>
        <v>Open</v>
      </c>
      <c r="J392" t="s">
        <v>20</v>
      </c>
      <c r="K392" t="s">
        <v>21</v>
      </c>
      <c r="L392">
        <v>1512000</v>
      </c>
      <c r="M392">
        <v>151200</v>
      </c>
    </row>
    <row r="393" spans="1:13" x14ac:dyDescent="0.25">
      <c r="A393" t="s">
        <v>1445</v>
      </c>
      <c r="B393" t="s">
        <v>1446</v>
      </c>
      <c r="C393" t="s">
        <v>1409</v>
      </c>
      <c r="D393" t="s">
        <v>937</v>
      </c>
      <c r="E393" t="s">
        <v>654</v>
      </c>
      <c r="F393" t="s">
        <v>334</v>
      </c>
      <c r="G393" t="s">
        <v>1447</v>
      </c>
      <c r="H393" t="str">
        <f>HYPERLINK("https://baanknet.com/view-property/270401/F99E0481C9B07F9A85EECF0BE5E0780F29E472BC74B672AA504D27594622173F", "https://baanknet.com/view-property/270401/F99E0481C9B07F9A85EECF0BE5E0780F29E472BC74B672AA504D27594622173F")</f>
        <v>https://baanknet.com/view-property/270401/F99E0481C9B07F9A85EECF0BE5E0780F29E472BC74B672AA504D27594622173F</v>
      </c>
      <c r="I393" t="str">
        <f>HYPERLINK("https://baanknet.com/view-property/270401/F99E0481C9B07F9A85EECF0BE5E0780F29E472BC74B672AA504D27594622173F", "Open")</f>
        <v>Open</v>
      </c>
      <c r="J393" t="s">
        <v>20</v>
      </c>
      <c r="K393" t="s">
        <v>21</v>
      </c>
      <c r="L393">
        <v>4320000</v>
      </c>
      <c r="M393">
        <v>432000</v>
      </c>
    </row>
    <row r="394" spans="1:13" x14ac:dyDescent="0.25">
      <c r="A394" t="s">
        <v>1448</v>
      </c>
      <c r="B394" t="s">
        <v>1449</v>
      </c>
      <c r="C394" t="s">
        <v>1409</v>
      </c>
      <c r="D394" t="s">
        <v>937</v>
      </c>
      <c r="E394" t="s">
        <v>654</v>
      </c>
      <c r="F394" t="s">
        <v>334</v>
      </c>
      <c r="G394" t="s">
        <v>1450</v>
      </c>
      <c r="H394" t="str">
        <f>HYPERLINK("https://baanknet.com/view-property/273461/AF6753B6BA63A46531B94AB104E860116D194E76CD4C9CE730173465CBA95A74", "https://baanknet.com/view-property/273461/AF6753B6BA63A46531B94AB104E860116D194E76CD4C9CE730173465CBA95A74")</f>
        <v>https://baanknet.com/view-property/273461/AF6753B6BA63A46531B94AB104E860116D194E76CD4C9CE730173465CBA95A74</v>
      </c>
      <c r="I394" t="str">
        <f>HYPERLINK("https://baanknet.com/view-property/273461/AF6753B6BA63A46531B94AB104E860116D194E76CD4C9CE730173465CBA95A74", "Open")</f>
        <v>Open</v>
      </c>
      <c r="J394" t="s">
        <v>20</v>
      </c>
      <c r="K394" t="s">
        <v>21</v>
      </c>
      <c r="L394">
        <v>4000000</v>
      </c>
      <c r="M394">
        <v>400000</v>
      </c>
    </row>
    <row r="395" spans="1:13" x14ac:dyDescent="0.25">
      <c r="A395" t="s">
        <v>1451</v>
      </c>
      <c r="B395" t="s">
        <v>1452</v>
      </c>
      <c r="C395" t="s">
        <v>121</v>
      </c>
      <c r="D395" t="s">
        <v>1453</v>
      </c>
      <c r="E395" t="s">
        <v>654</v>
      </c>
      <c r="F395" t="s">
        <v>334</v>
      </c>
      <c r="G395" t="s">
        <v>1454</v>
      </c>
      <c r="H395" t="str">
        <f>HYPERLINK("https://baanknet.com/view-property/261406/2500F8097C826E621591F0B808B26EBCE0BE34188B18F2929FB62B275BA0A449", "https://baanknet.com/view-property/261406/2500F8097C826E621591F0B808B26EBCE0BE34188B18F2929FB62B275BA0A449")</f>
        <v>https://baanknet.com/view-property/261406/2500F8097C826E621591F0B808B26EBCE0BE34188B18F2929FB62B275BA0A449</v>
      </c>
      <c r="I395" t="str">
        <f>HYPERLINK("https://baanknet.com/view-property/261406/2500F8097C826E621591F0B808B26EBCE0BE34188B18F2929FB62B275BA0A449", "Open")</f>
        <v>Open</v>
      </c>
      <c r="J395" t="s">
        <v>20</v>
      </c>
      <c r="K395" t="s">
        <v>21</v>
      </c>
      <c r="L395">
        <v>1874000</v>
      </c>
      <c r="M395">
        <v>187400</v>
      </c>
    </row>
    <row r="396" spans="1:13" x14ac:dyDescent="0.25">
      <c r="A396" t="s">
        <v>1455</v>
      </c>
      <c r="B396" t="s">
        <v>1456</v>
      </c>
      <c r="C396" t="s">
        <v>121</v>
      </c>
      <c r="D396" t="s">
        <v>153</v>
      </c>
      <c r="E396" t="s">
        <v>654</v>
      </c>
      <c r="F396" t="s">
        <v>334</v>
      </c>
      <c r="G396" t="s">
        <v>1457</v>
      </c>
      <c r="H396" t="str">
        <f>HYPERLINK("https://baanknet.com/view-property/231815/7C00DFA3396C3B46ABE3F3A26B57F252D7076030D50001613CE23E3E2FE94ACE", "https://baanknet.com/view-property/231815/7C00DFA3396C3B46ABE3F3A26B57F252D7076030D50001613CE23E3E2FE94ACE")</f>
        <v>https://baanknet.com/view-property/231815/7C00DFA3396C3B46ABE3F3A26B57F252D7076030D50001613CE23E3E2FE94ACE</v>
      </c>
      <c r="I396" t="str">
        <f>HYPERLINK("https://baanknet.com/view-property/231815/7C00DFA3396C3B46ABE3F3A26B57F252D7076030D50001613CE23E3E2FE94ACE", "Open")</f>
        <v>Open</v>
      </c>
      <c r="J396" t="s">
        <v>20</v>
      </c>
      <c r="K396" t="s">
        <v>21</v>
      </c>
      <c r="L396">
        <v>1825000</v>
      </c>
      <c r="M396">
        <v>182500</v>
      </c>
    </row>
    <row r="397" spans="1:13" x14ac:dyDescent="0.25">
      <c r="A397" t="s">
        <v>1458</v>
      </c>
      <c r="B397" t="s">
        <v>1459</v>
      </c>
      <c r="C397" t="s">
        <v>121</v>
      </c>
      <c r="D397" t="s">
        <v>153</v>
      </c>
      <c r="E397" t="s">
        <v>654</v>
      </c>
      <c r="F397" t="s">
        <v>334</v>
      </c>
      <c r="G397" t="s">
        <v>1460</v>
      </c>
      <c r="H397" t="str">
        <f>HYPERLINK("https://baanknet.com/view-property/227307/B933A73C27A220CB0B07FF1CC77CE2D11766A4307BC78F35E779BDDD34D6EC85", "https://baanknet.com/view-property/227307/B933A73C27A220CB0B07FF1CC77CE2D11766A4307BC78F35E779BDDD34D6EC85")</f>
        <v>https://baanknet.com/view-property/227307/B933A73C27A220CB0B07FF1CC77CE2D11766A4307BC78F35E779BDDD34D6EC85</v>
      </c>
      <c r="I397" t="str">
        <f>HYPERLINK("https://baanknet.com/view-property/227307/B933A73C27A220CB0B07FF1CC77CE2D11766A4307BC78F35E779BDDD34D6EC85", "Open")</f>
        <v>Open</v>
      </c>
      <c r="J397" t="s">
        <v>20</v>
      </c>
      <c r="K397" t="s">
        <v>21</v>
      </c>
      <c r="L397">
        <v>1339000</v>
      </c>
      <c r="M397">
        <v>133900</v>
      </c>
    </row>
    <row r="398" spans="1:13" x14ac:dyDescent="0.25">
      <c r="A398" t="s">
        <v>1461</v>
      </c>
      <c r="B398" t="s">
        <v>1462</v>
      </c>
      <c r="C398" t="s">
        <v>121</v>
      </c>
      <c r="D398" t="s">
        <v>1463</v>
      </c>
      <c r="E398" t="s">
        <v>654</v>
      </c>
      <c r="F398" t="s">
        <v>334</v>
      </c>
      <c r="G398" t="s">
        <v>1464</v>
      </c>
      <c r="H398" t="str">
        <f>HYPERLINK("https://baanknet.com/view-property/182903/E74F63DEA377845F8DF128BEA8E51140DA0FE6EA0A1F2444EF36F158E4C09C3D", "https://baanknet.com/view-property/182903/E74F63DEA377845F8DF128BEA8E51140DA0FE6EA0A1F2444EF36F158E4C09C3D")</f>
        <v>https://baanknet.com/view-property/182903/E74F63DEA377845F8DF128BEA8E51140DA0FE6EA0A1F2444EF36F158E4C09C3D</v>
      </c>
      <c r="I398" t="str">
        <f>HYPERLINK("https://baanknet.com/view-property/182903/E74F63DEA377845F8DF128BEA8E51140DA0FE6EA0A1F2444EF36F158E4C09C3D", "Open")</f>
        <v>Open</v>
      </c>
      <c r="J398" t="s">
        <v>20</v>
      </c>
      <c r="K398" t="s">
        <v>21</v>
      </c>
      <c r="L398">
        <v>1071000</v>
      </c>
      <c r="M398">
        <v>107100</v>
      </c>
    </row>
    <row r="399" spans="1:13" x14ac:dyDescent="0.25">
      <c r="A399" t="s">
        <v>1465</v>
      </c>
      <c r="B399" t="s">
        <v>1466</v>
      </c>
      <c r="C399" t="s">
        <v>144</v>
      </c>
      <c r="D399" t="s">
        <v>1467</v>
      </c>
      <c r="E399" t="s">
        <v>654</v>
      </c>
      <c r="F399" t="s">
        <v>305</v>
      </c>
      <c r="G399" t="s">
        <v>1468</v>
      </c>
      <c r="H399" t="str">
        <f>HYPERLINK("https://baanknet.com/view-property/277104/17F3B515A4CCD30763A00033A79CF6E4EB0FBF2A9CE55CB6D30E6AB8140BEF94", "https://baanknet.com/view-property/277104/17F3B515A4CCD30763A00033A79CF6E4EB0FBF2A9CE55CB6D30E6AB8140BEF94")</f>
        <v>https://baanknet.com/view-property/277104/17F3B515A4CCD30763A00033A79CF6E4EB0FBF2A9CE55CB6D30E6AB8140BEF94</v>
      </c>
      <c r="I399" t="str">
        <f>HYPERLINK("https://baanknet.com/view-property/277104/17F3B515A4CCD30763A00033A79CF6E4EB0FBF2A9CE55CB6D30E6AB8140BEF94", "Open")</f>
        <v>Open</v>
      </c>
      <c r="J399" t="s">
        <v>20</v>
      </c>
      <c r="K399" t="s">
        <v>21</v>
      </c>
      <c r="L399">
        <v>516000</v>
      </c>
      <c r="M399">
        <v>51600</v>
      </c>
    </row>
    <row r="400" spans="1:13" x14ac:dyDescent="0.25">
      <c r="A400" t="s">
        <v>1469</v>
      </c>
      <c r="B400" t="s">
        <v>1470</v>
      </c>
      <c r="C400" t="s">
        <v>121</v>
      </c>
      <c r="D400" t="s">
        <v>1348</v>
      </c>
      <c r="E400" t="s">
        <v>654</v>
      </c>
      <c r="F400" t="s">
        <v>334</v>
      </c>
      <c r="G400" t="s">
        <v>1471</v>
      </c>
      <c r="H400" t="str">
        <f>HYPERLINK("https://baanknet.com/view-property/175574/03D9ED7853B3E8179FA69FA65C999B30EEF8B4D8F62B70C58FBA5641493FAEA8", "https://baanknet.com/view-property/175574/03D9ED7853B3E8179FA69FA65C999B30EEF8B4D8F62B70C58FBA5641493FAEA8")</f>
        <v>https://baanknet.com/view-property/175574/03D9ED7853B3E8179FA69FA65C999B30EEF8B4D8F62B70C58FBA5641493FAEA8</v>
      </c>
      <c r="I400" t="str">
        <f>HYPERLINK("https://baanknet.com/view-property/175574/03D9ED7853B3E8179FA69FA65C999B30EEF8B4D8F62B70C58FBA5641493FAEA8", "Open")</f>
        <v>Open</v>
      </c>
      <c r="J400" t="s">
        <v>20</v>
      </c>
      <c r="K400" t="s">
        <v>21</v>
      </c>
      <c r="L400">
        <v>706000</v>
      </c>
      <c r="M400">
        <v>70600</v>
      </c>
    </row>
    <row r="401" spans="1:13" x14ac:dyDescent="0.25">
      <c r="A401" t="s">
        <v>1472</v>
      </c>
      <c r="B401" t="s">
        <v>1473</v>
      </c>
      <c r="C401" t="s">
        <v>121</v>
      </c>
      <c r="D401" t="s">
        <v>1310</v>
      </c>
      <c r="E401" t="s">
        <v>654</v>
      </c>
      <c r="F401" t="s">
        <v>334</v>
      </c>
      <c r="G401" t="s">
        <v>1474</v>
      </c>
      <c r="H401" t="str">
        <f>HYPERLINK("https://baanknet.com/view-property/230831/1AE2BA48661167CA82BADC468E44B015A25D4ABA5CE7D8A585F81C8C7E086DA1", "https://baanknet.com/view-property/230831/1AE2BA48661167CA82BADC468E44B015A25D4ABA5CE7D8A585F81C8C7E086DA1")</f>
        <v>https://baanknet.com/view-property/230831/1AE2BA48661167CA82BADC468E44B015A25D4ABA5CE7D8A585F81C8C7E086DA1</v>
      </c>
      <c r="I401" t="str">
        <f>HYPERLINK("https://baanknet.com/view-property/230831/1AE2BA48661167CA82BADC468E44B015A25D4ABA5CE7D8A585F81C8C7E086DA1", "Open")</f>
        <v>Open</v>
      </c>
      <c r="J401" t="s">
        <v>20</v>
      </c>
      <c r="K401" t="s">
        <v>21</v>
      </c>
      <c r="L401">
        <v>5000000</v>
      </c>
      <c r="M401">
        <v>500000</v>
      </c>
    </row>
    <row r="402" spans="1:13" x14ac:dyDescent="0.25">
      <c r="A402" t="s">
        <v>1475</v>
      </c>
      <c r="B402" t="s">
        <v>1476</v>
      </c>
      <c r="C402" t="s">
        <v>121</v>
      </c>
      <c r="D402" t="s">
        <v>1477</v>
      </c>
      <c r="E402" t="s">
        <v>654</v>
      </c>
      <c r="F402" t="s">
        <v>334</v>
      </c>
      <c r="G402" t="s">
        <v>1478</v>
      </c>
      <c r="H402" t="str">
        <f>HYPERLINK("https://baanknet.com/view-property/276332/2A35E8ABD6C025126CCB64D6E08E5ACF2EA323EA3801BAAF4B5A87BEEFE47E70", "https://baanknet.com/view-property/276332/2A35E8ABD6C025126CCB64D6E08E5ACF2EA323EA3801BAAF4B5A87BEEFE47E70")</f>
        <v>https://baanknet.com/view-property/276332/2A35E8ABD6C025126CCB64D6E08E5ACF2EA323EA3801BAAF4B5A87BEEFE47E70</v>
      </c>
      <c r="I402" t="str">
        <f>HYPERLINK("https://baanknet.com/view-property/276332/2A35E8ABD6C025126CCB64D6E08E5ACF2EA323EA3801BAAF4B5A87BEEFE47E70", "Open")</f>
        <v>Open</v>
      </c>
      <c r="J402" t="s">
        <v>20</v>
      </c>
      <c r="K402" t="s">
        <v>21</v>
      </c>
      <c r="L402">
        <v>3800000</v>
      </c>
      <c r="M402">
        <v>380000</v>
      </c>
    </row>
    <row r="403" spans="1:13" x14ac:dyDescent="0.25">
      <c r="A403" t="s">
        <v>1479</v>
      </c>
      <c r="B403" t="s">
        <v>1480</v>
      </c>
      <c r="C403" t="s">
        <v>121</v>
      </c>
      <c r="D403" t="s">
        <v>1481</v>
      </c>
      <c r="E403" t="s">
        <v>654</v>
      </c>
      <c r="F403" t="s">
        <v>334</v>
      </c>
      <c r="G403" t="s">
        <v>1482</v>
      </c>
      <c r="H403" t="str">
        <f>HYPERLINK("https://baanknet.com/view-property/186976/1D93B061A1B6EAE4EE993A2DF4C36B1F68C4C9AF30EBF81359D3CDBD6098152A", "https://baanknet.com/view-property/186976/1D93B061A1B6EAE4EE993A2DF4C36B1F68C4C9AF30EBF81359D3CDBD6098152A")</f>
        <v>https://baanknet.com/view-property/186976/1D93B061A1B6EAE4EE993A2DF4C36B1F68C4C9AF30EBF81359D3CDBD6098152A</v>
      </c>
      <c r="I403" t="str">
        <f>HYPERLINK("https://baanknet.com/view-property/186976/1D93B061A1B6EAE4EE993A2DF4C36B1F68C4C9AF30EBF81359D3CDBD6098152A", "Open")</f>
        <v>Open</v>
      </c>
      <c r="J403" t="s">
        <v>20</v>
      </c>
      <c r="K403" t="s">
        <v>21</v>
      </c>
      <c r="L403">
        <v>4650000</v>
      </c>
      <c r="M403">
        <v>465000</v>
      </c>
    </row>
    <row r="404" spans="1:13" x14ac:dyDescent="0.25">
      <c r="A404" t="s">
        <v>1483</v>
      </c>
      <c r="B404" t="s">
        <v>1484</v>
      </c>
      <c r="C404" t="s">
        <v>121</v>
      </c>
      <c r="D404" t="s">
        <v>1277</v>
      </c>
      <c r="E404" t="s">
        <v>654</v>
      </c>
      <c r="F404" t="s">
        <v>334</v>
      </c>
      <c r="G404" t="s">
        <v>1485</v>
      </c>
      <c r="H404" t="str">
        <f>HYPERLINK("https://baanknet.com/view-property/179552/9F59B0E9BEA46AAE6473B9E8BAF17D67540C910760278A32193D7B44C982E771", "https://baanknet.com/view-property/179552/9F59B0E9BEA46AAE6473B9E8BAF17D67540C910760278A32193D7B44C982E771")</f>
        <v>https://baanknet.com/view-property/179552/9F59B0E9BEA46AAE6473B9E8BAF17D67540C910760278A32193D7B44C982E771</v>
      </c>
      <c r="I404" t="str">
        <f>HYPERLINK("https://baanknet.com/view-property/179552/9F59B0E9BEA46AAE6473B9E8BAF17D67540C910760278A32193D7B44C982E771", "Open")</f>
        <v>Open</v>
      </c>
      <c r="J404" t="s">
        <v>20</v>
      </c>
      <c r="K404" t="s">
        <v>21</v>
      </c>
      <c r="L404">
        <v>1918000</v>
      </c>
      <c r="M404">
        <v>191800</v>
      </c>
    </row>
    <row r="405" spans="1:13" x14ac:dyDescent="0.25">
      <c r="A405" t="s">
        <v>1486</v>
      </c>
      <c r="B405" t="s">
        <v>1487</v>
      </c>
      <c r="C405" t="s">
        <v>121</v>
      </c>
      <c r="D405" t="s">
        <v>1488</v>
      </c>
      <c r="E405" t="s">
        <v>654</v>
      </c>
      <c r="F405" t="s">
        <v>334</v>
      </c>
      <c r="G405" t="s">
        <v>1489</v>
      </c>
      <c r="H405" t="str">
        <f>HYPERLINK("https://baanknet.com/view-property/246059/B2BB1A8F12B07C36A218FA2F426179BB12F21C50C28CFA107902BBCBFBF92120", "https://baanknet.com/view-property/246059/B2BB1A8F12B07C36A218FA2F426179BB12F21C50C28CFA107902BBCBFBF92120")</f>
        <v>https://baanknet.com/view-property/246059/B2BB1A8F12B07C36A218FA2F426179BB12F21C50C28CFA107902BBCBFBF92120</v>
      </c>
      <c r="I405" t="str">
        <f>HYPERLINK("https://baanknet.com/view-property/246059/B2BB1A8F12B07C36A218FA2F426179BB12F21C50C28CFA107902BBCBFBF92120", "Open")</f>
        <v>Open</v>
      </c>
      <c r="J405" t="s">
        <v>20</v>
      </c>
      <c r="K405" t="s">
        <v>21</v>
      </c>
      <c r="L405">
        <v>9100000</v>
      </c>
      <c r="M405">
        <v>910000</v>
      </c>
    </row>
    <row r="406" spans="1:13" x14ac:dyDescent="0.25">
      <c r="A406" t="s">
        <v>1490</v>
      </c>
      <c r="B406" t="s">
        <v>1491</v>
      </c>
      <c r="C406" t="s">
        <v>121</v>
      </c>
      <c r="D406" t="s">
        <v>1488</v>
      </c>
      <c r="E406" t="s">
        <v>654</v>
      </c>
      <c r="F406" t="s">
        <v>334</v>
      </c>
      <c r="G406" t="s">
        <v>1492</v>
      </c>
      <c r="H406" t="str">
        <f>HYPERLINK("https://baanknet.com/view-property/173072/7991B499F5A011C5461C6DA9D5A755A97B563E85EA04CC2A5416C05DAB9D0BC1", "https://baanknet.com/view-property/173072/7991B499F5A011C5461C6DA9D5A755A97B563E85EA04CC2A5416C05DAB9D0BC1")</f>
        <v>https://baanknet.com/view-property/173072/7991B499F5A011C5461C6DA9D5A755A97B563E85EA04CC2A5416C05DAB9D0BC1</v>
      </c>
      <c r="I406" t="str">
        <f>HYPERLINK("https://baanknet.com/view-property/173072/7991B499F5A011C5461C6DA9D5A755A97B563E85EA04CC2A5416C05DAB9D0BC1", "Open")</f>
        <v>Open</v>
      </c>
      <c r="J406" t="s">
        <v>20</v>
      </c>
      <c r="K406" t="s">
        <v>21</v>
      </c>
      <c r="L406">
        <v>3200000</v>
      </c>
      <c r="M406">
        <v>320000</v>
      </c>
    </row>
    <row r="407" spans="1:13" x14ac:dyDescent="0.25">
      <c r="A407" t="s">
        <v>1493</v>
      </c>
      <c r="B407" t="s">
        <v>1494</v>
      </c>
      <c r="C407" t="s">
        <v>121</v>
      </c>
      <c r="D407" t="s">
        <v>1488</v>
      </c>
      <c r="E407" t="s">
        <v>654</v>
      </c>
      <c r="F407" t="s">
        <v>334</v>
      </c>
      <c r="G407" t="s">
        <v>1495</v>
      </c>
      <c r="H407" t="str">
        <f>HYPERLINK("https://baanknet.com/view-property/173077/FAC64DD2825F6F95DE4C209D5CDAF74B1F0B3FA5CE4C9A3753EFFFDE4A97DE19", "https://baanknet.com/view-property/173077/FAC64DD2825F6F95DE4C209D5CDAF74B1F0B3FA5CE4C9A3753EFFFDE4A97DE19")</f>
        <v>https://baanknet.com/view-property/173077/FAC64DD2825F6F95DE4C209D5CDAF74B1F0B3FA5CE4C9A3753EFFFDE4A97DE19</v>
      </c>
      <c r="I407" t="str">
        <f>HYPERLINK("https://baanknet.com/view-property/173077/FAC64DD2825F6F95DE4C209D5CDAF74B1F0B3FA5CE4C9A3753EFFFDE4A97DE19", "Open")</f>
        <v>Open</v>
      </c>
      <c r="J407" t="s">
        <v>20</v>
      </c>
      <c r="K407" t="s">
        <v>21</v>
      </c>
      <c r="L407">
        <v>6050000</v>
      </c>
      <c r="M407">
        <v>605000</v>
      </c>
    </row>
    <row r="408" spans="1:13" x14ac:dyDescent="0.25">
      <c r="A408" t="s">
        <v>1496</v>
      </c>
      <c r="B408" t="s">
        <v>1497</v>
      </c>
      <c r="C408" t="s">
        <v>121</v>
      </c>
      <c r="D408" t="s">
        <v>1300</v>
      </c>
      <c r="E408" t="s">
        <v>654</v>
      </c>
      <c r="F408" t="s">
        <v>334</v>
      </c>
      <c r="G408" t="s">
        <v>1498</v>
      </c>
      <c r="H408" t="str">
        <f>HYPERLINK("https://baanknet.com/view-property/178235/ADCB4F003AACD93EF31AF53E8684B8EFD5EECD4B5D2317295C03CD4CA68F91C3", "https://baanknet.com/view-property/178235/ADCB4F003AACD93EF31AF53E8684B8EFD5EECD4B5D2317295C03CD4CA68F91C3")</f>
        <v>https://baanknet.com/view-property/178235/ADCB4F003AACD93EF31AF53E8684B8EFD5EECD4B5D2317295C03CD4CA68F91C3</v>
      </c>
      <c r="I408" t="str">
        <f>HYPERLINK("https://baanknet.com/view-property/178235/ADCB4F003AACD93EF31AF53E8684B8EFD5EECD4B5D2317295C03CD4CA68F91C3", "Open")</f>
        <v>Open</v>
      </c>
      <c r="J408" t="s">
        <v>20</v>
      </c>
      <c r="K408" t="s">
        <v>21</v>
      </c>
      <c r="L408">
        <v>2510000</v>
      </c>
      <c r="M408">
        <v>251000</v>
      </c>
    </row>
    <row r="409" spans="1:13" x14ac:dyDescent="0.25">
      <c r="A409" t="s">
        <v>1499</v>
      </c>
      <c r="B409" t="s">
        <v>1500</v>
      </c>
      <c r="C409" t="s">
        <v>121</v>
      </c>
      <c r="D409" t="s">
        <v>1481</v>
      </c>
      <c r="E409" t="s">
        <v>654</v>
      </c>
      <c r="F409" t="s">
        <v>334</v>
      </c>
      <c r="G409" t="s">
        <v>1501</v>
      </c>
      <c r="H409" t="str">
        <f>HYPERLINK("https://baanknet.com/view-property/179559/4168EF6291A514E74B9580D24A3973D3A921A043074938CA9ACF78B682BE31A1", "https://baanknet.com/view-property/179559/4168EF6291A514E74B9580D24A3973D3A921A043074938CA9ACF78B682BE31A1")</f>
        <v>https://baanknet.com/view-property/179559/4168EF6291A514E74B9580D24A3973D3A921A043074938CA9ACF78B682BE31A1</v>
      </c>
      <c r="I409" t="str">
        <f>HYPERLINK("https://baanknet.com/view-property/179559/4168EF6291A514E74B9580D24A3973D3A921A043074938CA9ACF78B682BE31A1", "Open")</f>
        <v>Open</v>
      </c>
      <c r="J409" t="s">
        <v>20</v>
      </c>
      <c r="K409" t="s">
        <v>21</v>
      </c>
      <c r="L409">
        <v>3062000</v>
      </c>
      <c r="M409">
        <v>306200</v>
      </c>
    </row>
    <row r="410" spans="1:13" x14ac:dyDescent="0.25">
      <c r="A410" t="s">
        <v>1502</v>
      </c>
      <c r="B410" t="s">
        <v>1503</v>
      </c>
      <c r="C410" t="s">
        <v>121</v>
      </c>
      <c r="D410" t="s">
        <v>1504</v>
      </c>
      <c r="E410" t="s">
        <v>654</v>
      </c>
      <c r="F410" t="s">
        <v>334</v>
      </c>
      <c r="G410" t="s">
        <v>1505</v>
      </c>
      <c r="H410" t="str">
        <f>HYPERLINK("https://baanknet.com/view-property/177248/197D72F5D47017897D42D49F7BEAABC5813277C10C4E804A047EC07EC66B5D94", "https://baanknet.com/view-property/177248/197D72F5D47017897D42D49F7BEAABC5813277C10C4E804A047EC07EC66B5D94")</f>
        <v>https://baanknet.com/view-property/177248/197D72F5D47017897D42D49F7BEAABC5813277C10C4E804A047EC07EC66B5D94</v>
      </c>
      <c r="I410" t="str">
        <f>HYPERLINK("https://baanknet.com/view-property/177248/197D72F5D47017897D42D49F7BEAABC5813277C10C4E804A047EC07EC66B5D94", "Open")</f>
        <v>Open</v>
      </c>
      <c r="J410" t="s">
        <v>20</v>
      </c>
      <c r="K410" t="s">
        <v>21</v>
      </c>
      <c r="L410">
        <v>1684700</v>
      </c>
      <c r="M410">
        <v>168470</v>
      </c>
    </row>
    <row r="411" spans="1:13" x14ac:dyDescent="0.25">
      <c r="A411" t="s">
        <v>1506</v>
      </c>
      <c r="B411" t="s">
        <v>1507</v>
      </c>
      <c r="C411" t="s">
        <v>121</v>
      </c>
      <c r="D411" t="s">
        <v>1300</v>
      </c>
      <c r="E411" t="s">
        <v>654</v>
      </c>
      <c r="F411" t="s">
        <v>334</v>
      </c>
      <c r="G411" t="s">
        <v>1508</v>
      </c>
      <c r="H411" t="str">
        <f>HYPERLINK("https://baanknet.com/view-property/178164/939E5DB63D1CB2607134B4F786A37C24C407A447FEEB038DBCED48BFDBA19786", "https://baanknet.com/view-property/178164/939E5DB63D1CB2607134B4F786A37C24C407A447FEEB038DBCED48BFDBA19786")</f>
        <v>https://baanknet.com/view-property/178164/939E5DB63D1CB2607134B4F786A37C24C407A447FEEB038DBCED48BFDBA19786</v>
      </c>
      <c r="I411" t="str">
        <f>HYPERLINK("https://baanknet.com/view-property/178164/939E5DB63D1CB2607134B4F786A37C24C407A447FEEB038DBCED48BFDBA19786", "Open")</f>
        <v>Open</v>
      </c>
      <c r="J411" t="s">
        <v>20</v>
      </c>
      <c r="K411" t="s">
        <v>21</v>
      </c>
      <c r="L411">
        <v>2550000</v>
      </c>
      <c r="M411">
        <v>255000</v>
      </c>
    </row>
    <row r="412" spans="1:13" x14ac:dyDescent="0.25">
      <c r="A412" t="s">
        <v>1509</v>
      </c>
      <c r="B412" t="s">
        <v>1510</v>
      </c>
      <c r="C412" t="s">
        <v>121</v>
      </c>
      <c r="D412" t="s">
        <v>153</v>
      </c>
      <c r="E412" t="s">
        <v>654</v>
      </c>
      <c r="F412" t="s">
        <v>334</v>
      </c>
      <c r="G412" t="s">
        <v>1511</v>
      </c>
      <c r="H412" t="str">
        <f>HYPERLINK("https://baanknet.com/view-property/285779/E7DE89E5A22FE64FDBCD3A987061C226FB05ECC7FA2E69686CA8CCD5831CB904", "https://baanknet.com/view-property/285779/E7DE89E5A22FE64FDBCD3A987061C226FB05ECC7FA2E69686CA8CCD5831CB904")</f>
        <v>https://baanknet.com/view-property/285779/E7DE89E5A22FE64FDBCD3A987061C226FB05ECC7FA2E69686CA8CCD5831CB904</v>
      </c>
      <c r="I412" t="str">
        <f>HYPERLINK("https://baanknet.com/view-property/285779/E7DE89E5A22FE64FDBCD3A987061C226FB05ECC7FA2E69686CA8CCD5831CB904", "Open")</f>
        <v>Open</v>
      </c>
      <c r="J412" t="s">
        <v>20</v>
      </c>
      <c r="K412" t="s">
        <v>21</v>
      </c>
      <c r="L412">
        <v>2203000</v>
      </c>
      <c r="M412">
        <v>220300</v>
      </c>
    </row>
    <row r="413" spans="1:13" x14ac:dyDescent="0.25">
      <c r="A413" t="s">
        <v>1512</v>
      </c>
      <c r="B413" t="s">
        <v>1513</v>
      </c>
      <c r="C413" t="s">
        <v>121</v>
      </c>
      <c r="D413" t="s">
        <v>1488</v>
      </c>
      <c r="E413" t="s">
        <v>654</v>
      </c>
      <c r="F413" t="s">
        <v>334</v>
      </c>
      <c r="G413" t="s">
        <v>1514</v>
      </c>
      <c r="H413" t="str">
        <f>HYPERLINK("https://baanknet.com/view-property/173057/5348C11DBCD3F4A5480CD2E89C954574B9541A52FA4AC5147E36D9684075E173", "https://baanknet.com/view-property/173057/5348C11DBCD3F4A5480CD2E89C954574B9541A52FA4AC5147E36D9684075E173")</f>
        <v>https://baanknet.com/view-property/173057/5348C11DBCD3F4A5480CD2E89C954574B9541A52FA4AC5147E36D9684075E173</v>
      </c>
      <c r="I413" t="str">
        <f>HYPERLINK("https://baanknet.com/view-property/173057/5348C11DBCD3F4A5480CD2E89C954574B9541A52FA4AC5147E36D9684075E173", "Open")</f>
        <v>Open</v>
      </c>
      <c r="J413" t="s">
        <v>20</v>
      </c>
      <c r="K413" t="s">
        <v>21</v>
      </c>
      <c r="L413">
        <v>2850000</v>
      </c>
      <c r="M413">
        <v>285000</v>
      </c>
    </row>
    <row r="414" spans="1:13" x14ac:dyDescent="0.25">
      <c r="A414" t="s">
        <v>1515</v>
      </c>
      <c r="B414" t="s">
        <v>1516</v>
      </c>
      <c r="C414" t="s">
        <v>332</v>
      </c>
      <c r="D414" t="s">
        <v>501</v>
      </c>
      <c r="E414" t="s">
        <v>654</v>
      </c>
      <c r="F414" t="s">
        <v>334</v>
      </c>
      <c r="G414" t="s">
        <v>1517</v>
      </c>
      <c r="H414" t="str">
        <f>HYPERLINK("https://baanknet.com/view-property/169830/628C3C488E6F73D78F30586C2F5DC5F225BCFC84942BB9F094E12EBB9BD45197", "https://baanknet.com/view-property/169830/628C3C488E6F73D78F30586C2F5DC5F225BCFC84942BB9F094E12EBB9BD45197")</f>
        <v>https://baanknet.com/view-property/169830/628C3C488E6F73D78F30586C2F5DC5F225BCFC84942BB9F094E12EBB9BD45197</v>
      </c>
      <c r="I414" t="str">
        <f>HYPERLINK("https://baanknet.com/view-property/169830/628C3C488E6F73D78F30586C2F5DC5F225BCFC84942BB9F094E12EBB9BD45197", "Open")</f>
        <v>Open</v>
      </c>
      <c r="J414" t="s">
        <v>20</v>
      </c>
      <c r="K414" t="s">
        <v>21</v>
      </c>
      <c r="L414">
        <v>54600000</v>
      </c>
      <c r="M414">
        <v>5460000</v>
      </c>
    </row>
    <row r="415" spans="1:13" x14ac:dyDescent="0.25">
      <c r="A415" t="s">
        <v>1518</v>
      </c>
      <c r="B415" t="s">
        <v>1519</v>
      </c>
      <c r="C415" t="s">
        <v>121</v>
      </c>
      <c r="D415" t="s">
        <v>1520</v>
      </c>
      <c r="E415" t="s">
        <v>654</v>
      </c>
      <c r="F415" t="s">
        <v>334</v>
      </c>
      <c r="G415" t="s">
        <v>1521</v>
      </c>
      <c r="H415" t="str">
        <f>HYPERLINK("https://baanknet.com/view-property/175249/A83A36452FF17340DF414C2A6BE6339F4C9DFE643E98B243CAB9D711B0E2DA9A", "https://baanknet.com/view-property/175249/A83A36452FF17340DF414C2A6BE6339F4C9DFE643E98B243CAB9D711B0E2DA9A")</f>
        <v>https://baanknet.com/view-property/175249/A83A36452FF17340DF414C2A6BE6339F4C9DFE643E98B243CAB9D711B0E2DA9A</v>
      </c>
      <c r="I415" t="str">
        <f>HYPERLINK("https://baanknet.com/view-property/175249/A83A36452FF17340DF414C2A6BE6339F4C9DFE643E98B243CAB9D711B0E2DA9A", "Open")</f>
        <v>Open</v>
      </c>
      <c r="J415" t="s">
        <v>20</v>
      </c>
      <c r="K415" t="s">
        <v>21</v>
      </c>
      <c r="L415">
        <v>2725000</v>
      </c>
      <c r="M415">
        <v>272500</v>
      </c>
    </row>
    <row r="416" spans="1:13" x14ac:dyDescent="0.25">
      <c r="A416" t="s">
        <v>1522</v>
      </c>
      <c r="B416" t="s">
        <v>1523</v>
      </c>
      <c r="C416" t="s">
        <v>121</v>
      </c>
      <c r="D416" t="s">
        <v>1520</v>
      </c>
      <c r="E416" t="s">
        <v>654</v>
      </c>
      <c r="F416" t="s">
        <v>334</v>
      </c>
      <c r="G416" t="s">
        <v>1524</v>
      </c>
      <c r="H416" t="str">
        <f>HYPERLINK("https://baanknet.com/view-property/175215/1F7BD527BC57161463C8AA26C5CA57D446D353645FC88997E85F08E16A1D3E32", "https://baanknet.com/view-property/175215/1F7BD527BC57161463C8AA26C5CA57D446D353645FC88997E85F08E16A1D3E32")</f>
        <v>https://baanknet.com/view-property/175215/1F7BD527BC57161463C8AA26C5CA57D446D353645FC88997E85F08E16A1D3E32</v>
      </c>
      <c r="I416" t="str">
        <f>HYPERLINK("https://baanknet.com/view-property/175215/1F7BD527BC57161463C8AA26C5CA57D446D353645FC88997E85F08E16A1D3E32", "Open")</f>
        <v>Open</v>
      </c>
      <c r="J416" t="s">
        <v>20</v>
      </c>
      <c r="K416" t="s">
        <v>21</v>
      </c>
      <c r="L416">
        <v>3080000</v>
      </c>
      <c r="M416">
        <v>308000</v>
      </c>
    </row>
    <row r="417" spans="1:13" x14ac:dyDescent="0.25">
      <c r="A417" t="s">
        <v>1525</v>
      </c>
      <c r="B417" t="s">
        <v>1526</v>
      </c>
      <c r="C417" t="s">
        <v>121</v>
      </c>
      <c r="D417" t="s">
        <v>1520</v>
      </c>
      <c r="E417" t="s">
        <v>654</v>
      </c>
      <c r="F417" t="s">
        <v>334</v>
      </c>
      <c r="G417" t="s">
        <v>1527</v>
      </c>
      <c r="H417" t="str">
        <f>HYPERLINK("https://baanknet.com/view-property/175232/AF8B220EF7EB5F26D15B2A3E06BAC0DD15FFE16B3420D0F79A196D32AE2DC588", "https://baanknet.com/view-property/175232/AF8B220EF7EB5F26D15B2A3E06BAC0DD15FFE16B3420D0F79A196D32AE2DC588")</f>
        <v>https://baanknet.com/view-property/175232/AF8B220EF7EB5F26D15B2A3E06BAC0DD15FFE16B3420D0F79A196D32AE2DC588</v>
      </c>
      <c r="I417" t="str">
        <f>HYPERLINK("https://baanknet.com/view-property/175232/AF8B220EF7EB5F26D15B2A3E06BAC0DD15FFE16B3420D0F79A196D32AE2DC588", "Open")</f>
        <v>Open</v>
      </c>
      <c r="J417" t="s">
        <v>20</v>
      </c>
      <c r="K417" t="s">
        <v>21</v>
      </c>
      <c r="L417">
        <v>780000</v>
      </c>
      <c r="M417">
        <v>78000</v>
      </c>
    </row>
    <row r="418" spans="1:13" x14ac:dyDescent="0.25">
      <c r="A418" t="s">
        <v>1528</v>
      </c>
      <c r="B418" t="s">
        <v>1529</v>
      </c>
      <c r="C418" t="s">
        <v>121</v>
      </c>
      <c r="D418" t="s">
        <v>1520</v>
      </c>
      <c r="E418" t="s">
        <v>654</v>
      </c>
      <c r="F418" t="s">
        <v>334</v>
      </c>
      <c r="G418" t="s">
        <v>1530</v>
      </c>
      <c r="H418" t="str">
        <f>HYPERLINK("https://baanknet.com/view-property/175188/A4CF20322021487296D7FFB24102B15E67125E919F7741026FC1BFC4490DD734", "https://baanknet.com/view-property/175188/A4CF20322021487296D7FFB24102B15E67125E919F7741026FC1BFC4490DD734")</f>
        <v>https://baanknet.com/view-property/175188/A4CF20322021487296D7FFB24102B15E67125E919F7741026FC1BFC4490DD734</v>
      </c>
      <c r="I418" t="str">
        <f>HYPERLINK("https://baanknet.com/view-property/175188/A4CF20322021487296D7FFB24102B15E67125E919F7741026FC1BFC4490DD734", "Open")</f>
        <v>Open</v>
      </c>
      <c r="J418" t="s">
        <v>20</v>
      </c>
      <c r="K418" t="s">
        <v>21</v>
      </c>
      <c r="L418">
        <v>4957000</v>
      </c>
      <c r="M418">
        <v>495700</v>
      </c>
    </row>
    <row r="419" spans="1:13" x14ac:dyDescent="0.25">
      <c r="A419" t="s">
        <v>1531</v>
      </c>
      <c r="B419" t="s">
        <v>1532</v>
      </c>
      <c r="C419" t="s">
        <v>121</v>
      </c>
      <c r="D419" t="s">
        <v>1533</v>
      </c>
      <c r="E419" t="s">
        <v>654</v>
      </c>
      <c r="F419" t="s">
        <v>334</v>
      </c>
      <c r="G419" t="s">
        <v>1534</v>
      </c>
      <c r="H419" t="str">
        <f>HYPERLINK("https://baanknet.com/view-property/175251/834D8F3C53A87C91CE3B7FC7A32C1A1F0DF078A2C3603598DC9247A9789DE52C", "https://baanknet.com/view-property/175251/834D8F3C53A87C91CE3B7FC7A32C1A1F0DF078A2C3603598DC9247A9789DE52C")</f>
        <v>https://baanknet.com/view-property/175251/834D8F3C53A87C91CE3B7FC7A32C1A1F0DF078A2C3603598DC9247A9789DE52C</v>
      </c>
      <c r="I419" t="str">
        <f>HYPERLINK("https://baanknet.com/view-property/175251/834D8F3C53A87C91CE3B7FC7A32C1A1F0DF078A2C3603598DC9247A9789DE52C", "Open")</f>
        <v>Open</v>
      </c>
      <c r="J419" t="s">
        <v>20</v>
      </c>
      <c r="K419" t="s">
        <v>21</v>
      </c>
      <c r="L419">
        <v>1250000</v>
      </c>
      <c r="M419">
        <v>125000</v>
      </c>
    </row>
    <row r="420" spans="1:13" x14ac:dyDescent="0.25">
      <c r="A420" t="s">
        <v>1535</v>
      </c>
      <c r="B420" t="s">
        <v>1536</v>
      </c>
      <c r="C420" t="s">
        <v>121</v>
      </c>
      <c r="D420" t="s">
        <v>1537</v>
      </c>
      <c r="E420" t="s">
        <v>654</v>
      </c>
      <c r="F420" t="s">
        <v>334</v>
      </c>
      <c r="G420" t="s">
        <v>1538</v>
      </c>
      <c r="H420" t="str">
        <f>HYPERLINK("https://baanknet.com/view-property/213146/415685A60B126590407D3504AAF8458DF7C7753093DDD9B87D86E833A5BA347E", "https://baanknet.com/view-property/213146/415685A60B126590407D3504AAF8458DF7C7753093DDD9B87D86E833A5BA347E")</f>
        <v>https://baanknet.com/view-property/213146/415685A60B126590407D3504AAF8458DF7C7753093DDD9B87D86E833A5BA347E</v>
      </c>
      <c r="I420" t="str">
        <f>HYPERLINK("https://baanknet.com/view-property/213146/415685A60B126590407D3504AAF8458DF7C7753093DDD9B87D86E833A5BA347E", "Open")</f>
        <v>Open</v>
      </c>
      <c r="J420" t="s">
        <v>20</v>
      </c>
      <c r="K420" t="s">
        <v>21</v>
      </c>
      <c r="L420">
        <v>1250000</v>
      </c>
      <c r="M420">
        <v>125000</v>
      </c>
    </row>
    <row r="421" spans="1:13" x14ac:dyDescent="0.25">
      <c r="A421" t="s">
        <v>1539</v>
      </c>
      <c r="B421" t="s">
        <v>1540</v>
      </c>
      <c r="C421" t="s">
        <v>121</v>
      </c>
      <c r="D421" t="s">
        <v>1537</v>
      </c>
      <c r="E421" t="s">
        <v>654</v>
      </c>
      <c r="F421" t="s">
        <v>334</v>
      </c>
      <c r="G421" t="s">
        <v>1541</v>
      </c>
      <c r="H421" t="str">
        <f>HYPERLINK("https://baanknet.com/view-property/213149/D9F143F485D476E9E0603C5ECF13FB1FE2753F88F7803318CCCEEB7CF44ACC98", "https://baanknet.com/view-property/213149/D9F143F485D476E9E0603C5ECF13FB1FE2753F88F7803318CCCEEB7CF44ACC98")</f>
        <v>https://baanknet.com/view-property/213149/D9F143F485D476E9E0603C5ECF13FB1FE2753F88F7803318CCCEEB7CF44ACC98</v>
      </c>
      <c r="I421" t="str">
        <f>HYPERLINK("https://baanknet.com/view-property/213149/D9F143F485D476E9E0603C5ECF13FB1FE2753F88F7803318CCCEEB7CF44ACC98", "Open")</f>
        <v>Open</v>
      </c>
      <c r="J421" t="s">
        <v>20</v>
      </c>
      <c r="K421" t="s">
        <v>21</v>
      </c>
      <c r="L421">
        <v>1250000</v>
      </c>
      <c r="M421">
        <v>125000</v>
      </c>
    </row>
    <row r="422" spans="1:13" x14ac:dyDescent="0.25">
      <c r="A422" t="s">
        <v>1542</v>
      </c>
      <c r="B422" t="s">
        <v>1543</v>
      </c>
      <c r="C422" t="s">
        <v>121</v>
      </c>
      <c r="D422" t="s">
        <v>1537</v>
      </c>
      <c r="E422" t="s">
        <v>654</v>
      </c>
      <c r="F422" t="s">
        <v>334</v>
      </c>
      <c r="G422" t="s">
        <v>1544</v>
      </c>
      <c r="H422" t="str">
        <f>HYPERLINK("https://baanknet.com/view-property/235402/B079F7B7FD9F8EFF2AC20D533B91D4CDEBE97CB5A50E23B1603608D0B1598414", "https://baanknet.com/view-property/235402/B079F7B7FD9F8EFF2AC20D533B91D4CDEBE97CB5A50E23B1603608D0B1598414")</f>
        <v>https://baanknet.com/view-property/235402/B079F7B7FD9F8EFF2AC20D533B91D4CDEBE97CB5A50E23B1603608D0B1598414</v>
      </c>
      <c r="I422" t="str">
        <f>HYPERLINK("https://baanknet.com/view-property/235402/B079F7B7FD9F8EFF2AC20D533B91D4CDEBE97CB5A50E23B1603608D0B1598414", "Open")</f>
        <v>Open</v>
      </c>
      <c r="J422" t="s">
        <v>20</v>
      </c>
      <c r="K422" t="s">
        <v>21</v>
      </c>
      <c r="L422">
        <v>23556000</v>
      </c>
      <c r="M422">
        <v>2355600</v>
      </c>
    </row>
    <row r="423" spans="1:13" x14ac:dyDescent="0.25">
      <c r="A423" t="s">
        <v>1545</v>
      </c>
      <c r="B423" t="s">
        <v>1546</v>
      </c>
      <c r="C423" t="s">
        <v>121</v>
      </c>
      <c r="D423" t="s">
        <v>1520</v>
      </c>
      <c r="E423" t="s">
        <v>654</v>
      </c>
      <c r="F423" t="s">
        <v>334</v>
      </c>
      <c r="G423" t="s">
        <v>1547</v>
      </c>
      <c r="H423" t="str">
        <f>HYPERLINK("https://baanknet.com/view-property/175245/0857E7E27A940C792172975BD944B4CB6A731436045A1B29FF39CC87CF5B6E99", "https://baanknet.com/view-property/175245/0857E7E27A940C792172975BD944B4CB6A731436045A1B29FF39CC87CF5B6E99")</f>
        <v>https://baanknet.com/view-property/175245/0857E7E27A940C792172975BD944B4CB6A731436045A1B29FF39CC87CF5B6E99</v>
      </c>
      <c r="I423" t="str">
        <f>HYPERLINK("https://baanknet.com/view-property/175245/0857E7E27A940C792172975BD944B4CB6A731436045A1B29FF39CC87CF5B6E99", "Open")</f>
        <v>Open</v>
      </c>
      <c r="J423" t="s">
        <v>20</v>
      </c>
      <c r="K423" t="s">
        <v>21</v>
      </c>
      <c r="L423">
        <v>1915000</v>
      </c>
      <c r="M423">
        <v>191500</v>
      </c>
    </row>
    <row r="424" spans="1:13" x14ac:dyDescent="0.25">
      <c r="A424" t="s">
        <v>1548</v>
      </c>
      <c r="B424" t="s">
        <v>1549</v>
      </c>
      <c r="C424" t="s">
        <v>121</v>
      </c>
      <c r="D424" t="s">
        <v>533</v>
      </c>
      <c r="E424" t="s">
        <v>654</v>
      </c>
      <c r="F424" t="s">
        <v>334</v>
      </c>
      <c r="G424" t="s">
        <v>1550</v>
      </c>
      <c r="H424" t="str">
        <f>HYPERLINK("https://baanknet.com/view-property/186332/B085502DC34ABB15634E4C6BC9579D3A0FB9ACDB7DB7C4CC726F2EBC36ADB5F8", "https://baanknet.com/view-property/186332/B085502DC34ABB15634E4C6BC9579D3A0FB9ACDB7DB7C4CC726F2EBC36ADB5F8")</f>
        <v>https://baanknet.com/view-property/186332/B085502DC34ABB15634E4C6BC9579D3A0FB9ACDB7DB7C4CC726F2EBC36ADB5F8</v>
      </c>
      <c r="I424" t="str">
        <f>HYPERLINK("https://baanknet.com/view-property/186332/B085502DC34ABB15634E4C6BC9579D3A0FB9ACDB7DB7C4CC726F2EBC36ADB5F8", "Open")</f>
        <v>Open</v>
      </c>
      <c r="J424" t="s">
        <v>20</v>
      </c>
      <c r="K424" t="s">
        <v>21</v>
      </c>
      <c r="L424">
        <v>6235000</v>
      </c>
      <c r="M424">
        <v>623500</v>
      </c>
    </row>
    <row r="425" spans="1:13" x14ac:dyDescent="0.25">
      <c r="A425" t="s">
        <v>1551</v>
      </c>
      <c r="B425" t="s">
        <v>1552</v>
      </c>
      <c r="C425" t="s">
        <v>121</v>
      </c>
      <c r="D425" t="s">
        <v>1553</v>
      </c>
      <c r="E425" t="s">
        <v>654</v>
      </c>
      <c r="F425" t="s">
        <v>334</v>
      </c>
      <c r="G425" t="s">
        <v>1554</v>
      </c>
      <c r="H425" t="str">
        <f>HYPERLINK("https://baanknet.com/view-property/208458/C906EEC534F538FF33C628424DEC5C9DC0FC252AB3F37282FF9DF8E5E2C71379", "https://baanknet.com/view-property/208458/C906EEC534F538FF33C628424DEC5C9DC0FC252AB3F37282FF9DF8E5E2C71379")</f>
        <v>https://baanknet.com/view-property/208458/C906EEC534F538FF33C628424DEC5C9DC0FC252AB3F37282FF9DF8E5E2C71379</v>
      </c>
      <c r="I425" t="str">
        <f>HYPERLINK("https://baanknet.com/view-property/208458/C906EEC534F538FF33C628424DEC5C9DC0FC252AB3F37282FF9DF8E5E2C71379", "Open")</f>
        <v>Open</v>
      </c>
      <c r="J425" t="s">
        <v>20</v>
      </c>
      <c r="K425" t="s">
        <v>21</v>
      </c>
      <c r="L425">
        <v>4230000</v>
      </c>
      <c r="M425">
        <v>423000</v>
      </c>
    </row>
    <row r="426" spans="1:13" x14ac:dyDescent="0.25">
      <c r="A426" t="s">
        <v>1555</v>
      </c>
      <c r="B426" t="s">
        <v>1556</v>
      </c>
      <c r="C426" t="s">
        <v>15</v>
      </c>
      <c r="D426" t="s">
        <v>1557</v>
      </c>
      <c r="E426" t="s">
        <v>654</v>
      </c>
      <c r="F426" t="s">
        <v>334</v>
      </c>
      <c r="G426" t="s">
        <v>1558</v>
      </c>
      <c r="H426" t="str">
        <f>HYPERLINK("https://baanknet.com/view-property/284189/BD75C7BEEE38574019D6E596CA573F2F06F939968B059D7014491A71A173F97E", "https://baanknet.com/view-property/284189/BD75C7BEEE38574019D6E596CA573F2F06F939968B059D7014491A71A173F97E")</f>
        <v>https://baanknet.com/view-property/284189/BD75C7BEEE38574019D6E596CA573F2F06F939968B059D7014491A71A173F97E</v>
      </c>
      <c r="I426" t="str">
        <f>HYPERLINK("https://baanknet.com/view-property/284189/BD75C7BEEE38574019D6E596CA573F2F06F939968B059D7014491A71A173F97E", "Open")</f>
        <v>Open</v>
      </c>
      <c r="J426" t="s">
        <v>20</v>
      </c>
      <c r="K426" t="s">
        <v>21</v>
      </c>
      <c r="L426">
        <v>1440000</v>
      </c>
      <c r="M426">
        <v>144000</v>
      </c>
    </row>
    <row r="427" spans="1:13" x14ac:dyDescent="0.25">
      <c r="A427" t="s">
        <v>1559</v>
      </c>
      <c r="B427" t="s">
        <v>1560</v>
      </c>
      <c r="C427" t="s">
        <v>121</v>
      </c>
      <c r="D427" t="s">
        <v>1561</v>
      </c>
      <c r="E427" t="s">
        <v>654</v>
      </c>
      <c r="F427" t="s">
        <v>334</v>
      </c>
      <c r="G427" t="s">
        <v>1562</v>
      </c>
      <c r="H427" t="str">
        <f>HYPERLINK("https://baanknet.com/view-property/270260/CD92DF2508090DEFE618509B6B2A17E4EF20003AB33943544116F9CD923C176D", "https://baanknet.com/view-property/270260/CD92DF2508090DEFE618509B6B2A17E4EF20003AB33943544116F9CD923C176D")</f>
        <v>https://baanknet.com/view-property/270260/CD92DF2508090DEFE618509B6B2A17E4EF20003AB33943544116F9CD923C176D</v>
      </c>
      <c r="I427" t="str">
        <f>HYPERLINK("https://baanknet.com/view-property/270260/CD92DF2508090DEFE618509B6B2A17E4EF20003AB33943544116F9CD923C176D", "Open")</f>
        <v>Open</v>
      </c>
      <c r="J427" t="s">
        <v>20</v>
      </c>
      <c r="K427" t="s">
        <v>21</v>
      </c>
      <c r="L427">
        <v>1440000</v>
      </c>
      <c r="M427">
        <v>144000</v>
      </c>
    </row>
    <row r="428" spans="1:13" x14ac:dyDescent="0.25">
      <c r="A428" t="s">
        <v>1563</v>
      </c>
      <c r="B428" t="s">
        <v>1564</v>
      </c>
      <c r="C428" t="s">
        <v>121</v>
      </c>
      <c r="D428" t="s">
        <v>1565</v>
      </c>
      <c r="E428" t="s">
        <v>654</v>
      </c>
      <c r="F428" t="s">
        <v>334</v>
      </c>
      <c r="G428" t="s">
        <v>1566</v>
      </c>
      <c r="H428" t="str">
        <f>HYPERLINK("https://baanknet.com/view-property/266215/19E3174531D8EC4DCF551753EF736C6A45C1414A2E75A32BB4A820D822F930FE", "https://baanknet.com/view-property/266215/19E3174531D8EC4DCF551753EF736C6A45C1414A2E75A32BB4A820D822F930FE")</f>
        <v>https://baanknet.com/view-property/266215/19E3174531D8EC4DCF551753EF736C6A45C1414A2E75A32BB4A820D822F930FE</v>
      </c>
      <c r="I428" t="str">
        <f>HYPERLINK("https://baanknet.com/view-property/266215/19E3174531D8EC4DCF551753EF736C6A45C1414A2E75A32BB4A820D822F930FE", "Open")</f>
        <v>Open</v>
      </c>
      <c r="J428" t="s">
        <v>20</v>
      </c>
      <c r="K428" t="s">
        <v>21</v>
      </c>
      <c r="L428">
        <v>2010000</v>
      </c>
      <c r="M428">
        <v>201000</v>
      </c>
    </row>
    <row r="429" spans="1:13" x14ac:dyDescent="0.25">
      <c r="A429" t="s">
        <v>1567</v>
      </c>
      <c r="B429" t="s">
        <v>1568</v>
      </c>
      <c r="C429" t="s">
        <v>121</v>
      </c>
      <c r="D429" t="s">
        <v>1003</v>
      </c>
      <c r="E429" t="s">
        <v>654</v>
      </c>
      <c r="F429" t="s">
        <v>334</v>
      </c>
      <c r="G429" t="s">
        <v>1569</v>
      </c>
      <c r="H429" t="str">
        <f>HYPERLINK("https://baanknet.com/view-property/266241/542418739B6452381AA49290B7C9AF90E59F62C293A25475C03B044D852027A9", "https://baanknet.com/view-property/266241/542418739B6452381AA49290B7C9AF90E59F62C293A25475C03B044D852027A9")</f>
        <v>https://baanknet.com/view-property/266241/542418739B6452381AA49290B7C9AF90E59F62C293A25475C03B044D852027A9</v>
      </c>
      <c r="I429" t="str">
        <f>HYPERLINK("https://baanknet.com/view-property/266241/542418739B6452381AA49290B7C9AF90E59F62C293A25475C03B044D852027A9", "Open")</f>
        <v>Open</v>
      </c>
      <c r="J429" t="s">
        <v>20</v>
      </c>
      <c r="K429" t="s">
        <v>21</v>
      </c>
      <c r="L429">
        <v>2159000</v>
      </c>
      <c r="M429">
        <v>215900</v>
      </c>
    </row>
    <row r="430" spans="1:13" x14ac:dyDescent="0.25">
      <c r="A430" t="s">
        <v>1570</v>
      </c>
      <c r="B430" t="s">
        <v>1571</v>
      </c>
      <c r="C430" t="s">
        <v>121</v>
      </c>
      <c r="D430" t="s">
        <v>1003</v>
      </c>
      <c r="E430" t="s">
        <v>654</v>
      </c>
      <c r="F430" t="s">
        <v>334</v>
      </c>
      <c r="G430" t="s">
        <v>1572</v>
      </c>
      <c r="H430" t="str">
        <f>HYPERLINK("https://baanknet.com/view-property/266227/C8F7270C9FE7B4BF88FE48AAB6842A26BC0A678717EBB81D397C232642DC0C32", "https://baanknet.com/view-property/266227/C8F7270C9FE7B4BF88FE48AAB6842A26BC0A678717EBB81D397C232642DC0C32")</f>
        <v>https://baanknet.com/view-property/266227/C8F7270C9FE7B4BF88FE48AAB6842A26BC0A678717EBB81D397C232642DC0C32</v>
      </c>
      <c r="I430" t="str">
        <f>HYPERLINK("https://baanknet.com/view-property/266227/C8F7270C9FE7B4BF88FE48AAB6842A26BC0A678717EBB81D397C232642DC0C32", "Open")</f>
        <v>Open</v>
      </c>
      <c r="J430" t="s">
        <v>20</v>
      </c>
      <c r="K430" t="s">
        <v>21</v>
      </c>
      <c r="L430">
        <v>2210000</v>
      </c>
      <c r="M430">
        <v>221000</v>
      </c>
    </row>
    <row r="431" spans="1:13" x14ac:dyDescent="0.25">
      <c r="A431" t="s">
        <v>1573</v>
      </c>
      <c r="B431" t="s">
        <v>1574</v>
      </c>
      <c r="C431" t="s">
        <v>121</v>
      </c>
      <c r="D431" t="s">
        <v>1003</v>
      </c>
      <c r="E431" t="s">
        <v>654</v>
      </c>
      <c r="F431" t="s">
        <v>334</v>
      </c>
      <c r="G431" t="s">
        <v>1575</v>
      </c>
      <c r="H431" t="str">
        <f>HYPERLINK("https://baanknet.com/view-property/182574/5CB47F66B71B7E547C8A3C3009F02F7150B7936C19638FBBFDC3665E6435A147", "https://baanknet.com/view-property/182574/5CB47F66B71B7E547C8A3C3009F02F7150B7936C19638FBBFDC3665E6435A147")</f>
        <v>https://baanknet.com/view-property/182574/5CB47F66B71B7E547C8A3C3009F02F7150B7936C19638FBBFDC3665E6435A147</v>
      </c>
      <c r="I431" t="str">
        <f>HYPERLINK("https://baanknet.com/view-property/182574/5CB47F66B71B7E547C8A3C3009F02F7150B7936C19638FBBFDC3665E6435A147", "Open")</f>
        <v>Open</v>
      </c>
      <c r="J431" t="s">
        <v>20</v>
      </c>
      <c r="K431" t="s">
        <v>21</v>
      </c>
      <c r="L431">
        <v>1698000</v>
      </c>
      <c r="M431">
        <v>169800</v>
      </c>
    </row>
    <row r="432" spans="1:13" x14ac:dyDescent="0.25">
      <c r="A432" t="s">
        <v>1576</v>
      </c>
      <c r="B432" t="s">
        <v>1577</v>
      </c>
      <c r="C432" t="s">
        <v>121</v>
      </c>
      <c r="D432" t="s">
        <v>1003</v>
      </c>
      <c r="E432" t="s">
        <v>654</v>
      </c>
      <c r="F432" t="s">
        <v>334</v>
      </c>
      <c r="G432" t="s">
        <v>1578</v>
      </c>
      <c r="H432" t="str">
        <f>HYPERLINK("https://baanknet.com/view-property/182575/3B8A71169B4DA0E1A555771A3CA8E1E37F763D6D48167CFE4165A91B9C22FDF2", "https://baanknet.com/view-property/182575/3B8A71169B4DA0E1A555771A3CA8E1E37F763D6D48167CFE4165A91B9C22FDF2")</f>
        <v>https://baanknet.com/view-property/182575/3B8A71169B4DA0E1A555771A3CA8E1E37F763D6D48167CFE4165A91B9C22FDF2</v>
      </c>
      <c r="I432" t="str">
        <f>HYPERLINK("https://baanknet.com/view-property/182575/3B8A71169B4DA0E1A555771A3CA8E1E37F763D6D48167CFE4165A91B9C22FDF2", "Open")</f>
        <v>Open</v>
      </c>
      <c r="J432" t="s">
        <v>20</v>
      </c>
      <c r="K432" t="s">
        <v>21</v>
      </c>
      <c r="L432">
        <v>1592000</v>
      </c>
      <c r="M432">
        <v>159200</v>
      </c>
    </row>
    <row r="433" spans="1:13" x14ac:dyDescent="0.25">
      <c r="A433" t="s">
        <v>1579</v>
      </c>
      <c r="B433" t="s">
        <v>1580</v>
      </c>
      <c r="C433" t="s">
        <v>121</v>
      </c>
      <c r="D433" t="s">
        <v>1581</v>
      </c>
      <c r="E433" t="s">
        <v>654</v>
      </c>
      <c r="F433" t="s">
        <v>334</v>
      </c>
      <c r="G433" t="s">
        <v>1582</v>
      </c>
      <c r="H433" t="str">
        <f>HYPERLINK("https://baanknet.com/view-property/260671/A1D440AF3AE3345022D61598A6C40CE64BE9730C9D25EE1372E914EB1D32F514", "https://baanknet.com/view-property/260671/A1D440AF3AE3345022D61598A6C40CE64BE9730C9D25EE1372E914EB1D32F514")</f>
        <v>https://baanknet.com/view-property/260671/A1D440AF3AE3345022D61598A6C40CE64BE9730C9D25EE1372E914EB1D32F514</v>
      </c>
      <c r="I433" t="str">
        <f>HYPERLINK("https://baanknet.com/view-property/260671/A1D440AF3AE3345022D61598A6C40CE64BE9730C9D25EE1372E914EB1D32F514", "Open")</f>
        <v>Open</v>
      </c>
      <c r="J433" t="s">
        <v>20</v>
      </c>
      <c r="K433" t="s">
        <v>21</v>
      </c>
      <c r="L433">
        <v>656000</v>
      </c>
      <c r="M433">
        <v>65600</v>
      </c>
    </row>
    <row r="434" spans="1:13" x14ac:dyDescent="0.25">
      <c r="A434" t="s">
        <v>1583</v>
      </c>
      <c r="B434" t="s">
        <v>1584</v>
      </c>
      <c r="C434" t="s">
        <v>121</v>
      </c>
      <c r="D434" t="s">
        <v>1581</v>
      </c>
      <c r="E434" t="s">
        <v>654</v>
      </c>
      <c r="F434" t="s">
        <v>334</v>
      </c>
      <c r="G434" t="s">
        <v>1585</v>
      </c>
      <c r="H434" t="str">
        <f>HYPERLINK("https://baanknet.com/view-property/260259/21086A366CADB0C75690E22B32543F0A6E0EAE3C3535C9B67951690078B1083F", "https://baanknet.com/view-property/260259/21086A366CADB0C75690E22B32543F0A6E0EAE3C3535C9B67951690078B1083F")</f>
        <v>https://baanknet.com/view-property/260259/21086A366CADB0C75690E22B32543F0A6E0EAE3C3535C9B67951690078B1083F</v>
      </c>
      <c r="I434" t="str">
        <f>HYPERLINK("https://baanknet.com/view-property/260259/21086A366CADB0C75690E22B32543F0A6E0EAE3C3535C9B67951690078B1083F", "Open")</f>
        <v>Open</v>
      </c>
      <c r="J434" t="s">
        <v>20</v>
      </c>
      <c r="K434" t="s">
        <v>21</v>
      </c>
      <c r="L434">
        <v>991000</v>
      </c>
      <c r="M434">
        <v>99100</v>
      </c>
    </row>
    <row r="435" spans="1:13" x14ac:dyDescent="0.25">
      <c r="A435" t="s">
        <v>1586</v>
      </c>
      <c r="B435" t="s">
        <v>1587</v>
      </c>
      <c r="C435" t="s">
        <v>121</v>
      </c>
      <c r="D435" t="s">
        <v>1581</v>
      </c>
      <c r="E435" t="s">
        <v>654</v>
      </c>
      <c r="F435" t="s">
        <v>334</v>
      </c>
      <c r="G435" t="s">
        <v>1588</v>
      </c>
      <c r="H435" t="str">
        <f>HYPERLINK("https://baanknet.com/view-property/260680/AE2F8E5A1BB14F7F625E31D28E4FE1ED6449500379BB0EAC0CE0B4D45A262254", "https://baanknet.com/view-property/260680/AE2F8E5A1BB14F7F625E31D28E4FE1ED6449500379BB0EAC0CE0B4D45A262254")</f>
        <v>https://baanknet.com/view-property/260680/AE2F8E5A1BB14F7F625E31D28E4FE1ED6449500379BB0EAC0CE0B4D45A262254</v>
      </c>
      <c r="I435" t="str">
        <f>HYPERLINK("https://baanknet.com/view-property/260680/AE2F8E5A1BB14F7F625E31D28E4FE1ED6449500379BB0EAC0CE0B4D45A262254", "Open")</f>
        <v>Open</v>
      </c>
      <c r="J435" t="s">
        <v>20</v>
      </c>
      <c r="K435" t="s">
        <v>21</v>
      </c>
      <c r="L435">
        <v>1611000</v>
      </c>
      <c r="M435">
        <v>161100</v>
      </c>
    </row>
    <row r="436" spans="1:13" x14ac:dyDescent="0.25">
      <c r="A436" t="s">
        <v>1589</v>
      </c>
      <c r="B436" t="s">
        <v>1590</v>
      </c>
      <c r="C436" t="s">
        <v>121</v>
      </c>
      <c r="D436" t="s">
        <v>1591</v>
      </c>
      <c r="E436" t="s">
        <v>654</v>
      </c>
      <c r="F436" t="s">
        <v>334</v>
      </c>
      <c r="G436" t="s">
        <v>1592</v>
      </c>
      <c r="H436" t="str">
        <f>HYPERLINK("https://baanknet.com/view-property/181498/BF13FFEB2CBBDB1C3C41C085D974ACF005AF7A3D4E1AFBF3BCB4E8AF69A27136", "https://baanknet.com/view-property/181498/BF13FFEB2CBBDB1C3C41C085D974ACF005AF7A3D4E1AFBF3BCB4E8AF69A27136")</f>
        <v>https://baanknet.com/view-property/181498/BF13FFEB2CBBDB1C3C41C085D974ACF005AF7A3D4E1AFBF3BCB4E8AF69A27136</v>
      </c>
      <c r="I436" t="str">
        <f>HYPERLINK("https://baanknet.com/view-property/181498/BF13FFEB2CBBDB1C3C41C085D974ACF005AF7A3D4E1AFBF3BCB4E8AF69A27136", "Open")</f>
        <v>Open</v>
      </c>
      <c r="J436" t="s">
        <v>20</v>
      </c>
      <c r="K436" t="s">
        <v>21</v>
      </c>
      <c r="L436">
        <v>4683000</v>
      </c>
      <c r="M436">
        <v>468300</v>
      </c>
    </row>
    <row r="437" spans="1:13" x14ac:dyDescent="0.25">
      <c r="A437" t="s">
        <v>1593</v>
      </c>
      <c r="B437" t="s">
        <v>1594</v>
      </c>
      <c r="C437" t="s">
        <v>121</v>
      </c>
      <c r="D437" t="s">
        <v>1481</v>
      </c>
      <c r="E437" t="s">
        <v>654</v>
      </c>
      <c r="F437" t="s">
        <v>334</v>
      </c>
      <c r="G437" t="s">
        <v>1595</v>
      </c>
      <c r="H437" t="str">
        <f>HYPERLINK("https://baanknet.com/view-property/244301/33057D1357F58E211DE558C5A9703F13EA38F0CD1FB1C357796892268BEC8AF3", "https://baanknet.com/view-property/244301/33057D1357F58E211DE558C5A9703F13EA38F0CD1FB1C357796892268BEC8AF3")</f>
        <v>https://baanknet.com/view-property/244301/33057D1357F58E211DE558C5A9703F13EA38F0CD1FB1C357796892268BEC8AF3</v>
      </c>
      <c r="I437" t="str">
        <f>HYPERLINK("https://baanknet.com/view-property/244301/33057D1357F58E211DE558C5A9703F13EA38F0CD1FB1C357796892268BEC8AF3", "Open")</f>
        <v>Open</v>
      </c>
      <c r="J437" t="s">
        <v>20</v>
      </c>
      <c r="K437" t="s">
        <v>21</v>
      </c>
      <c r="L437">
        <v>7100000</v>
      </c>
      <c r="M437">
        <v>710000</v>
      </c>
    </row>
    <row r="438" spans="1:13" x14ac:dyDescent="0.25">
      <c r="A438" t="s">
        <v>1596</v>
      </c>
      <c r="B438" t="s">
        <v>1597</v>
      </c>
      <c r="C438" t="s">
        <v>121</v>
      </c>
      <c r="D438" t="s">
        <v>1598</v>
      </c>
      <c r="E438" t="s">
        <v>654</v>
      </c>
      <c r="F438" t="s">
        <v>334</v>
      </c>
      <c r="G438" t="s">
        <v>1599</v>
      </c>
      <c r="H438" t="str">
        <f>HYPERLINK("https://baanknet.com/view-property/175417/6D471A90C861077F2F568E789515FB3B0C129E44BB7629E37C991E6902038ECB", "https://baanknet.com/view-property/175417/6D471A90C861077F2F568E789515FB3B0C129E44BB7629E37C991E6902038ECB")</f>
        <v>https://baanknet.com/view-property/175417/6D471A90C861077F2F568E789515FB3B0C129E44BB7629E37C991E6902038ECB</v>
      </c>
      <c r="I438" t="str">
        <f>HYPERLINK("https://baanknet.com/view-property/175417/6D471A90C861077F2F568E789515FB3B0C129E44BB7629E37C991E6902038ECB", "Open")</f>
        <v>Open</v>
      </c>
      <c r="J438" t="s">
        <v>20</v>
      </c>
      <c r="K438" t="s">
        <v>21</v>
      </c>
      <c r="L438">
        <v>535000</v>
      </c>
      <c r="M438">
        <v>53500</v>
      </c>
    </row>
    <row r="439" spans="1:13" x14ac:dyDescent="0.25">
      <c r="A439" t="s">
        <v>1600</v>
      </c>
      <c r="B439" t="s">
        <v>1601</v>
      </c>
      <c r="C439" t="s">
        <v>121</v>
      </c>
      <c r="D439" t="s">
        <v>1602</v>
      </c>
      <c r="E439" t="s">
        <v>654</v>
      </c>
      <c r="F439" t="s">
        <v>334</v>
      </c>
      <c r="G439" t="s">
        <v>1603</v>
      </c>
      <c r="H439" t="str">
        <f>HYPERLINK("https://baanknet.com/view-property/274795/006073DB02A8A1479035F67A476CE655103A62E9596CE7143578D58FB82D1DB7", "https://baanknet.com/view-property/274795/006073DB02A8A1479035F67A476CE655103A62E9596CE7143578D58FB82D1DB7")</f>
        <v>https://baanknet.com/view-property/274795/006073DB02A8A1479035F67A476CE655103A62E9596CE7143578D58FB82D1DB7</v>
      </c>
      <c r="I439" t="str">
        <f>HYPERLINK("https://baanknet.com/view-property/274795/006073DB02A8A1479035F67A476CE655103A62E9596CE7143578D58FB82D1DB7", "Open")</f>
        <v>Open</v>
      </c>
      <c r="J439" t="s">
        <v>20</v>
      </c>
      <c r="K439" t="s">
        <v>21</v>
      </c>
      <c r="L439">
        <v>7780050</v>
      </c>
      <c r="M439">
        <v>778005</v>
      </c>
    </row>
    <row r="440" spans="1:13" x14ac:dyDescent="0.25">
      <c r="A440" t="s">
        <v>1604</v>
      </c>
      <c r="B440" t="s">
        <v>1605</v>
      </c>
      <c r="C440" t="s">
        <v>121</v>
      </c>
      <c r="D440" t="s">
        <v>1602</v>
      </c>
      <c r="E440" t="s">
        <v>654</v>
      </c>
      <c r="F440" t="s">
        <v>334</v>
      </c>
      <c r="G440" t="s">
        <v>1606</v>
      </c>
      <c r="H440" t="str">
        <f>HYPERLINK("https://baanknet.com/view-property/274818/8C5347F2043A4C61B7A4EF818A291B548B729799448B51767EC6C2D87CE26A67", "https://baanknet.com/view-property/274818/8C5347F2043A4C61B7A4EF818A291B548B729799448B51767EC6C2D87CE26A67")</f>
        <v>https://baanknet.com/view-property/274818/8C5347F2043A4C61B7A4EF818A291B548B729799448B51767EC6C2D87CE26A67</v>
      </c>
      <c r="I440" t="str">
        <f>HYPERLINK("https://baanknet.com/view-property/274818/8C5347F2043A4C61B7A4EF818A291B548B729799448B51767EC6C2D87CE26A67", "Open")</f>
        <v>Open</v>
      </c>
      <c r="J440" t="s">
        <v>20</v>
      </c>
      <c r="K440" t="s">
        <v>21</v>
      </c>
      <c r="L440">
        <v>2157406</v>
      </c>
      <c r="M440">
        <v>215740.6</v>
      </c>
    </row>
    <row r="441" spans="1:13" x14ac:dyDescent="0.25">
      <c r="A441" t="s">
        <v>1607</v>
      </c>
      <c r="B441" t="s">
        <v>1608</v>
      </c>
      <c r="C441" t="s">
        <v>121</v>
      </c>
      <c r="D441" t="s">
        <v>1609</v>
      </c>
      <c r="E441" t="s">
        <v>654</v>
      </c>
      <c r="F441" t="s">
        <v>334</v>
      </c>
      <c r="G441" t="s">
        <v>1610</v>
      </c>
      <c r="H441" t="str">
        <f>HYPERLINK("https://baanknet.com/view-property/264088/536EB0349C1DC79DDFB5F39E8414A9B123511C17FDC812982B45838CAB3E28A8", "https://baanknet.com/view-property/264088/536EB0349C1DC79DDFB5F39E8414A9B123511C17FDC812982B45838CAB3E28A8")</f>
        <v>https://baanknet.com/view-property/264088/536EB0349C1DC79DDFB5F39E8414A9B123511C17FDC812982B45838CAB3E28A8</v>
      </c>
      <c r="I441" t="str">
        <f>HYPERLINK("https://baanknet.com/view-property/264088/536EB0349C1DC79DDFB5F39E8414A9B123511C17FDC812982B45838CAB3E28A8", "Open")</f>
        <v>Open</v>
      </c>
      <c r="J441" t="s">
        <v>20</v>
      </c>
      <c r="K441" t="s">
        <v>21</v>
      </c>
      <c r="L441">
        <v>757000</v>
      </c>
      <c r="M441">
        <v>75700</v>
      </c>
    </row>
    <row r="442" spans="1:13" x14ac:dyDescent="0.25">
      <c r="A442" t="s">
        <v>1611</v>
      </c>
      <c r="B442" t="s">
        <v>1612</v>
      </c>
      <c r="C442" t="s">
        <v>121</v>
      </c>
      <c r="D442" t="s">
        <v>1229</v>
      </c>
      <c r="E442" t="s">
        <v>654</v>
      </c>
      <c r="F442" t="s">
        <v>334</v>
      </c>
      <c r="G442" t="s">
        <v>1613</v>
      </c>
      <c r="H442" t="str">
        <f>HYPERLINK("https://baanknet.com/view-property/183513/7C735BED7C924AD3893A7BD49D3EA47057D9D43F21AE54E6EF5665C5D4D1D3A3", "https://baanknet.com/view-property/183513/7C735BED7C924AD3893A7BD49D3EA47057D9D43F21AE54E6EF5665C5D4D1D3A3")</f>
        <v>https://baanknet.com/view-property/183513/7C735BED7C924AD3893A7BD49D3EA47057D9D43F21AE54E6EF5665C5D4D1D3A3</v>
      </c>
      <c r="I442" t="str">
        <f>HYPERLINK("https://baanknet.com/view-property/183513/7C735BED7C924AD3893A7BD49D3EA47057D9D43F21AE54E6EF5665C5D4D1D3A3", "Open")</f>
        <v>Open</v>
      </c>
      <c r="J442" t="s">
        <v>20</v>
      </c>
      <c r="K442" t="s">
        <v>21</v>
      </c>
      <c r="L442">
        <v>7458000</v>
      </c>
      <c r="M442">
        <v>745800</v>
      </c>
    </row>
    <row r="443" spans="1:13" x14ac:dyDescent="0.25">
      <c r="A443" t="s">
        <v>1614</v>
      </c>
      <c r="B443" t="s">
        <v>1615</v>
      </c>
      <c r="C443" t="s">
        <v>121</v>
      </c>
      <c r="D443" t="s">
        <v>1229</v>
      </c>
      <c r="E443" t="s">
        <v>654</v>
      </c>
      <c r="F443" t="s">
        <v>334</v>
      </c>
      <c r="G443" t="s">
        <v>1616</v>
      </c>
      <c r="H443" t="str">
        <f>HYPERLINK("https://baanknet.com/view-property/173551/F9F008EC2FE72147A99C5F4359519172ADED975DE82D398AF2CDEF26136E8EE1", "https://baanknet.com/view-property/173551/F9F008EC2FE72147A99C5F4359519172ADED975DE82D398AF2CDEF26136E8EE1")</f>
        <v>https://baanknet.com/view-property/173551/F9F008EC2FE72147A99C5F4359519172ADED975DE82D398AF2CDEF26136E8EE1</v>
      </c>
      <c r="I443" t="str">
        <f>HYPERLINK("https://baanknet.com/view-property/173551/F9F008EC2FE72147A99C5F4359519172ADED975DE82D398AF2CDEF26136E8EE1", "Open")</f>
        <v>Open</v>
      </c>
      <c r="J443" t="s">
        <v>20</v>
      </c>
      <c r="K443" t="s">
        <v>21</v>
      </c>
      <c r="L443">
        <v>4320000</v>
      </c>
      <c r="M443">
        <v>432000</v>
      </c>
    </row>
    <row r="444" spans="1:13" x14ac:dyDescent="0.25">
      <c r="A444" t="s">
        <v>1617</v>
      </c>
      <c r="B444" t="s">
        <v>1618</v>
      </c>
      <c r="C444" t="s">
        <v>121</v>
      </c>
      <c r="D444" t="s">
        <v>1619</v>
      </c>
      <c r="E444" t="s">
        <v>654</v>
      </c>
      <c r="F444" t="s">
        <v>334</v>
      </c>
      <c r="G444" t="s">
        <v>1620</v>
      </c>
      <c r="H444" t="str">
        <f>HYPERLINK("https://baanknet.com/view-property/254398/7398A1A4451615EAB1CB366EEA34A0129C9021141A2AFF9CF2C305CFD451FABF", "https://baanknet.com/view-property/254398/7398A1A4451615EAB1CB366EEA34A0129C9021141A2AFF9CF2C305CFD451FABF")</f>
        <v>https://baanknet.com/view-property/254398/7398A1A4451615EAB1CB366EEA34A0129C9021141A2AFF9CF2C305CFD451FABF</v>
      </c>
      <c r="I444" t="str">
        <f>HYPERLINK("https://baanknet.com/view-property/254398/7398A1A4451615EAB1CB366EEA34A0129C9021141A2AFF9CF2C305CFD451FABF", "Open")</f>
        <v>Open</v>
      </c>
      <c r="J444" t="s">
        <v>20</v>
      </c>
      <c r="K444" t="s">
        <v>21</v>
      </c>
      <c r="L444">
        <v>653000</v>
      </c>
      <c r="M444">
        <v>65300</v>
      </c>
    </row>
    <row r="445" spans="1:13" x14ac:dyDescent="0.25">
      <c r="A445" t="s">
        <v>1621</v>
      </c>
      <c r="B445" t="s">
        <v>1622</v>
      </c>
      <c r="C445" t="s">
        <v>121</v>
      </c>
      <c r="D445" t="s">
        <v>1619</v>
      </c>
      <c r="E445" t="s">
        <v>654</v>
      </c>
      <c r="F445" t="s">
        <v>334</v>
      </c>
      <c r="G445" t="s">
        <v>1623</v>
      </c>
      <c r="H445" t="str">
        <f>HYPERLINK("https://baanknet.com/view-property/202209/40209EEC000B306F580E71B0EA31B87D6DC59D1119E2681A46D610471C52D9A9", "https://baanknet.com/view-property/202209/40209EEC000B306F580E71B0EA31B87D6DC59D1119E2681A46D610471C52D9A9")</f>
        <v>https://baanknet.com/view-property/202209/40209EEC000B306F580E71B0EA31B87D6DC59D1119E2681A46D610471C52D9A9</v>
      </c>
      <c r="I445" t="str">
        <f>HYPERLINK("https://baanknet.com/view-property/202209/40209EEC000B306F580E71B0EA31B87D6DC59D1119E2681A46D610471C52D9A9", "Open")</f>
        <v>Open</v>
      </c>
      <c r="J445" t="s">
        <v>20</v>
      </c>
      <c r="K445" t="s">
        <v>21</v>
      </c>
      <c r="L445">
        <v>738000</v>
      </c>
      <c r="M445">
        <v>73800</v>
      </c>
    </row>
    <row r="446" spans="1:13" x14ac:dyDescent="0.25">
      <c r="A446" t="s">
        <v>1624</v>
      </c>
      <c r="B446" t="s">
        <v>1625</v>
      </c>
      <c r="C446" t="s">
        <v>121</v>
      </c>
      <c r="D446" t="s">
        <v>157</v>
      </c>
      <c r="E446" t="s">
        <v>654</v>
      </c>
      <c r="F446" t="s">
        <v>334</v>
      </c>
      <c r="G446" t="s">
        <v>1626</v>
      </c>
      <c r="H446" t="str">
        <f>HYPERLINK("https://baanknet.com/view-property/264340/CB4185B7C254CFF7EB70E4F23F82EFCA9BAFB887251B80288DE49CABA6EAFEE8", "https://baanknet.com/view-property/264340/CB4185B7C254CFF7EB70E4F23F82EFCA9BAFB887251B80288DE49CABA6EAFEE8")</f>
        <v>https://baanknet.com/view-property/264340/CB4185B7C254CFF7EB70E4F23F82EFCA9BAFB887251B80288DE49CABA6EAFEE8</v>
      </c>
      <c r="I446" t="str">
        <f>HYPERLINK("https://baanknet.com/view-property/264340/CB4185B7C254CFF7EB70E4F23F82EFCA9BAFB887251B80288DE49CABA6EAFEE8", "Open")</f>
        <v>Open</v>
      </c>
      <c r="J446" t="s">
        <v>20</v>
      </c>
      <c r="K446" t="s">
        <v>21</v>
      </c>
      <c r="L446">
        <v>3525000</v>
      </c>
      <c r="M446">
        <v>352500</v>
      </c>
    </row>
    <row r="447" spans="1:13" x14ac:dyDescent="0.25">
      <c r="A447" t="s">
        <v>1627</v>
      </c>
      <c r="B447" t="s">
        <v>1628</v>
      </c>
      <c r="C447" t="s">
        <v>121</v>
      </c>
      <c r="D447" t="s">
        <v>1629</v>
      </c>
      <c r="E447" t="s">
        <v>654</v>
      </c>
      <c r="F447" t="s">
        <v>334</v>
      </c>
      <c r="G447" t="s">
        <v>1630</v>
      </c>
      <c r="H447" t="str">
        <f>HYPERLINK("https://baanknet.com/view-property/177696/D5CE5C66D6AF9A22637FC4B0DB185014EBF7237E390AF43B8CDB580AEC68481E", "https://baanknet.com/view-property/177696/D5CE5C66D6AF9A22637FC4B0DB185014EBF7237E390AF43B8CDB580AEC68481E")</f>
        <v>https://baanknet.com/view-property/177696/D5CE5C66D6AF9A22637FC4B0DB185014EBF7237E390AF43B8CDB580AEC68481E</v>
      </c>
      <c r="I447" t="str">
        <f>HYPERLINK("https://baanknet.com/view-property/177696/D5CE5C66D6AF9A22637FC4B0DB185014EBF7237E390AF43B8CDB580AEC68481E", "Open")</f>
        <v>Open</v>
      </c>
      <c r="J447" t="s">
        <v>20</v>
      </c>
      <c r="K447" t="s">
        <v>21</v>
      </c>
      <c r="L447">
        <v>1800000</v>
      </c>
      <c r="M447">
        <v>180000</v>
      </c>
    </row>
    <row r="448" spans="1:13" x14ac:dyDescent="0.25">
      <c r="A448" t="s">
        <v>1631</v>
      </c>
      <c r="B448" t="s">
        <v>1632</v>
      </c>
      <c r="C448" t="s">
        <v>121</v>
      </c>
      <c r="D448" t="s">
        <v>1633</v>
      </c>
      <c r="E448" t="s">
        <v>654</v>
      </c>
      <c r="F448" t="s">
        <v>334</v>
      </c>
      <c r="G448" t="s">
        <v>1634</v>
      </c>
      <c r="H448" t="str">
        <f>HYPERLINK("https://baanknet.com/view-property/239756/F33BCC8466B47D2F22949B800F3BD26A9EEB9F94B91B5C21DB27D77043B831FC", "https://baanknet.com/view-property/239756/F33BCC8466B47D2F22949B800F3BD26A9EEB9F94B91B5C21DB27D77043B831FC")</f>
        <v>https://baanknet.com/view-property/239756/F33BCC8466B47D2F22949B800F3BD26A9EEB9F94B91B5C21DB27D77043B831FC</v>
      </c>
      <c r="I448" t="str">
        <f>HYPERLINK("https://baanknet.com/view-property/239756/F33BCC8466B47D2F22949B800F3BD26A9EEB9F94B91B5C21DB27D77043B831FC", "Open")</f>
        <v>Open</v>
      </c>
      <c r="J448" t="s">
        <v>20</v>
      </c>
      <c r="K448" t="s">
        <v>21</v>
      </c>
      <c r="L448">
        <v>2000000</v>
      </c>
      <c r="M448">
        <v>200000</v>
      </c>
    </row>
    <row r="449" spans="1:13" x14ac:dyDescent="0.25">
      <c r="A449" t="s">
        <v>1635</v>
      </c>
      <c r="B449" t="s">
        <v>1636</v>
      </c>
      <c r="C449" t="s">
        <v>121</v>
      </c>
      <c r="D449" t="s">
        <v>1637</v>
      </c>
      <c r="E449" t="s">
        <v>654</v>
      </c>
      <c r="F449" t="s">
        <v>334</v>
      </c>
      <c r="G449" t="s">
        <v>1638</v>
      </c>
      <c r="H449" t="str">
        <f>HYPERLINK("https://baanknet.com/view-property/248566/94578F97735A5116EF420C82B4036911F2DA6206BCA8B56232C47633E448CF94", "https://baanknet.com/view-property/248566/94578F97735A5116EF420C82B4036911F2DA6206BCA8B56232C47633E448CF94")</f>
        <v>https://baanknet.com/view-property/248566/94578F97735A5116EF420C82B4036911F2DA6206BCA8B56232C47633E448CF94</v>
      </c>
      <c r="I449" t="str">
        <f>HYPERLINK("https://baanknet.com/view-property/248566/94578F97735A5116EF420C82B4036911F2DA6206BCA8B56232C47633E448CF94", "Open")</f>
        <v>Open</v>
      </c>
      <c r="J449" t="s">
        <v>20</v>
      </c>
      <c r="K449" t="s">
        <v>21</v>
      </c>
      <c r="L449">
        <v>2400000</v>
      </c>
      <c r="M449">
        <v>240000</v>
      </c>
    </row>
    <row r="450" spans="1:13" x14ac:dyDescent="0.25">
      <c r="A450" t="s">
        <v>1639</v>
      </c>
      <c r="B450" t="s">
        <v>1640</v>
      </c>
      <c r="C450" t="s">
        <v>121</v>
      </c>
      <c r="D450" t="s">
        <v>1641</v>
      </c>
      <c r="E450" t="s">
        <v>654</v>
      </c>
      <c r="F450" t="s">
        <v>334</v>
      </c>
      <c r="G450" t="s">
        <v>1642</v>
      </c>
      <c r="H450" t="str">
        <f>HYPERLINK("https://baanknet.com/view-property/220757/7E0A2DF9ECAB5940FDE0BC299E94DF8BC624946E9CDAED4FCE5DAD022FE1A463", "https://baanknet.com/view-property/220757/7E0A2DF9ECAB5940FDE0BC299E94DF8BC624946E9CDAED4FCE5DAD022FE1A463")</f>
        <v>https://baanknet.com/view-property/220757/7E0A2DF9ECAB5940FDE0BC299E94DF8BC624946E9CDAED4FCE5DAD022FE1A463</v>
      </c>
      <c r="I450" t="str">
        <f>HYPERLINK("https://baanknet.com/view-property/220757/7E0A2DF9ECAB5940FDE0BC299E94DF8BC624946E9CDAED4FCE5DAD022FE1A463", "Open")</f>
        <v>Open</v>
      </c>
      <c r="J450" t="s">
        <v>20</v>
      </c>
      <c r="K450" t="s">
        <v>21</v>
      </c>
      <c r="L450">
        <v>5840000</v>
      </c>
      <c r="M450">
        <v>584000</v>
      </c>
    </row>
    <row r="451" spans="1:13" x14ac:dyDescent="0.25">
      <c r="A451" t="s">
        <v>1643</v>
      </c>
      <c r="B451" t="s">
        <v>1644</v>
      </c>
      <c r="C451" t="s">
        <v>121</v>
      </c>
      <c r="D451" t="s">
        <v>1645</v>
      </c>
      <c r="E451" t="s">
        <v>654</v>
      </c>
      <c r="F451" t="s">
        <v>334</v>
      </c>
      <c r="G451" t="s">
        <v>1646</v>
      </c>
      <c r="H451" t="str">
        <f>HYPERLINK("https://baanknet.com/view-property/255711/EBBB5D5130B095D20763A879D1D911B982B2B3EDD42D54F58361BE59CE1213E6", "https://baanknet.com/view-property/255711/EBBB5D5130B095D20763A879D1D911B982B2B3EDD42D54F58361BE59CE1213E6")</f>
        <v>https://baanknet.com/view-property/255711/EBBB5D5130B095D20763A879D1D911B982B2B3EDD42D54F58361BE59CE1213E6</v>
      </c>
      <c r="I451" t="str">
        <f>HYPERLINK("https://baanknet.com/view-property/255711/EBBB5D5130B095D20763A879D1D911B982B2B3EDD42D54F58361BE59CE1213E6", "Open")</f>
        <v>Open</v>
      </c>
      <c r="J451" t="s">
        <v>20</v>
      </c>
      <c r="K451" t="s">
        <v>21</v>
      </c>
      <c r="L451">
        <v>400000</v>
      </c>
      <c r="M451">
        <v>40000</v>
      </c>
    </row>
    <row r="452" spans="1:13" x14ac:dyDescent="0.25">
      <c r="A452" t="s">
        <v>1647</v>
      </c>
      <c r="B452" t="s">
        <v>1648</v>
      </c>
      <c r="C452" t="s">
        <v>121</v>
      </c>
      <c r="D452" t="s">
        <v>1633</v>
      </c>
      <c r="E452" t="s">
        <v>654</v>
      </c>
      <c r="F452" t="s">
        <v>334</v>
      </c>
      <c r="G452" t="s">
        <v>1649</v>
      </c>
      <c r="H452" t="str">
        <f>HYPERLINK("https://baanknet.com/view-property/271654/AA51DC8F9F6BBA66830F46B58A20A00BE38A4889EAA9F190168042C20C324ED8", "https://baanknet.com/view-property/271654/AA51DC8F9F6BBA66830F46B58A20A00BE38A4889EAA9F190168042C20C324ED8")</f>
        <v>https://baanknet.com/view-property/271654/AA51DC8F9F6BBA66830F46B58A20A00BE38A4889EAA9F190168042C20C324ED8</v>
      </c>
      <c r="I452" t="str">
        <f>HYPERLINK("https://baanknet.com/view-property/271654/AA51DC8F9F6BBA66830F46B58A20A00BE38A4889EAA9F190168042C20C324ED8", "Open")</f>
        <v>Open</v>
      </c>
      <c r="J452" t="s">
        <v>20</v>
      </c>
      <c r="K452" t="s">
        <v>21</v>
      </c>
      <c r="L452">
        <v>1600000</v>
      </c>
      <c r="M452">
        <v>160000</v>
      </c>
    </row>
    <row r="453" spans="1:13" x14ac:dyDescent="0.25">
      <c r="A453" t="s">
        <v>1650</v>
      </c>
      <c r="B453" t="s">
        <v>1651</v>
      </c>
      <c r="C453" t="s">
        <v>121</v>
      </c>
      <c r="D453" t="s">
        <v>572</v>
      </c>
      <c r="E453" t="s">
        <v>654</v>
      </c>
      <c r="F453" t="s">
        <v>334</v>
      </c>
      <c r="G453" t="s">
        <v>1652</v>
      </c>
      <c r="H453" t="str">
        <f>HYPERLINK("https://baanknet.com/view-property/229226/6942B9A3FBCB14835EF2FE022012BC8A0C38ADAC9F4ECB3E1FFB39292FFB595F", "https://baanknet.com/view-property/229226/6942B9A3FBCB14835EF2FE022012BC8A0C38ADAC9F4ECB3E1FFB39292FFB595F")</f>
        <v>https://baanknet.com/view-property/229226/6942B9A3FBCB14835EF2FE022012BC8A0C38ADAC9F4ECB3E1FFB39292FFB595F</v>
      </c>
      <c r="I453" t="str">
        <f>HYPERLINK("https://baanknet.com/view-property/229226/6942B9A3FBCB14835EF2FE022012BC8A0C38ADAC9F4ECB3E1FFB39292FFB595F", "Open")</f>
        <v>Open</v>
      </c>
      <c r="J453" t="s">
        <v>20</v>
      </c>
      <c r="K453" t="s">
        <v>21</v>
      </c>
      <c r="L453">
        <v>1247000</v>
      </c>
      <c r="M453">
        <v>124700</v>
      </c>
    </row>
    <row r="454" spans="1:13" x14ac:dyDescent="0.25">
      <c r="A454" t="s">
        <v>1653</v>
      </c>
      <c r="B454" t="s">
        <v>1654</v>
      </c>
      <c r="C454" t="s">
        <v>121</v>
      </c>
      <c r="D454" t="s">
        <v>1310</v>
      </c>
      <c r="E454" t="s">
        <v>654</v>
      </c>
      <c r="F454" t="s">
        <v>334</v>
      </c>
      <c r="G454" t="s">
        <v>1655</v>
      </c>
      <c r="H454" t="str">
        <f>HYPERLINK("https://baanknet.com/view-property/171209/8AEDB59A8D77D4D9EA960D73EB34BE0E666205255242D2A661D1FA9D26BBAD1B", "https://baanknet.com/view-property/171209/8AEDB59A8D77D4D9EA960D73EB34BE0E666205255242D2A661D1FA9D26BBAD1B")</f>
        <v>https://baanknet.com/view-property/171209/8AEDB59A8D77D4D9EA960D73EB34BE0E666205255242D2A661D1FA9D26BBAD1B</v>
      </c>
      <c r="I454" t="str">
        <f>HYPERLINK("https://baanknet.com/view-property/171209/8AEDB59A8D77D4D9EA960D73EB34BE0E666205255242D2A661D1FA9D26BBAD1B", "Open")</f>
        <v>Open</v>
      </c>
      <c r="J454" t="s">
        <v>20</v>
      </c>
      <c r="K454" t="s">
        <v>21</v>
      </c>
      <c r="L454">
        <v>2911500</v>
      </c>
      <c r="M454">
        <v>291150</v>
      </c>
    </row>
    <row r="455" spans="1:13" x14ac:dyDescent="0.25">
      <c r="A455" t="s">
        <v>1656</v>
      </c>
      <c r="B455" t="s">
        <v>1657</v>
      </c>
      <c r="C455" t="s">
        <v>121</v>
      </c>
      <c r="D455" t="s">
        <v>1658</v>
      </c>
      <c r="E455" t="s">
        <v>654</v>
      </c>
      <c r="F455" t="s">
        <v>334</v>
      </c>
      <c r="G455" t="s">
        <v>1659</v>
      </c>
      <c r="H455" t="str">
        <f>HYPERLINK("https://baanknet.com/view-property/265462/91885CDF8B7365E44610C7F3841F8EC36D4A64A8FDAA1AC13955FCF037D26277", "https://baanknet.com/view-property/265462/91885CDF8B7365E44610C7F3841F8EC36D4A64A8FDAA1AC13955FCF037D26277")</f>
        <v>https://baanknet.com/view-property/265462/91885CDF8B7365E44610C7F3841F8EC36D4A64A8FDAA1AC13955FCF037D26277</v>
      </c>
      <c r="I455" t="str">
        <f>HYPERLINK("https://baanknet.com/view-property/265462/91885CDF8B7365E44610C7F3841F8EC36D4A64A8FDAA1AC13955FCF037D26277", "Open")</f>
        <v>Open</v>
      </c>
      <c r="J455" t="s">
        <v>20</v>
      </c>
      <c r="K455" t="s">
        <v>21</v>
      </c>
      <c r="L455">
        <v>7663000</v>
      </c>
      <c r="M455">
        <v>766300</v>
      </c>
    </row>
    <row r="456" spans="1:13" x14ac:dyDescent="0.25">
      <c r="A456" t="s">
        <v>1660</v>
      </c>
      <c r="B456" t="s">
        <v>1661</v>
      </c>
      <c r="C456" t="s">
        <v>121</v>
      </c>
      <c r="D456" t="s">
        <v>1658</v>
      </c>
      <c r="E456" t="s">
        <v>654</v>
      </c>
      <c r="F456" t="s">
        <v>334</v>
      </c>
      <c r="G456" t="s">
        <v>1662</v>
      </c>
      <c r="H456" t="str">
        <f>HYPERLINK("https://baanknet.com/view-property/265457/DC70ADE66444409F5BE762D2B2492D364BEF2F9771CA744F792440CF78C78C7F", "https://baanknet.com/view-property/265457/DC70ADE66444409F5BE762D2B2492D364BEF2F9771CA744F792440CF78C78C7F")</f>
        <v>https://baanknet.com/view-property/265457/DC70ADE66444409F5BE762D2B2492D364BEF2F9771CA744F792440CF78C78C7F</v>
      </c>
      <c r="I456" t="str">
        <f>HYPERLINK("https://baanknet.com/view-property/265457/DC70ADE66444409F5BE762D2B2492D364BEF2F9771CA744F792440CF78C78C7F", "Open")</f>
        <v>Open</v>
      </c>
      <c r="J456" t="s">
        <v>20</v>
      </c>
      <c r="K456" t="s">
        <v>21</v>
      </c>
      <c r="L456">
        <v>8197000</v>
      </c>
      <c r="M456">
        <v>819700</v>
      </c>
    </row>
    <row r="457" spans="1:13" x14ac:dyDescent="0.25">
      <c r="A457" t="s">
        <v>1663</v>
      </c>
      <c r="B457" t="s">
        <v>1664</v>
      </c>
      <c r="C457" t="s">
        <v>121</v>
      </c>
      <c r="D457" t="s">
        <v>157</v>
      </c>
      <c r="E457" t="s">
        <v>654</v>
      </c>
      <c r="F457" t="s">
        <v>334</v>
      </c>
      <c r="G457" t="s">
        <v>1665</v>
      </c>
      <c r="H457" t="str">
        <f>HYPERLINK("https://baanknet.com/view-property/231663/B5DD2A6E582D0F60A14658A917CDB36F4C9BB4511648F8CD8C76849C85FAC1D1", "https://baanknet.com/view-property/231663/B5DD2A6E582D0F60A14658A917CDB36F4C9BB4511648F8CD8C76849C85FAC1D1")</f>
        <v>https://baanknet.com/view-property/231663/B5DD2A6E582D0F60A14658A917CDB36F4C9BB4511648F8CD8C76849C85FAC1D1</v>
      </c>
      <c r="I457" t="str">
        <f>HYPERLINK("https://baanknet.com/view-property/231663/B5DD2A6E582D0F60A14658A917CDB36F4C9BB4511648F8CD8C76849C85FAC1D1", "Open")</f>
        <v>Open</v>
      </c>
      <c r="J457" t="s">
        <v>20</v>
      </c>
      <c r="K457" t="s">
        <v>21</v>
      </c>
      <c r="L457">
        <v>2050000</v>
      </c>
      <c r="M457">
        <v>205000</v>
      </c>
    </row>
    <row r="458" spans="1:13" x14ac:dyDescent="0.25">
      <c r="A458" t="s">
        <v>1666</v>
      </c>
      <c r="B458" t="s">
        <v>1667</v>
      </c>
      <c r="C458" t="s">
        <v>121</v>
      </c>
      <c r="D458" t="s">
        <v>157</v>
      </c>
      <c r="E458" t="s">
        <v>654</v>
      </c>
      <c r="F458" t="s">
        <v>334</v>
      </c>
      <c r="G458" t="s">
        <v>1668</v>
      </c>
      <c r="H458" t="str">
        <f>HYPERLINK("https://baanknet.com/view-property/274317/5B12C2BC90EDA788DD58900C88BD6FD22E0D0B0B277F09881E05650B0213320D", "https://baanknet.com/view-property/274317/5B12C2BC90EDA788DD58900C88BD6FD22E0D0B0B277F09881E05650B0213320D")</f>
        <v>https://baanknet.com/view-property/274317/5B12C2BC90EDA788DD58900C88BD6FD22E0D0B0B277F09881E05650B0213320D</v>
      </c>
      <c r="I458" t="str">
        <f>HYPERLINK("https://baanknet.com/view-property/274317/5B12C2BC90EDA788DD58900C88BD6FD22E0D0B0B277F09881E05650B0213320D", "Open")</f>
        <v>Open</v>
      </c>
      <c r="J458" t="s">
        <v>20</v>
      </c>
      <c r="K458" t="s">
        <v>21</v>
      </c>
      <c r="L458">
        <v>3800000</v>
      </c>
      <c r="M458">
        <v>380000</v>
      </c>
    </row>
    <row r="459" spans="1:13" x14ac:dyDescent="0.25">
      <c r="A459" t="s">
        <v>1669</v>
      </c>
      <c r="B459" t="s">
        <v>1670</v>
      </c>
      <c r="C459" t="s">
        <v>121</v>
      </c>
      <c r="D459" t="s">
        <v>1671</v>
      </c>
      <c r="E459" t="s">
        <v>654</v>
      </c>
      <c r="F459" t="s">
        <v>334</v>
      </c>
      <c r="G459" t="s">
        <v>1672</v>
      </c>
      <c r="H459" t="str">
        <f>HYPERLINK("https://baanknet.com/view-property/258137/0BD9A3AE67AFEAAF1DC65FE829DC17F9B95FE8907AEC5928E97616F2AC2E608A", "https://baanknet.com/view-property/258137/0BD9A3AE67AFEAAF1DC65FE829DC17F9B95FE8907AEC5928E97616F2AC2E608A")</f>
        <v>https://baanknet.com/view-property/258137/0BD9A3AE67AFEAAF1DC65FE829DC17F9B95FE8907AEC5928E97616F2AC2E608A</v>
      </c>
      <c r="I459" t="str">
        <f>HYPERLINK("https://baanknet.com/view-property/258137/0BD9A3AE67AFEAAF1DC65FE829DC17F9B95FE8907AEC5928E97616F2AC2E608A", "Open")</f>
        <v>Open</v>
      </c>
      <c r="J459" t="s">
        <v>20</v>
      </c>
      <c r="K459" t="s">
        <v>21</v>
      </c>
      <c r="L459">
        <v>3500000</v>
      </c>
      <c r="M459">
        <v>350000</v>
      </c>
    </row>
    <row r="460" spans="1:13" x14ac:dyDescent="0.25">
      <c r="A460" t="s">
        <v>1673</v>
      </c>
      <c r="B460" t="s">
        <v>1674</v>
      </c>
      <c r="C460" t="s">
        <v>121</v>
      </c>
      <c r="D460" t="s">
        <v>1675</v>
      </c>
      <c r="E460" t="s">
        <v>654</v>
      </c>
      <c r="F460" t="s">
        <v>334</v>
      </c>
      <c r="G460" t="s">
        <v>1676</v>
      </c>
      <c r="H460" t="str">
        <f>HYPERLINK("https://baanknet.com/view-property/174458/00BE7C41003796CAFC21DD3FA288FECCB663FA02104335F956955376840D3BC2", "https://baanknet.com/view-property/174458/00BE7C41003796CAFC21DD3FA288FECCB663FA02104335F956955376840D3BC2")</f>
        <v>https://baanknet.com/view-property/174458/00BE7C41003796CAFC21DD3FA288FECCB663FA02104335F956955376840D3BC2</v>
      </c>
      <c r="I460" t="str">
        <f>HYPERLINK("https://baanknet.com/view-property/174458/00BE7C41003796CAFC21DD3FA288FECCB663FA02104335F956955376840D3BC2", "Open")</f>
        <v>Open</v>
      </c>
      <c r="J460" t="s">
        <v>20</v>
      </c>
      <c r="K460" t="s">
        <v>21</v>
      </c>
      <c r="L460">
        <v>3050000</v>
      </c>
      <c r="M460">
        <v>305000</v>
      </c>
    </row>
    <row r="461" spans="1:13" x14ac:dyDescent="0.25">
      <c r="A461" t="s">
        <v>1677</v>
      </c>
      <c r="B461" t="s">
        <v>1678</v>
      </c>
      <c r="C461" t="s">
        <v>121</v>
      </c>
      <c r="D461" t="s">
        <v>1679</v>
      </c>
      <c r="E461" t="s">
        <v>654</v>
      </c>
      <c r="F461" t="s">
        <v>334</v>
      </c>
      <c r="G461" t="s">
        <v>1680</v>
      </c>
      <c r="H461" t="str">
        <f>HYPERLINK("https://baanknet.com/view-property/276140/B14F9CD6B6C5334583E1FA42CDE10195D7D747124C91F965ECB3CC171FAE837B", "https://baanknet.com/view-property/276140/B14F9CD6B6C5334583E1FA42CDE10195D7D747124C91F965ECB3CC171FAE837B")</f>
        <v>https://baanknet.com/view-property/276140/B14F9CD6B6C5334583E1FA42CDE10195D7D747124C91F965ECB3CC171FAE837B</v>
      </c>
      <c r="I461" t="str">
        <f>HYPERLINK("https://baanknet.com/view-property/276140/B14F9CD6B6C5334583E1FA42CDE10195D7D747124C91F965ECB3CC171FAE837B", "Open")</f>
        <v>Open</v>
      </c>
      <c r="J461" t="s">
        <v>20</v>
      </c>
      <c r="K461" t="s">
        <v>21</v>
      </c>
      <c r="L461">
        <v>3850000</v>
      </c>
      <c r="M461">
        <v>385000</v>
      </c>
    </row>
    <row r="462" spans="1:13" x14ac:dyDescent="0.25">
      <c r="A462" t="s">
        <v>1681</v>
      </c>
      <c r="B462" t="s">
        <v>1682</v>
      </c>
      <c r="C462" t="s">
        <v>121</v>
      </c>
      <c r="D462" t="s">
        <v>157</v>
      </c>
      <c r="E462" t="s">
        <v>654</v>
      </c>
      <c r="F462" t="s">
        <v>334</v>
      </c>
      <c r="G462" t="s">
        <v>1683</v>
      </c>
      <c r="H462" t="str">
        <f>HYPERLINK("https://baanknet.com/view-property/219638/4A2812AAC65FFCDB70CFA66BD0C3363AD9178598CC7AD555C4FD6B62F998FAD4", "https://baanknet.com/view-property/219638/4A2812AAC65FFCDB70CFA66BD0C3363AD9178598CC7AD555C4FD6B62F998FAD4")</f>
        <v>https://baanknet.com/view-property/219638/4A2812AAC65FFCDB70CFA66BD0C3363AD9178598CC7AD555C4FD6B62F998FAD4</v>
      </c>
      <c r="I462" t="str">
        <f>HYPERLINK("https://baanknet.com/view-property/219638/4A2812AAC65FFCDB70CFA66BD0C3363AD9178598CC7AD555C4FD6B62F998FAD4", "Open")</f>
        <v>Open</v>
      </c>
      <c r="J462" t="s">
        <v>20</v>
      </c>
      <c r="K462" t="s">
        <v>21</v>
      </c>
      <c r="L462">
        <v>2190000</v>
      </c>
      <c r="M462">
        <v>219000</v>
      </c>
    </row>
    <row r="463" spans="1:13" x14ac:dyDescent="0.25">
      <c r="A463" t="s">
        <v>1684</v>
      </c>
      <c r="B463" t="s">
        <v>1685</v>
      </c>
      <c r="C463" t="s">
        <v>121</v>
      </c>
      <c r="D463" t="s">
        <v>1059</v>
      </c>
      <c r="E463" t="s">
        <v>654</v>
      </c>
      <c r="F463" t="s">
        <v>334</v>
      </c>
      <c r="G463" t="s">
        <v>1686</v>
      </c>
      <c r="H463" t="str">
        <f>HYPERLINK("https://baanknet.com/view-property/171054/2A61508876A732809105E2FCE2E5D90C6C0C32B67CCF93134E8AB2BA1FA3E645", "https://baanknet.com/view-property/171054/2A61508876A732809105E2FCE2E5D90C6C0C32B67CCF93134E8AB2BA1FA3E645")</f>
        <v>https://baanknet.com/view-property/171054/2A61508876A732809105E2FCE2E5D90C6C0C32B67CCF93134E8AB2BA1FA3E645</v>
      </c>
      <c r="I463" t="str">
        <f>HYPERLINK("https://baanknet.com/view-property/171054/2A61508876A732809105E2FCE2E5D90C6C0C32B67CCF93134E8AB2BA1FA3E645", "Open")</f>
        <v>Open</v>
      </c>
      <c r="J463" t="s">
        <v>20</v>
      </c>
      <c r="K463" t="s">
        <v>21</v>
      </c>
      <c r="L463">
        <v>2006000</v>
      </c>
      <c r="M463">
        <v>200600</v>
      </c>
    </row>
    <row r="464" spans="1:13" x14ac:dyDescent="0.25">
      <c r="A464" t="s">
        <v>1687</v>
      </c>
      <c r="B464" t="s">
        <v>1688</v>
      </c>
      <c r="C464" t="s">
        <v>121</v>
      </c>
      <c r="D464" t="s">
        <v>157</v>
      </c>
      <c r="E464" t="s">
        <v>654</v>
      </c>
      <c r="F464" t="s">
        <v>334</v>
      </c>
      <c r="G464" t="s">
        <v>1689</v>
      </c>
      <c r="H464" t="str">
        <f>HYPERLINK("https://baanknet.com/view-property/174435/FD11E3B0F6356F57A27580003321F18454461F1B07279D44A1C73266C58A78A7", "https://baanknet.com/view-property/174435/FD11E3B0F6356F57A27580003321F18454461F1B07279D44A1C73266C58A78A7")</f>
        <v>https://baanknet.com/view-property/174435/FD11E3B0F6356F57A27580003321F18454461F1B07279D44A1C73266C58A78A7</v>
      </c>
      <c r="I464" t="str">
        <f>HYPERLINK("https://baanknet.com/view-property/174435/FD11E3B0F6356F57A27580003321F18454461F1B07279D44A1C73266C58A78A7", "Open")</f>
        <v>Open</v>
      </c>
      <c r="J464" t="s">
        <v>20</v>
      </c>
      <c r="K464" t="s">
        <v>21</v>
      </c>
      <c r="L464">
        <v>3150000</v>
      </c>
      <c r="M464">
        <v>315000</v>
      </c>
    </row>
    <row r="465" spans="1:13" x14ac:dyDescent="0.25">
      <c r="A465" t="s">
        <v>1690</v>
      </c>
      <c r="B465" t="s">
        <v>1691</v>
      </c>
      <c r="C465" t="s">
        <v>121</v>
      </c>
      <c r="D465" t="s">
        <v>1692</v>
      </c>
      <c r="E465" t="s">
        <v>654</v>
      </c>
      <c r="F465" t="s">
        <v>334</v>
      </c>
      <c r="G465" t="s">
        <v>1693</v>
      </c>
      <c r="H465" t="str">
        <f>HYPERLINK("https://baanknet.com/view-property/174415/876DA8039D830E2E2CC3F4B964CB468C74E3371D071FFF4F284A83DFFF8344E5", "https://baanknet.com/view-property/174415/876DA8039D830E2E2CC3F4B964CB468C74E3371D071FFF4F284A83DFFF8344E5")</f>
        <v>https://baanknet.com/view-property/174415/876DA8039D830E2E2CC3F4B964CB468C74E3371D071FFF4F284A83DFFF8344E5</v>
      </c>
      <c r="I465" t="str">
        <f>HYPERLINK("https://baanknet.com/view-property/174415/876DA8039D830E2E2CC3F4B964CB468C74E3371D071FFF4F284A83DFFF8344E5", "Open")</f>
        <v>Open</v>
      </c>
      <c r="J465" t="s">
        <v>20</v>
      </c>
      <c r="K465" t="s">
        <v>21</v>
      </c>
      <c r="L465">
        <v>2270000</v>
      </c>
      <c r="M465">
        <v>227000</v>
      </c>
    </row>
    <row r="466" spans="1:13" x14ac:dyDescent="0.25">
      <c r="A466" t="s">
        <v>1694</v>
      </c>
      <c r="B466" t="s">
        <v>1695</v>
      </c>
      <c r="C466" t="s">
        <v>121</v>
      </c>
      <c r="D466" t="s">
        <v>1692</v>
      </c>
      <c r="E466" t="s">
        <v>654</v>
      </c>
      <c r="F466" t="s">
        <v>334</v>
      </c>
      <c r="G466" t="s">
        <v>1696</v>
      </c>
      <c r="H466" t="str">
        <f>HYPERLINK("https://baanknet.com/view-property/179772/E2BFB39AEAB896654B17641E7D55D6988DE9BB8AD2EBB0F49E2F939070B95E69", "https://baanknet.com/view-property/179772/E2BFB39AEAB896654B17641E7D55D6988DE9BB8AD2EBB0F49E2F939070B95E69")</f>
        <v>https://baanknet.com/view-property/179772/E2BFB39AEAB896654B17641E7D55D6988DE9BB8AD2EBB0F49E2F939070B95E69</v>
      </c>
      <c r="I466" t="str">
        <f>HYPERLINK("https://baanknet.com/view-property/179772/E2BFB39AEAB896654B17641E7D55D6988DE9BB8AD2EBB0F49E2F939070B95E69", "Open")</f>
        <v>Open</v>
      </c>
      <c r="J466" t="s">
        <v>20</v>
      </c>
      <c r="K466" t="s">
        <v>21</v>
      </c>
      <c r="L466">
        <v>2270000</v>
      </c>
      <c r="M466">
        <v>227000</v>
      </c>
    </row>
    <row r="467" spans="1:13" x14ac:dyDescent="0.25">
      <c r="A467" t="s">
        <v>1697</v>
      </c>
      <c r="B467" t="s">
        <v>1698</v>
      </c>
      <c r="C467" t="s">
        <v>121</v>
      </c>
      <c r="D467" t="s">
        <v>157</v>
      </c>
      <c r="E467" t="s">
        <v>654</v>
      </c>
      <c r="F467" t="s">
        <v>334</v>
      </c>
      <c r="G467" t="s">
        <v>1699</v>
      </c>
      <c r="H467" t="str">
        <f>HYPERLINK("https://baanknet.com/view-property/268905/64B06FF9A1050ED2F986FD4C8640FFD7EB46C48D4D4CA3D056FDD590768D441D", "https://baanknet.com/view-property/268905/64B06FF9A1050ED2F986FD4C8640FFD7EB46C48D4D4CA3D056FDD590768D441D")</f>
        <v>https://baanknet.com/view-property/268905/64B06FF9A1050ED2F986FD4C8640FFD7EB46C48D4D4CA3D056FDD590768D441D</v>
      </c>
      <c r="I467" t="str">
        <f>HYPERLINK("https://baanknet.com/view-property/268905/64B06FF9A1050ED2F986FD4C8640FFD7EB46C48D4D4CA3D056FDD590768D441D", "Open")</f>
        <v>Open</v>
      </c>
      <c r="J467" t="s">
        <v>20</v>
      </c>
      <c r="K467" t="s">
        <v>21</v>
      </c>
      <c r="L467">
        <v>1408000</v>
      </c>
      <c r="M467">
        <v>140800</v>
      </c>
    </row>
    <row r="468" spans="1:13" x14ac:dyDescent="0.25">
      <c r="A468" t="s">
        <v>1700</v>
      </c>
      <c r="B468" t="s">
        <v>1701</v>
      </c>
      <c r="C468" t="s">
        <v>121</v>
      </c>
      <c r="D468" t="s">
        <v>1702</v>
      </c>
      <c r="E468" t="s">
        <v>654</v>
      </c>
      <c r="F468" t="s">
        <v>334</v>
      </c>
      <c r="G468" t="s">
        <v>1703</v>
      </c>
      <c r="H468" t="str">
        <f>HYPERLINK("https://baanknet.com/view-property/186303/2231937B0EB4BD62F8AC8DA44F7BD27D2FDDDE54ADACFE0CA94EAD5435C2FA88", "https://baanknet.com/view-property/186303/2231937B0EB4BD62F8AC8DA44F7BD27D2FDDDE54ADACFE0CA94EAD5435C2FA88")</f>
        <v>https://baanknet.com/view-property/186303/2231937B0EB4BD62F8AC8DA44F7BD27D2FDDDE54ADACFE0CA94EAD5435C2FA88</v>
      </c>
      <c r="I468" t="str">
        <f>HYPERLINK("https://baanknet.com/view-property/186303/2231937B0EB4BD62F8AC8DA44F7BD27D2FDDDE54ADACFE0CA94EAD5435C2FA88", "Open")</f>
        <v>Open</v>
      </c>
      <c r="J468" t="s">
        <v>20</v>
      </c>
      <c r="K468" t="s">
        <v>21</v>
      </c>
      <c r="L468">
        <v>1790000</v>
      </c>
      <c r="M468">
        <v>179000</v>
      </c>
    </row>
    <row r="469" spans="1:13" x14ac:dyDescent="0.25">
      <c r="A469" t="s">
        <v>1704</v>
      </c>
      <c r="B469" t="s">
        <v>1705</v>
      </c>
      <c r="C469" t="s">
        <v>121</v>
      </c>
      <c r="D469" t="s">
        <v>157</v>
      </c>
      <c r="E469" t="s">
        <v>654</v>
      </c>
      <c r="F469" t="s">
        <v>334</v>
      </c>
      <c r="G469" t="s">
        <v>1706</v>
      </c>
      <c r="H469" t="str">
        <f>HYPERLINK("https://baanknet.com/view-property/231601/6170264FDBB36F753DACCEBE192A28385A2B3CABF9638CCA54FC8F451123D42A", "https://baanknet.com/view-property/231601/6170264FDBB36F753DACCEBE192A28385A2B3CABF9638CCA54FC8F451123D42A")</f>
        <v>https://baanknet.com/view-property/231601/6170264FDBB36F753DACCEBE192A28385A2B3CABF9638CCA54FC8F451123D42A</v>
      </c>
      <c r="I469" t="str">
        <f>HYPERLINK("https://baanknet.com/view-property/231601/6170264FDBB36F753DACCEBE192A28385A2B3CABF9638CCA54FC8F451123D42A", "Open")</f>
        <v>Open</v>
      </c>
      <c r="J469" t="s">
        <v>20</v>
      </c>
      <c r="K469" t="s">
        <v>21</v>
      </c>
      <c r="L469">
        <v>3932000</v>
      </c>
      <c r="M469">
        <v>393200</v>
      </c>
    </row>
    <row r="470" spans="1:13" x14ac:dyDescent="0.25">
      <c r="A470" t="s">
        <v>1707</v>
      </c>
      <c r="B470" t="s">
        <v>1708</v>
      </c>
      <c r="C470" t="s">
        <v>121</v>
      </c>
      <c r="D470" t="s">
        <v>157</v>
      </c>
      <c r="E470" t="s">
        <v>654</v>
      </c>
      <c r="F470" t="s">
        <v>334</v>
      </c>
      <c r="G470" t="s">
        <v>1709</v>
      </c>
      <c r="H470" t="str">
        <f>HYPERLINK("https://baanknet.com/view-property/174529/368AF1E1EB7A0F7E90824DE6137C28250EEB4AFD1CC7228B4F2A829B6012BD39", "https://baanknet.com/view-property/174529/368AF1E1EB7A0F7E90824DE6137C28250EEB4AFD1CC7228B4F2A829B6012BD39")</f>
        <v>https://baanknet.com/view-property/174529/368AF1E1EB7A0F7E90824DE6137C28250EEB4AFD1CC7228B4F2A829B6012BD39</v>
      </c>
      <c r="I470" t="str">
        <f>HYPERLINK("https://baanknet.com/view-property/174529/368AF1E1EB7A0F7E90824DE6137C28250EEB4AFD1CC7228B4F2A829B6012BD39", "Open")</f>
        <v>Open</v>
      </c>
      <c r="J470" t="s">
        <v>20</v>
      </c>
      <c r="K470" t="s">
        <v>21</v>
      </c>
      <c r="L470">
        <v>1390000</v>
      </c>
      <c r="M470">
        <v>139000</v>
      </c>
    </row>
    <row r="471" spans="1:13" x14ac:dyDescent="0.25">
      <c r="A471" t="s">
        <v>1710</v>
      </c>
      <c r="B471" t="s">
        <v>1711</v>
      </c>
      <c r="C471" t="s">
        <v>121</v>
      </c>
      <c r="D471" t="s">
        <v>1712</v>
      </c>
      <c r="E471" t="s">
        <v>654</v>
      </c>
      <c r="F471" t="s">
        <v>334</v>
      </c>
      <c r="G471" t="s">
        <v>1713</v>
      </c>
      <c r="H471" t="str">
        <f>HYPERLINK("https://baanknet.com/view-property/273756/40D329193D669140082245BC4D7E30703EF286A877CB4002B87445D337B12E6D", "https://baanknet.com/view-property/273756/40D329193D669140082245BC4D7E30703EF286A877CB4002B87445D337B12E6D")</f>
        <v>https://baanknet.com/view-property/273756/40D329193D669140082245BC4D7E30703EF286A877CB4002B87445D337B12E6D</v>
      </c>
      <c r="I471" t="str">
        <f>HYPERLINK("https://baanknet.com/view-property/273756/40D329193D669140082245BC4D7E30703EF286A877CB4002B87445D337B12E6D", "Open")</f>
        <v>Open</v>
      </c>
      <c r="J471" t="s">
        <v>20</v>
      </c>
      <c r="K471" t="s">
        <v>21</v>
      </c>
      <c r="L471">
        <v>3100000</v>
      </c>
      <c r="M471">
        <v>310000</v>
      </c>
    </row>
    <row r="472" spans="1:13" x14ac:dyDescent="0.25">
      <c r="A472" t="s">
        <v>1714</v>
      </c>
      <c r="B472" t="s">
        <v>1715</v>
      </c>
      <c r="C472" t="s">
        <v>121</v>
      </c>
      <c r="D472" t="s">
        <v>157</v>
      </c>
      <c r="E472" t="s">
        <v>654</v>
      </c>
      <c r="F472" t="s">
        <v>334</v>
      </c>
      <c r="G472" t="s">
        <v>1716</v>
      </c>
      <c r="H472" t="str">
        <f>HYPERLINK("https://baanknet.com/view-property/174499/11DF518C547AF26EC5F6207FF8C5C25B6E0FD21AC3930BF9BC12D86B9B1743BE", "https://baanknet.com/view-property/174499/11DF518C547AF26EC5F6207FF8C5C25B6E0FD21AC3930BF9BC12D86B9B1743BE")</f>
        <v>https://baanknet.com/view-property/174499/11DF518C547AF26EC5F6207FF8C5C25B6E0FD21AC3930BF9BC12D86B9B1743BE</v>
      </c>
      <c r="I472" t="str">
        <f>HYPERLINK("https://baanknet.com/view-property/174499/11DF518C547AF26EC5F6207FF8C5C25B6E0FD21AC3930BF9BC12D86B9B1743BE", "Open")</f>
        <v>Open</v>
      </c>
      <c r="J472" t="s">
        <v>20</v>
      </c>
      <c r="K472" t="s">
        <v>21</v>
      </c>
      <c r="L472">
        <v>2330000</v>
      </c>
      <c r="M472">
        <v>233000</v>
      </c>
    </row>
    <row r="473" spans="1:13" x14ac:dyDescent="0.25">
      <c r="A473" t="s">
        <v>1717</v>
      </c>
      <c r="B473" t="s">
        <v>1718</v>
      </c>
      <c r="C473" t="s">
        <v>121</v>
      </c>
      <c r="D473" t="s">
        <v>157</v>
      </c>
      <c r="E473" t="s">
        <v>654</v>
      </c>
      <c r="F473" t="s">
        <v>334</v>
      </c>
      <c r="G473" t="s">
        <v>1719</v>
      </c>
      <c r="H473" t="str">
        <f>HYPERLINK("https://baanknet.com/view-property/174396/4CDE9F7FFDBFE7437B53F669E8054B0C63FC6834D84B6332DA6C0C0A9F3253C9", "https://baanknet.com/view-property/174396/4CDE9F7FFDBFE7437B53F669E8054B0C63FC6834D84B6332DA6C0C0A9F3253C9")</f>
        <v>https://baanknet.com/view-property/174396/4CDE9F7FFDBFE7437B53F669E8054B0C63FC6834D84B6332DA6C0C0A9F3253C9</v>
      </c>
      <c r="I473" t="str">
        <f>HYPERLINK("https://baanknet.com/view-property/174396/4CDE9F7FFDBFE7437B53F669E8054B0C63FC6834D84B6332DA6C0C0A9F3253C9", "Open")</f>
        <v>Open</v>
      </c>
      <c r="J473" t="s">
        <v>20</v>
      </c>
      <c r="K473" t="s">
        <v>21</v>
      </c>
      <c r="L473">
        <v>1495800</v>
      </c>
      <c r="M473">
        <v>149580</v>
      </c>
    </row>
    <row r="474" spans="1:13" x14ac:dyDescent="0.25">
      <c r="A474" t="s">
        <v>1720</v>
      </c>
      <c r="B474" t="s">
        <v>1721</v>
      </c>
      <c r="C474" t="s">
        <v>121</v>
      </c>
      <c r="D474" t="s">
        <v>1712</v>
      </c>
      <c r="E474" t="s">
        <v>654</v>
      </c>
      <c r="F474" t="s">
        <v>334</v>
      </c>
      <c r="G474" t="s">
        <v>1722</v>
      </c>
      <c r="H474" t="str">
        <f>HYPERLINK("https://baanknet.com/view-property/172284/C1E79176CCF8A81EBF2E2D7945A8A0D1546A1EDB934009B971EE247591C9BE5F", "https://baanknet.com/view-property/172284/C1E79176CCF8A81EBF2E2D7945A8A0D1546A1EDB934009B971EE247591C9BE5F")</f>
        <v>https://baanknet.com/view-property/172284/C1E79176CCF8A81EBF2E2D7945A8A0D1546A1EDB934009B971EE247591C9BE5F</v>
      </c>
      <c r="I474" t="str">
        <f>HYPERLINK("https://baanknet.com/view-property/172284/C1E79176CCF8A81EBF2E2D7945A8A0D1546A1EDB934009B971EE247591C9BE5F", "Open")</f>
        <v>Open</v>
      </c>
      <c r="J474" t="s">
        <v>20</v>
      </c>
      <c r="K474" t="s">
        <v>21</v>
      </c>
      <c r="L474">
        <v>3400000</v>
      </c>
      <c r="M474">
        <v>340000</v>
      </c>
    </row>
    <row r="475" spans="1:13" x14ac:dyDescent="0.25">
      <c r="A475" t="s">
        <v>1723</v>
      </c>
      <c r="B475" t="s">
        <v>1724</v>
      </c>
      <c r="C475" t="s">
        <v>121</v>
      </c>
      <c r="D475" t="s">
        <v>157</v>
      </c>
      <c r="E475" t="s">
        <v>654</v>
      </c>
      <c r="F475" t="s">
        <v>334</v>
      </c>
      <c r="G475" t="s">
        <v>1725</v>
      </c>
      <c r="H475" t="str">
        <f>HYPERLINK("https://baanknet.com/view-property/174412/CDA58CD5DEB1230C116597D9D823AE58CE6734289AA09E0C5C1F2421F9E95422", "https://baanknet.com/view-property/174412/CDA58CD5DEB1230C116597D9D823AE58CE6734289AA09E0C5C1F2421F9E95422")</f>
        <v>https://baanknet.com/view-property/174412/CDA58CD5DEB1230C116597D9D823AE58CE6734289AA09E0C5C1F2421F9E95422</v>
      </c>
      <c r="I475" t="str">
        <f>HYPERLINK("https://baanknet.com/view-property/174412/CDA58CD5DEB1230C116597D9D823AE58CE6734289AA09E0C5C1F2421F9E95422", "Open")</f>
        <v>Open</v>
      </c>
      <c r="J475" t="s">
        <v>20</v>
      </c>
      <c r="K475" t="s">
        <v>21</v>
      </c>
      <c r="L475">
        <v>5850000</v>
      </c>
      <c r="M475">
        <v>585000</v>
      </c>
    </row>
    <row r="476" spans="1:13" x14ac:dyDescent="0.25">
      <c r="A476" t="s">
        <v>1726</v>
      </c>
      <c r="B476" t="s">
        <v>1727</v>
      </c>
      <c r="C476" t="s">
        <v>121</v>
      </c>
      <c r="D476" t="s">
        <v>157</v>
      </c>
      <c r="E476" t="s">
        <v>654</v>
      </c>
      <c r="F476" t="s">
        <v>334</v>
      </c>
      <c r="G476" t="s">
        <v>1728</v>
      </c>
      <c r="H476" t="str">
        <f>HYPERLINK("https://baanknet.com/view-property/174525/2D01D0CAC409635B8D9007EF337C474D1D986724B7E6B1841C50BE89E2860FF4", "https://baanknet.com/view-property/174525/2D01D0CAC409635B8D9007EF337C474D1D986724B7E6B1841C50BE89E2860FF4")</f>
        <v>https://baanknet.com/view-property/174525/2D01D0CAC409635B8D9007EF337C474D1D986724B7E6B1841C50BE89E2860FF4</v>
      </c>
      <c r="I476" t="str">
        <f>HYPERLINK("https://baanknet.com/view-property/174525/2D01D0CAC409635B8D9007EF337C474D1D986724B7E6B1841C50BE89E2860FF4", "Open")</f>
        <v>Open</v>
      </c>
      <c r="J476" t="s">
        <v>20</v>
      </c>
      <c r="K476" t="s">
        <v>21</v>
      </c>
      <c r="L476">
        <v>4600000</v>
      </c>
      <c r="M476">
        <v>460000</v>
      </c>
    </row>
    <row r="477" spans="1:13" x14ac:dyDescent="0.25">
      <c r="A477" t="s">
        <v>1729</v>
      </c>
      <c r="B477" t="s">
        <v>1730</v>
      </c>
      <c r="C477" t="s">
        <v>121</v>
      </c>
      <c r="D477" t="s">
        <v>157</v>
      </c>
      <c r="E477" t="s">
        <v>654</v>
      </c>
      <c r="F477" t="s">
        <v>334</v>
      </c>
      <c r="G477" t="s">
        <v>1731</v>
      </c>
      <c r="H477" t="str">
        <f>HYPERLINK("https://baanknet.com/view-property/174426/FF3EA384B44DDB63D84AC16929EB96516577427D8E91B11496C8F9A984EE77BB", "https://baanknet.com/view-property/174426/FF3EA384B44DDB63D84AC16929EB96516577427D8E91B11496C8F9A984EE77BB")</f>
        <v>https://baanknet.com/view-property/174426/FF3EA384B44DDB63D84AC16929EB96516577427D8E91B11496C8F9A984EE77BB</v>
      </c>
      <c r="I477" t="str">
        <f>HYPERLINK("https://baanknet.com/view-property/174426/FF3EA384B44DDB63D84AC16929EB96516577427D8E91B11496C8F9A984EE77BB", "Open")</f>
        <v>Open</v>
      </c>
      <c r="J477" t="s">
        <v>20</v>
      </c>
      <c r="K477" t="s">
        <v>21</v>
      </c>
      <c r="L477">
        <v>2000000</v>
      </c>
      <c r="M477">
        <v>200000</v>
      </c>
    </row>
    <row r="478" spans="1:13" x14ac:dyDescent="0.25">
      <c r="A478" t="s">
        <v>1732</v>
      </c>
      <c r="B478" t="s">
        <v>1733</v>
      </c>
      <c r="C478" t="s">
        <v>121</v>
      </c>
      <c r="D478" t="s">
        <v>157</v>
      </c>
      <c r="E478" t="s">
        <v>654</v>
      </c>
      <c r="F478" t="s">
        <v>334</v>
      </c>
      <c r="G478" t="s">
        <v>1734</v>
      </c>
      <c r="H478" t="str">
        <f>HYPERLINK("https://baanknet.com/view-property/174425/AFB5E45BF8C9B3A64971C8F2D9A61AAFB599261CC23A37884CC329CB5DC00CEB", "https://baanknet.com/view-property/174425/AFB5E45BF8C9B3A64971C8F2D9A61AAFB599261CC23A37884CC329CB5DC00CEB")</f>
        <v>https://baanknet.com/view-property/174425/AFB5E45BF8C9B3A64971C8F2D9A61AAFB599261CC23A37884CC329CB5DC00CEB</v>
      </c>
      <c r="I478" t="str">
        <f>HYPERLINK("https://baanknet.com/view-property/174425/AFB5E45BF8C9B3A64971C8F2D9A61AAFB599261CC23A37884CC329CB5DC00CEB", "Open")</f>
        <v>Open</v>
      </c>
      <c r="J478" t="s">
        <v>20</v>
      </c>
      <c r="K478" t="s">
        <v>21</v>
      </c>
      <c r="L478">
        <v>1660000</v>
      </c>
      <c r="M478">
        <v>166000</v>
      </c>
    </row>
    <row r="479" spans="1:13" x14ac:dyDescent="0.25">
      <c r="A479" t="s">
        <v>1735</v>
      </c>
      <c r="B479" t="s">
        <v>1736</v>
      </c>
      <c r="C479" t="s">
        <v>121</v>
      </c>
      <c r="D479" t="s">
        <v>1059</v>
      </c>
      <c r="E479" t="s">
        <v>654</v>
      </c>
      <c r="F479" t="s">
        <v>334</v>
      </c>
      <c r="G479" t="s">
        <v>1737</v>
      </c>
      <c r="H479" t="str">
        <f>HYPERLINK("https://baanknet.com/view-property/174434/16B36EC76FD07E70A5AEB599440E2D6D4382D59EB7394F186AB8CCA51F2B0EFD", "https://baanknet.com/view-property/174434/16B36EC76FD07E70A5AEB599440E2D6D4382D59EB7394F186AB8CCA51F2B0EFD")</f>
        <v>https://baanknet.com/view-property/174434/16B36EC76FD07E70A5AEB599440E2D6D4382D59EB7394F186AB8CCA51F2B0EFD</v>
      </c>
      <c r="I479" t="str">
        <f>HYPERLINK("https://baanknet.com/view-property/174434/16B36EC76FD07E70A5AEB599440E2D6D4382D59EB7394F186AB8CCA51F2B0EFD", "Open")</f>
        <v>Open</v>
      </c>
      <c r="J479" t="s">
        <v>20</v>
      </c>
      <c r="K479" t="s">
        <v>21</v>
      </c>
      <c r="L479">
        <v>1830000</v>
      </c>
      <c r="M479">
        <v>183000</v>
      </c>
    </row>
    <row r="480" spans="1:13" x14ac:dyDescent="0.25">
      <c r="A480" t="s">
        <v>1738</v>
      </c>
      <c r="B480" t="s">
        <v>1739</v>
      </c>
      <c r="C480" t="s">
        <v>121</v>
      </c>
      <c r="D480" t="s">
        <v>1740</v>
      </c>
      <c r="E480" t="s">
        <v>654</v>
      </c>
      <c r="F480" t="s">
        <v>334</v>
      </c>
      <c r="G480" t="s">
        <v>1741</v>
      </c>
      <c r="H480" t="str">
        <f>HYPERLINK("https://baanknet.com/view-property/263312/B2D9DB517FF8BA5BF8027E17A77C2073A9E3060AB1BA37FC83321C9BCE110F88", "https://baanknet.com/view-property/263312/B2D9DB517FF8BA5BF8027E17A77C2073A9E3060AB1BA37FC83321C9BCE110F88")</f>
        <v>https://baanknet.com/view-property/263312/B2D9DB517FF8BA5BF8027E17A77C2073A9E3060AB1BA37FC83321C9BCE110F88</v>
      </c>
      <c r="I480" t="str">
        <f>HYPERLINK("https://baanknet.com/view-property/263312/B2D9DB517FF8BA5BF8027E17A77C2073A9E3060AB1BA37FC83321C9BCE110F88", "Open")</f>
        <v>Open</v>
      </c>
      <c r="J480" t="s">
        <v>20</v>
      </c>
      <c r="K480" t="s">
        <v>21</v>
      </c>
      <c r="L480">
        <v>1350000</v>
      </c>
      <c r="M480">
        <v>135000</v>
      </c>
    </row>
    <row r="481" spans="1:13" x14ac:dyDescent="0.25">
      <c r="A481" t="s">
        <v>1742</v>
      </c>
      <c r="B481" t="s">
        <v>1743</v>
      </c>
      <c r="C481" t="s">
        <v>121</v>
      </c>
      <c r="D481" t="s">
        <v>1744</v>
      </c>
      <c r="E481" t="s">
        <v>654</v>
      </c>
      <c r="F481" t="s">
        <v>334</v>
      </c>
      <c r="G481" t="s">
        <v>1745</v>
      </c>
      <c r="H481" t="str">
        <f>HYPERLINK("https://baanknet.com/view-property/278021/95B721B16278A13B6C6076A2DA5770B6B7018010093CC63E07E755343A46575A", "https://baanknet.com/view-property/278021/95B721B16278A13B6C6076A2DA5770B6B7018010093CC63E07E755343A46575A")</f>
        <v>https://baanknet.com/view-property/278021/95B721B16278A13B6C6076A2DA5770B6B7018010093CC63E07E755343A46575A</v>
      </c>
      <c r="I481" t="str">
        <f>HYPERLINK("https://baanknet.com/view-property/278021/95B721B16278A13B6C6076A2DA5770B6B7018010093CC63E07E755343A46575A", "Open")</f>
        <v>Open</v>
      </c>
      <c r="J481" t="s">
        <v>20</v>
      </c>
      <c r="K481" t="s">
        <v>21</v>
      </c>
      <c r="L481">
        <v>1090000</v>
      </c>
      <c r="M481">
        <v>109000</v>
      </c>
    </row>
    <row r="482" spans="1:13" x14ac:dyDescent="0.25">
      <c r="A482" t="s">
        <v>1746</v>
      </c>
      <c r="B482" t="s">
        <v>1747</v>
      </c>
      <c r="C482" t="s">
        <v>332</v>
      </c>
      <c r="D482" t="s">
        <v>493</v>
      </c>
      <c r="E482" t="s">
        <v>654</v>
      </c>
      <c r="F482" t="s">
        <v>334</v>
      </c>
      <c r="G482" t="s">
        <v>1748</v>
      </c>
      <c r="H482" t="str">
        <f>HYPERLINK("https://baanknet.com/view-property/276882/B79925D530289A3DDC6933612BA8E50C200C3BA124F7ED57E5770B3C36362DDE", "https://baanknet.com/view-property/276882/B79925D530289A3DDC6933612BA8E50C200C3BA124F7ED57E5770B3C36362DDE")</f>
        <v>https://baanknet.com/view-property/276882/B79925D530289A3DDC6933612BA8E50C200C3BA124F7ED57E5770B3C36362DDE</v>
      </c>
      <c r="I482" t="str">
        <f>HYPERLINK("https://baanknet.com/view-property/276882/B79925D530289A3DDC6933612BA8E50C200C3BA124F7ED57E5770B3C36362DDE", "Open")</f>
        <v>Open</v>
      </c>
      <c r="J482" t="s">
        <v>20</v>
      </c>
      <c r="K482" t="s">
        <v>21</v>
      </c>
      <c r="L482">
        <v>26400000</v>
      </c>
      <c r="M482">
        <v>2640000</v>
      </c>
    </row>
    <row r="483" spans="1:13" x14ac:dyDescent="0.25">
      <c r="A483" t="s">
        <v>1749</v>
      </c>
      <c r="B483" t="s">
        <v>1750</v>
      </c>
      <c r="C483" t="s">
        <v>121</v>
      </c>
      <c r="D483" t="s">
        <v>1751</v>
      </c>
      <c r="E483" t="s">
        <v>654</v>
      </c>
      <c r="F483" t="s">
        <v>334</v>
      </c>
      <c r="G483" t="s">
        <v>1752</v>
      </c>
      <c r="H483" t="str">
        <f>HYPERLINK("https://baanknet.com/view-property/271610/9FA314ED5C6B2360C99EB3C2A1DA8D5816BE202C2627AEC5E6E4D63D9D07BBFC", "https://baanknet.com/view-property/271610/9FA314ED5C6B2360C99EB3C2A1DA8D5816BE202C2627AEC5E6E4D63D9D07BBFC")</f>
        <v>https://baanknet.com/view-property/271610/9FA314ED5C6B2360C99EB3C2A1DA8D5816BE202C2627AEC5E6E4D63D9D07BBFC</v>
      </c>
      <c r="I483" t="str">
        <f>HYPERLINK("https://baanknet.com/view-property/271610/9FA314ED5C6B2360C99EB3C2A1DA8D5816BE202C2627AEC5E6E4D63D9D07BBFC", "Open")</f>
        <v>Open</v>
      </c>
      <c r="J483" t="s">
        <v>20</v>
      </c>
      <c r="K483" t="s">
        <v>21</v>
      </c>
      <c r="L483">
        <v>1322000</v>
      </c>
      <c r="M483">
        <v>132200</v>
      </c>
    </row>
    <row r="484" spans="1:13" x14ac:dyDescent="0.25">
      <c r="A484" t="s">
        <v>1753</v>
      </c>
      <c r="B484" t="s">
        <v>1754</v>
      </c>
      <c r="C484" t="s">
        <v>121</v>
      </c>
      <c r="D484" t="s">
        <v>1751</v>
      </c>
      <c r="E484" t="s">
        <v>654</v>
      </c>
      <c r="F484" t="s">
        <v>334</v>
      </c>
      <c r="G484" t="s">
        <v>1755</v>
      </c>
      <c r="H484" t="str">
        <f>HYPERLINK("https://baanknet.com/view-property/275406/FA16035D074BF223D4AB366781230E83505F8ECE6C025C5DC95BF55D45A21950", "https://baanknet.com/view-property/275406/FA16035D074BF223D4AB366781230E83505F8ECE6C025C5DC95BF55D45A21950")</f>
        <v>https://baanknet.com/view-property/275406/FA16035D074BF223D4AB366781230E83505F8ECE6C025C5DC95BF55D45A21950</v>
      </c>
      <c r="I484" t="str">
        <f>HYPERLINK("https://baanknet.com/view-property/275406/FA16035D074BF223D4AB366781230E83505F8ECE6C025C5DC95BF55D45A21950", "Open")</f>
        <v>Open</v>
      </c>
      <c r="J484" t="s">
        <v>20</v>
      </c>
      <c r="K484" t="s">
        <v>21</v>
      </c>
      <c r="L484">
        <v>1515000</v>
      </c>
      <c r="M484">
        <v>151500</v>
      </c>
    </row>
    <row r="485" spans="1:13" x14ac:dyDescent="0.25">
      <c r="A485" t="s">
        <v>1756</v>
      </c>
      <c r="B485" t="s">
        <v>1757</v>
      </c>
      <c r="C485" t="s">
        <v>121</v>
      </c>
      <c r="D485" t="s">
        <v>1751</v>
      </c>
      <c r="E485" t="s">
        <v>654</v>
      </c>
      <c r="F485" t="s">
        <v>334</v>
      </c>
      <c r="G485" t="s">
        <v>1758</v>
      </c>
      <c r="H485" t="str">
        <f>HYPERLINK("https://baanknet.com/view-property/276763/B16D96385A6FED44A00B3083EA13170CFF0F89FF03B15EC6A5B6E3F24B334CAE", "https://baanknet.com/view-property/276763/B16D96385A6FED44A00B3083EA13170CFF0F89FF03B15EC6A5B6E3F24B334CAE")</f>
        <v>https://baanknet.com/view-property/276763/B16D96385A6FED44A00B3083EA13170CFF0F89FF03B15EC6A5B6E3F24B334CAE</v>
      </c>
      <c r="I485" t="str">
        <f>HYPERLINK("https://baanknet.com/view-property/276763/B16D96385A6FED44A00B3083EA13170CFF0F89FF03B15EC6A5B6E3F24B334CAE", "Open")</f>
        <v>Open</v>
      </c>
      <c r="J485" t="s">
        <v>20</v>
      </c>
      <c r="K485" t="s">
        <v>21</v>
      </c>
      <c r="L485">
        <v>936000</v>
      </c>
      <c r="M485">
        <v>93600</v>
      </c>
    </row>
    <row r="486" spans="1:13" x14ac:dyDescent="0.25">
      <c r="A486" t="s">
        <v>1759</v>
      </c>
      <c r="B486" t="s">
        <v>1760</v>
      </c>
      <c r="C486" t="s">
        <v>121</v>
      </c>
      <c r="D486" t="s">
        <v>1761</v>
      </c>
      <c r="E486" t="s">
        <v>654</v>
      </c>
      <c r="F486" t="s">
        <v>334</v>
      </c>
      <c r="G486" t="s">
        <v>1762</v>
      </c>
      <c r="H486" t="str">
        <f>HYPERLINK("https://baanknet.com/view-property/277968/04CC0D6CA3B650C625095297409C8FD1B2C77E46438596B64426F41E923E8C91", "https://baanknet.com/view-property/277968/04CC0D6CA3B650C625095297409C8FD1B2C77E46438596B64426F41E923E8C91")</f>
        <v>https://baanknet.com/view-property/277968/04CC0D6CA3B650C625095297409C8FD1B2C77E46438596B64426F41E923E8C91</v>
      </c>
      <c r="I486" t="str">
        <f>HYPERLINK("https://baanknet.com/view-property/277968/04CC0D6CA3B650C625095297409C8FD1B2C77E46438596B64426F41E923E8C91", "Open")</f>
        <v>Open</v>
      </c>
      <c r="J486" t="s">
        <v>20</v>
      </c>
      <c r="K486" t="s">
        <v>21</v>
      </c>
      <c r="L486">
        <v>765000</v>
      </c>
      <c r="M486">
        <v>76500</v>
      </c>
    </row>
    <row r="487" spans="1:13" x14ac:dyDescent="0.25">
      <c r="A487" t="s">
        <v>1763</v>
      </c>
      <c r="B487" t="s">
        <v>1764</v>
      </c>
      <c r="C487" t="s">
        <v>121</v>
      </c>
      <c r="D487" t="s">
        <v>1761</v>
      </c>
      <c r="E487" t="s">
        <v>654</v>
      </c>
      <c r="F487" t="s">
        <v>334</v>
      </c>
      <c r="G487" t="s">
        <v>1765</v>
      </c>
      <c r="H487" t="str">
        <f>HYPERLINK("https://baanknet.com/view-property/277975/520A1D2E4C792279B5306B31767E71B123D10AC9852E9189BAC0E12B052E1E9D", "https://baanknet.com/view-property/277975/520A1D2E4C792279B5306B31767E71B123D10AC9852E9189BAC0E12B052E1E9D")</f>
        <v>https://baanknet.com/view-property/277975/520A1D2E4C792279B5306B31767E71B123D10AC9852E9189BAC0E12B052E1E9D</v>
      </c>
      <c r="I487" t="str">
        <f>HYPERLINK("https://baanknet.com/view-property/277975/520A1D2E4C792279B5306B31767E71B123D10AC9852E9189BAC0E12B052E1E9D", "Open")</f>
        <v>Open</v>
      </c>
      <c r="J487" t="s">
        <v>20</v>
      </c>
      <c r="K487" t="s">
        <v>21</v>
      </c>
      <c r="L487">
        <v>765000</v>
      </c>
      <c r="M487">
        <v>76500</v>
      </c>
    </row>
    <row r="488" spans="1:13" x14ac:dyDescent="0.25">
      <c r="A488" t="s">
        <v>1766</v>
      </c>
      <c r="B488" t="s">
        <v>1767</v>
      </c>
      <c r="C488" t="s">
        <v>121</v>
      </c>
      <c r="D488" t="s">
        <v>1768</v>
      </c>
      <c r="E488" t="s">
        <v>654</v>
      </c>
      <c r="F488" t="s">
        <v>334</v>
      </c>
      <c r="G488" t="s">
        <v>1769</v>
      </c>
      <c r="H488" t="str">
        <f>HYPERLINK("https://baanknet.com/view-property/275385/D36DEC36D7FD659E980DFF911E581D3B05192A8673D24AC965791FFEE58915E0", "https://baanknet.com/view-property/275385/D36DEC36D7FD659E980DFF911E581D3B05192A8673D24AC965791FFEE58915E0")</f>
        <v>https://baanknet.com/view-property/275385/D36DEC36D7FD659E980DFF911E581D3B05192A8673D24AC965791FFEE58915E0</v>
      </c>
      <c r="I488" t="str">
        <f>HYPERLINK("https://baanknet.com/view-property/275385/D36DEC36D7FD659E980DFF911E581D3B05192A8673D24AC965791FFEE58915E0", "Open")</f>
        <v>Open</v>
      </c>
      <c r="J488" t="s">
        <v>20</v>
      </c>
      <c r="K488" t="s">
        <v>21</v>
      </c>
      <c r="L488">
        <v>5270000</v>
      </c>
      <c r="M488">
        <v>527000</v>
      </c>
    </row>
    <row r="489" spans="1:13" x14ac:dyDescent="0.25">
      <c r="A489" t="s">
        <v>1770</v>
      </c>
      <c r="B489" t="s">
        <v>1771</v>
      </c>
      <c r="C489" t="s">
        <v>121</v>
      </c>
      <c r="D489" t="s">
        <v>1277</v>
      </c>
      <c r="E489" t="s">
        <v>654</v>
      </c>
      <c r="F489" t="s">
        <v>334</v>
      </c>
      <c r="G489" t="s">
        <v>1772</v>
      </c>
      <c r="H489" t="str">
        <f>HYPERLINK("https://baanknet.com/view-property/184063/99A20B04B2DAA957DAC6C80BA17DA9CB069F40E859116DCE55CC093D591EE32D", "https://baanknet.com/view-property/184063/99A20B04B2DAA957DAC6C80BA17DA9CB069F40E859116DCE55CC093D591EE32D")</f>
        <v>https://baanknet.com/view-property/184063/99A20B04B2DAA957DAC6C80BA17DA9CB069F40E859116DCE55CC093D591EE32D</v>
      </c>
      <c r="I489" t="str">
        <f>HYPERLINK("https://baanknet.com/view-property/184063/99A20B04B2DAA957DAC6C80BA17DA9CB069F40E859116DCE55CC093D591EE32D", "Open")</f>
        <v>Open</v>
      </c>
      <c r="J489" t="s">
        <v>20</v>
      </c>
      <c r="K489" t="s">
        <v>21</v>
      </c>
      <c r="L489">
        <v>1062000</v>
      </c>
      <c r="M489">
        <v>106200</v>
      </c>
    </row>
    <row r="490" spans="1:13" x14ac:dyDescent="0.25">
      <c r="A490" t="s">
        <v>1773</v>
      </c>
      <c r="B490" t="s">
        <v>1774</v>
      </c>
      <c r="C490" t="s">
        <v>121</v>
      </c>
      <c r="D490" t="s">
        <v>612</v>
      </c>
      <c r="E490" t="s">
        <v>654</v>
      </c>
      <c r="F490" t="s">
        <v>334</v>
      </c>
      <c r="G490" t="s">
        <v>1775</v>
      </c>
      <c r="H490" t="str">
        <f>HYPERLINK("https://baanknet.com/view-property/261250/A8571004ED0738B660A03A0E66791218543A8C5379391F713A6D6A9B50EB154C", "https://baanknet.com/view-property/261250/A8571004ED0738B660A03A0E66791218543A8C5379391F713A6D6A9B50EB154C")</f>
        <v>https://baanknet.com/view-property/261250/A8571004ED0738B660A03A0E66791218543A8C5379391F713A6D6A9B50EB154C</v>
      </c>
      <c r="I490" t="str">
        <f>HYPERLINK("https://baanknet.com/view-property/261250/A8571004ED0738B660A03A0E66791218543A8C5379391F713A6D6A9B50EB154C", "Open")</f>
        <v>Open</v>
      </c>
      <c r="J490" t="s">
        <v>20</v>
      </c>
      <c r="K490" t="s">
        <v>21</v>
      </c>
      <c r="L490">
        <v>16000000</v>
      </c>
      <c r="M490">
        <v>1600000</v>
      </c>
    </row>
    <row r="491" spans="1:13" x14ac:dyDescent="0.25">
      <c r="A491" t="s">
        <v>1776</v>
      </c>
      <c r="B491" t="s">
        <v>1777</v>
      </c>
      <c r="C491" t="s">
        <v>121</v>
      </c>
      <c r="D491" t="s">
        <v>1778</v>
      </c>
      <c r="E491" t="s">
        <v>654</v>
      </c>
      <c r="F491" t="s">
        <v>334</v>
      </c>
      <c r="G491" t="s">
        <v>1779</v>
      </c>
      <c r="H491" t="str">
        <f>HYPERLINK("https://baanknet.com/view-property/216413/BC6D0468667C38790081516E15E3C628E506ED355506BAD29791BDB65B6FFAA4", "https://baanknet.com/view-property/216413/BC6D0468667C38790081516E15E3C628E506ED355506BAD29791BDB65B6FFAA4")</f>
        <v>https://baanknet.com/view-property/216413/BC6D0468667C38790081516E15E3C628E506ED355506BAD29791BDB65B6FFAA4</v>
      </c>
      <c r="I491" t="str">
        <f>HYPERLINK("https://baanknet.com/view-property/216413/BC6D0468667C38790081516E15E3C628E506ED355506BAD29791BDB65B6FFAA4", "Open")</f>
        <v>Open</v>
      </c>
      <c r="J491" t="s">
        <v>20</v>
      </c>
      <c r="K491" t="s">
        <v>21</v>
      </c>
      <c r="L491">
        <v>3000000</v>
      </c>
      <c r="M491">
        <v>300000</v>
      </c>
    </row>
    <row r="492" spans="1:13" x14ac:dyDescent="0.25">
      <c r="A492" t="s">
        <v>1780</v>
      </c>
      <c r="B492" t="s">
        <v>1781</v>
      </c>
      <c r="C492" t="s">
        <v>121</v>
      </c>
      <c r="D492" t="s">
        <v>1051</v>
      </c>
      <c r="E492" t="s">
        <v>654</v>
      </c>
      <c r="F492" t="s">
        <v>334</v>
      </c>
      <c r="G492" t="s">
        <v>1782</v>
      </c>
      <c r="H492" t="str">
        <f>HYPERLINK("https://baanknet.com/view-property/175974/EF5FB2A9B948A91796CF32E507B2B6F91C4503C66DC6EE89AA8E185CCA839255", "https://baanknet.com/view-property/175974/EF5FB2A9B948A91796CF32E507B2B6F91C4503C66DC6EE89AA8E185CCA839255")</f>
        <v>https://baanknet.com/view-property/175974/EF5FB2A9B948A91796CF32E507B2B6F91C4503C66DC6EE89AA8E185CCA839255</v>
      </c>
      <c r="I492" t="str">
        <f>HYPERLINK("https://baanknet.com/view-property/175974/EF5FB2A9B948A91796CF32E507B2B6F91C4503C66DC6EE89AA8E185CCA839255", "Open")</f>
        <v>Open</v>
      </c>
      <c r="J492" t="s">
        <v>20</v>
      </c>
      <c r="K492" t="s">
        <v>21</v>
      </c>
      <c r="L492">
        <v>643000</v>
      </c>
      <c r="M492">
        <v>64300</v>
      </c>
    </row>
    <row r="493" spans="1:13" x14ac:dyDescent="0.25">
      <c r="A493" t="s">
        <v>1783</v>
      </c>
      <c r="B493" t="s">
        <v>1784</v>
      </c>
      <c r="C493" t="s">
        <v>121</v>
      </c>
      <c r="D493" t="s">
        <v>1785</v>
      </c>
      <c r="E493" t="s">
        <v>654</v>
      </c>
      <c r="F493" t="s">
        <v>334</v>
      </c>
      <c r="G493" t="s">
        <v>1786</v>
      </c>
      <c r="H493" t="str">
        <f>HYPERLINK("https://baanknet.com/view-property/255208/909067CA38B33F588F23F8E6A4A51D0F3E6F00296493CB7300FED08CE422549E", "https://baanknet.com/view-property/255208/909067CA38B33F588F23F8E6A4A51D0F3E6F00296493CB7300FED08CE422549E")</f>
        <v>https://baanknet.com/view-property/255208/909067CA38B33F588F23F8E6A4A51D0F3E6F00296493CB7300FED08CE422549E</v>
      </c>
      <c r="I493" t="str">
        <f>HYPERLINK("https://baanknet.com/view-property/255208/909067CA38B33F588F23F8E6A4A51D0F3E6F00296493CB7300FED08CE422549E", "Open")</f>
        <v>Open</v>
      </c>
      <c r="J493" t="s">
        <v>20</v>
      </c>
      <c r="K493" t="s">
        <v>21</v>
      </c>
      <c r="L493">
        <v>1662000</v>
      </c>
      <c r="M493">
        <v>166200</v>
      </c>
    </row>
    <row r="494" spans="1:13" x14ac:dyDescent="0.25">
      <c r="A494" t="s">
        <v>1787</v>
      </c>
      <c r="B494" t="s">
        <v>1788</v>
      </c>
      <c r="C494" t="s">
        <v>121</v>
      </c>
      <c r="D494" t="s">
        <v>1789</v>
      </c>
      <c r="E494" t="s">
        <v>654</v>
      </c>
      <c r="F494" t="s">
        <v>334</v>
      </c>
      <c r="G494" t="s">
        <v>1790</v>
      </c>
      <c r="H494" t="str">
        <f>HYPERLINK("https://baanknet.com/view-property/208268/BC69ADCAF2AD0CFCA3A70970FBA8F30D25B9E9C42C81D5EBF63C22F653B47AA7", "https://baanknet.com/view-property/208268/BC69ADCAF2AD0CFCA3A70970FBA8F30D25B9E9C42C81D5EBF63C22F653B47AA7")</f>
        <v>https://baanknet.com/view-property/208268/BC69ADCAF2AD0CFCA3A70970FBA8F30D25B9E9C42C81D5EBF63C22F653B47AA7</v>
      </c>
      <c r="I494" t="str">
        <f>HYPERLINK("https://baanknet.com/view-property/208268/BC69ADCAF2AD0CFCA3A70970FBA8F30D25B9E9C42C81D5EBF63C22F653B47AA7", "Open")</f>
        <v>Open</v>
      </c>
      <c r="J494" t="s">
        <v>20</v>
      </c>
      <c r="K494" t="s">
        <v>21</v>
      </c>
      <c r="L494">
        <v>7577000</v>
      </c>
      <c r="M494">
        <v>757700</v>
      </c>
    </row>
    <row r="495" spans="1:13" x14ac:dyDescent="0.25">
      <c r="A495" t="s">
        <v>1791</v>
      </c>
      <c r="B495" t="s">
        <v>1792</v>
      </c>
      <c r="C495" t="s">
        <v>121</v>
      </c>
      <c r="D495" t="s">
        <v>1793</v>
      </c>
      <c r="E495" t="s">
        <v>654</v>
      </c>
      <c r="F495" t="s">
        <v>334</v>
      </c>
      <c r="G495" t="s">
        <v>1794</v>
      </c>
      <c r="H495" t="str">
        <f>HYPERLINK("https://baanknet.com/view-property/275740/CB74F4F532AFDD35A5A68696E298145932138EEC98B9958D3C65AF15E1668017", "https://baanknet.com/view-property/275740/CB74F4F532AFDD35A5A68696E298145932138EEC98B9958D3C65AF15E1668017")</f>
        <v>https://baanknet.com/view-property/275740/CB74F4F532AFDD35A5A68696E298145932138EEC98B9958D3C65AF15E1668017</v>
      </c>
      <c r="I495" t="str">
        <f>HYPERLINK("https://baanknet.com/view-property/275740/CB74F4F532AFDD35A5A68696E298145932138EEC98B9958D3C65AF15E1668017", "Open")</f>
        <v>Open</v>
      </c>
      <c r="J495" t="s">
        <v>20</v>
      </c>
      <c r="K495" t="s">
        <v>21</v>
      </c>
      <c r="L495">
        <v>33400000</v>
      </c>
      <c r="M495">
        <v>3340000</v>
      </c>
    </row>
    <row r="496" spans="1:13" x14ac:dyDescent="0.25">
      <c r="A496" t="s">
        <v>1795</v>
      </c>
      <c r="B496" t="s">
        <v>1796</v>
      </c>
      <c r="C496" t="s">
        <v>121</v>
      </c>
      <c r="D496" t="s">
        <v>422</v>
      </c>
      <c r="E496" t="s">
        <v>654</v>
      </c>
      <c r="F496" t="s">
        <v>334</v>
      </c>
      <c r="G496" t="s">
        <v>1797</v>
      </c>
      <c r="H496" t="str">
        <f>HYPERLINK("https://baanknet.com/view-property/277859/493A0F03A9614FBB82B9ABB526D45DF398CCF56DB724D09A3EFBF7C6F3BD30AB", "https://baanknet.com/view-property/277859/493A0F03A9614FBB82B9ABB526D45DF398CCF56DB724D09A3EFBF7C6F3BD30AB")</f>
        <v>https://baanknet.com/view-property/277859/493A0F03A9614FBB82B9ABB526D45DF398CCF56DB724D09A3EFBF7C6F3BD30AB</v>
      </c>
      <c r="I496" t="str">
        <f>HYPERLINK("https://baanknet.com/view-property/277859/493A0F03A9614FBB82B9ABB526D45DF398CCF56DB724D09A3EFBF7C6F3BD30AB", "Open")</f>
        <v>Open</v>
      </c>
      <c r="J496" t="s">
        <v>20</v>
      </c>
      <c r="K496" t="s">
        <v>21</v>
      </c>
      <c r="L496">
        <v>7446000</v>
      </c>
      <c r="M496">
        <v>744600</v>
      </c>
    </row>
    <row r="497" spans="1:13" x14ac:dyDescent="0.25">
      <c r="A497" t="s">
        <v>1798</v>
      </c>
      <c r="B497" t="s">
        <v>1799</v>
      </c>
      <c r="C497" t="s">
        <v>121</v>
      </c>
      <c r="D497" t="s">
        <v>1800</v>
      </c>
      <c r="E497" t="s">
        <v>654</v>
      </c>
      <c r="F497" t="s">
        <v>334</v>
      </c>
      <c r="G497" t="s">
        <v>1801</v>
      </c>
      <c r="H497" t="str">
        <f>HYPERLINK("https://baanknet.com/view-property/218137/04E6226C28339C311D3EF4B8CCCCD70C6B946573B4FCC76113F333B900062CA7", "https://baanknet.com/view-property/218137/04E6226C28339C311D3EF4B8CCCCD70C6B946573B4FCC76113F333B900062CA7")</f>
        <v>https://baanknet.com/view-property/218137/04E6226C28339C311D3EF4B8CCCCD70C6B946573B4FCC76113F333B900062CA7</v>
      </c>
      <c r="I497" t="str">
        <f>HYPERLINK("https://baanknet.com/view-property/218137/04E6226C28339C311D3EF4B8CCCCD70C6B946573B4FCC76113F333B900062CA7", "Open")</f>
        <v>Open</v>
      </c>
      <c r="J497" t="s">
        <v>20</v>
      </c>
      <c r="K497" t="s">
        <v>21</v>
      </c>
      <c r="L497">
        <v>5794000</v>
      </c>
      <c r="M497">
        <v>579400</v>
      </c>
    </row>
    <row r="498" spans="1:13" x14ac:dyDescent="0.25">
      <c r="A498" t="s">
        <v>1802</v>
      </c>
      <c r="B498" t="s">
        <v>1803</v>
      </c>
      <c r="C498" t="s">
        <v>121</v>
      </c>
      <c r="D498" t="s">
        <v>533</v>
      </c>
      <c r="E498" t="s">
        <v>654</v>
      </c>
      <c r="F498" t="s">
        <v>334</v>
      </c>
      <c r="G498" t="s">
        <v>1804</v>
      </c>
      <c r="H498" t="str">
        <f>HYPERLINK("https://baanknet.com/view-property/238204/A49944A54A7D1CD88CAA25103B2FE61A0267BCCD1E9CA3D3293F838A263A874F", "https://baanknet.com/view-property/238204/A49944A54A7D1CD88CAA25103B2FE61A0267BCCD1E9CA3D3293F838A263A874F")</f>
        <v>https://baanknet.com/view-property/238204/A49944A54A7D1CD88CAA25103B2FE61A0267BCCD1E9CA3D3293F838A263A874F</v>
      </c>
      <c r="I498" t="str">
        <f>HYPERLINK("https://baanknet.com/view-property/238204/A49944A54A7D1CD88CAA25103B2FE61A0267BCCD1E9CA3D3293F838A263A874F", "Open")</f>
        <v>Open</v>
      </c>
      <c r="J498" t="s">
        <v>20</v>
      </c>
      <c r="K498" t="s">
        <v>21</v>
      </c>
      <c r="L498">
        <v>7422000</v>
      </c>
      <c r="M498">
        <v>742200</v>
      </c>
    </row>
    <row r="499" spans="1:13" x14ac:dyDescent="0.25">
      <c r="A499" t="s">
        <v>1805</v>
      </c>
      <c r="B499" t="s">
        <v>1806</v>
      </c>
      <c r="C499" t="s">
        <v>121</v>
      </c>
      <c r="D499" t="s">
        <v>1807</v>
      </c>
      <c r="E499" t="s">
        <v>654</v>
      </c>
      <c r="F499" t="s">
        <v>334</v>
      </c>
      <c r="G499" t="s">
        <v>1808</v>
      </c>
      <c r="H499" t="str">
        <f>HYPERLINK("https://baanknet.com/view-property/278739/72D2EFA9EF0EACEFCE3FE711FD76177AD4CDD48A41F886B55157B004900D7171", "https://baanknet.com/view-property/278739/72D2EFA9EF0EACEFCE3FE711FD76177AD4CDD48A41F886B55157B004900D7171")</f>
        <v>https://baanknet.com/view-property/278739/72D2EFA9EF0EACEFCE3FE711FD76177AD4CDD48A41F886B55157B004900D7171</v>
      </c>
      <c r="I499" t="str">
        <f>HYPERLINK("https://baanknet.com/view-property/278739/72D2EFA9EF0EACEFCE3FE711FD76177AD4CDD48A41F886B55157B004900D7171", "Open")</f>
        <v>Open</v>
      </c>
      <c r="J499" t="s">
        <v>20</v>
      </c>
      <c r="K499" t="s">
        <v>21</v>
      </c>
      <c r="L499">
        <v>3591000</v>
      </c>
      <c r="M499">
        <v>359100</v>
      </c>
    </row>
    <row r="500" spans="1:13" x14ac:dyDescent="0.25">
      <c r="A500" t="s">
        <v>1809</v>
      </c>
      <c r="B500" t="s">
        <v>1810</v>
      </c>
      <c r="C500" t="s">
        <v>121</v>
      </c>
      <c r="D500" t="s">
        <v>149</v>
      </c>
      <c r="E500" t="s">
        <v>654</v>
      </c>
      <c r="F500" t="s">
        <v>334</v>
      </c>
      <c r="G500" t="s">
        <v>1811</v>
      </c>
      <c r="H500" t="str">
        <f>HYPERLINK("https://baanknet.com/view-property/233903/93DED7ACA4EE1365210A9C4459E31B6120934FE9F6644CF611CEA3ABD818F830", "https://baanknet.com/view-property/233903/93DED7ACA4EE1365210A9C4459E31B6120934FE9F6644CF611CEA3ABD818F830")</f>
        <v>https://baanknet.com/view-property/233903/93DED7ACA4EE1365210A9C4459E31B6120934FE9F6644CF611CEA3ABD818F830</v>
      </c>
      <c r="I500" t="str">
        <f>HYPERLINK("https://baanknet.com/view-property/233903/93DED7ACA4EE1365210A9C4459E31B6120934FE9F6644CF611CEA3ABD818F830", "Open")</f>
        <v>Open</v>
      </c>
      <c r="J500" t="s">
        <v>20</v>
      </c>
      <c r="K500" t="s">
        <v>21</v>
      </c>
      <c r="L500">
        <v>2100000</v>
      </c>
      <c r="M500">
        <v>210000</v>
      </c>
    </row>
    <row r="501" spans="1:13" x14ac:dyDescent="0.25">
      <c r="A501" t="s">
        <v>1812</v>
      </c>
      <c r="B501" t="s">
        <v>1813</v>
      </c>
      <c r="C501" t="s">
        <v>121</v>
      </c>
      <c r="D501" t="s">
        <v>533</v>
      </c>
      <c r="E501" t="s">
        <v>654</v>
      </c>
      <c r="F501" t="s">
        <v>334</v>
      </c>
      <c r="G501" t="s">
        <v>1814</v>
      </c>
      <c r="H501" t="str">
        <f>HYPERLINK("https://baanknet.com/view-property/274992/83345DA12438FA49D212C6E98C888BD0DABC97B24A1780E021003E00E019339B", "https://baanknet.com/view-property/274992/83345DA12438FA49D212C6E98C888BD0DABC97B24A1780E021003E00E019339B")</f>
        <v>https://baanknet.com/view-property/274992/83345DA12438FA49D212C6E98C888BD0DABC97B24A1780E021003E00E019339B</v>
      </c>
      <c r="I501" t="str">
        <f>HYPERLINK("https://baanknet.com/view-property/274992/83345DA12438FA49D212C6E98C888BD0DABC97B24A1780E021003E00E019339B", "Open")</f>
        <v>Open</v>
      </c>
      <c r="J501" t="s">
        <v>20</v>
      </c>
      <c r="K501" t="s">
        <v>21</v>
      </c>
      <c r="L501">
        <v>2015000</v>
      </c>
      <c r="M501">
        <v>201500</v>
      </c>
    </row>
    <row r="502" spans="1:13" x14ac:dyDescent="0.25">
      <c r="A502" t="s">
        <v>1815</v>
      </c>
      <c r="B502" t="s">
        <v>1816</v>
      </c>
      <c r="C502" t="s">
        <v>121</v>
      </c>
      <c r="D502" t="s">
        <v>533</v>
      </c>
      <c r="E502" t="s">
        <v>654</v>
      </c>
      <c r="F502" t="s">
        <v>334</v>
      </c>
      <c r="G502" t="s">
        <v>1817</v>
      </c>
      <c r="H502" t="str">
        <f>HYPERLINK("https://baanknet.com/view-property/272270/A4F1B32F87CB3606BDFA693849A9950CC8D7EFDAD2A7541188F3D92E15504474", "https://baanknet.com/view-property/272270/A4F1B32F87CB3606BDFA693849A9950CC8D7EFDAD2A7541188F3D92E15504474")</f>
        <v>https://baanknet.com/view-property/272270/A4F1B32F87CB3606BDFA693849A9950CC8D7EFDAD2A7541188F3D92E15504474</v>
      </c>
      <c r="I502" t="str">
        <f>HYPERLINK("https://baanknet.com/view-property/272270/A4F1B32F87CB3606BDFA693849A9950CC8D7EFDAD2A7541188F3D92E15504474", "Open")</f>
        <v>Open</v>
      </c>
      <c r="J502" t="s">
        <v>20</v>
      </c>
      <c r="K502" t="s">
        <v>21</v>
      </c>
      <c r="L502">
        <v>24500000</v>
      </c>
      <c r="M502">
        <v>2450000</v>
      </c>
    </row>
    <row r="503" spans="1:13" x14ac:dyDescent="0.25">
      <c r="A503" t="s">
        <v>1818</v>
      </c>
      <c r="B503" t="s">
        <v>1819</v>
      </c>
      <c r="C503" t="s">
        <v>121</v>
      </c>
      <c r="D503" t="s">
        <v>324</v>
      </c>
      <c r="E503" t="s">
        <v>654</v>
      </c>
      <c r="F503" t="s">
        <v>334</v>
      </c>
      <c r="G503" t="s">
        <v>1820</v>
      </c>
      <c r="H503" t="str">
        <f>HYPERLINK("https://baanknet.com/view-property/184533/5428A672BC636D43C04B808EC55A6F6CD05B3C0B432CA35FD376256B4A45ADEA", "https://baanknet.com/view-property/184533/5428A672BC636D43C04B808EC55A6F6CD05B3C0B432CA35FD376256B4A45ADEA")</f>
        <v>https://baanknet.com/view-property/184533/5428A672BC636D43C04B808EC55A6F6CD05B3C0B432CA35FD376256B4A45ADEA</v>
      </c>
      <c r="I503" t="str">
        <f>HYPERLINK("https://baanknet.com/view-property/184533/5428A672BC636D43C04B808EC55A6F6CD05B3C0B432CA35FD376256B4A45ADEA", "Open")</f>
        <v>Open</v>
      </c>
      <c r="J503" t="s">
        <v>20</v>
      </c>
      <c r="K503" t="s">
        <v>21</v>
      </c>
      <c r="L503">
        <v>2926000</v>
      </c>
      <c r="M503">
        <v>292600</v>
      </c>
    </row>
    <row r="504" spans="1:13" x14ac:dyDescent="0.25">
      <c r="A504" t="s">
        <v>1821</v>
      </c>
      <c r="B504" t="s">
        <v>1822</v>
      </c>
      <c r="C504" t="s">
        <v>121</v>
      </c>
      <c r="D504" t="s">
        <v>1823</v>
      </c>
      <c r="E504" t="s">
        <v>654</v>
      </c>
      <c r="F504" t="s">
        <v>334</v>
      </c>
      <c r="G504" t="s">
        <v>1824</v>
      </c>
      <c r="H504" t="str">
        <f>HYPERLINK("https://baanknet.com/view-property/278953/EACB766E5152EBD82D32E619BB15AA74AB2F1CD84D5539A96C81B74C1F60EDAC", "https://baanknet.com/view-property/278953/EACB766E5152EBD82D32E619BB15AA74AB2F1CD84D5539A96C81B74C1F60EDAC")</f>
        <v>https://baanknet.com/view-property/278953/EACB766E5152EBD82D32E619BB15AA74AB2F1CD84D5539A96C81B74C1F60EDAC</v>
      </c>
      <c r="I504" t="str">
        <f>HYPERLINK("https://baanknet.com/view-property/278953/EACB766E5152EBD82D32E619BB15AA74AB2F1CD84D5539A96C81B74C1F60EDAC", "Open")</f>
        <v>Open</v>
      </c>
      <c r="J504" t="s">
        <v>20</v>
      </c>
      <c r="K504" t="s">
        <v>21</v>
      </c>
      <c r="L504">
        <v>3747000</v>
      </c>
      <c r="M504">
        <v>374700</v>
      </c>
    </row>
    <row r="505" spans="1:13" x14ac:dyDescent="0.25">
      <c r="A505" t="s">
        <v>1825</v>
      </c>
      <c r="B505" t="s">
        <v>1826</v>
      </c>
      <c r="C505" t="s">
        <v>121</v>
      </c>
      <c r="D505" t="s">
        <v>533</v>
      </c>
      <c r="E505" t="s">
        <v>654</v>
      </c>
      <c r="F505" t="s">
        <v>334</v>
      </c>
      <c r="G505" t="s">
        <v>1827</v>
      </c>
      <c r="H505" t="str">
        <f>HYPERLINK("https://baanknet.com/view-property/183669/F985FC22246F17381B92C79E069F54093B09CED63B0D45AD26CD428ACA1F8FCB", "https://baanknet.com/view-property/183669/F985FC22246F17381B92C79E069F54093B09CED63B0D45AD26CD428ACA1F8FCB")</f>
        <v>https://baanknet.com/view-property/183669/F985FC22246F17381B92C79E069F54093B09CED63B0D45AD26CD428ACA1F8FCB</v>
      </c>
      <c r="I505" t="str">
        <f>HYPERLINK("https://baanknet.com/view-property/183669/F985FC22246F17381B92C79E069F54093B09CED63B0D45AD26CD428ACA1F8FCB", "Open")</f>
        <v>Open</v>
      </c>
      <c r="J505" t="s">
        <v>20</v>
      </c>
      <c r="K505" t="s">
        <v>21</v>
      </c>
      <c r="L505">
        <v>5100000</v>
      </c>
      <c r="M505">
        <v>510000</v>
      </c>
    </row>
    <row r="506" spans="1:13" x14ac:dyDescent="0.25">
      <c r="A506" t="s">
        <v>1828</v>
      </c>
      <c r="B506" t="s">
        <v>1829</v>
      </c>
      <c r="C506" t="s">
        <v>121</v>
      </c>
      <c r="D506" t="s">
        <v>533</v>
      </c>
      <c r="E506" t="s">
        <v>654</v>
      </c>
      <c r="F506" t="s">
        <v>334</v>
      </c>
      <c r="G506" t="s">
        <v>1830</v>
      </c>
      <c r="H506" t="str">
        <f>HYPERLINK("https://baanknet.com/view-property/232084/670EA40093DC0E6A57CAD4897DA49A2A38724CE7B0CD32EB0F33ABD03A579BF5", "https://baanknet.com/view-property/232084/670EA40093DC0E6A57CAD4897DA49A2A38724CE7B0CD32EB0F33ABD03A579BF5")</f>
        <v>https://baanknet.com/view-property/232084/670EA40093DC0E6A57CAD4897DA49A2A38724CE7B0CD32EB0F33ABD03A579BF5</v>
      </c>
      <c r="I506" t="str">
        <f>HYPERLINK("https://baanknet.com/view-property/232084/670EA40093DC0E6A57CAD4897DA49A2A38724CE7B0CD32EB0F33ABD03A579BF5", "Open")</f>
        <v>Open</v>
      </c>
      <c r="J506" t="s">
        <v>20</v>
      </c>
      <c r="K506" t="s">
        <v>21</v>
      </c>
      <c r="L506">
        <v>15500000</v>
      </c>
      <c r="M506">
        <v>1550000</v>
      </c>
    </row>
    <row r="507" spans="1:13" x14ac:dyDescent="0.25">
      <c r="A507" t="s">
        <v>1831</v>
      </c>
      <c r="B507" t="s">
        <v>1832</v>
      </c>
      <c r="C507" t="s">
        <v>121</v>
      </c>
      <c r="D507" t="s">
        <v>1823</v>
      </c>
      <c r="E507" t="s">
        <v>654</v>
      </c>
      <c r="F507" t="s">
        <v>334</v>
      </c>
      <c r="G507" t="s">
        <v>1833</v>
      </c>
      <c r="H507" t="str">
        <f>HYPERLINK("https://baanknet.com/view-property/278965/E8EE986146CCE806B329731D43941F0B603E25DBE822254D307C9C41906F1113", "https://baanknet.com/view-property/278965/E8EE986146CCE806B329731D43941F0B603E25DBE822254D307C9C41906F1113")</f>
        <v>https://baanknet.com/view-property/278965/E8EE986146CCE806B329731D43941F0B603E25DBE822254D307C9C41906F1113</v>
      </c>
      <c r="I507" t="str">
        <f>HYPERLINK("https://baanknet.com/view-property/278965/E8EE986146CCE806B329731D43941F0B603E25DBE822254D307C9C41906F1113", "Open")</f>
        <v>Open</v>
      </c>
      <c r="J507" t="s">
        <v>20</v>
      </c>
      <c r="K507" t="s">
        <v>21</v>
      </c>
      <c r="L507">
        <v>3747000</v>
      </c>
      <c r="M507">
        <v>374700</v>
      </c>
    </row>
    <row r="508" spans="1:13" x14ac:dyDescent="0.25">
      <c r="A508" t="s">
        <v>1834</v>
      </c>
      <c r="B508" t="s">
        <v>1835</v>
      </c>
      <c r="C508" t="s">
        <v>121</v>
      </c>
      <c r="D508" t="s">
        <v>324</v>
      </c>
      <c r="E508" t="s">
        <v>654</v>
      </c>
      <c r="F508" t="s">
        <v>334</v>
      </c>
      <c r="G508" t="s">
        <v>1836</v>
      </c>
      <c r="H508" t="str">
        <f>HYPERLINK("https://baanknet.com/view-property/218377/D215802AA4ED2E8F58DB441A734AB869053F5E6D0F40D6B6BBFC7E816FFD5B3B", "https://baanknet.com/view-property/218377/D215802AA4ED2E8F58DB441A734AB869053F5E6D0F40D6B6BBFC7E816FFD5B3B")</f>
        <v>https://baanknet.com/view-property/218377/D215802AA4ED2E8F58DB441A734AB869053F5E6D0F40D6B6BBFC7E816FFD5B3B</v>
      </c>
      <c r="I508" t="str">
        <f>HYPERLINK("https://baanknet.com/view-property/218377/D215802AA4ED2E8F58DB441A734AB869053F5E6D0F40D6B6BBFC7E816FFD5B3B", "Open")</f>
        <v>Open</v>
      </c>
      <c r="J508" t="s">
        <v>20</v>
      </c>
      <c r="K508" t="s">
        <v>21</v>
      </c>
      <c r="L508">
        <v>4087000</v>
      </c>
      <c r="M508">
        <v>408700</v>
      </c>
    </row>
    <row r="509" spans="1:13" x14ac:dyDescent="0.25">
      <c r="A509" t="s">
        <v>1837</v>
      </c>
      <c r="B509" t="s">
        <v>1838</v>
      </c>
      <c r="C509" t="s">
        <v>121</v>
      </c>
      <c r="D509" t="s">
        <v>1839</v>
      </c>
      <c r="E509" t="s">
        <v>654</v>
      </c>
      <c r="F509" t="s">
        <v>334</v>
      </c>
      <c r="G509" t="s">
        <v>1840</v>
      </c>
      <c r="H509" t="str">
        <f>HYPERLINK("https://baanknet.com/view-property/264954/380D053720D727F9E8935A63A33D7B6907073ECA148EEABFE1314657E5629E9D", "https://baanknet.com/view-property/264954/380D053720D727F9E8935A63A33D7B6907073ECA148EEABFE1314657E5629E9D")</f>
        <v>https://baanknet.com/view-property/264954/380D053720D727F9E8935A63A33D7B6907073ECA148EEABFE1314657E5629E9D</v>
      </c>
      <c r="I509" t="str">
        <f>HYPERLINK("https://baanknet.com/view-property/264954/380D053720D727F9E8935A63A33D7B6907073ECA148EEABFE1314657E5629E9D", "Open")</f>
        <v>Open</v>
      </c>
      <c r="J509" t="s">
        <v>20</v>
      </c>
      <c r="K509" t="s">
        <v>21</v>
      </c>
      <c r="L509">
        <v>6500000</v>
      </c>
      <c r="M509">
        <v>650000</v>
      </c>
    </row>
    <row r="510" spans="1:13" x14ac:dyDescent="0.25">
      <c r="A510" t="s">
        <v>1841</v>
      </c>
      <c r="B510" t="s">
        <v>1842</v>
      </c>
      <c r="C510" t="s">
        <v>121</v>
      </c>
      <c r="D510" t="s">
        <v>1843</v>
      </c>
      <c r="E510" t="s">
        <v>654</v>
      </c>
      <c r="F510" t="s">
        <v>334</v>
      </c>
      <c r="G510" t="s">
        <v>1844</v>
      </c>
      <c r="H510" t="str">
        <f>HYPERLINK("https://baanknet.com/view-property/277156/8940118AA2E3AB7260C8A442DC6AB9A5C9EB1646450B0805049D32665B9393BE", "https://baanknet.com/view-property/277156/8940118AA2E3AB7260C8A442DC6AB9A5C9EB1646450B0805049D32665B9393BE")</f>
        <v>https://baanknet.com/view-property/277156/8940118AA2E3AB7260C8A442DC6AB9A5C9EB1646450B0805049D32665B9393BE</v>
      </c>
      <c r="I510" t="str">
        <f>HYPERLINK("https://baanknet.com/view-property/277156/8940118AA2E3AB7260C8A442DC6AB9A5C9EB1646450B0805049D32665B9393BE", "Open")</f>
        <v>Open</v>
      </c>
      <c r="J510" t="s">
        <v>20</v>
      </c>
      <c r="K510" t="s">
        <v>21</v>
      </c>
      <c r="L510">
        <v>309000</v>
      </c>
      <c r="M510">
        <v>30900</v>
      </c>
    </row>
    <row r="511" spans="1:13" x14ac:dyDescent="0.25">
      <c r="A511" t="s">
        <v>1845</v>
      </c>
      <c r="B511" t="s">
        <v>1846</v>
      </c>
      <c r="C511" t="s">
        <v>121</v>
      </c>
      <c r="D511" t="s">
        <v>1843</v>
      </c>
      <c r="E511" t="s">
        <v>654</v>
      </c>
      <c r="F511" t="s">
        <v>334</v>
      </c>
      <c r="G511" t="s">
        <v>1847</v>
      </c>
      <c r="H511" t="str">
        <f>HYPERLINK("https://baanknet.com/view-property/277143/2A3D3DA743858FEB329A20D26935F96D8372473F3DD3880EDC149A319B3432B1", "https://baanknet.com/view-property/277143/2A3D3DA743858FEB329A20D26935F96D8372473F3DD3880EDC149A319B3432B1")</f>
        <v>https://baanknet.com/view-property/277143/2A3D3DA743858FEB329A20D26935F96D8372473F3DD3880EDC149A319B3432B1</v>
      </c>
      <c r="I511" t="str">
        <f>HYPERLINK("https://baanknet.com/view-property/277143/2A3D3DA743858FEB329A20D26935F96D8372473F3DD3880EDC149A319B3432B1", "Open")</f>
        <v>Open</v>
      </c>
      <c r="J511" t="s">
        <v>20</v>
      </c>
      <c r="K511" t="s">
        <v>21</v>
      </c>
      <c r="L511">
        <v>309000</v>
      </c>
      <c r="M511">
        <v>30900</v>
      </c>
    </row>
    <row r="512" spans="1:13" x14ac:dyDescent="0.25">
      <c r="A512" t="s">
        <v>1848</v>
      </c>
      <c r="B512" t="s">
        <v>1849</v>
      </c>
      <c r="C512" t="s">
        <v>121</v>
      </c>
      <c r="D512" t="s">
        <v>157</v>
      </c>
      <c r="E512" t="s">
        <v>654</v>
      </c>
      <c r="F512" t="s">
        <v>334</v>
      </c>
      <c r="G512" t="s">
        <v>1850</v>
      </c>
      <c r="H512" t="str">
        <f>HYPERLINK("https://baanknet.com/view-property/175025/9E83EEF8FDB5AA98B661D75BD17097AC7B4B11B7C2A5145BCAE188ED9120343B", "https://baanknet.com/view-property/175025/9E83EEF8FDB5AA98B661D75BD17097AC7B4B11B7C2A5145BCAE188ED9120343B")</f>
        <v>https://baanknet.com/view-property/175025/9E83EEF8FDB5AA98B661D75BD17097AC7B4B11B7C2A5145BCAE188ED9120343B</v>
      </c>
      <c r="I512" t="str">
        <f>HYPERLINK("https://baanknet.com/view-property/175025/9E83EEF8FDB5AA98B661D75BD17097AC7B4B11B7C2A5145BCAE188ED9120343B", "Open")</f>
        <v>Open</v>
      </c>
      <c r="J512" t="s">
        <v>20</v>
      </c>
      <c r="K512" t="s">
        <v>21</v>
      </c>
      <c r="L512">
        <v>2484000</v>
      </c>
      <c r="M512">
        <v>248400</v>
      </c>
    </row>
    <row r="513" spans="1:13" x14ac:dyDescent="0.25">
      <c r="A513" t="s">
        <v>1851</v>
      </c>
      <c r="B513" t="s">
        <v>1852</v>
      </c>
      <c r="C513" t="s">
        <v>121</v>
      </c>
      <c r="D513" t="s">
        <v>1843</v>
      </c>
      <c r="E513" t="s">
        <v>654</v>
      </c>
      <c r="F513" t="s">
        <v>334</v>
      </c>
      <c r="G513" t="s">
        <v>1853</v>
      </c>
      <c r="H513" t="str">
        <f>HYPERLINK("https://baanknet.com/view-property/277309/0792F04CBD4649BEA6EE640C3664C8C4B3E5D95F2D4E927499101DE6BECF2B33", "https://baanknet.com/view-property/277309/0792F04CBD4649BEA6EE640C3664C8C4B3E5D95F2D4E927499101DE6BECF2B33")</f>
        <v>https://baanknet.com/view-property/277309/0792F04CBD4649BEA6EE640C3664C8C4B3E5D95F2D4E927499101DE6BECF2B33</v>
      </c>
      <c r="I513" t="str">
        <f>HYPERLINK("https://baanknet.com/view-property/277309/0792F04CBD4649BEA6EE640C3664C8C4B3E5D95F2D4E927499101DE6BECF2B33", "Open")</f>
        <v>Open</v>
      </c>
      <c r="J513" t="s">
        <v>20</v>
      </c>
      <c r="K513" t="s">
        <v>21</v>
      </c>
      <c r="L513">
        <v>309000</v>
      </c>
      <c r="M513">
        <v>30900</v>
      </c>
    </row>
    <row r="514" spans="1:13" x14ac:dyDescent="0.25">
      <c r="A514" t="s">
        <v>1854</v>
      </c>
      <c r="B514" t="s">
        <v>1855</v>
      </c>
      <c r="C514" t="s">
        <v>121</v>
      </c>
      <c r="D514" t="s">
        <v>1843</v>
      </c>
      <c r="E514" t="s">
        <v>654</v>
      </c>
      <c r="F514" t="s">
        <v>334</v>
      </c>
      <c r="G514" t="s">
        <v>1856</v>
      </c>
      <c r="H514" t="str">
        <f>HYPERLINK("https://baanknet.com/view-property/277317/98E088AE298390842A31DC17FDC592BC5A90129EE38F40757E634E55108968AD", "https://baanknet.com/view-property/277317/98E088AE298390842A31DC17FDC592BC5A90129EE38F40757E634E55108968AD")</f>
        <v>https://baanknet.com/view-property/277317/98E088AE298390842A31DC17FDC592BC5A90129EE38F40757E634E55108968AD</v>
      </c>
      <c r="I514" t="str">
        <f>HYPERLINK("https://baanknet.com/view-property/277317/98E088AE298390842A31DC17FDC592BC5A90129EE38F40757E634E55108968AD", "Open")</f>
        <v>Open</v>
      </c>
      <c r="J514" t="s">
        <v>20</v>
      </c>
      <c r="K514" t="s">
        <v>21</v>
      </c>
      <c r="L514">
        <v>424000</v>
      </c>
      <c r="M514">
        <v>42400</v>
      </c>
    </row>
    <row r="515" spans="1:13" x14ac:dyDescent="0.25">
      <c r="A515" t="s">
        <v>1857</v>
      </c>
      <c r="B515" t="s">
        <v>1858</v>
      </c>
      <c r="C515" t="s">
        <v>121</v>
      </c>
      <c r="D515" t="s">
        <v>324</v>
      </c>
      <c r="E515" t="s">
        <v>654</v>
      </c>
      <c r="F515" t="s">
        <v>334</v>
      </c>
      <c r="G515" t="s">
        <v>1859</v>
      </c>
      <c r="H515" t="str">
        <f>HYPERLINK("https://baanknet.com/view-property/233084/985F1E4F3F082EA28A0A7983F1C42E76A246E3C892000A3776A85411FDA21B1E", "https://baanknet.com/view-property/233084/985F1E4F3F082EA28A0A7983F1C42E76A246E3C892000A3776A85411FDA21B1E")</f>
        <v>https://baanknet.com/view-property/233084/985F1E4F3F082EA28A0A7983F1C42E76A246E3C892000A3776A85411FDA21B1E</v>
      </c>
      <c r="I515" t="str">
        <f>HYPERLINK("https://baanknet.com/view-property/233084/985F1E4F3F082EA28A0A7983F1C42E76A246E3C892000A3776A85411FDA21B1E", "Open")</f>
        <v>Open</v>
      </c>
      <c r="J515" t="s">
        <v>20</v>
      </c>
      <c r="K515" t="s">
        <v>21</v>
      </c>
      <c r="L515">
        <v>2357000</v>
      </c>
      <c r="M515">
        <v>235700</v>
      </c>
    </row>
    <row r="516" spans="1:13" x14ac:dyDescent="0.25">
      <c r="A516" t="s">
        <v>1860</v>
      </c>
      <c r="B516" t="s">
        <v>1861</v>
      </c>
      <c r="C516" t="s">
        <v>121</v>
      </c>
      <c r="D516" t="s">
        <v>1843</v>
      </c>
      <c r="E516" t="s">
        <v>654</v>
      </c>
      <c r="F516" t="s">
        <v>334</v>
      </c>
      <c r="G516" t="s">
        <v>1862</v>
      </c>
      <c r="H516" t="str">
        <f>HYPERLINK("https://baanknet.com/view-property/277328/0B4F7EE818677A0855AC936A280CF1A3DD62349F2B9557C7A75B3594497DC86E", "https://baanknet.com/view-property/277328/0B4F7EE818677A0855AC936A280CF1A3DD62349F2B9557C7A75B3594497DC86E")</f>
        <v>https://baanknet.com/view-property/277328/0B4F7EE818677A0855AC936A280CF1A3DD62349F2B9557C7A75B3594497DC86E</v>
      </c>
      <c r="I516" t="str">
        <f>HYPERLINK("https://baanknet.com/view-property/277328/0B4F7EE818677A0855AC936A280CF1A3DD62349F2B9557C7A75B3594497DC86E", "Open")</f>
        <v>Open</v>
      </c>
      <c r="J516" t="s">
        <v>20</v>
      </c>
      <c r="K516" t="s">
        <v>21</v>
      </c>
      <c r="L516">
        <v>309000</v>
      </c>
      <c r="M516">
        <v>30900</v>
      </c>
    </row>
    <row r="517" spans="1:13" x14ac:dyDescent="0.25">
      <c r="A517" t="s">
        <v>1863</v>
      </c>
      <c r="B517" t="s">
        <v>1864</v>
      </c>
      <c r="C517" t="s">
        <v>121</v>
      </c>
      <c r="D517" t="s">
        <v>1843</v>
      </c>
      <c r="E517" t="s">
        <v>654</v>
      </c>
      <c r="F517" t="s">
        <v>334</v>
      </c>
      <c r="G517" t="s">
        <v>1865</v>
      </c>
      <c r="H517" t="str">
        <f>HYPERLINK("https://baanknet.com/view-property/277345/8B602B643EDCBCAAEEF41F2AC8A6CCCD9D1CCAC77DC884F1A3389256042C415E", "https://baanknet.com/view-property/277345/8B602B643EDCBCAAEEF41F2AC8A6CCCD9D1CCAC77DC884F1A3389256042C415E")</f>
        <v>https://baanknet.com/view-property/277345/8B602B643EDCBCAAEEF41F2AC8A6CCCD9D1CCAC77DC884F1A3389256042C415E</v>
      </c>
      <c r="I517" t="str">
        <f>HYPERLINK("https://baanknet.com/view-property/277345/8B602B643EDCBCAAEEF41F2AC8A6CCCD9D1CCAC77DC884F1A3389256042C415E", "Open")</f>
        <v>Open</v>
      </c>
      <c r="J517" t="s">
        <v>20</v>
      </c>
      <c r="K517" t="s">
        <v>21</v>
      </c>
      <c r="L517">
        <v>424000</v>
      </c>
      <c r="M517">
        <v>42400</v>
      </c>
    </row>
    <row r="518" spans="1:13" x14ac:dyDescent="0.25">
      <c r="A518" t="s">
        <v>1866</v>
      </c>
      <c r="B518" t="s">
        <v>1867</v>
      </c>
      <c r="C518" t="s">
        <v>121</v>
      </c>
      <c r="D518" t="s">
        <v>1843</v>
      </c>
      <c r="E518" t="s">
        <v>654</v>
      </c>
      <c r="F518" t="s">
        <v>334</v>
      </c>
      <c r="G518" t="s">
        <v>1868</v>
      </c>
      <c r="H518" t="str">
        <f>HYPERLINK("https://baanknet.com/view-property/277376/32AE869570D58089B067F68ADDB3BE59900AF09166B7D874231586707C79AA9A", "https://baanknet.com/view-property/277376/32AE869570D58089B067F68ADDB3BE59900AF09166B7D874231586707C79AA9A")</f>
        <v>https://baanknet.com/view-property/277376/32AE869570D58089B067F68ADDB3BE59900AF09166B7D874231586707C79AA9A</v>
      </c>
      <c r="I518" t="str">
        <f>HYPERLINK("https://baanknet.com/view-property/277376/32AE869570D58089B067F68ADDB3BE59900AF09166B7D874231586707C79AA9A", "Open")</f>
        <v>Open</v>
      </c>
      <c r="J518" t="s">
        <v>20</v>
      </c>
      <c r="K518" t="s">
        <v>21</v>
      </c>
      <c r="L518">
        <v>309000</v>
      </c>
      <c r="M518">
        <v>30900</v>
      </c>
    </row>
    <row r="519" spans="1:13" x14ac:dyDescent="0.25">
      <c r="A519" t="s">
        <v>1869</v>
      </c>
      <c r="B519" t="s">
        <v>1870</v>
      </c>
      <c r="C519" t="s">
        <v>332</v>
      </c>
      <c r="D519" t="s">
        <v>1871</v>
      </c>
      <c r="E519" t="s">
        <v>654</v>
      </c>
      <c r="F519" t="s">
        <v>334</v>
      </c>
      <c r="G519" t="s">
        <v>1872</v>
      </c>
      <c r="H519" t="str">
        <f>HYPERLINK("https://baanknet.com/view-property/286615/3171EE391F1C07B931589F5A4C8E689ED7913B09CEA44AED60B10AE977CEB264", "https://baanknet.com/view-property/286615/3171EE391F1C07B931589F5A4C8E689ED7913B09CEA44AED60B10AE977CEB264")</f>
        <v>https://baanknet.com/view-property/286615/3171EE391F1C07B931589F5A4C8E689ED7913B09CEA44AED60B10AE977CEB264</v>
      </c>
      <c r="I519" t="str">
        <f>HYPERLINK("https://baanknet.com/view-property/286615/3171EE391F1C07B931589F5A4C8E689ED7913B09CEA44AED60B10AE977CEB264", "Open")</f>
        <v>Open</v>
      </c>
      <c r="J519" t="s">
        <v>20</v>
      </c>
      <c r="K519" t="s">
        <v>21</v>
      </c>
      <c r="L519">
        <v>8276000</v>
      </c>
      <c r="M519">
        <v>827600</v>
      </c>
    </row>
    <row r="520" spans="1:13" x14ac:dyDescent="0.25">
      <c r="A520" t="s">
        <v>1873</v>
      </c>
      <c r="B520" t="s">
        <v>1874</v>
      </c>
      <c r="C520" t="s">
        <v>121</v>
      </c>
      <c r="D520" t="s">
        <v>1229</v>
      </c>
      <c r="E520" t="s">
        <v>654</v>
      </c>
      <c r="F520" t="s">
        <v>334</v>
      </c>
      <c r="G520" t="s">
        <v>1875</v>
      </c>
      <c r="H520" t="str">
        <f>HYPERLINK("https://baanknet.com/view-property/227438/BB74EB4C54A945D8DE1C6DFC62B18993A98F56525A8572179F79D89E7409C9BE", "https://baanknet.com/view-property/227438/BB74EB4C54A945D8DE1C6DFC62B18993A98F56525A8572179F79D89E7409C9BE")</f>
        <v>https://baanknet.com/view-property/227438/BB74EB4C54A945D8DE1C6DFC62B18993A98F56525A8572179F79D89E7409C9BE</v>
      </c>
      <c r="I520" t="str">
        <f>HYPERLINK("https://baanknet.com/view-property/227438/BB74EB4C54A945D8DE1C6DFC62B18993A98F56525A8572179F79D89E7409C9BE", "Open")</f>
        <v>Open</v>
      </c>
      <c r="J520" t="s">
        <v>20</v>
      </c>
      <c r="K520" t="s">
        <v>21</v>
      </c>
      <c r="L520">
        <v>6029100</v>
      </c>
      <c r="M520">
        <v>602910</v>
      </c>
    </row>
    <row r="521" spans="1:13" x14ac:dyDescent="0.25">
      <c r="A521" t="s">
        <v>1876</v>
      </c>
      <c r="B521" t="s">
        <v>1877</v>
      </c>
      <c r="C521" t="s">
        <v>121</v>
      </c>
      <c r="D521" t="s">
        <v>1807</v>
      </c>
      <c r="E521" t="s">
        <v>654</v>
      </c>
      <c r="F521" t="s">
        <v>334</v>
      </c>
      <c r="G521" t="s">
        <v>1878</v>
      </c>
      <c r="H521" t="str">
        <f>HYPERLINK("https://baanknet.com/view-property/175544/33AF64CB6CF05792E2167FCA48554C0F5DF3A218DC1BAF36ED90C6F2A7D22215", "https://baanknet.com/view-property/175544/33AF64CB6CF05792E2167FCA48554C0F5DF3A218DC1BAF36ED90C6F2A7D22215")</f>
        <v>https://baanknet.com/view-property/175544/33AF64CB6CF05792E2167FCA48554C0F5DF3A218DC1BAF36ED90C6F2A7D22215</v>
      </c>
      <c r="I521" t="str">
        <f>HYPERLINK("https://baanknet.com/view-property/175544/33AF64CB6CF05792E2167FCA48554C0F5DF3A218DC1BAF36ED90C6F2A7D22215", "Open")</f>
        <v>Open</v>
      </c>
      <c r="J521" t="s">
        <v>20</v>
      </c>
      <c r="K521" t="s">
        <v>21</v>
      </c>
      <c r="L521">
        <v>5157000</v>
      </c>
      <c r="M521">
        <v>515700</v>
      </c>
    </row>
    <row r="522" spans="1:13" x14ac:dyDescent="0.25">
      <c r="A522" t="s">
        <v>1879</v>
      </c>
      <c r="B522" t="s">
        <v>1880</v>
      </c>
      <c r="C522" t="s">
        <v>121</v>
      </c>
      <c r="D522" t="s">
        <v>1881</v>
      </c>
      <c r="E522" t="s">
        <v>654</v>
      </c>
      <c r="F522" t="s">
        <v>334</v>
      </c>
      <c r="G522" t="s">
        <v>1882</v>
      </c>
      <c r="H522" t="str">
        <f>HYPERLINK("https://baanknet.com/view-property/286193/8FB676389045D6256C469529D4A8F97B7103377E4BCB207468D1A94C7DA2F99C", "https://baanknet.com/view-property/286193/8FB676389045D6256C469529D4A8F97B7103377E4BCB207468D1A94C7DA2F99C")</f>
        <v>https://baanknet.com/view-property/286193/8FB676389045D6256C469529D4A8F97B7103377E4BCB207468D1A94C7DA2F99C</v>
      </c>
      <c r="I522" t="str">
        <f>HYPERLINK("https://baanknet.com/view-property/286193/8FB676389045D6256C469529D4A8F97B7103377E4BCB207468D1A94C7DA2F99C", "Open")</f>
        <v>Open</v>
      </c>
      <c r="J522" t="s">
        <v>20</v>
      </c>
      <c r="K522" t="s">
        <v>21</v>
      </c>
      <c r="L522">
        <v>7715000</v>
      </c>
      <c r="M522">
        <v>771500</v>
      </c>
    </row>
    <row r="523" spans="1:13" x14ac:dyDescent="0.25">
      <c r="A523" t="s">
        <v>1883</v>
      </c>
      <c r="B523" t="s">
        <v>1884</v>
      </c>
      <c r="C523" t="s">
        <v>121</v>
      </c>
      <c r="D523" t="s">
        <v>930</v>
      </c>
      <c r="E523" t="s">
        <v>654</v>
      </c>
      <c r="F523" t="s">
        <v>334</v>
      </c>
      <c r="G523" t="s">
        <v>1885</v>
      </c>
      <c r="H523" t="str">
        <f>HYPERLINK("https://baanknet.com/view-property/226665/2928AFA50486A0AC270C12A57B774C13C8EBA4E1F03E85BE94E3FD69DF9F9165", "https://baanknet.com/view-property/226665/2928AFA50486A0AC270C12A57B774C13C8EBA4E1F03E85BE94E3FD69DF9F9165")</f>
        <v>https://baanknet.com/view-property/226665/2928AFA50486A0AC270C12A57B774C13C8EBA4E1F03E85BE94E3FD69DF9F9165</v>
      </c>
      <c r="I523" t="str">
        <f>HYPERLINK("https://baanknet.com/view-property/226665/2928AFA50486A0AC270C12A57B774C13C8EBA4E1F03E85BE94E3FD69DF9F9165", "Open")</f>
        <v>Open</v>
      </c>
      <c r="J523" t="s">
        <v>20</v>
      </c>
      <c r="K523" t="s">
        <v>21</v>
      </c>
      <c r="L523">
        <v>2230000</v>
      </c>
      <c r="M523">
        <v>223000</v>
      </c>
    </row>
    <row r="524" spans="1:13" x14ac:dyDescent="0.25">
      <c r="A524" t="s">
        <v>1886</v>
      </c>
      <c r="B524" t="s">
        <v>1887</v>
      </c>
      <c r="C524" t="s">
        <v>121</v>
      </c>
      <c r="D524" t="s">
        <v>1888</v>
      </c>
      <c r="E524" t="s">
        <v>654</v>
      </c>
      <c r="F524" t="s">
        <v>334</v>
      </c>
      <c r="G524" t="s">
        <v>1889</v>
      </c>
      <c r="H524" t="str">
        <f>HYPERLINK("https://baanknet.com/view-property/253962/CC5FD1016D16BE9F9349421B2B1D02360A11F08CBFF3F3A20544E08CF4E8F605", "https://baanknet.com/view-property/253962/CC5FD1016D16BE9F9349421B2B1D02360A11F08CBFF3F3A20544E08CF4E8F605")</f>
        <v>https://baanknet.com/view-property/253962/CC5FD1016D16BE9F9349421B2B1D02360A11F08CBFF3F3A20544E08CF4E8F605</v>
      </c>
      <c r="I524" t="str">
        <f>HYPERLINK("https://baanknet.com/view-property/253962/CC5FD1016D16BE9F9349421B2B1D02360A11F08CBFF3F3A20544E08CF4E8F605", "Open")</f>
        <v>Open</v>
      </c>
      <c r="J524" t="s">
        <v>20</v>
      </c>
      <c r="K524" t="s">
        <v>21</v>
      </c>
      <c r="L524">
        <v>1100000</v>
      </c>
      <c r="M524">
        <v>110000</v>
      </c>
    </row>
    <row r="525" spans="1:13" x14ac:dyDescent="0.25">
      <c r="A525" t="s">
        <v>1890</v>
      </c>
      <c r="B525" t="s">
        <v>1891</v>
      </c>
      <c r="C525" t="s">
        <v>121</v>
      </c>
      <c r="D525" t="s">
        <v>1892</v>
      </c>
      <c r="E525" t="s">
        <v>654</v>
      </c>
      <c r="F525" t="s">
        <v>334</v>
      </c>
      <c r="G525" t="s">
        <v>1893</v>
      </c>
      <c r="H525" t="str">
        <f>HYPERLINK("https://baanknet.com/view-property/199408/446BA7F19218F392C2FAE8ED75CAB54971DC244053527000C21763D6FD51E0B4", "https://baanknet.com/view-property/199408/446BA7F19218F392C2FAE8ED75CAB54971DC244053527000C21763D6FD51E0B4")</f>
        <v>https://baanknet.com/view-property/199408/446BA7F19218F392C2FAE8ED75CAB54971DC244053527000C21763D6FD51E0B4</v>
      </c>
      <c r="I525" t="str">
        <f>HYPERLINK("https://baanknet.com/view-property/199408/446BA7F19218F392C2FAE8ED75CAB54971DC244053527000C21763D6FD51E0B4", "Open")</f>
        <v>Open</v>
      </c>
      <c r="J525" t="s">
        <v>20</v>
      </c>
      <c r="K525" t="s">
        <v>21</v>
      </c>
      <c r="L525">
        <v>1459000</v>
      </c>
      <c r="M525">
        <v>145900</v>
      </c>
    </row>
    <row r="526" spans="1:13" x14ac:dyDescent="0.25">
      <c r="A526" t="s">
        <v>1894</v>
      </c>
      <c r="B526" t="s">
        <v>1895</v>
      </c>
      <c r="C526" t="s">
        <v>121</v>
      </c>
      <c r="D526" t="s">
        <v>1896</v>
      </c>
      <c r="E526" t="s">
        <v>654</v>
      </c>
      <c r="F526" t="s">
        <v>334</v>
      </c>
      <c r="G526" t="s">
        <v>1897</v>
      </c>
      <c r="H526" t="str">
        <f>HYPERLINK("https://baanknet.com/view-property/173638/62C38B13DE0FC24F381CEEF42754A53161C9C990C168C95E42A7BCE433466076", "https://baanknet.com/view-property/173638/62C38B13DE0FC24F381CEEF42754A53161C9C990C168C95E42A7BCE433466076")</f>
        <v>https://baanknet.com/view-property/173638/62C38B13DE0FC24F381CEEF42754A53161C9C990C168C95E42A7BCE433466076</v>
      </c>
      <c r="I526" t="str">
        <f>HYPERLINK("https://baanknet.com/view-property/173638/62C38B13DE0FC24F381CEEF42754A53161C9C990C168C95E42A7BCE433466076", "Open")</f>
        <v>Open</v>
      </c>
      <c r="J526" t="s">
        <v>20</v>
      </c>
      <c r="K526" t="s">
        <v>21</v>
      </c>
      <c r="L526">
        <v>11910700</v>
      </c>
      <c r="M526">
        <v>1191070</v>
      </c>
    </row>
    <row r="527" spans="1:13" x14ac:dyDescent="0.25">
      <c r="A527" t="s">
        <v>1898</v>
      </c>
      <c r="B527" t="s">
        <v>1899</v>
      </c>
      <c r="C527" t="s">
        <v>121</v>
      </c>
      <c r="D527" t="s">
        <v>1896</v>
      </c>
      <c r="E527" t="s">
        <v>654</v>
      </c>
      <c r="F527" t="s">
        <v>334</v>
      </c>
      <c r="G527" t="s">
        <v>1900</v>
      </c>
      <c r="H527" t="str">
        <f>HYPERLINK("https://baanknet.com/view-property/173626/2A2CFDFE00E62A150C1749905A002CBE74413D49C632C34E3C18AA1EF2380D16", "https://baanknet.com/view-property/173626/2A2CFDFE00E62A150C1749905A002CBE74413D49C632C34E3C18AA1EF2380D16")</f>
        <v>https://baanknet.com/view-property/173626/2A2CFDFE00E62A150C1749905A002CBE74413D49C632C34E3C18AA1EF2380D16</v>
      </c>
      <c r="I527" t="str">
        <f>HYPERLINK("https://baanknet.com/view-property/173626/2A2CFDFE00E62A150C1749905A002CBE74413D49C632C34E3C18AA1EF2380D16", "Open")</f>
        <v>Open</v>
      </c>
      <c r="J527" t="s">
        <v>20</v>
      </c>
      <c r="K527" t="s">
        <v>21</v>
      </c>
      <c r="L527">
        <v>3539700</v>
      </c>
      <c r="M527">
        <v>353970</v>
      </c>
    </row>
    <row r="528" spans="1:13" x14ac:dyDescent="0.25">
      <c r="A528" t="s">
        <v>1901</v>
      </c>
      <c r="B528" t="s">
        <v>1902</v>
      </c>
      <c r="C528" t="s">
        <v>121</v>
      </c>
      <c r="D528" t="s">
        <v>1051</v>
      </c>
      <c r="E528" t="s">
        <v>654</v>
      </c>
      <c r="F528" t="s">
        <v>334</v>
      </c>
      <c r="G528" t="s">
        <v>1903</v>
      </c>
      <c r="H528" t="str">
        <f>HYPERLINK("https://baanknet.com/view-property/233586/0006C6048B2EB2F6280BD7979074B2040F699192E68E8B48775C7E32C60B282A", "https://baanknet.com/view-property/233586/0006C6048B2EB2F6280BD7979074B2040F699192E68E8B48775C7E32C60B282A")</f>
        <v>https://baanknet.com/view-property/233586/0006C6048B2EB2F6280BD7979074B2040F699192E68E8B48775C7E32C60B282A</v>
      </c>
      <c r="I528" t="str">
        <f>HYPERLINK("https://baanknet.com/view-property/233586/0006C6048B2EB2F6280BD7979074B2040F699192E68E8B48775C7E32C60B282A", "Open")</f>
        <v>Open</v>
      </c>
      <c r="J528" t="s">
        <v>20</v>
      </c>
      <c r="K528" t="s">
        <v>21</v>
      </c>
      <c r="L528">
        <v>3435000</v>
      </c>
      <c r="M528">
        <v>343500</v>
      </c>
    </row>
    <row r="529" spans="1:13" x14ac:dyDescent="0.25">
      <c r="A529" t="s">
        <v>1904</v>
      </c>
      <c r="B529" t="s">
        <v>1905</v>
      </c>
      <c r="C529" t="s">
        <v>121</v>
      </c>
      <c r="D529" t="s">
        <v>157</v>
      </c>
      <c r="E529" t="s">
        <v>654</v>
      </c>
      <c r="F529" t="s">
        <v>334</v>
      </c>
      <c r="G529" t="s">
        <v>1906</v>
      </c>
      <c r="H529" t="str">
        <f>HYPERLINK("https://baanknet.com/view-property/175054/84C480685B1157EFD59FF75451D866A0B9116BAE06BDB455ED4FE71A05AFBA8B", "https://baanknet.com/view-property/175054/84C480685B1157EFD59FF75451D866A0B9116BAE06BDB455ED4FE71A05AFBA8B")</f>
        <v>https://baanknet.com/view-property/175054/84C480685B1157EFD59FF75451D866A0B9116BAE06BDB455ED4FE71A05AFBA8B</v>
      </c>
      <c r="I529" t="str">
        <f>HYPERLINK("https://baanknet.com/view-property/175054/84C480685B1157EFD59FF75451D866A0B9116BAE06BDB455ED4FE71A05AFBA8B", "Open")</f>
        <v>Open</v>
      </c>
      <c r="J529" t="s">
        <v>20</v>
      </c>
      <c r="K529" t="s">
        <v>21</v>
      </c>
      <c r="L529">
        <v>4927000</v>
      </c>
      <c r="M529">
        <v>492700</v>
      </c>
    </row>
    <row r="530" spans="1:13" x14ac:dyDescent="0.25">
      <c r="A530" t="s">
        <v>1907</v>
      </c>
      <c r="B530" t="s">
        <v>1908</v>
      </c>
      <c r="C530" t="s">
        <v>121</v>
      </c>
      <c r="D530" t="s">
        <v>1909</v>
      </c>
      <c r="E530" t="s">
        <v>654</v>
      </c>
      <c r="F530" t="s">
        <v>334</v>
      </c>
      <c r="G530" t="s">
        <v>1910</v>
      </c>
      <c r="H530" t="str">
        <f>HYPERLINK("https://baanknet.com/view-property/263201/1ADB7EA55812E876A7BB17A44C56C215D64808409A9E3848E9C024F586C002A7", "https://baanknet.com/view-property/263201/1ADB7EA55812E876A7BB17A44C56C215D64808409A9E3848E9C024F586C002A7")</f>
        <v>https://baanknet.com/view-property/263201/1ADB7EA55812E876A7BB17A44C56C215D64808409A9E3848E9C024F586C002A7</v>
      </c>
      <c r="I530" t="str">
        <f>HYPERLINK("https://baanknet.com/view-property/263201/1ADB7EA55812E876A7BB17A44C56C215D64808409A9E3848E9C024F586C002A7", "Open")</f>
        <v>Open</v>
      </c>
      <c r="J530" t="s">
        <v>20</v>
      </c>
      <c r="K530" t="s">
        <v>21</v>
      </c>
      <c r="L530">
        <v>3645000</v>
      </c>
      <c r="M530">
        <v>364500</v>
      </c>
    </row>
    <row r="531" spans="1:13" x14ac:dyDescent="0.25">
      <c r="A531" t="s">
        <v>1911</v>
      </c>
      <c r="B531" t="s">
        <v>1912</v>
      </c>
      <c r="C531" t="s">
        <v>121</v>
      </c>
      <c r="D531" t="s">
        <v>1909</v>
      </c>
      <c r="E531" t="s">
        <v>654</v>
      </c>
      <c r="F531" t="s">
        <v>334</v>
      </c>
      <c r="G531" t="s">
        <v>1913</v>
      </c>
      <c r="H531" t="str">
        <f>HYPERLINK("https://baanknet.com/view-property/261820/6FB3DF944907BE686A257377E91E982378211AD8A18D9EB81AE8AD4230FD9510", "https://baanknet.com/view-property/261820/6FB3DF944907BE686A257377E91E982378211AD8A18D9EB81AE8AD4230FD9510")</f>
        <v>https://baanknet.com/view-property/261820/6FB3DF944907BE686A257377E91E982378211AD8A18D9EB81AE8AD4230FD9510</v>
      </c>
      <c r="I531" t="str">
        <f>HYPERLINK("https://baanknet.com/view-property/261820/6FB3DF944907BE686A257377E91E982378211AD8A18D9EB81AE8AD4230FD9510", "Open")</f>
        <v>Open</v>
      </c>
      <c r="J531" t="s">
        <v>20</v>
      </c>
      <c r="K531" t="s">
        <v>21</v>
      </c>
      <c r="L531">
        <v>3395000</v>
      </c>
      <c r="M531">
        <v>339500</v>
      </c>
    </row>
    <row r="532" spans="1:13" x14ac:dyDescent="0.25">
      <c r="A532" t="s">
        <v>1914</v>
      </c>
      <c r="B532" t="s">
        <v>1915</v>
      </c>
      <c r="C532" t="s">
        <v>121</v>
      </c>
      <c r="D532" t="s">
        <v>1916</v>
      </c>
      <c r="E532" t="s">
        <v>654</v>
      </c>
      <c r="F532" t="s">
        <v>334</v>
      </c>
      <c r="G532" t="s">
        <v>1917</v>
      </c>
      <c r="H532" t="str">
        <f>HYPERLINK("https://baanknet.com/view-property/217293/126D3C90BA0BC47484284413A9146FE17FDF280D692DBA8FA35FBF27D7EF2BBA", "https://baanknet.com/view-property/217293/126D3C90BA0BC47484284413A9146FE17FDF280D692DBA8FA35FBF27D7EF2BBA")</f>
        <v>https://baanknet.com/view-property/217293/126D3C90BA0BC47484284413A9146FE17FDF280D692DBA8FA35FBF27D7EF2BBA</v>
      </c>
      <c r="I532" t="str">
        <f>HYPERLINK("https://baanknet.com/view-property/217293/126D3C90BA0BC47484284413A9146FE17FDF280D692DBA8FA35FBF27D7EF2BBA", "Open")</f>
        <v>Open</v>
      </c>
      <c r="J532" t="s">
        <v>20</v>
      </c>
      <c r="K532" t="s">
        <v>21</v>
      </c>
      <c r="L532">
        <v>9031500</v>
      </c>
      <c r="M532">
        <v>903150</v>
      </c>
    </row>
    <row r="533" spans="1:13" x14ac:dyDescent="0.25">
      <c r="A533" t="s">
        <v>1918</v>
      </c>
      <c r="B533" t="s">
        <v>1919</v>
      </c>
      <c r="C533" t="s">
        <v>121</v>
      </c>
      <c r="D533" t="s">
        <v>157</v>
      </c>
      <c r="E533" t="s">
        <v>654</v>
      </c>
      <c r="F533" t="s">
        <v>334</v>
      </c>
      <c r="G533" t="s">
        <v>1920</v>
      </c>
      <c r="H533" t="str">
        <f>HYPERLINK("https://baanknet.com/view-property/175006/DF31DD2E21A09D16DCAA80AFBB8B51B16E6D1963216B9B9814FA2B6842FDE148", "https://baanknet.com/view-property/175006/DF31DD2E21A09D16DCAA80AFBB8B51B16E6D1963216B9B9814FA2B6842FDE148")</f>
        <v>https://baanknet.com/view-property/175006/DF31DD2E21A09D16DCAA80AFBB8B51B16E6D1963216B9B9814FA2B6842FDE148</v>
      </c>
      <c r="I533" t="str">
        <f>HYPERLINK("https://baanknet.com/view-property/175006/DF31DD2E21A09D16DCAA80AFBB8B51B16E6D1963216B9B9814FA2B6842FDE148", "Open")</f>
        <v>Open</v>
      </c>
      <c r="J533" t="s">
        <v>20</v>
      </c>
      <c r="K533" t="s">
        <v>21</v>
      </c>
      <c r="L533">
        <v>4982000</v>
      </c>
      <c r="M533">
        <v>498200</v>
      </c>
    </row>
    <row r="534" spans="1:13" x14ac:dyDescent="0.25">
      <c r="A534" t="s">
        <v>1921</v>
      </c>
      <c r="B534" t="s">
        <v>1922</v>
      </c>
      <c r="C534" t="s">
        <v>121</v>
      </c>
      <c r="D534" t="s">
        <v>157</v>
      </c>
      <c r="E534" t="s">
        <v>654</v>
      </c>
      <c r="F534" t="s">
        <v>334</v>
      </c>
      <c r="G534" t="s">
        <v>1923</v>
      </c>
      <c r="H534" t="str">
        <f>HYPERLINK("https://baanknet.com/view-property/232427/CE24CDA54C1D8D68EE9C8D12BA70DE9052E5D3E4A549EE8DE04A2F37490CF14D", "https://baanknet.com/view-property/232427/CE24CDA54C1D8D68EE9C8D12BA70DE9052E5D3E4A549EE8DE04A2F37490CF14D")</f>
        <v>https://baanknet.com/view-property/232427/CE24CDA54C1D8D68EE9C8D12BA70DE9052E5D3E4A549EE8DE04A2F37490CF14D</v>
      </c>
      <c r="I534" t="str">
        <f>HYPERLINK("https://baanknet.com/view-property/232427/CE24CDA54C1D8D68EE9C8D12BA70DE9052E5D3E4A549EE8DE04A2F37490CF14D", "Open")</f>
        <v>Open</v>
      </c>
      <c r="J534" t="s">
        <v>20</v>
      </c>
      <c r="K534" t="s">
        <v>21</v>
      </c>
      <c r="L534">
        <v>5013000</v>
      </c>
      <c r="M534">
        <v>501300</v>
      </c>
    </row>
    <row r="535" spans="1:13" x14ac:dyDescent="0.25">
      <c r="A535" t="s">
        <v>1924</v>
      </c>
      <c r="B535" t="s">
        <v>1925</v>
      </c>
      <c r="C535" t="s">
        <v>121</v>
      </c>
      <c r="D535" t="s">
        <v>1896</v>
      </c>
      <c r="E535" t="s">
        <v>654</v>
      </c>
      <c r="F535" t="s">
        <v>334</v>
      </c>
      <c r="G535" t="s">
        <v>1926</v>
      </c>
      <c r="H535" t="str">
        <f>HYPERLINK("https://baanknet.com/view-property/259574/8B210AFD686572DFB251C7B970904CA4AD9B168240A1F093B9F065FB343172DC", "https://baanknet.com/view-property/259574/8B210AFD686572DFB251C7B970904CA4AD9B168240A1F093B9F065FB343172DC")</f>
        <v>https://baanknet.com/view-property/259574/8B210AFD686572DFB251C7B970904CA4AD9B168240A1F093B9F065FB343172DC</v>
      </c>
      <c r="I535" t="str">
        <f>HYPERLINK("https://baanknet.com/view-property/259574/8B210AFD686572DFB251C7B970904CA4AD9B168240A1F093B9F065FB343172DC", "Open")</f>
        <v>Open</v>
      </c>
      <c r="J535" t="s">
        <v>20</v>
      </c>
      <c r="K535" t="s">
        <v>21</v>
      </c>
      <c r="L535">
        <v>3821940</v>
      </c>
      <c r="M535">
        <v>382194</v>
      </c>
    </row>
    <row r="536" spans="1:13" x14ac:dyDescent="0.25">
      <c r="A536" t="s">
        <v>1927</v>
      </c>
      <c r="B536" t="s">
        <v>1928</v>
      </c>
      <c r="C536" t="s">
        <v>121</v>
      </c>
      <c r="D536" t="s">
        <v>1896</v>
      </c>
      <c r="E536" t="s">
        <v>654</v>
      </c>
      <c r="F536" t="s">
        <v>334</v>
      </c>
      <c r="G536" t="s">
        <v>1929</v>
      </c>
      <c r="H536" t="str">
        <f>HYPERLINK("https://baanknet.com/view-property/275213/11C9E76C5D04D3911C378B077928DB97C63EFE0454E4C066119D33755FD78491", "https://baanknet.com/view-property/275213/11C9E76C5D04D3911C378B077928DB97C63EFE0454E4C066119D33755FD78491")</f>
        <v>https://baanknet.com/view-property/275213/11C9E76C5D04D3911C378B077928DB97C63EFE0454E4C066119D33755FD78491</v>
      </c>
      <c r="I536" t="str">
        <f>HYPERLINK("https://baanknet.com/view-property/275213/11C9E76C5D04D3911C378B077928DB97C63EFE0454E4C066119D33755FD78491", "Open")</f>
        <v>Open</v>
      </c>
      <c r="J536" t="s">
        <v>20</v>
      </c>
      <c r="K536" t="s">
        <v>21</v>
      </c>
      <c r="L536">
        <v>2134000</v>
      </c>
      <c r="M536">
        <v>213400</v>
      </c>
    </row>
    <row r="537" spans="1:13" x14ac:dyDescent="0.25">
      <c r="A537" t="s">
        <v>1930</v>
      </c>
      <c r="B537" t="s">
        <v>1931</v>
      </c>
      <c r="C537" t="s">
        <v>121</v>
      </c>
      <c r="D537" t="s">
        <v>1932</v>
      </c>
      <c r="E537" t="s">
        <v>654</v>
      </c>
      <c r="F537" t="s">
        <v>334</v>
      </c>
      <c r="G537" t="s">
        <v>1933</v>
      </c>
      <c r="H537" t="str">
        <f>HYPERLINK("https://baanknet.com/view-property/182174/B7E82DBCE5EE1C172918C32707DA3FDDFD76538BD8E471F013CF5A7709488224", "https://baanknet.com/view-property/182174/B7E82DBCE5EE1C172918C32707DA3FDDFD76538BD8E471F013CF5A7709488224")</f>
        <v>https://baanknet.com/view-property/182174/B7E82DBCE5EE1C172918C32707DA3FDDFD76538BD8E471F013CF5A7709488224</v>
      </c>
      <c r="I537" t="str">
        <f>HYPERLINK("https://baanknet.com/view-property/182174/B7E82DBCE5EE1C172918C32707DA3FDDFD76538BD8E471F013CF5A7709488224", "Open")</f>
        <v>Open</v>
      </c>
      <c r="J537" t="s">
        <v>20</v>
      </c>
      <c r="K537" t="s">
        <v>21</v>
      </c>
      <c r="L537">
        <v>2774000</v>
      </c>
      <c r="M537">
        <v>277400</v>
      </c>
    </row>
    <row r="538" spans="1:13" x14ac:dyDescent="0.25">
      <c r="A538" t="s">
        <v>1934</v>
      </c>
      <c r="B538" t="s">
        <v>1935</v>
      </c>
      <c r="C538" t="s">
        <v>121</v>
      </c>
      <c r="D538" t="s">
        <v>1936</v>
      </c>
      <c r="E538" t="s">
        <v>654</v>
      </c>
      <c r="F538" t="s">
        <v>334</v>
      </c>
      <c r="G538" t="s">
        <v>1937</v>
      </c>
      <c r="H538" t="str">
        <f>HYPERLINK("https://baanknet.com/view-property/176109/F9DA361AB977FF1F0F96031803A6853584DA67DA8C7509E8BB08E715089AF831", "https://baanknet.com/view-property/176109/F9DA361AB977FF1F0F96031803A6853584DA67DA8C7509E8BB08E715089AF831")</f>
        <v>https://baanknet.com/view-property/176109/F9DA361AB977FF1F0F96031803A6853584DA67DA8C7509E8BB08E715089AF831</v>
      </c>
      <c r="I538" t="str">
        <f>HYPERLINK("https://baanknet.com/view-property/176109/F9DA361AB977FF1F0F96031803A6853584DA67DA8C7509E8BB08E715089AF831", "Open")</f>
        <v>Open</v>
      </c>
      <c r="J538" t="s">
        <v>20</v>
      </c>
      <c r="K538" t="s">
        <v>21</v>
      </c>
      <c r="L538">
        <v>1835460</v>
      </c>
      <c r="M538">
        <v>183546</v>
      </c>
    </row>
    <row r="539" spans="1:13" x14ac:dyDescent="0.25">
      <c r="A539" t="s">
        <v>1938</v>
      </c>
      <c r="B539" t="s">
        <v>1939</v>
      </c>
      <c r="C539" t="s">
        <v>121</v>
      </c>
      <c r="D539" t="s">
        <v>853</v>
      </c>
      <c r="E539" t="s">
        <v>654</v>
      </c>
      <c r="F539" t="s">
        <v>334</v>
      </c>
      <c r="G539" t="s">
        <v>1940</v>
      </c>
      <c r="H539" t="str">
        <f>HYPERLINK("https://baanknet.com/view-property/271701/B0F08A3355F3A4532B30D99B2A26F6E7744C90627399D00AE802B7ABC1EBB243", "https://baanknet.com/view-property/271701/B0F08A3355F3A4532B30D99B2A26F6E7744C90627399D00AE802B7ABC1EBB243")</f>
        <v>https://baanknet.com/view-property/271701/B0F08A3355F3A4532B30D99B2A26F6E7744C90627399D00AE802B7ABC1EBB243</v>
      </c>
      <c r="I539" t="str">
        <f>HYPERLINK("https://baanknet.com/view-property/271701/B0F08A3355F3A4532B30D99B2A26F6E7744C90627399D00AE802B7ABC1EBB243", "Open")</f>
        <v>Open</v>
      </c>
      <c r="J539" t="s">
        <v>20</v>
      </c>
      <c r="K539" t="s">
        <v>21</v>
      </c>
      <c r="L539">
        <v>900000</v>
      </c>
      <c r="M539">
        <v>90000</v>
      </c>
    </row>
    <row r="540" spans="1:13" x14ac:dyDescent="0.25">
      <c r="A540" t="s">
        <v>1941</v>
      </c>
      <c r="B540" t="s">
        <v>1942</v>
      </c>
      <c r="C540" t="s">
        <v>121</v>
      </c>
      <c r="D540" t="s">
        <v>1943</v>
      </c>
      <c r="E540" t="s">
        <v>654</v>
      </c>
      <c r="F540" t="s">
        <v>334</v>
      </c>
      <c r="G540" t="s">
        <v>1944</v>
      </c>
      <c r="H540" t="str">
        <f>HYPERLINK("https://baanknet.com/view-property/186752/0AD278BA34A6576C949AD909F6A1FE1B660EE6FE4568F9B7EFA430B25AA95D77", "https://baanknet.com/view-property/186752/0AD278BA34A6576C949AD909F6A1FE1B660EE6FE4568F9B7EFA430B25AA95D77")</f>
        <v>https://baanknet.com/view-property/186752/0AD278BA34A6576C949AD909F6A1FE1B660EE6FE4568F9B7EFA430B25AA95D77</v>
      </c>
      <c r="I540" t="str">
        <f>HYPERLINK("https://baanknet.com/view-property/186752/0AD278BA34A6576C949AD909F6A1FE1B660EE6FE4568F9B7EFA430B25AA95D77", "Open")</f>
        <v>Open</v>
      </c>
      <c r="J540" t="s">
        <v>20</v>
      </c>
      <c r="K540" t="s">
        <v>21</v>
      </c>
      <c r="L540">
        <v>3305000</v>
      </c>
      <c r="M540">
        <v>330500</v>
      </c>
    </row>
    <row r="541" spans="1:13" x14ac:dyDescent="0.25">
      <c r="A541" t="s">
        <v>1945</v>
      </c>
      <c r="B541" t="s">
        <v>1946</v>
      </c>
      <c r="C541" t="s">
        <v>332</v>
      </c>
      <c r="D541" t="s">
        <v>907</v>
      </c>
      <c r="E541" t="s">
        <v>654</v>
      </c>
      <c r="F541" t="s">
        <v>334</v>
      </c>
      <c r="G541" t="s">
        <v>1947</v>
      </c>
      <c r="H541" t="str">
        <f>HYPERLINK("https://baanknet.com/view-property/248059/941C3A268BE168F33B44328CB7241AA9100D5A52CE0836EC064D56ADEF7772B1", "https://baanknet.com/view-property/248059/941C3A268BE168F33B44328CB7241AA9100D5A52CE0836EC064D56ADEF7772B1")</f>
        <v>https://baanknet.com/view-property/248059/941C3A268BE168F33B44328CB7241AA9100D5A52CE0836EC064D56ADEF7772B1</v>
      </c>
      <c r="I541" t="str">
        <f>HYPERLINK("https://baanknet.com/view-property/248059/941C3A268BE168F33B44328CB7241AA9100D5A52CE0836EC064D56ADEF7772B1", "Open")</f>
        <v>Open</v>
      </c>
      <c r="J541" t="s">
        <v>20</v>
      </c>
      <c r="K541" t="s">
        <v>21</v>
      </c>
      <c r="L541">
        <v>1449000</v>
      </c>
      <c r="M541">
        <v>144900</v>
      </c>
    </row>
    <row r="542" spans="1:13" x14ac:dyDescent="0.25">
      <c r="A542" t="s">
        <v>1948</v>
      </c>
      <c r="B542" t="s">
        <v>1949</v>
      </c>
      <c r="C542" t="s">
        <v>121</v>
      </c>
      <c r="D542" t="s">
        <v>1950</v>
      </c>
      <c r="E542" t="s">
        <v>654</v>
      </c>
      <c r="F542" t="s">
        <v>334</v>
      </c>
      <c r="G542" t="s">
        <v>1951</v>
      </c>
      <c r="H542" t="str">
        <f>HYPERLINK("https://baanknet.com/view-property/286745/1964E99CFD207D30C40C097454C1EB4BDD44B4D0E4D6ECDCC7A00BE542345CB8", "https://baanknet.com/view-property/286745/1964E99CFD207D30C40C097454C1EB4BDD44B4D0E4D6ECDCC7A00BE542345CB8")</f>
        <v>https://baanknet.com/view-property/286745/1964E99CFD207D30C40C097454C1EB4BDD44B4D0E4D6ECDCC7A00BE542345CB8</v>
      </c>
      <c r="I542" t="str">
        <f>HYPERLINK("https://baanknet.com/view-property/286745/1964E99CFD207D30C40C097454C1EB4BDD44B4D0E4D6ECDCC7A00BE542345CB8", "Open")</f>
        <v>Open</v>
      </c>
      <c r="J542" t="s">
        <v>20</v>
      </c>
      <c r="K542" t="s">
        <v>21</v>
      </c>
      <c r="L542">
        <v>5930000</v>
      </c>
      <c r="M542">
        <v>593000</v>
      </c>
    </row>
    <row r="543" spans="1:13" x14ac:dyDescent="0.25">
      <c r="A543" t="s">
        <v>1952</v>
      </c>
      <c r="B543" t="s">
        <v>1953</v>
      </c>
      <c r="C543" t="s">
        <v>121</v>
      </c>
      <c r="D543" t="s">
        <v>1807</v>
      </c>
      <c r="E543" t="s">
        <v>654</v>
      </c>
      <c r="F543" t="s">
        <v>334</v>
      </c>
      <c r="G543" t="s">
        <v>1954</v>
      </c>
      <c r="H543" t="str">
        <f>HYPERLINK("https://baanknet.com/view-property/286744/043C31B794860DE69C4B09D846F0F3F534BAF7171A41D3825D824865252008CF", "https://baanknet.com/view-property/286744/043C31B794860DE69C4B09D846F0F3F534BAF7171A41D3825D824865252008CF")</f>
        <v>https://baanknet.com/view-property/286744/043C31B794860DE69C4B09D846F0F3F534BAF7171A41D3825D824865252008CF</v>
      </c>
      <c r="I543" t="str">
        <f>HYPERLINK("https://baanknet.com/view-property/286744/043C31B794860DE69C4B09D846F0F3F534BAF7171A41D3825D824865252008CF", "Open")</f>
        <v>Open</v>
      </c>
      <c r="J543" t="s">
        <v>20</v>
      </c>
      <c r="K543" t="s">
        <v>21</v>
      </c>
      <c r="L543">
        <v>32550000</v>
      </c>
      <c r="M543">
        <v>3255000</v>
      </c>
    </row>
    <row r="544" spans="1:13" x14ac:dyDescent="0.25">
      <c r="A544" t="s">
        <v>1955</v>
      </c>
      <c r="B544" t="s">
        <v>1956</v>
      </c>
      <c r="C544" t="s">
        <v>121</v>
      </c>
      <c r="D544" t="s">
        <v>1957</v>
      </c>
      <c r="E544" t="s">
        <v>654</v>
      </c>
      <c r="F544" t="s">
        <v>334</v>
      </c>
      <c r="G544" t="s">
        <v>1958</v>
      </c>
      <c r="H544" t="str">
        <f>HYPERLINK("https://baanknet.com/view-property/174804/5C549D305191084D08D418AF6631D5183CBB9C6B2FB84E69C72CE049B85E48CE", "https://baanknet.com/view-property/174804/5C549D305191084D08D418AF6631D5183CBB9C6B2FB84E69C72CE049B85E48CE")</f>
        <v>https://baanknet.com/view-property/174804/5C549D305191084D08D418AF6631D5183CBB9C6B2FB84E69C72CE049B85E48CE</v>
      </c>
      <c r="I544" t="str">
        <f>HYPERLINK("https://baanknet.com/view-property/174804/5C549D305191084D08D418AF6631D5183CBB9C6B2FB84E69C72CE049B85E48CE", "Open")</f>
        <v>Open</v>
      </c>
      <c r="J544" t="s">
        <v>20</v>
      </c>
      <c r="K544" t="s">
        <v>21</v>
      </c>
      <c r="L544">
        <v>4576000</v>
      </c>
      <c r="M544">
        <v>457600</v>
      </c>
    </row>
    <row r="545" spans="1:13" x14ac:dyDescent="0.25">
      <c r="A545" t="s">
        <v>1959</v>
      </c>
      <c r="B545" t="s">
        <v>1960</v>
      </c>
      <c r="C545" t="s">
        <v>121</v>
      </c>
      <c r="D545" t="s">
        <v>1961</v>
      </c>
      <c r="E545" t="s">
        <v>654</v>
      </c>
      <c r="F545" t="s">
        <v>334</v>
      </c>
      <c r="G545" t="s">
        <v>1962</v>
      </c>
      <c r="H545" t="str">
        <f>HYPERLINK("https://baanknet.com/view-property/218665/ADE491932DFA3F5B4988BB42561264FBE4CADFEAB3C268E184690640AD60ECD4", "https://baanknet.com/view-property/218665/ADE491932DFA3F5B4988BB42561264FBE4CADFEAB3C268E184690640AD60ECD4")</f>
        <v>https://baanknet.com/view-property/218665/ADE491932DFA3F5B4988BB42561264FBE4CADFEAB3C268E184690640AD60ECD4</v>
      </c>
      <c r="I545" t="str">
        <f>HYPERLINK("https://baanknet.com/view-property/218665/ADE491932DFA3F5B4988BB42561264FBE4CADFEAB3C268E184690640AD60ECD4", "Open")</f>
        <v>Open</v>
      </c>
      <c r="J545" t="s">
        <v>20</v>
      </c>
      <c r="K545" t="s">
        <v>21</v>
      </c>
      <c r="L545">
        <v>2238000</v>
      </c>
      <c r="M545">
        <v>223800</v>
      </c>
    </row>
    <row r="546" spans="1:13" x14ac:dyDescent="0.25">
      <c r="A546" t="s">
        <v>1963</v>
      </c>
      <c r="B546" t="s">
        <v>1964</v>
      </c>
      <c r="C546" t="s">
        <v>121</v>
      </c>
      <c r="D546" t="s">
        <v>1051</v>
      </c>
      <c r="E546" t="s">
        <v>654</v>
      </c>
      <c r="F546" t="s">
        <v>334</v>
      </c>
      <c r="G546" t="s">
        <v>1965</v>
      </c>
      <c r="H546" t="str">
        <f>HYPERLINK("https://baanknet.com/view-property/181116/06E5804E704DE76A3306C46E19BCE762C9272B1500D9A05189BC77F443A68EB5", "https://baanknet.com/view-property/181116/06E5804E704DE76A3306C46E19BCE762C9272B1500D9A05189BC77F443A68EB5")</f>
        <v>https://baanknet.com/view-property/181116/06E5804E704DE76A3306C46E19BCE762C9272B1500D9A05189BC77F443A68EB5</v>
      </c>
      <c r="I546" t="str">
        <f>HYPERLINK("https://baanknet.com/view-property/181116/06E5804E704DE76A3306C46E19BCE762C9272B1500D9A05189BC77F443A68EB5", "Open")</f>
        <v>Open</v>
      </c>
      <c r="J546" t="s">
        <v>20</v>
      </c>
      <c r="K546" t="s">
        <v>21</v>
      </c>
      <c r="L546">
        <v>5121000</v>
      </c>
      <c r="M546">
        <v>512100</v>
      </c>
    </row>
    <row r="547" spans="1:13" x14ac:dyDescent="0.25">
      <c r="A547" t="s">
        <v>1966</v>
      </c>
      <c r="B547" t="s">
        <v>1967</v>
      </c>
      <c r="C547" t="s">
        <v>121</v>
      </c>
      <c r="D547" t="s">
        <v>1968</v>
      </c>
      <c r="E547" t="s">
        <v>654</v>
      </c>
      <c r="F547" t="s">
        <v>334</v>
      </c>
      <c r="G547" t="s">
        <v>1969</v>
      </c>
      <c r="H547" t="str">
        <f>HYPERLINK("https://baanknet.com/view-property/234163/050430724F2B1AC43623733FEAB9FAF1AE59125DF4DEE8AE0D6B441CA6FB0E1C", "https://baanknet.com/view-property/234163/050430724F2B1AC43623733FEAB9FAF1AE59125DF4DEE8AE0D6B441CA6FB0E1C")</f>
        <v>https://baanknet.com/view-property/234163/050430724F2B1AC43623733FEAB9FAF1AE59125DF4DEE8AE0D6B441CA6FB0E1C</v>
      </c>
      <c r="I547" t="str">
        <f>HYPERLINK("https://baanknet.com/view-property/234163/050430724F2B1AC43623733FEAB9FAF1AE59125DF4DEE8AE0D6B441CA6FB0E1C", "Open")</f>
        <v>Open</v>
      </c>
      <c r="J547" t="s">
        <v>20</v>
      </c>
      <c r="K547" t="s">
        <v>21</v>
      </c>
      <c r="L547">
        <v>2209000</v>
      </c>
      <c r="M547">
        <v>220900</v>
      </c>
    </row>
    <row r="548" spans="1:13" x14ac:dyDescent="0.25">
      <c r="A548" t="s">
        <v>1970</v>
      </c>
      <c r="B548" t="s">
        <v>1971</v>
      </c>
      <c r="C548" t="s">
        <v>121</v>
      </c>
      <c r="D548" t="s">
        <v>1310</v>
      </c>
      <c r="E548" t="s">
        <v>654</v>
      </c>
      <c r="F548" t="s">
        <v>334</v>
      </c>
      <c r="G548" t="s">
        <v>1972</v>
      </c>
      <c r="H548" t="str">
        <f>HYPERLINK("https://baanknet.com/view-property/179936/2E9D60BCDD3F954262D879816ABDA71D1839C0716F12A2E85098854899ED722E", "https://baanknet.com/view-property/179936/2E9D60BCDD3F954262D879816ABDA71D1839C0716F12A2E85098854899ED722E")</f>
        <v>https://baanknet.com/view-property/179936/2E9D60BCDD3F954262D879816ABDA71D1839C0716F12A2E85098854899ED722E</v>
      </c>
      <c r="I548" t="str">
        <f>HYPERLINK("https://baanknet.com/view-property/179936/2E9D60BCDD3F954262D879816ABDA71D1839C0716F12A2E85098854899ED722E", "Open")</f>
        <v>Open</v>
      </c>
      <c r="J548" t="s">
        <v>20</v>
      </c>
      <c r="K548" t="s">
        <v>21</v>
      </c>
      <c r="L548">
        <v>14000000</v>
      </c>
      <c r="M548">
        <v>1400000</v>
      </c>
    </row>
    <row r="549" spans="1:13" x14ac:dyDescent="0.25">
      <c r="A549" t="s">
        <v>1973</v>
      </c>
      <c r="B549" t="s">
        <v>1974</v>
      </c>
      <c r="C549" t="s">
        <v>121</v>
      </c>
      <c r="D549" t="s">
        <v>1961</v>
      </c>
      <c r="E549" t="s">
        <v>654</v>
      </c>
      <c r="F549" t="s">
        <v>334</v>
      </c>
      <c r="G549" t="s">
        <v>1975</v>
      </c>
      <c r="H549" t="str">
        <f>HYPERLINK("https://baanknet.com/view-property/179474/773205D3D89B6C53E524F0627F21F33A38C6B803F4630FB634815B92B3E3909D", "https://baanknet.com/view-property/179474/773205D3D89B6C53E524F0627F21F33A38C6B803F4630FB634815B92B3E3909D")</f>
        <v>https://baanknet.com/view-property/179474/773205D3D89B6C53E524F0627F21F33A38C6B803F4630FB634815B92B3E3909D</v>
      </c>
      <c r="I549" t="str">
        <f>HYPERLINK("https://baanknet.com/view-property/179474/773205D3D89B6C53E524F0627F21F33A38C6B803F4630FB634815B92B3E3909D", "Open")</f>
        <v>Open</v>
      </c>
      <c r="J549" t="s">
        <v>20</v>
      </c>
      <c r="K549" t="s">
        <v>21</v>
      </c>
      <c r="L549">
        <v>4689000</v>
      </c>
      <c r="M549">
        <v>468900</v>
      </c>
    </row>
    <row r="550" spans="1:13" x14ac:dyDescent="0.25">
      <c r="A550" t="s">
        <v>1976</v>
      </c>
      <c r="B550" t="s">
        <v>1977</v>
      </c>
      <c r="C550" t="s">
        <v>121</v>
      </c>
      <c r="D550" t="s">
        <v>1968</v>
      </c>
      <c r="E550" t="s">
        <v>654</v>
      </c>
      <c r="F550" t="s">
        <v>334</v>
      </c>
      <c r="G550" t="s">
        <v>1978</v>
      </c>
      <c r="H550" t="str">
        <f>HYPERLINK("https://baanknet.com/view-property/255421/31B081C0F375875F8B8C591C29650A268D223C94E9CE2B8F3A0ABB5498623659", "https://baanknet.com/view-property/255421/31B081C0F375875F8B8C591C29650A268D223C94E9CE2B8F3A0ABB5498623659")</f>
        <v>https://baanknet.com/view-property/255421/31B081C0F375875F8B8C591C29650A268D223C94E9CE2B8F3A0ABB5498623659</v>
      </c>
      <c r="I550" t="str">
        <f>HYPERLINK("https://baanknet.com/view-property/255421/31B081C0F375875F8B8C591C29650A268D223C94E9CE2B8F3A0ABB5498623659", "Open")</f>
        <v>Open</v>
      </c>
      <c r="J550" t="s">
        <v>20</v>
      </c>
      <c r="K550" t="s">
        <v>21</v>
      </c>
      <c r="L550">
        <v>2232000</v>
      </c>
      <c r="M550">
        <v>223200</v>
      </c>
    </row>
    <row r="551" spans="1:13" x14ac:dyDescent="0.25">
      <c r="A551" t="s">
        <v>1979</v>
      </c>
      <c r="B551" t="s">
        <v>1980</v>
      </c>
      <c r="C551" t="s">
        <v>121</v>
      </c>
      <c r="D551" t="s">
        <v>1310</v>
      </c>
      <c r="E551" t="s">
        <v>654</v>
      </c>
      <c r="F551" t="s">
        <v>334</v>
      </c>
      <c r="G551" t="s">
        <v>1981</v>
      </c>
      <c r="H551" t="str">
        <f>HYPERLINK("https://baanknet.com/view-property/272140/F286DE25D336176B9D568624CD456C44D0E2312879723084714D101E4577B8F9", "https://baanknet.com/view-property/272140/F286DE25D336176B9D568624CD456C44D0E2312879723084714D101E4577B8F9")</f>
        <v>https://baanknet.com/view-property/272140/F286DE25D336176B9D568624CD456C44D0E2312879723084714D101E4577B8F9</v>
      </c>
      <c r="I551" t="str">
        <f>HYPERLINK("https://baanknet.com/view-property/272140/F286DE25D336176B9D568624CD456C44D0E2312879723084714D101E4577B8F9", "Open")</f>
        <v>Open</v>
      </c>
      <c r="J551" t="s">
        <v>20</v>
      </c>
      <c r="K551" t="s">
        <v>21</v>
      </c>
      <c r="L551">
        <v>3375000</v>
      </c>
      <c r="M551">
        <v>337500</v>
      </c>
    </row>
    <row r="552" spans="1:13" x14ac:dyDescent="0.25">
      <c r="A552" t="s">
        <v>1982</v>
      </c>
      <c r="B552" t="s">
        <v>1983</v>
      </c>
      <c r="C552" t="s">
        <v>121</v>
      </c>
      <c r="D552" t="s">
        <v>1051</v>
      </c>
      <c r="E552" t="s">
        <v>654</v>
      </c>
      <c r="F552" t="s">
        <v>334</v>
      </c>
      <c r="G552" t="s">
        <v>1984</v>
      </c>
      <c r="H552" t="str">
        <f>HYPERLINK("https://baanknet.com/view-property/214556/5467D11B4118179A8F959A79B6D7A8A51AB019B9DA2555A64318A09343E56508", "https://baanknet.com/view-property/214556/5467D11B4118179A8F959A79B6D7A8A51AB019B9DA2555A64318A09343E56508")</f>
        <v>https://baanknet.com/view-property/214556/5467D11B4118179A8F959A79B6D7A8A51AB019B9DA2555A64318A09343E56508</v>
      </c>
      <c r="I552" t="str">
        <f>HYPERLINK("https://baanknet.com/view-property/214556/5467D11B4118179A8F959A79B6D7A8A51AB019B9DA2555A64318A09343E56508", "Open")</f>
        <v>Open</v>
      </c>
      <c r="J552" t="s">
        <v>20</v>
      </c>
      <c r="K552" t="s">
        <v>21</v>
      </c>
      <c r="L552">
        <v>3628000</v>
      </c>
      <c r="M552">
        <v>362800</v>
      </c>
    </row>
    <row r="553" spans="1:13" x14ac:dyDescent="0.25">
      <c r="A553" t="s">
        <v>1985</v>
      </c>
      <c r="B553" t="s">
        <v>1986</v>
      </c>
      <c r="C553" t="s">
        <v>121</v>
      </c>
      <c r="D553" t="s">
        <v>1310</v>
      </c>
      <c r="E553" t="s">
        <v>654</v>
      </c>
      <c r="F553" t="s">
        <v>334</v>
      </c>
      <c r="G553" t="s">
        <v>1987</v>
      </c>
      <c r="H553" t="str">
        <f>HYPERLINK("https://baanknet.com/view-property/272138/F843B23B8BB790239F5C66A4DFA8661D06911A16D650F68AC4BC6FD5324C2F82", "https://baanknet.com/view-property/272138/F843B23B8BB790239F5C66A4DFA8661D06911A16D650F68AC4BC6FD5324C2F82")</f>
        <v>https://baanknet.com/view-property/272138/F843B23B8BB790239F5C66A4DFA8661D06911A16D650F68AC4BC6FD5324C2F82</v>
      </c>
      <c r="I553" t="str">
        <f>HYPERLINK("https://baanknet.com/view-property/272138/F843B23B8BB790239F5C66A4DFA8661D06911A16D650F68AC4BC6FD5324C2F82", "Open")</f>
        <v>Open</v>
      </c>
      <c r="J553" t="s">
        <v>20</v>
      </c>
      <c r="K553" t="s">
        <v>21</v>
      </c>
      <c r="L553">
        <v>3375000</v>
      </c>
      <c r="M553">
        <v>337500</v>
      </c>
    </row>
    <row r="554" spans="1:13" x14ac:dyDescent="0.25">
      <c r="A554" t="s">
        <v>1988</v>
      </c>
      <c r="B554" t="s">
        <v>1989</v>
      </c>
      <c r="C554" t="s">
        <v>121</v>
      </c>
      <c r="D554" t="s">
        <v>1051</v>
      </c>
      <c r="E554" t="s">
        <v>654</v>
      </c>
      <c r="F554" t="s">
        <v>334</v>
      </c>
      <c r="G554" t="s">
        <v>1990</v>
      </c>
      <c r="H554" t="str">
        <f>HYPERLINK("https://baanknet.com/view-property/214557/094172359D63E6DC4A5BBC33F6F05B33575C58FBFF34FCC6124F76449BE3A66B", "https://baanknet.com/view-property/214557/094172359D63E6DC4A5BBC33F6F05B33575C58FBFF34FCC6124F76449BE3A66B")</f>
        <v>https://baanknet.com/view-property/214557/094172359D63E6DC4A5BBC33F6F05B33575C58FBFF34FCC6124F76449BE3A66B</v>
      </c>
      <c r="I554" t="str">
        <f>HYPERLINK("https://baanknet.com/view-property/214557/094172359D63E6DC4A5BBC33F6F05B33575C58FBFF34FCC6124F76449BE3A66B", "Open")</f>
        <v>Open</v>
      </c>
      <c r="J554" t="s">
        <v>20</v>
      </c>
      <c r="K554" t="s">
        <v>21</v>
      </c>
      <c r="L554">
        <v>2432000</v>
      </c>
      <c r="M554">
        <v>243200</v>
      </c>
    </row>
    <row r="555" spans="1:13" x14ac:dyDescent="0.25">
      <c r="A555" t="s">
        <v>1991</v>
      </c>
      <c r="B555" t="s">
        <v>1992</v>
      </c>
      <c r="C555" t="s">
        <v>121</v>
      </c>
      <c r="D555" t="s">
        <v>1993</v>
      </c>
      <c r="E555" t="s">
        <v>654</v>
      </c>
      <c r="F555" t="s">
        <v>334</v>
      </c>
      <c r="G555" t="s">
        <v>1994</v>
      </c>
      <c r="H555" t="str">
        <f>HYPERLINK("https://baanknet.com/view-property/281926/BDF86F56393524BD809C48FD8A59E6513D37E605EFDFAA4080D78DA6C80B6C91", "https://baanknet.com/view-property/281926/BDF86F56393524BD809C48FD8A59E6513D37E605EFDFAA4080D78DA6C80B6C91")</f>
        <v>https://baanknet.com/view-property/281926/BDF86F56393524BD809C48FD8A59E6513D37E605EFDFAA4080D78DA6C80B6C91</v>
      </c>
      <c r="I555" t="str">
        <f>HYPERLINK("https://baanknet.com/view-property/281926/BDF86F56393524BD809C48FD8A59E6513D37E605EFDFAA4080D78DA6C80B6C91", "Open")</f>
        <v>Open</v>
      </c>
      <c r="J555" t="s">
        <v>20</v>
      </c>
      <c r="K555" t="s">
        <v>21</v>
      </c>
      <c r="L555">
        <v>3300000</v>
      </c>
      <c r="M555">
        <v>330000</v>
      </c>
    </row>
    <row r="556" spans="1:13" x14ac:dyDescent="0.25">
      <c r="A556" t="s">
        <v>1995</v>
      </c>
      <c r="B556" t="s">
        <v>1996</v>
      </c>
      <c r="C556" t="s">
        <v>121</v>
      </c>
      <c r="D556" t="s">
        <v>1997</v>
      </c>
      <c r="E556" t="s">
        <v>654</v>
      </c>
      <c r="F556" t="s">
        <v>334</v>
      </c>
      <c r="G556" t="s">
        <v>1998</v>
      </c>
      <c r="H556" t="str">
        <f>HYPERLINK("https://baanknet.com/view-property/189754/81D7F847E906CA63C3D9191690D4AB804C94456DA72368B6DF32E6CEB225A054", "https://baanknet.com/view-property/189754/81D7F847E906CA63C3D9191690D4AB804C94456DA72368B6DF32E6CEB225A054")</f>
        <v>https://baanknet.com/view-property/189754/81D7F847E906CA63C3D9191690D4AB804C94456DA72368B6DF32E6CEB225A054</v>
      </c>
      <c r="I556" t="str">
        <f>HYPERLINK("https://baanknet.com/view-property/189754/81D7F847E906CA63C3D9191690D4AB804C94456DA72368B6DF32E6CEB225A054", "Open")</f>
        <v>Open</v>
      </c>
      <c r="J556" t="s">
        <v>20</v>
      </c>
      <c r="K556" t="s">
        <v>21</v>
      </c>
      <c r="L556">
        <v>10503000</v>
      </c>
      <c r="M556">
        <v>1050300</v>
      </c>
    </row>
    <row r="557" spans="1:13" x14ac:dyDescent="0.25">
      <c r="A557" t="s">
        <v>1999</v>
      </c>
      <c r="B557" t="s">
        <v>2000</v>
      </c>
      <c r="C557" t="s">
        <v>121</v>
      </c>
      <c r="D557" t="s">
        <v>1051</v>
      </c>
      <c r="E557" t="s">
        <v>654</v>
      </c>
      <c r="F557" t="s">
        <v>334</v>
      </c>
      <c r="G557" t="s">
        <v>2001</v>
      </c>
      <c r="H557" t="str">
        <f>HYPERLINK("https://baanknet.com/view-property/189443/31D6F74DBAB51F0AE023A86D12AEF47637C08EA273D9175530937A163626B1CD", "https://baanknet.com/view-property/189443/31D6F74DBAB51F0AE023A86D12AEF47637C08EA273D9175530937A163626B1CD")</f>
        <v>https://baanknet.com/view-property/189443/31D6F74DBAB51F0AE023A86D12AEF47637C08EA273D9175530937A163626B1CD</v>
      </c>
      <c r="I557" t="str">
        <f>HYPERLINK("https://baanknet.com/view-property/189443/31D6F74DBAB51F0AE023A86D12AEF47637C08EA273D9175530937A163626B1CD", "Open")</f>
        <v>Open</v>
      </c>
      <c r="J557" t="s">
        <v>20</v>
      </c>
      <c r="K557" t="s">
        <v>21</v>
      </c>
    </row>
    <row r="558" spans="1:13" x14ac:dyDescent="0.25">
      <c r="A558" t="s">
        <v>2002</v>
      </c>
      <c r="B558" t="s">
        <v>2003</v>
      </c>
      <c r="C558" t="s">
        <v>121</v>
      </c>
      <c r="D558" t="s">
        <v>1263</v>
      </c>
      <c r="E558" t="s">
        <v>654</v>
      </c>
      <c r="F558" t="s">
        <v>334</v>
      </c>
      <c r="G558" t="s">
        <v>2004</v>
      </c>
      <c r="H558" t="str">
        <f>HYPERLINK("https://baanknet.com/view-property/279476/C73518D93F0762D5075533972D003D809264CA5C255CE6A6626E43526B8957E9", "https://baanknet.com/view-property/279476/C73518D93F0762D5075533972D003D809264CA5C255CE6A6626E43526B8957E9")</f>
        <v>https://baanknet.com/view-property/279476/C73518D93F0762D5075533972D003D809264CA5C255CE6A6626E43526B8957E9</v>
      </c>
      <c r="I558" t="str">
        <f>HYPERLINK("https://baanknet.com/view-property/279476/C73518D93F0762D5075533972D003D809264CA5C255CE6A6626E43526B8957E9", "Open")</f>
        <v>Open</v>
      </c>
      <c r="J558" t="s">
        <v>20</v>
      </c>
      <c r="K558" t="s">
        <v>21</v>
      </c>
      <c r="L558">
        <v>21384000</v>
      </c>
      <c r="M558">
        <v>2138400</v>
      </c>
    </row>
    <row r="559" spans="1:13" x14ac:dyDescent="0.25">
      <c r="A559" t="s">
        <v>2005</v>
      </c>
      <c r="B559" t="s">
        <v>2006</v>
      </c>
      <c r="C559" t="s">
        <v>121</v>
      </c>
      <c r="D559" t="s">
        <v>2007</v>
      </c>
      <c r="E559" t="s">
        <v>654</v>
      </c>
      <c r="F559" t="s">
        <v>334</v>
      </c>
      <c r="G559" t="s">
        <v>2008</v>
      </c>
      <c r="H559" t="str">
        <f>HYPERLINK("https://baanknet.com/view-property/254995/A8503038A80A8F53C4FD23E32C34E7896F2BD24DDE0EB15F07BB310FECD72F5A", "https://baanknet.com/view-property/254995/A8503038A80A8F53C4FD23E32C34E7896F2BD24DDE0EB15F07BB310FECD72F5A")</f>
        <v>https://baanknet.com/view-property/254995/A8503038A80A8F53C4FD23E32C34E7896F2BD24DDE0EB15F07BB310FECD72F5A</v>
      </c>
      <c r="I559" t="str">
        <f>HYPERLINK("https://baanknet.com/view-property/254995/A8503038A80A8F53C4FD23E32C34E7896F2BD24DDE0EB15F07BB310FECD72F5A", "Open")</f>
        <v>Open</v>
      </c>
      <c r="J559" t="s">
        <v>20</v>
      </c>
      <c r="K559" t="s">
        <v>21</v>
      </c>
      <c r="L559">
        <v>560363</v>
      </c>
      <c r="M559">
        <v>57000</v>
      </c>
    </row>
    <row r="560" spans="1:13" x14ac:dyDescent="0.25">
      <c r="A560" t="s">
        <v>2009</v>
      </c>
      <c r="B560" t="s">
        <v>2010</v>
      </c>
      <c r="C560" t="s">
        <v>121</v>
      </c>
      <c r="D560" t="s">
        <v>1936</v>
      </c>
      <c r="E560" t="s">
        <v>654</v>
      </c>
      <c r="F560" t="s">
        <v>334</v>
      </c>
      <c r="G560" t="s">
        <v>2011</v>
      </c>
      <c r="H560" t="str">
        <f>HYPERLINK("https://baanknet.com/view-property/176388/CEE7E635E3206CE30A7C5C5FBE81114F50142596BC7DB24E689BD3B18F445283", "https://baanknet.com/view-property/176388/CEE7E635E3206CE30A7C5C5FBE81114F50142596BC7DB24E689BD3B18F445283")</f>
        <v>https://baanknet.com/view-property/176388/CEE7E635E3206CE30A7C5C5FBE81114F50142596BC7DB24E689BD3B18F445283</v>
      </c>
      <c r="I560" t="str">
        <f>HYPERLINK("https://baanknet.com/view-property/176388/CEE7E635E3206CE30A7C5C5FBE81114F50142596BC7DB24E689BD3B18F445283", "Open")</f>
        <v>Open</v>
      </c>
      <c r="J560" t="s">
        <v>20</v>
      </c>
      <c r="K560" t="s">
        <v>21</v>
      </c>
      <c r="L560">
        <v>3215700</v>
      </c>
      <c r="M560">
        <v>321570</v>
      </c>
    </row>
    <row r="561" spans="1:13" x14ac:dyDescent="0.25">
      <c r="A561" t="s">
        <v>2012</v>
      </c>
      <c r="B561" t="s">
        <v>2013</v>
      </c>
      <c r="C561" t="s">
        <v>332</v>
      </c>
      <c r="D561" t="s">
        <v>907</v>
      </c>
      <c r="E561" t="s">
        <v>654</v>
      </c>
      <c r="F561" t="s">
        <v>334</v>
      </c>
      <c r="G561" t="s">
        <v>2014</v>
      </c>
      <c r="H561" t="str">
        <f>HYPERLINK("https://baanknet.com/view-property/248015/285B2E18C8C00F451F1B73087BFF3A0B782F7889E9ECBC4DA11F9B96E15BA4EF", "https://baanknet.com/view-property/248015/285B2E18C8C00F451F1B73087BFF3A0B782F7889E9ECBC4DA11F9B96E15BA4EF")</f>
        <v>https://baanknet.com/view-property/248015/285B2E18C8C00F451F1B73087BFF3A0B782F7889E9ECBC4DA11F9B96E15BA4EF</v>
      </c>
      <c r="I561" t="str">
        <f>HYPERLINK("https://baanknet.com/view-property/248015/285B2E18C8C00F451F1B73087BFF3A0B782F7889E9ECBC4DA11F9B96E15BA4EF", "Open")</f>
        <v>Open</v>
      </c>
      <c r="J561" t="s">
        <v>20</v>
      </c>
      <c r="K561" t="s">
        <v>21</v>
      </c>
      <c r="L561">
        <v>958000</v>
      </c>
      <c r="M561">
        <v>95800</v>
      </c>
    </row>
    <row r="562" spans="1:13" x14ac:dyDescent="0.25">
      <c r="A562" t="s">
        <v>2015</v>
      </c>
      <c r="B562" t="s">
        <v>2016</v>
      </c>
      <c r="C562" t="s">
        <v>121</v>
      </c>
      <c r="D562" t="s">
        <v>1785</v>
      </c>
      <c r="E562" t="s">
        <v>654</v>
      </c>
      <c r="F562" t="s">
        <v>334</v>
      </c>
      <c r="G562" t="s">
        <v>2017</v>
      </c>
      <c r="H562" t="str">
        <f>HYPERLINK("https://baanknet.com/view-property/175980/B619B577EF759F56707378C40DDDA16FB99CDE1A306C007BF1A54D8CCF7578F4", "https://baanknet.com/view-property/175980/B619B577EF759F56707378C40DDDA16FB99CDE1A306C007BF1A54D8CCF7578F4")</f>
        <v>https://baanknet.com/view-property/175980/B619B577EF759F56707378C40DDDA16FB99CDE1A306C007BF1A54D8CCF7578F4</v>
      </c>
      <c r="I562" t="str">
        <f>HYPERLINK("https://baanknet.com/view-property/175980/B619B577EF759F56707378C40DDDA16FB99CDE1A306C007BF1A54D8CCF7578F4", "Open")</f>
        <v>Open</v>
      </c>
      <c r="J562" t="s">
        <v>20</v>
      </c>
      <c r="K562" t="s">
        <v>21</v>
      </c>
      <c r="L562">
        <v>4176000</v>
      </c>
      <c r="M562">
        <v>417600</v>
      </c>
    </row>
    <row r="563" spans="1:13" x14ac:dyDescent="0.25">
      <c r="A563" t="s">
        <v>2018</v>
      </c>
      <c r="B563" t="s">
        <v>2019</v>
      </c>
      <c r="C563" t="s">
        <v>332</v>
      </c>
      <c r="D563" t="s">
        <v>907</v>
      </c>
      <c r="E563" t="s">
        <v>654</v>
      </c>
      <c r="F563" t="s">
        <v>334</v>
      </c>
      <c r="G563" t="s">
        <v>2020</v>
      </c>
      <c r="H563" t="str">
        <f>HYPERLINK("https://baanknet.com/view-property/248052/BC1722CB803F7DD542D005EDA7F577D8EA6BA600BC36B0660959867491983465", "https://baanknet.com/view-property/248052/BC1722CB803F7DD542D005EDA7F577D8EA6BA600BC36B0660959867491983465")</f>
        <v>https://baanknet.com/view-property/248052/BC1722CB803F7DD542D005EDA7F577D8EA6BA600BC36B0660959867491983465</v>
      </c>
      <c r="I563" t="str">
        <f>HYPERLINK("https://baanknet.com/view-property/248052/BC1722CB803F7DD542D005EDA7F577D8EA6BA600BC36B0660959867491983465", "Open")</f>
        <v>Open</v>
      </c>
      <c r="J563" t="s">
        <v>20</v>
      </c>
      <c r="K563" t="s">
        <v>21</v>
      </c>
      <c r="L563">
        <v>819000</v>
      </c>
      <c r="M563">
        <v>81900</v>
      </c>
    </row>
    <row r="564" spans="1:13" x14ac:dyDescent="0.25">
      <c r="A564" t="s">
        <v>2021</v>
      </c>
      <c r="B564" t="s">
        <v>2022</v>
      </c>
      <c r="C564" t="s">
        <v>121</v>
      </c>
      <c r="D564" t="s">
        <v>1785</v>
      </c>
      <c r="E564" t="s">
        <v>654</v>
      </c>
      <c r="F564" t="s">
        <v>334</v>
      </c>
      <c r="G564" t="s">
        <v>2023</v>
      </c>
      <c r="H564" t="str">
        <f>HYPERLINK("https://baanknet.com/view-property/175981/4BAB8362BD13A4B5BBC3DD230FC2A5FD9974900B337C76DE2A1541F7AD16E632", "https://baanknet.com/view-property/175981/4BAB8362BD13A4B5BBC3DD230FC2A5FD9974900B337C76DE2A1541F7AD16E632")</f>
        <v>https://baanknet.com/view-property/175981/4BAB8362BD13A4B5BBC3DD230FC2A5FD9974900B337C76DE2A1541F7AD16E632</v>
      </c>
      <c r="I564" t="str">
        <f>HYPERLINK("https://baanknet.com/view-property/175981/4BAB8362BD13A4B5BBC3DD230FC2A5FD9974900B337C76DE2A1541F7AD16E632", "Open")</f>
        <v>Open</v>
      </c>
      <c r="J564" t="s">
        <v>20</v>
      </c>
      <c r="K564" t="s">
        <v>21</v>
      </c>
      <c r="L564">
        <v>2516000</v>
      </c>
      <c r="M564">
        <v>251600</v>
      </c>
    </row>
    <row r="565" spans="1:13" x14ac:dyDescent="0.25">
      <c r="A565" t="s">
        <v>2024</v>
      </c>
      <c r="B565" t="s">
        <v>2025</v>
      </c>
      <c r="C565" t="s">
        <v>121</v>
      </c>
      <c r="D565" t="s">
        <v>1051</v>
      </c>
      <c r="E565" t="s">
        <v>654</v>
      </c>
      <c r="F565" t="s">
        <v>334</v>
      </c>
      <c r="G565" t="s">
        <v>2026</v>
      </c>
      <c r="H565" t="str">
        <f>HYPERLINK("https://baanknet.com/view-property/185690/84840FFB690A0A86611DAF91BF5374E1250E2246FA5DB8D0ADC3CEAE8BBED66D", "https://baanknet.com/view-property/185690/84840FFB690A0A86611DAF91BF5374E1250E2246FA5DB8D0ADC3CEAE8BBED66D")</f>
        <v>https://baanknet.com/view-property/185690/84840FFB690A0A86611DAF91BF5374E1250E2246FA5DB8D0ADC3CEAE8BBED66D</v>
      </c>
      <c r="I565" t="str">
        <f>HYPERLINK("https://baanknet.com/view-property/185690/84840FFB690A0A86611DAF91BF5374E1250E2246FA5DB8D0ADC3CEAE8BBED66D", "Open")</f>
        <v>Open</v>
      </c>
      <c r="J565" t="s">
        <v>20</v>
      </c>
      <c r="K565" t="s">
        <v>21</v>
      </c>
      <c r="L565">
        <v>6846000</v>
      </c>
      <c r="M565">
        <v>684600</v>
      </c>
    </row>
    <row r="566" spans="1:13" x14ac:dyDescent="0.25">
      <c r="A566" t="s">
        <v>2027</v>
      </c>
      <c r="B566" t="s">
        <v>2028</v>
      </c>
      <c r="C566" t="s">
        <v>832</v>
      </c>
      <c r="D566" t="s">
        <v>2029</v>
      </c>
      <c r="E566" t="s">
        <v>654</v>
      </c>
      <c r="F566" t="s">
        <v>334</v>
      </c>
      <c r="G566" t="s">
        <v>2030</v>
      </c>
      <c r="H566" t="str">
        <f>HYPERLINK("https://baanknet.com/view-property/222781/E17C9EA537A68AA2BA1E3379807929C88AEC1E6C0CAE1EA50BA80F106E7D135E", "https://baanknet.com/view-property/222781/E17C9EA537A68AA2BA1E3379807929C88AEC1E6C0CAE1EA50BA80F106E7D135E")</f>
        <v>https://baanknet.com/view-property/222781/E17C9EA537A68AA2BA1E3379807929C88AEC1E6C0CAE1EA50BA80F106E7D135E</v>
      </c>
      <c r="I566" t="str">
        <f>HYPERLINK("https://baanknet.com/view-property/222781/E17C9EA537A68AA2BA1E3379807929C88AEC1E6C0CAE1EA50BA80F106E7D135E", "Open")</f>
        <v>Open</v>
      </c>
      <c r="J566" t="s">
        <v>20</v>
      </c>
      <c r="K566" t="s">
        <v>21</v>
      </c>
      <c r="L566">
        <v>1211000</v>
      </c>
      <c r="M566">
        <v>121100</v>
      </c>
    </row>
    <row r="567" spans="1:13" x14ac:dyDescent="0.25">
      <c r="A567" t="s">
        <v>2031</v>
      </c>
      <c r="B567" t="s">
        <v>2032</v>
      </c>
      <c r="C567" t="s">
        <v>121</v>
      </c>
      <c r="D567" t="s">
        <v>2033</v>
      </c>
      <c r="E567" t="s">
        <v>654</v>
      </c>
      <c r="F567" t="s">
        <v>334</v>
      </c>
      <c r="G567" t="s">
        <v>2034</v>
      </c>
      <c r="H567" t="str">
        <f>HYPERLINK("https://baanknet.com/view-property/175866/9CB411E7A01553C6641DB376B009A4C85067CEBEE3CBA8E5B31DD63B5450B97F", "https://baanknet.com/view-property/175866/9CB411E7A01553C6641DB376B009A4C85067CEBEE3CBA8E5B31DD63B5450B97F")</f>
        <v>https://baanknet.com/view-property/175866/9CB411E7A01553C6641DB376B009A4C85067CEBEE3CBA8E5B31DD63B5450B97F</v>
      </c>
      <c r="I567" t="str">
        <f>HYPERLINK("https://baanknet.com/view-property/175866/9CB411E7A01553C6641DB376B009A4C85067CEBEE3CBA8E5B31DD63B5450B97F", "Open")</f>
        <v>Open</v>
      </c>
      <c r="J567" t="s">
        <v>20</v>
      </c>
      <c r="K567" t="s">
        <v>21</v>
      </c>
      <c r="L567">
        <v>1730000</v>
      </c>
      <c r="M567">
        <v>173000</v>
      </c>
    </row>
    <row r="568" spans="1:13" x14ac:dyDescent="0.25">
      <c r="A568" t="s">
        <v>2035</v>
      </c>
      <c r="B568" t="s">
        <v>2036</v>
      </c>
      <c r="C568" t="s">
        <v>121</v>
      </c>
      <c r="D568" t="s">
        <v>2033</v>
      </c>
      <c r="E568" t="s">
        <v>654</v>
      </c>
      <c r="F568" t="s">
        <v>334</v>
      </c>
      <c r="G568" t="s">
        <v>2037</v>
      </c>
      <c r="H568" t="str">
        <f>HYPERLINK("https://baanknet.com/view-property/175865/5BCB8A82D209FE8275DBC66CE25B1FC0665E3EDC2F100FD8FB1D0134855169A6", "https://baanknet.com/view-property/175865/5BCB8A82D209FE8275DBC66CE25B1FC0665E3EDC2F100FD8FB1D0134855169A6")</f>
        <v>https://baanknet.com/view-property/175865/5BCB8A82D209FE8275DBC66CE25B1FC0665E3EDC2F100FD8FB1D0134855169A6</v>
      </c>
      <c r="I568" t="str">
        <f>HYPERLINK("https://baanknet.com/view-property/175865/5BCB8A82D209FE8275DBC66CE25B1FC0665E3EDC2F100FD8FB1D0134855169A6", "Open")</f>
        <v>Open</v>
      </c>
      <c r="J568" t="s">
        <v>20</v>
      </c>
      <c r="K568" t="s">
        <v>21</v>
      </c>
      <c r="L568">
        <v>3000000</v>
      </c>
      <c r="M568">
        <v>300000</v>
      </c>
    </row>
    <row r="569" spans="1:13" x14ac:dyDescent="0.25">
      <c r="A569" t="s">
        <v>2038</v>
      </c>
      <c r="B569" t="s">
        <v>2039</v>
      </c>
      <c r="C569" t="s">
        <v>121</v>
      </c>
      <c r="D569" t="s">
        <v>2033</v>
      </c>
      <c r="E569" t="s">
        <v>654</v>
      </c>
      <c r="F569" t="s">
        <v>334</v>
      </c>
      <c r="G569" t="s">
        <v>2040</v>
      </c>
      <c r="H569" t="str">
        <f>HYPERLINK("https://baanknet.com/view-property/174021/487E4A0C4BBBC22E9FB1717367855DF160B5931AE9AE84E694CEE744FA379453", "https://baanknet.com/view-property/174021/487E4A0C4BBBC22E9FB1717367855DF160B5931AE9AE84E694CEE744FA379453")</f>
        <v>https://baanknet.com/view-property/174021/487E4A0C4BBBC22E9FB1717367855DF160B5931AE9AE84E694CEE744FA379453</v>
      </c>
      <c r="I569" t="str">
        <f>HYPERLINK("https://baanknet.com/view-property/174021/487E4A0C4BBBC22E9FB1717367855DF160B5931AE9AE84E694CEE744FA379453", "Open")</f>
        <v>Open</v>
      </c>
      <c r="J569" t="s">
        <v>20</v>
      </c>
      <c r="K569" t="s">
        <v>21</v>
      </c>
      <c r="L569">
        <v>1730000</v>
      </c>
      <c r="M569">
        <v>173000</v>
      </c>
    </row>
    <row r="570" spans="1:13" x14ac:dyDescent="0.25">
      <c r="A570" t="s">
        <v>2041</v>
      </c>
      <c r="B570" t="s">
        <v>2042</v>
      </c>
      <c r="C570" t="s">
        <v>121</v>
      </c>
      <c r="D570" t="s">
        <v>553</v>
      </c>
      <c r="E570" t="s">
        <v>654</v>
      </c>
      <c r="F570" t="s">
        <v>334</v>
      </c>
      <c r="G570" t="s">
        <v>2043</v>
      </c>
      <c r="H570" t="str">
        <f>HYPERLINK("https://baanknet.com/view-property/200820/AE8A91BCDEED96415F4DD72DC966840B1E13055123DDB1DEAF5134E61FF90AA8", "https://baanknet.com/view-property/200820/AE8A91BCDEED96415F4DD72DC966840B1E13055123DDB1DEAF5134E61FF90AA8")</f>
        <v>https://baanknet.com/view-property/200820/AE8A91BCDEED96415F4DD72DC966840B1E13055123DDB1DEAF5134E61FF90AA8</v>
      </c>
      <c r="I570" t="str">
        <f>HYPERLINK("https://baanknet.com/view-property/200820/AE8A91BCDEED96415F4DD72DC966840B1E13055123DDB1DEAF5134E61FF90AA8", "Open")</f>
        <v>Open</v>
      </c>
      <c r="J570" t="s">
        <v>20</v>
      </c>
      <c r="K570" t="s">
        <v>21</v>
      </c>
      <c r="L570">
        <v>3400000</v>
      </c>
      <c r="M570">
        <v>340000</v>
      </c>
    </row>
    <row r="571" spans="1:13" x14ac:dyDescent="0.25">
      <c r="A571" t="s">
        <v>2044</v>
      </c>
      <c r="B571" t="s">
        <v>2045</v>
      </c>
      <c r="C571" t="s">
        <v>121</v>
      </c>
      <c r="D571" t="s">
        <v>1051</v>
      </c>
      <c r="E571" t="s">
        <v>654</v>
      </c>
      <c r="F571" t="s">
        <v>334</v>
      </c>
      <c r="G571" t="s">
        <v>2046</v>
      </c>
      <c r="H571" t="str">
        <f>HYPERLINK("https://baanknet.com/view-property/185693/27FC881A769359250B35407D828716E09CFA4C81E4A4D7DC39083C8441166CBC", "https://baanknet.com/view-property/185693/27FC881A769359250B35407D828716E09CFA4C81E4A4D7DC39083C8441166CBC")</f>
        <v>https://baanknet.com/view-property/185693/27FC881A769359250B35407D828716E09CFA4C81E4A4D7DC39083C8441166CBC</v>
      </c>
      <c r="I571" t="str">
        <f>HYPERLINK("https://baanknet.com/view-property/185693/27FC881A769359250B35407D828716E09CFA4C81E4A4D7DC39083C8441166CBC", "Open")</f>
        <v>Open</v>
      </c>
      <c r="J571" t="s">
        <v>20</v>
      </c>
      <c r="K571" t="s">
        <v>21</v>
      </c>
      <c r="L571">
        <v>3717000</v>
      </c>
      <c r="M571">
        <v>371700</v>
      </c>
    </row>
    <row r="572" spans="1:13" x14ac:dyDescent="0.25">
      <c r="A572" t="s">
        <v>2047</v>
      </c>
      <c r="B572" t="s">
        <v>2048</v>
      </c>
      <c r="C572" t="s">
        <v>332</v>
      </c>
      <c r="D572" t="s">
        <v>282</v>
      </c>
      <c r="E572" t="s">
        <v>654</v>
      </c>
      <c r="F572" t="s">
        <v>334</v>
      </c>
      <c r="G572" t="s">
        <v>2049</v>
      </c>
      <c r="H572" t="str">
        <f>HYPERLINK("https://baanknet.com/view-property/252040/677BD66016991C460FC0A78C04707EFB2B24AAFC0F13A8A481592CBBE1DF3AC9", "https://baanknet.com/view-property/252040/677BD66016991C460FC0A78C04707EFB2B24AAFC0F13A8A481592CBBE1DF3AC9")</f>
        <v>https://baanknet.com/view-property/252040/677BD66016991C460FC0A78C04707EFB2B24AAFC0F13A8A481592CBBE1DF3AC9</v>
      </c>
      <c r="I572" t="str">
        <f>HYPERLINK("https://baanknet.com/view-property/252040/677BD66016991C460FC0A78C04707EFB2B24AAFC0F13A8A481592CBBE1DF3AC9", "Open")</f>
        <v>Open</v>
      </c>
      <c r="J572" t="s">
        <v>20</v>
      </c>
      <c r="K572" t="s">
        <v>21</v>
      </c>
      <c r="L572">
        <v>5490000</v>
      </c>
      <c r="M572">
        <v>549000</v>
      </c>
    </row>
    <row r="573" spans="1:13" x14ac:dyDescent="0.25">
      <c r="A573" t="s">
        <v>2050</v>
      </c>
      <c r="B573" t="s">
        <v>2051</v>
      </c>
      <c r="C573" t="s">
        <v>121</v>
      </c>
      <c r="D573" t="s">
        <v>2052</v>
      </c>
      <c r="E573" t="s">
        <v>654</v>
      </c>
      <c r="F573" t="s">
        <v>334</v>
      </c>
      <c r="G573" t="s">
        <v>2053</v>
      </c>
      <c r="H573" t="str">
        <f>HYPERLINK("https://baanknet.com/view-property/236389/04F8FB1AAC82500FA5763D8CAC76343C46058686E091C94F80D9ED4D3CF38747", "https://baanknet.com/view-property/236389/04F8FB1AAC82500FA5763D8CAC76343C46058686E091C94F80D9ED4D3CF38747")</f>
        <v>https://baanknet.com/view-property/236389/04F8FB1AAC82500FA5763D8CAC76343C46058686E091C94F80D9ED4D3CF38747</v>
      </c>
      <c r="I573" t="str">
        <f>HYPERLINK("https://baanknet.com/view-property/236389/04F8FB1AAC82500FA5763D8CAC76343C46058686E091C94F80D9ED4D3CF38747", "Open")</f>
        <v>Open</v>
      </c>
      <c r="J573" t="s">
        <v>20</v>
      </c>
      <c r="K573" t="s">
        <v>21</v>
      </c>
      <c r="L573">
        <v>1100000</v>
      </c>
      <c r="M573">
        <v>110000</v>
      </c>
    </row>
    <row r="574" spans="1:13" x14ac:dyDescent="0.25">
      <c r="A574" t="s">
        <v>2054</v>
      </c>
      <c r="B574" t="s">
        <v>2055</v>
      </c>
      <c r="C574" t="s">
        <v>387</v>
      </c>
      <c r="D574" t="s">
        <v>1246</v>
      </c>
      <c r="E574" t="s">
        <v>654</v>
      </c>
      <c r="F574" t="s">
        <v>334</v>
      </c>
      <c r="G574" t="s">
        <v>2056</v>
      </c>
      <c r="H574" t="str">
        <f>HYPERLINK("https://baanknet.com/view-property/253206/89C6C0714D550EFF03FBE3E7060D3925024D04A101C65D6998C1F0BD39DB02A2", "https://baanknet.com/view-property/253206/89C6C0714D550EFF03FBE3E7060D3925024D04A101C65D6998C1F0BD39DB02A2")</f>
        <v>https://baanknet.com/view-property/253206/89C6C0714D550EFF03FBE3E7060D3925024D04A101C65D6998C1F0BD39DB02A2</v>
      </c>
      <c r="I574" t="str">
        <f>HYPERLINK("https://baanknet.com/view-property/253206/89C6C0714D550EFF03FBE3E7060D3925024D04A101C65D6998C1F0BD39DB02A2", "Open")</f>
        <v>Open</v>
      </c>
      <c r="J574" t="s">
        <v>20</v>
      </c>
      <c r="K574" t="s">
        <v>21</v>
      </c>
      <c r="L574">
        <v>5350000</v>
      </c>
      <c r="M574">
        <v>535000</v>
      </c>
    </row>
    <row r="575" spans="1:13" x14ac:dyDescent="0.25">
      <c r="A575" t="s">
        <v>2057</v>
      </c>
      <c r="B575" t="s">
        <v>2058</v>
      </c>
      <c r="C575" t="s">
        <v>121</v>
      </c>
      <c r="D575" t="s">
        <v>2059</v>
      </c>
      <c r="E575" t="s">
        <v>654</v>
      </c>
      <c r="F575" t="s">
        <v>334</v>
      </c>
      <c r="G575" t="s">
        <v>2060</v>
      </c>
      <c r="H575" t="str">
        <f>HYPERLINK("https://baanknet.com/view-property/186131/E7745B8EC9B218999538320CB12717793C909824CB79E1C0AE7D86CA6A9ED517", "https://baanknet.com/view-property/186131/E7745B8EC9B218999538320CB12717793C909824CB79E1C0AE7D86CA6A9ED517")</f>
        <v>https://baanknet.com/view-property/186131/E7745B8EC9B218999538320CB12717793C909824CB79E1C0AE7D86CA6A9ED517</v>
      </c>
      <c r="I575" t="str">
        <f>HYPERLINK("https://baanknet.com/view-property/186131/E7745B8EC9B218999538320CB12717793C909824CB79E1C0AE7D86CA6A9ED517", "Open")</f>
        <v>Open</v>
      </c>
      <c r="J575" t="s">
        <v>20</v>
      </c>
      <c r="K575" t="s">
        <v>21</v>
      </c>
      <c r="L575">
        <v>5300000</v>
      </c>
      <c r="M575">
        <v>530000</v>
      </c>
    </row>
    <row r="576" spans="1:13" x14ac:dyDescent="0.25">
      <c r="A576" t="s">
        <v>2061</v>
      </c>
      <c r="B576" t="s">
        <v>2062</v>
      </c>
      <c r="C576" t="s">
        <v>121</v>
      </c>
      <c r="D576" t="s">
        <v>2063</v>
      </c>
      <c r="E576" t="s">
        <v>654</v>
      </c>
      <c r="F576" t="s">
        <v>334</v>
      </c>
      <c r="G576" t="s">
        <v>2064</v>
      </c>
      <c r="H576" t="str">
        <f>HYPERLINK("https://baanknet.com/view-property/189562/B0EE6CE872C0E2D0DBEDDAEE33FDB0069DB3FB706C1C62FE292F4ADAEB3835DB", "https://baanknet.com/view-property/189562/B0EE6CE872C0E2D0DBEDDAEE33FDB0069DB3FB706C1C62FE292F4ADAEB3835DB")</f>
        <v>https://baanknet.com/view-property/189562/B0EE6CE872C0E2D0DBEDDAEE33FDB0069DB3FB706C1C62FE292F4ADAEB3835DB</v>
      </c>
      <c r="I576" t="str">
        <f>HYPERLINK("https://baanknet.com/view-property/189562/B0EE6CE872C0E2D0DBEDDAEE33FDB0069DB3FB706C1C62FE292F4ADAEB3835DB", "Open")</f>
        <v>Open</v>
      </c>
      <c r="J576" t="s">
        <v>20</v>
      </c>
      <c r="K576" t="s">
        <v>21</v>
      </c>
      <c r="L576">
        <v>1670000</v>
      </c>
      <c r="M576">
        <v>167000</v>
      </c>
    </row>
    <row r="577" spans="1:13" x14ac:dyDescent="0.25">
      <c r="A577" t="s">
        <v>2065</v>
      </c>
      <c r="B577" t="s">
        <v>2066</v>
      </c>
      <c r="C577" t="s">
        <v>121</v>
      </c>
      <c r="D577" t="s">
        <v>533</v>
      </c>
      <c r="E577" t="s">
        <v>654</v>
      </c>
      <c r="F577" t="s">
        <v>334</v>
      </c>
      <c r="G577" t="s">
        <v>2067</v>
      </c>
      <c r="H577" t="str">
        <f>HYPERLINK("https://baanknet.com/view-property/275787/0300C2E81D401236812E9543A828F0ADE5BEA8A05841B36A660E82479267203F", "https://baanknet.com/view-property/275787/0300C2E81D401236812E9543A828F0ADE5BEA8A05841B36A660E82479267203F")</f>
        <v>https://baanknet.com/view-property/275787/0300C2E81D401236812E9543A828F0ADE5BEA8A05841B36A660E82479267203F</v>
      </c>
      <c r="I577" t="str">
        <f>HYPERLINK("https://baanknet.com/view-property/275787/0300C2E81D401236812E9543A828F0ADE5BEA8A05841B36A660E82479267203F", "Open")</f>
        <v>Open</v>
      </c>
      <c r="J577" t="s">
        <v>20</v>
      </c>
      <c r="K577" t="s">
        <v>21</v>
      </c>
      <c r="L577">
        <v>5015000</v>
      </c>
      <c r="M577">
        <v>501500</v>
      </c>
    </row>
    <row r="578" spans="1:13" x14ac:dyDescent="0.25">
      <c r="A578" t="s">
        <v>2068</v>
      </c>
      <c r="B578" t="s">
        <v>2069</v>
      </c>
      <c r="C578" t="s">
        <v>121</v>
      </c>
      <c r="D578" t="s">
        <v>2070</v>
      </c>
      <c r="E578" t="s">
        <v>654</v>
      </c>
      <c r="F578" t="s">
        <v>334</v>
      </c>
      <c r="G578" t="s">
        <v>2071</v>
      </c>
      <c r="H578" t="str">
        <f>HYPERLINK("https://baanknet.com/view-property/263839/B10D382006809A8C4060592D46FE3711E5897A074FB772F976530A451A9FC02C", "https://baanknet.com/view-property/263839/B10D382006809A8C4060592D46FE3711E5897A074FB772F976530A451A9FC02C")</f>
        <v>https://baanknet.com/view-property/263839/B10D382006809A8C4060592D46FE3711E5897A074FB772F976530A451A9FC02C</v>
      </c>
      <c r="I578" t="str">
        <f>HYPERLINK("https://baanknet.com/view-property/263839/B10D382006809A8C4060592D46FE3711E5897A074FB772F976530A451A9FC02C", "Open")</f>
        <v>Open</v>
      </c>
      <c r="J578" t="s">
        <v>20</v>
      </c>
      <c r="K578" t="s">
        <v>21</v>
      </c>
      <c r="L578">
        <v>5365260</v>
      </c>
      <c r="M578">
        <v>536526</v>
      </c>
    </row>
    <row r="579" spans="1:13" x14ac:dyDescent="0.25">
      <c r="A579" t="s">
        <v>2072</v>
      </c>
      <c r="B579" t="s">
        <v>2073</v>
      </c>
      <c r="C579" t="s">
        <v>121</v>
      </c>
      <c r="D579" t="s">
        <v>1943</v>
      </c>
      <c r="E579" t="s">
        <v>654</v>
      </c>
      <c r="F579" t="s">
        <v>334</v>
      </c>
      <c r="G579" t="s">
        <v>2074</v>
      </c>
      <c r="H579" t="str">
        <f>HYPERLINK("https://baanknet.com/view-property/185009/8DC0F5584E8A391D7829FCD64F80BD8A02928CF0C90A731856F7BC63B158A484", "https://baanknet.com/view-property/185009/8DC0F5584E8A391D7829FCD64F80BD8A02928CF0C90A731856F7BC63B158A484")</f>
        <v>https://baanknet.com/view-property/185009/8DC0F5584E8A391D7829FCD64F80BD8A02928CF0C90A731856F7BC63B158A484</v>
      </c>
      <c r="I579" t="str">
        <f>HYPERLINK("https://baanknet.com/view-property/185009/8DC0F5584E8A391D7829FCD64F80BD8A02928CF0C90A731856F7BC63B158A484", "Open")</f>
        <v>Open</v>
      </c>
      <c r="J579" t="s">
        <v>20</v>
      </c>
      <c r="K579" t="s">
        <v>21</v>
      </c>
      <c r="L579">
        <v>2298000</v>
      </c>
      <c r="M579">
        <v>229800</v>
      </c>
    </row>
    <row r="580" spans="1:13" x14ac:dyDescent="0.25">
      <c r="A580" t="s">
        <v>2075</v>
      </c>
      <c r="B580" t="s">
        <v>2076</v>
      </c>
      <c r="C580" t="s">
        <v>121</v>
      </c>
      <c r="D580" t="s">
        <v>145</v>
      </c>
      <c r="E580" t="s">
        <v>654</v>
      </c>
      <c r="F580" t="s">
        <v>334</v>
      </c>
      <c r="G580" t="s">
        <v>2077</v>
      </c>
      <c r="H580" t="str">
        <f>HYPERLINK("https://baanknet.com/view-property/177013/2D28180DCB32D9645B4DE897A72E9B5EF4DB28F50CF41E567E3612DB2703B5C1", "https://baanknet.com/view-property/177013/2D28180DCB32D9645B4DE897A72E9B5EF4DB28F50CF41E567E3612DB2703B5C1")</f>
        <v>https://baanknet.com/view-property/177013/2D28180DCB32D9645B4DE897A72E9B5EF4DB28F50CF41E567E3612DB2703B5C1</v>
      </c>
      <c r="I580" t="str">
        <f>HYPERLINK("https://baanknet.com/view-property/177013/2D28180DCB32D9645B4DE897A72E9B5EF4DB28F50CF41E567E3612DB2703B5C1", "Open")</f>
        <v>Open</v>
      </c>
      <c r="J580" t="s">
        <v>20</v>
      </c>
      <c r="K580" t="s">
        <v>21</v>
      </c>
      <c r="L580">
        <v>500000</v>
      </c>
      <c r="M580">
        <v>50000</v>
      </c>
    </row>
    <row r="581" spans="1:13" x14ac:dyDescent="0.25">
      <c r="A581" t="s">
        <v>2078</v>
      </c>
      <c r="B581" t="s">
        <v>2079</v>
      </c>
      <c r="C581" t="s">
        <v>121</v>
      </c>
      <c r="D581" t="s">
        <v>153</v>
      </c>
      <c r="E581" t="s">
        <v>654</v>
      </c>
      <c r="F581" t="s">
        <v>334</v>
      </c>
      <c r="G581" t="s">
        <v>2080</v>
      </c>
      <c r="H581" t="str">
        <f>HYPERLINK("https://baanknet.com/view-property/263835/FE676AD43465A64F360DE3D1FF32B162362FDD108CCA3E14D5CF260F9A73B6C0", "https://baanknet.com/view-property/263835/FE676AD43465A64F360DE3D1FF32B162362FDD108CCA3E14D5CF260F9A73B6C0")</f>
        <v>https://baanknet.com/view-property/263835/FE676AD43465A64F360DE3D1FF32B162362FDD108CCA3E14D5CF260F9A73B6C0</v>
      </c>
      <c r="I581" t="str">
        <f>HYPERLINK("https://baanknet.com/view-property/263835/FE676AD43465A64F360DE3D1FF32B162362FDD108CCA3E14D5CF260F9A73B6C0", "Open")</f>
        <v>Open</v>
      </c>
      <c r="J581" t="s">
        <v>20</v>
      </c>
      <c r="K581" t="s">
        <v>21</v>
      </c>
      <c r="L581">
        <v>4105810</v>
      </c>
      <c r="M581">
        <v>410581</v>
      </c>
    </row>
    <row r="582" spans="1:13" x14ac:dyDescent="0.25">
      <c r="A582" t="s">
        <v>2081</v>
      </c>
      <c r="B582" t="s">
        <v>2082</v>
      </c>
      <c r="C582" t="s">
        <v>121</v>
      </c>
      <c r="D582" t="s">
        <v>1943</v>
      </c>
      <c r="E582" t="s">
        <v>654</v>
      </c>
      <c r="F582" t="s">
        <v>334</v>
      </c>
      <c r="G582" t="s">
        <v>2083</v>
      </c>
      <c r="H582" t="str">
        <f>HYPERLINK("https://baanknet.com/view-property/186787/603AE0E8EAC6A833B3B85D11CC630ECE65181A5758C123046CF323B221C239E6", "https://baanknet.com/view-property/186787/603AE0E8EAC6A833B3B85D11CC630ECE65181A5758C123046CF323B221C239E6")</f>
        <v>https://baanknet.com/view-property/186787/603AE0E8EAC6A833B3B85D11CC630ECE65181A5758C123046CF323B221C239E6</v>
      </c>
      <c r="I582" t="str">
        <f>HYPERLINK("https://baanknet.com/view-property/186787/603AE0E8EAC6A833B3B85D11CC630ECE65181A5758C123046CF323B221C239E6", "Open")</f>
        <v>Open</v>
      </c>
      <c r="J582" t="s">
        <v>20</v>
      </c>
      <c r="K582" t="s">
        <v>21</v>
      </c>
      <c r="L582">
        <v>3807000</v>
      </c>
      <c r="M582">
        <v>380700</v>
      </c>
    </row>
    <row r="583" spans="1:13" x14ac:dyDescent="0.25">
      <c r="A583" t="s">
        <v>2084</v>
      </c>
      <c r="B583" t="s">
        <v>2085</v>
      </c>
      <c r="C583" t="s">
        <v>121</v>
      </c>
      <c r="D583" t="s">
        <v>2086</v>
      </c>
      <c r="E583" t="s">
        <v>654</v>
      </c>
      <c r="F583" t="s">
        <v>334</v>
      </c>
      <c r="G583" t="s">
        <v>2087</v>
      </c>
      <c r="H583" t="str">
        <f>HYPERLINK("https://baanknet.com/view-property/255027/8D7C16528BC129D3B6B9B62F5EDAC350FB8576EF425C531972E9889D85C02BAA", "https://baanknet.com/view-property/255027/8D7C16528BC129D3B6B9B62F5EDAC350FB8576EF425C531972E9889D85C02BAA")</f>
        <v>https://baanknet.com/view-property/255027/8D7C16528BC129D3B6B9B62F5EDAC350FB8576EF425C531972E9889D85C02BAA</v>
      </c>
      <c r="I583" t="str">
        <f>HYPERLINK("https://baanknet.com/view-property/255027/8D7C16528BC129D3B6B9B62F5EDAC350FB8576EF425C531972E9889D85C02BAA", "Open")</f>
        <v>Open</v>
      </c>
      <c r="J583" t="s">
        <v>20</v>
      </c>
      <c r="K583" t="s">
        <v>21</v>
      </c>
      <c r="L583">
        <v>1340000</v>
      </c>
      <c r="M583">
        <v>134000</v>
      </c>
    </row>
    <row r="584" spans="1:13" x14ac:dyDescent="0.25">
      <c r="A584" t="s">
        <v>2088</v>
      </c>
      <c r="B584" t="s">
        <v>2089</v>
      </c>
      <c r="C584" t="s">
        <v>121</v>
      </c>
      <c r="D584" t="s">
        <v>1943</v>
      </c>
      <c r="E584" t="s">
        <v>654</v>
      </c>
      <c r="F584" t="s">
        <v>334</v>
      </c>
      <c r="G584" t="s">
        <v>2090</v>
      </c>
      <c r="H584" t="str">
        <f>HYPERLINK("https://baanknet.com/view-property/238889/141CE53D56F4DD0FC3BA35AFC5700BB1CC602A34222D335E6449FF463636A6EB", "https://baanknet.com/view-property/238889/141CE53D56F4DD0FC3BA35AFC5700BB1CC602A34222D335E6449FF463636A6EB")</f>
        <v>https://baanknet.com/view-property/238889/141CE53D56F4DD0FC3BA35AFC5700BB1CC602A34222D335E6449FF463636A6EB</v>
      </c>
      <c r="I584" t="str">
        <f>HYPERLINK("https://baanknet.com/view-property/238889/141CE53D56F4DD0FC3BA35AFC5700BB1CC602A34222D335E6449FF463636A6EB", "Open")</f>
        <v>Open</v>
      </c>
      <c r="J584" t="s">
        <v>20</v>
      </c>
      <c r="K584" t="s">
        <v>21</v>
      </c>
      <c r="L584">
        <v>4083000</v>
      </c>
      <c r="M584">
        <v>408300</v>
      </c>
    </row>
    <row r="585" spans="1:13" x14ac:dyDescent="0.25">
      <c r="A585" t="s">
        <v>2091</v>
      </c>
      <c r="B585" t="s">
        <v>2092</v>
      </c>
      <c r="C585" t="s">
        <v>121</v>
      </c>
      <c r="D585" t="s">
        <v>2093</v>
      </c>
      <c r="E585" t="s">
        <v>654</v>
      </c>
      <c r="F585" t="s">
        <v>334</v>
      </c>
      <c r="G585" t="s">
        <v>2094</v>
      </c>
      <c r="H585" t="str">
        <f>HYPERLINK("https://baanknet.com/view-property/174001/D856C14261E98FE2A53A2F463EC7FE9EF288E5E1B67CE5A8BDE83594AEE5914D", "https://baanknet.com/view-property/174001/D856C14261E98FE2A53A2F463EC7FE9EF288E5E1B67CE5A8BDE83594AEE5914D")</f>
        <v>https://baanknet.com/view-property/174001/D856C14261E98FE2A53A2F463EC7FE9EF288E5E1B67CE5A8BDE83594AEE5914D</v>
      </c>
      <c r="I585" t="str">
        <f>HYPERLINK("https://baanknet.com/view-property/174001/D856C14261E98FE2A53A2F463EC7FE9EF288E5E1B67CE5A8BDE83594AEE5914D", "Open")</f>
        <v>Open</v>
      </c>
      <c r="J585" t="s">
        <v>20</v>
      </c>
      <c r="K585" t="s">
        <v>21</v>
      </c>
      <c r="L585">
        <v>570000</v>
      </c>
      <c r="M585">
        <v>57000</v>
      </c>
    </row>
    <row r="586" spans="1:13" x14ac:dyDescent="0.25">
      <c r="A586" t="s">
        <v>2095</v>
      </c>
      <c r="B586" t="s">
        <v>2096</v>
      </c>
      <c r="C586" t="s">
        <v>121</v>
      </c>
      <c r="D586" t="s">
        <v>2097</v>
      </c>
      <c r="E586" t="s">
        <v>654</v>
      </c>
      <c r="F586" t="s">
        <v>334</v>
      </c>
      <c r="G586" t="s">
        <v>2098</v>
      </c>
      <c r="H586" t="str">
        <f>HYPERLINK("https://baanknet.com/view-property/176988/5D0ADC8AAD982D67A619D0E3FB5AB62C902EDB6092BCBCA654D4271793A38663", "https://baanknet.com/view-property/176988/5D0ADC8AAD982D67A619D0E3FB5AB62C902EDB6092BCBCA654D4271793A38663")</f>
        <v>https://baanknet.com/view-property/176988/5D0ADC8AAD982D67A619D0E3FB5AB62C902EDB6092BCBCA654D4271793A38663</v>
      </c>
      <c r="I586" t="str">
        <f>HYPERLINK("https://baanknet.com/view-property/176988/5D0ADC8AAD982D67A619D0E3FB5AB62C902EDB6092BCBCA654D4271793A38663", "Open")</f>
        <v>Open</v>
      </c>
      <c r="J586" t="s">
        <v>20</v>
      </c>
      <c r="K586" t="s">
        <v>21</v>
      </c>
      <c r="L586">
        <v>1000000</v>
      </c>
      <c r="M586">
        <v>100000</v>
      </c>
    </row>
    <row r="587" spans="1:13" x14ac:dyDescent="0.25">
      <c r="A587" t="s">
        <v>2099</v>
      </c>
      <c r="B587" t="s">
        <v>2100</v>
      </c>
      <c r="C587" t="s">
        <v>121</v>
      </c>
      <c r="D587" t="s">
        <v>2093</v>
      </c>
      <c r="E587" t="s">
        <v>654</v>
      </c>
      <c r="F587" t="s">
        <v>334</v>
      </c>
      <c r="G587" t="s">
        <v>2101</v>
      </c>
      <c r="H587" t="str">
        <f>HYPERLINK("https://baanknet.com/view-property/255017/E8D3BCD05D4D898551DBAB924C15DC86B53608D8CE90DB07DB0AD7D5ECB249FD", "https://baanknet.com/view-property/255017/E8D3BCD05D4D898551DBAB924C15DC86B53608D8CE90DB07DB0AD7D5ECB249FD")</f>
        <v>https://baanknet.com/view-property/255017/E8D3BCD05D4D898551DBAB924C15DC86B53608D8CE90DB07DB0AD7D5ECB249FD</v>
      </c>
      <c r="I587" t="str">
        <f>HYPERLINK("https://baanknet.com/view-property/255017/E8D3BCD05D4D898551DBAB924C15DC86B53608D8CE90DB07DB0AD7D5ECB249FD", "Open")</f>
        <v>Open</v>
      </c>
      <c r="J587" t="s">
        <v>20</v>
      </c>
      <c r="K587" t="s">
        <v>21</v>
      </c>
      <c r="L587">
        <v>690000</v>
      </c>
      <c r="M587">
        <v>69000</v>
      </c>
    </row>
    <row r="588" spans="1:13" x14ac:dyDescent="0.25">
      <c r="A588" t="s">
        <v>2102</v>
      </c>
      <c r="B588" t="s">
        <v>2103</v>
      </c>
      <c r="C588" t="s">
        <v>121</v>
      </c>
      <c r="D588" t="s">
        <v>145</v>
      </c>
      <c r="E588" t="s">
        <v>654</v>
      </c>
      <c r="F588" t="s">
        <v>334</v>
      </c>
      <c r="G588" t="s">
        <v>2104</v>
      </c>
      <c r="H588" t="str">
        <f>HYPERLINK("https://baanknet.com/view-property/189671/06D5A8B6F853E591DBBB0DF59249EA8907F667D35B2C7CBA59107622AAE7FA8C", "https://baanknet.com/view-property/189671/06D5A8B6F853E591DBBB0DF59249EA8907F667D35B2C7CBA59107622AAE7FA8C")</f>
        <v>https://baanknet.com/view-property/189671/06D5A8B6F853E591DBBB0DF59249EA8907F667D35B2C7CBA59107622AAE7FA8C</v>
      </c>
      <c r="I588" t="str">
        <f>HYPERLINK("https://baanknet.com/view-property/189671/06D5A8B6F853E591DBBB0DF59249EA8907F667D35B2C7CBA59107622AAE7FA8C", "Open")</f>
        <v>Open</v>
      </c>
      <c r="J588" t="s">
        <v>20</v>
      </c>
      <c r="K588" t="s">
        <v>21</v>
      </c>
      <c r="L588">
        <v>790000</v>
      </c>
      <c r="M588">
        <v>79000</v>
      </c>
    </row>
    <row r="589" spans="1:13" x14ac:dyDescent="0.25">
      <c r="A589" t="s">
        <v>2105</v>
      </c>
      <c r="B589" t="s">
        <v>2106</v>
      </c>
      <c r="C589" t="s">
        <v>121</v>
      </c>
      <c r="D589" t="s">
        <v>1740</v>
      </c>
      <c r="E589" t="s">
        <v>654</v>
      </c>
      <c r="F589" t="s">
        <v>334</v>
      </c>
      <c r="G589" t="s">
        <v>2107</v>
      </c>
      <c r="H589" t="str">
        <f>HYPERLINK("https://baanknet.com/view-property/254785/4B0BDBBA2FCB1EE8C32D7FD061179804F140F014063E901D429183B625C1EA4C", "https://baanknet.com/view-property/254785/4B0BDBBA2FCB1EE8C32D7FD061179804F140F014063E901D429183B625C1EA4C")</f>
        <v>https://baanknet.com/view-property/254785/4B0BDBBA2FCB1EE8C32D7FD061179804F140F014063E901D429183B625C1EA4C</v>
      </c>
      <c r="I589" t="str">
        <f>HYPERLINK("https://baanknet.com/view-property/254785/4B0BDBBA2FCB1EE8C32D7FD061179804F140F014063E901D429183B625C1EA4C", "Open")</f>
        <v>Open</v>
      </c>
      <c r="J589" t="s">
        <v>20</v>
      </c>
      <c r="K589" t="s">
        <v>21</v>
      </c>
      <c r="L589">
        <v>2330000</v>
      </c>
      <c r="M589">
        <v>233000</v>
      </c>
    </row>
    <row r="590" spans="1:13" x14ac:dyDescent="0.25">
      <c r="A590" t="s">
        <v>2108</v>
      </c>
      <c r="B590" t="s">
        <v>2109</v>
      </c>
      <c r="C590" t="s">
        <v>121</v>
      </c>
      <c r="D590" t="s">
        <v>2110</v>
      </c>
      <c r="E590" t="s">
        <v>654</v>
      </c>
      <c r="F590" t="s">
        <v>334</v>
      </c>
      <c r="G590" t="s">
        <v>2111</v>
      </c>
      <c r="H590" t="str">
        <f>HYPERLINK("https://baanknet.com/view-property/232040/13D202FEB277B6536E238F90A98A0375F5BF4788310799E703EBFF4C3B33DD8B", "https://baanknet.com/view-property/232040/13D202FEB277B6536E238F90A98A0375F5BF4788310799E703EBFF4C3B33DD8B")</f>
        <v>https://baanknet.com/view-property/232040/13D202FEB277B6536E238F90A98A0375F5BF4788310799E703EBFF4C3B33DD8B</v>
      </c>
      <c r="I590" t="str">
        <f>HYPERLINK("https://baanknet.com/view-property/232040/13D202FEB277B6536E238F90A98A0375F5BF4788310799E703EBFF4C3B33DD8B", "Open")</f>
        <v>Open</v>
      </c>
      <c r="J590" t="s">
        <v>20</v>
      </c>
      <c r="K590" t="s">
        <v>21</v>
      </c>
      <c r="L590">
        <v>6479000</v>
      </c>
      <c r="M590">
        <v>647900</v>
      </c>
    </row>
    <row r="591" spans="1:13" x14ac:dyDescent="0.25">
      <c r="A591" t="s">
        <v>2112</v>
      </c>
      <c r="B591" t="s">
        <v>2113</v>
      </c>
      <c r="C591" t="s">
        <v>121</v>
      </c>
      <c r="D591" t="s">
        <v>149</v>
      </c>
      <c r="E591" t="s">
        <v>654</v>
      </c>
      <c r="F591" t="s">
        <v>334</v>
      </c>
      <c r="G591" t="s">
        <v>2114</v>
      </c>
      <c r="H591" t="str">
        <f>HYPERLINK("https://baanknet.com/view-property/263406/ACA5796BF3B095DCE251AC78B9B36EA98662259AB79A5B8444CC57EFF0F7D8F0", "https://baanknet.com/view-property/263406/ACA5796BF3B095DCE251AC78B9B36EA98662259AB79A5B8444CC57EFF0F7D8F0")</f>
        <v>https://baanknet.com/view-property/263406/ACA5796BF3B095DCE251AC78B9B36EA98662259AB79A5B8444CC57EFF0F7D8F0</v>
      </c>
      <c r="I591" t="str">
        <f>HYPERLINK("https://baanknet.com/view-property/263406/ACA5796BF3B095DCE251AC78B9B36EA98662259AB79A5B8444CC57EFF0F7D8F0", "Open")</f>
        <v>Open</v>
      </c>
      <c r="J591" t="s">
        <v>20</v>
      </c>
      <c r="K591" t="s">
        <v>21</v>
      </c>
      <c r="L591">
        <v>1700000</v>
      </c>
      <c r="M591">
        <v>170000</v>
      </c>
    </row>
    <row r="592" spans="1:13" x14ac:dyDescent="0.25">
      <c r="A592" t="s">
        <v>2115</v>
      </c>
      <c r="B592" t="s">
        <v>2116</v>
      </c>
      <c r="C592" t="s">
        <v>121</v>
      </c>
      <c r="D592" t="s">
        <v>2117</v>
      </c>
      <c r="E592" t="s">
        <v>654</v>
      </c>
      <c r="F592" t="s">
        <v>334</v>
      </c>
      <c r="G592" t="s">
        <v>2118</v>
      </c>
      <c r="H592" t="str">
        <f>HYPERLINK("https://baanknet.com/view-property/255020/2325C9F1615A3F2C492FE3B903E3115BF748599E3426DBD11398A89A04D55DCB", "https://baanknet.com/view-property/255020/2325C9F1615A3F2C492FE3B903E3115BF748599E3426DBD11398A89A04D55DCB")</f>
        <v>https://baanknet.com/view-property/255020/2325C9F1615A3F2C492FE3B903E3115BF748599E3426DBD11398A89A04D55DCB</v>
      </c>
      <c r="I592" t="str">
        <f>HYPERLINK("https://baanknet.com/view-property/255020/2325C9F1615A3F2C492FE3B903E3115BF748599E3426DBD11398A89A04D55DCB", "Open")</f>
        <v>Open</v>
      </c>
      <c r="J592" t="s">
        <v>20</v>
      </c>
      <c r="K592" t="s">
        <v>21</v>
      </c>
      <c r="L592">
        <v>2320000</v>
      </c>
      <c r="M592">
        <v>232000</v>
      </c>
    </row>
    <row r="593" spans="1:13" x14ac:dyDescent="0.25">
      <c r="A593" t="s">
        <v>2119</v>
      </c>
      <c r="B593" t="s">
        <v>2120</v>
      </c>
      <c r="C593" t="s">
        <v>121</v>
      </c>
      <c r="D593" t="s">
        <v>2086</v>
      </c>
      <c r="E593" t="s">
        <v>654</v>
      </c>
      <c r="F593" t="s">
        <v>334</v>
      </c>
      <c r="G593" t="s">
        <v>2121</v>
      </c>
      <c r="H593" t="str">
        <f>HYPERLINK("https://baanknet.com/view-property/173960/2B2D9FC8F5FEA021BA6C76E3CD00270F6BF4A6203084145530976B1ECA59B666", "https://baanknet.com/view-property/173960/2B2D9FC8F5FEA021BA6C76E3CD00270F6BF4A6203084145530976B1ECA59B666")</f>
        <v>https://baanknet.com/view-property/173960/2B2D9FC8F5FEA021BA6C76E3CD00270F6BF4A6203084145530976B1ECA59B666</v>
      </c>
      <c r="I593" t="str">
        <f>HYPERLINK("https://baanknet.com/view-property/173960/2B2D9FC8F5FEA021BA6C76E3CD00270F6BF4A6203084145530976B1ECA59B666", "Open")</f>
        <v>Open</v>
      </c>
      <c r="J593" t="s">
        <v>20</v>
      </c>
      <c r="K593" t="s">
        <v>21</v>
      </c>
      <c r="L593">
        <v>1070000</v>
      </c>
      <c r="M593">
        <v>107000</v>
      </c>
    </row>
    <row r="594" spans="1:13" x14ac:dyDescent="0.25">
      <c r="A594" t="s">
        <v>2122</v>
      </c>
      <c r="B594" t="s">
        <v>2123</v>
      </c>
      <c r="C594" t="s">
        <v>121</v>
      </c>
      <c r="D594" t="s">
        <v>2124</v>
      </c>
      <c r="E594" t="s">
        <v>654</v>
      </c>
      <c r="F594" t="s">
        <v>334</v>
      </c>
      <c r="G594" t="s">
        <v>2125</v>
      </c>
      <c r="H594" t="str">
        <f>HYPERLINK("https://baanknet.com/view-property/176975/A8F96F5E652FBFB796F7639D8F232DE8D69CC5CAE37653EDCE071BA6533E1559", "https://baanknet.com/view-property/176975/A8F96F5E652FBFB796F7639D8F232DE8D69CC5CAE37653EDCE071BA6533E1559")</f>
        <v>https://baanknet.com/view-property/176975/A8F96F5E652FBFB796F7639D8F232DE8D69CC5CAE37653EDCE071BA6533E1559</v>
      </c>
      <c r="I594" t="str">
        <f>HYPERLINK("https://baanknet.com/view-property/176975/A8F96F5E652FBFB796F7639D8F232DE8D69CC5CAE37653EDCE071BA6533E1559", "Open")</f>
        <v>Open</v>
      </c>
      <c r="J594" t="s">
        <v>20</v>
      </c>
      <c r="K594" t="s">
        <v>21</v>
      </c>
      <c r="L594">
        <v>1360000</v>
      </c>
      <c r="M594">
        <v>136000</v>
      </c>
    </row>
    <row r="595" spans="1:13" x14ac:dyDescent="0.25">
      <c r="A595" t="s">
        <v>2126</v>
      </c>
      <c r="B595" t="s">
        <v>2127</v>
      </c>
      <c r="C595" t="s">
        <v>121</v>
      </c>
      <c r="D595" t="s">
        <v>2086</v>
      </c>
      <c r="E595" t="s">
        <v>654</v>
      </c>
      <c r="F595" t="s">
        <v>334</v>
      </c>
      <c r="G595" t="s">
        <v>2128</v>
      </c>
      <c r="H595" t="str">
        <f>HYPERLINK("https://baanknet.com/view-property/173983/94BC7675B0B58E8374B4F65B05635B97AE8DF6593B804FF6E0CBE6E840E6379F", "https://baanknet.com/view-property/173983/94BC7675B0B58E8374B4F65B05635B97AE8DF6593B804FF6E0CBE6E840E6379F")</f>
        <v>https://baanknet.com/view-property/173983/94BC7675B0B58E8374B4F65B05635B97AE8DF6593B804FF6E0CBE6E840E6379F</v>
      </c>
      <c r="I595" t="str">
        <f>HYPERLINK("https://baanknet.com/view-property/173983/94BC7675B0B58E8374B4F65B05635B97AE8DF6593B804FF6E0CBE6E840E6379F", "Open")</f>
        <v>Open</v>
      </c>
      <c r="J595" t="s">
        <v>20</v>
      </c>
      <c r="K595" t="s">
        <v>21</v>
      </c>
      <c r="L595">
        <v>930000</v>
      </c>
      <c r="M595">
        <v>93000</v>
      </c>
    </row>
    <row r="596" spans="1:13" x14ac:dyDescent="0.25">
      <c r="A596" t="s">
        <v>2129</v>
      </c>
      <c r="B596" t="s">
        <v>2130</v>
      </c>
      <c r="C596" t="s">
        <v>121</v>
      </c>
      <c r="D596" t="s">
        <v>1943</v>
      </c>
      <c r="E596" t="s">
        <v>654</v>
      </c>
      <c r="F596" t="s">
        <v>334</v>
      </c>
      <c r="G596" t="s">
        <v>2131</v>
      </c>
      <c r="H596" t="str">
        <f>HYPERLINK("https://baanknet.com/view-property/200655/9D40EE81DD21A50DB93B727A99FC75022C4530BCFD6FF2B7275AD34CFE37BF68", "https://baanknet.com/view-property/200655/9D40EE81DD21A50DB93B727A99FC75022C4530BCFD6FF2B7275AD34CFE37BF68")</f>
        <v>https://baanknet.com/view-property/200655/9D40EE81DD21A50DB93B727A99FC75022C4530BCFD6FF2B7275AD34CFE37BF68</v>
      </c>
      <c r="I596" t="str">
        <f>HYPERLINK("https://baanknet.com/view-property/200655/9D40EE81DD21A50DB93B727A99FC75022C4530BCFD6FF2B7275AD34CFE37BF68", "Open")</f>
        <v>Open</v>
      </c>
      <c r="J596" t="s">
        <v>20</v>
      </c>
      <c r="K596" t="s">
        <v>21</v>
      </c>
      <c r="L596">
        <v>5185000</v>
      </c>
      <c r="M596">
        <v>518500</v>
      </c>
    </row>
    <row r="597" spans="1:13" x14ac:dyDescent="0.25">
      <c r="A597" t="s">
        <v>2132</v>
      </c>
      <c r="B597" t="s">
        <v>2133</v>
      </c>
      <c r="C597" t="s">
        <v>121</v>
      </c>
      <c r="D597" t="s">
        <v>991</v>
      </c>
      <c r="E597" t="s">
        <v>654</v>
      </c>
      <c r="F597" t="s">
        <v>334</v>
      </c>
      <c r="G597" t="s">
        <v>2134</v>
      </c>
      <c r="H597" t="str">
        <f>HYPERLINK("https://baanknet.com/view-property/173142/F87DD31C02713A0977CECD74D36E776D660E9909EC8A9718B88C6E142F3884CD", "https://baanknet.com/view-property/173142/F87DD31C02713A0977CECD74D36E776D660E9909EC8A9718B88C6E142F3884CD")</f>
        <v>https://baanknet.com/view-property/173142/F87DD31C02713A0977CECD74D36E776D660E9909EC8A9718B88C6E142F3884CD</v>
      </c>
      <c r="I597" t="str">
        <f>HYPERLINK("https://baanknet.com/view-property/173142/F87DD31C02713A0977CECD74D36E776D660E9909EC8A9718B88C6E142F3884CD", "Open")</f>
        <v>Open</v>
      </c>
      <c r="J597" t="s">
        <v>20</v>
      </c>
      <c r="K597" t="s">
        <v>21</v>
      </c>
      <c r="L597">
        <v>2711500</v>
      </c>
      <c r="M597">
        <v>271150</v>
      </c>
    </row>
    <row r="598" spans="1:13" x14ac:dyDescent="0.25">
      <c r="A598" t="s">
        <v>2135</v>
      </c>
      <c r="B598" t="s">
        <v>2136</v>
      </c>
      <c r="C598" t="s">
        <v>121</v>
      </c>
      <c r="D598" t="s">
        <v>2137</v>
      </c>
      <c r="E598" t="s">
        <v>654</v>
      </c>
      <c r="F598" t="s">
        <v>334</v>
      </c>
      <c r="G598" t="s">
        <v>2138</v>
      </c>
      <c r="H598" t="str">
        <f>HYPERLINK("https://baanknet.com/view-property/262321/760D69CEA3A06A7D880D8B5E92FFFED500D12EFA7429D383A5EDC2C50E9B341D", "https://baanknet.com/view-property/262321/760D69CEA3A06A7D880D8B5E92FFFED500D12EFA7429D383A5EDC2C50E9B341D")</f>
        <v>https://baanknet.com/view-property/262321/760D69CEA3A06A7D880D8B5E92FFFED500D12EFA7429D383A5EDC2C50E9B341D</v>
      </c>
      <c r="I598" t="str">
        <f>HYPERLINK("https://baanknet.com/view-property/262321/760D69CEA3A06A7D880D8B5E92FFFED500D12EFA7429D383A5EDC2C50E9B341D", "Open")</f>
        <v>Open</v>
      </c>
      <c r="J598" t="s">
        <v>20</v>
      </c>
      <c r="K598" t="s">
        <v>21</v>
      </c>
      <c r="L598">
        <v>4915000</v>
      </c>
      <c r="M598">
        <v>491500</v>
      </c>
    </row>
    <row r="599" spans="1:13" x14ac:dyDescent="0.25">
      <c r="A599" t="s">
        <v>2139</v>
      </c>
      <c r="B599" t="s">
        <v>2140</v>
      </c>
      <c r="C599" t="s">
        <v>121</v>
      </c>
      <c r="D599" t="s">
        <v>991</v>
      </c>
      <c r="E599" t="s">
        <v>654</v>
      </c>
      <c r="F599" t="s">
        <v>334</v>
      </c>
      <c r="G599" t="s">
        <v>2141</v>
      </c>
      <c r="H599" t="str">
        <f>HYPERLINK("https://baanknet.com/view-property/263223/16C8FFC1D6B317A02874493AE324D89D7957603ED2061E26190B588479A6AEAC", "https://baanknet.com/view-property/263223/16C8FFC1D6B317A02874493AE324D89D7957603ED2061E26190B588479A6AEAC")</f>
        <v>https://baanknet.com/view-property/263223/16C8FFC1D6B317A02874493AE324D89D7957603ED2061E26190B588479A6AEAC</v>
      </c>
      <c r="I599" t="str">
        <f>HYPERLINK("https://baanknet.com/view-property/263223/16C8FFC1D6B317A02874493AE324D89D7957603ED2061E26190B588479A6AEAC", "Open")</f>
        <v>Open</v>
      </c>
      <c r="J599" t="s">
        <v>20</v>
      </c>
      <c r="K599" t="s">
        <v>21</v>
      </c>
      <c r="L599">
        <v>4401000</v>
      </c>
      <c r="M599">
        <v>440100</v>
      </c>
    </row>
    <row r="600" spans="1:13" x14ac:dyDescent="0.25">
      <c r="A600" t="s">
        <v>2142</v>
      </c>
      <c r="B600" t="s">
        <v>2143</v>
      </c>
      <c r="C600" t="s">
        <v>121</v>
      </c>
      <c r="D600" t="s">
        <v>533</v>
      </c>
      <c r="E600" t="s">
        <v>654</v>
      </c>
      <c r="F600" t="s">
        <v>334</v>
      </c>
      <c r="G600" t="s">
        <v>2144</v>
      </c>
      <c r="H600" t="str">
        <f>HYPERLINK("https://baanknet.com/view-property/259691/0B8786C8616B39A3465CBB8B44424903838B7D09CFF0F10C8CA689921313DFDE", "https://baanknet.com/view-property/259691/0B8786C8616B39A3465CBB8B44424903838B7D09CFF0F10C8CA689921313DFDE")</f>
        <v>https://baanknet.com/view-property/259691/0B8786C8616B39A3465CBB8B44424903838B7D09CFF0F10C8CA689921313DFDE</v>
      </c>
      <c r="I600" t="str">
        <f>HYPERLINK("https://baanknet.com/view-property/259691/0B8786C8616B39A3465CBB8B44424903838B7D09CFF0F10C8CA689921313DFDE", "Open")</f>
        <v>Open</v>
      </c>
      <c r="J600" t="s">
        <v>20</v>
      </c>
      <c r="K600" t="s">
        <v>21</v>
      </c>
      <c r="L600">
        <v>24300000</v>
      </c>
      <c r="M600">
        <v>2430000</v>
      </c>
    </row>
    <row r="601" spans="1:13" x14ac:dyDescent="0.25">
      <c r="A601" t="s">
        <v>2145</v>
      </c>
      <c r="B601" t="s">
        <v>2146</v>
      </c>
      <c r="C601" t="s">
        <v>121</v>
      </c>
      <c r="D601" t="s">
        <v>2147</v>
      </c>
      <c r="E601" t="s">
        <v>654</v>
      </c>
      <c r="F601" t="s">
        <v>334</v>
      </c>
      <c r="G601" t="s">
        <v>2148</v>
      </c>
      <c r="H601" t="str">
        <f>HYPERLINK("https://baanknet.com/view-property/286791/3691BCA815537EBC06768B541AAA67EB7BE4178C354977D932774D3850A1999C", "https://baanknet.com/view-property/286791/3691BCA815537EBC06768B541AAA67EB7BE4178C354977D932774D3850A1999C")</f>
        <v>https://baanknet.com/view-property/286791/3691BCA815537EBC06768B541AAA67EB7BE4178C354977D932774D3850A1999C</v>
      </c>
      <c r="I601" t="str">
        <f>HYPERLINK("https://baanknet.com/view-property/286791/3691BCA815537EBC06768B541AAA67EB7BE4178C354977D932774D3850A1999C", "Open")</f>
        <v>Open</v>
      </c>
      <c r="J601" t="s">
        <v>20</v>
      </c>
      <c r="K601" t="s">
        <v>21</v>
      </c>
      <c r="L601">
        <v>1218050</v>
      </c>
      <c r="M601">
        <v>121805</v>
      </c>
    </row>
    <row r="602" spans="1:13" x14ac:dyDescent="0.25">
      <c r="A602" t="s">
        <v>2149</v>
      </c>
      <c r="B602" t="s">
        <v>2150</v>
      </c>
      <c r="C602" t="s">
        <v>121</v>
      </c>
      <c r="D602" t="s">
        <v>2147</v>
      </c>
      <c r="E602" t="s">
        <v>654</v>
      </c>
      <c r="F602" t="s">
        <v>334</v>
      </c>
      <c r="G602" t="s">
        <v>2151</v>
      </c>
      <c r="H602" t="str">
        <f>HYPERLINK("https://baanknet.com/view-property/286806/0CA41C39E30C77160F32BF231A03EF0103E93ED09B2FC8989310A587B06A2E28", "https://baanknet.com/view-property/286806/0CA41C39E30C77160F32BF231A03EF0103E93ED09B2FC8989310A587B06A2E28")</f>
        <v>https://baanknet.com/view-property/286806/0CA41C39E30C77160F32BF231A03EF0103E93ED09B2FC8989310A587B06A2E28</v>
      </c>
      <c r="I602" t="str">
        <f>HYPERLINK("https://baanknet.com/view-property/286806/0CA41C39E30C77160F32BF231A03EF0103E93ED09B2FC8989310A587B06A2E28", "Open")</f>
        <v>Open</v>
      </c>
      <c r="J602" t="s">
        <v>20</v>
      </c>
      <c r="K602" t="s">
        <v>21</v>
      </c>
      <c r="L602">
        <v>1177250</v>
      </c>
      <c r="M602">
        <v>117725</v>
      </c>
    </row>
    <row r="603" spans="1:13" x14ac:dyDescent="0.25">
      <c r="A603" t="s">
        <v>2152</v>
      </c>
      <c r="B603" t="s">
        <v>2153</v>
      </c>
      <c r="C603" t="s">
        <v>121</v>
      </c>
      <c r="D603" t="s">
        <v>1300</v>
      </c>
      <c r="E603" t="s">
        <v>654</v>
      </c>
      <c r="F603" t="s">
        <v>334</v>
      </c>
      <c r="G603" t="s">
        <v>2154</v>
      </c>
      <c r="H603" t="str">
        <f>HYPERLINK("https://baanknet.com/view-property/178234/DD89C495CD3031DFF1E1120F1AE092F015FDEA835FED3842D2046B41EE40FE34", "https://baanknet.com/view-property/178234/DD89C495CD3031DFF1E1120F1AE092F015FDEA835FED3842D2046B41EE40FE34")</f>
        <v>https://baanknet.com/view-property/178234/DD89C495CD3031DFF1E1120F1AE092F015FDEA835FED3842D2046B41EE40FE34</v>
      </c>
      <c r="I603" t="str">
        <f>HYPERLINK("https://baanknet.com/view-property/178234/DD89C495CD3031DFF1E1120F1AE092F015FDEA835FED3842D2046B41EE40FE34", "Open")</f>
        <v>Open</v>
      </c>
      <c r="J603" t="s">
        <v>20</v>
      </c>
      <c r="K603" t="s">
        <v>21</v>
      </c>
      <c r="L603">
        <v>1983000</v>
      </c>
      <c r="M603">
        <v>198300</v>
      </c>
    </row>
    <row r="604" spans="1:13" x14ac:dyDescent="0.25">
      <c r="A604" t="s">
        <v>2155</v>
      </c>
      <c r="B604" t="s">
        <v>2156</v>
      </c>
      <c r="C604" t="s">
        <v>121</v>
      </c>
      <c r="D604" t="s">
        <v>533</v>
      </c>
      <c r="E604" t="s">
        <v>654</v>
      </c>
      <c r="F604" t="s">
        <v>334</v>
      </c>
      <c r="G604" t="s">
        <v>2157</v>
      </c>
      <c r="H604" t="str">
        <f>HYPERLINK("https://baanknet.com/view-property/232180/B0C6541BC899C367FDB85AB0F91723A5B4ADB558EFC2DD8CBED1BCC08CF91D30", "https://baanknet.com/view-property/232180/B0C6541BC899C367FDB85AB0F91723A5B4ADB558EFC2DD8CBED1BCC08CF91D30")</f>
        <v>https://baanknet.com/view-property/232180/B0C6541BC899C367FDB85AB0F91723A5B4ADB558EFC2DD8CBED1BCC08CF91D30</v>
      </c>
      <c r="I604" t="str">
        <f>HYPERLINK("https://baanknet.com/view-property/232180/B0C6541BC899C367FDB85AB0F91723A5B4ADB558EFC2DD8CBED1BCC08CF91D30", "Open")</f>
        <v>Open</v>
      </c>
      <c r="J604" t="s">
        <v>20</v>
      </c>
      <c r="K604" t="s">
        <v>21</v>
      </c>
      <c r="L604">
        <v>36800000</v>
      </c>
      <c r="M604">
        <v>3680000</v>
      </c>
    </row>
    <row r="605" spans="1:13" x14ac:dyDescent="0.25">
      <c r="A605" t="s">
        <v>2158</v>
      </c>
      <c r="B605" t="s">
        <v>2159</v>
      </c>
      <c r="C605" t="s">
        <v>121</v>
      </c>
      <c r="D605" t="s">
        <v>1310</v>
      </c>
      <c r="E605" t="s">
        <v>654</v>
      </c>
      <c r="F605" t="s">
        <v>334</v>
      </c>
      <c r="G605" t="s">
        <v>2160</v>
      </c>
      <c r="H605" t="str">
        <f>HYPERLINK("https://baanknet.com/view-property/270643/E9D5E0FD3CF8E5D0AD9B24A829C4AD3A79D2C4A85ECD3AA6AFD2AF04C65735E6", "https://baanknet.com/view-property/270643/E9D5E0FD3CF8E5D0AD9B24A829C4AD3A79D2C4A85ECD3AA6AFD2AF04C65735E6")</f>
        <v>https://baanknet.com/view-property/270643/E9D5E0FD3CF8E5D0AD9B24A829C4AD3A79D2C4A85ECD3AA6AFD2AF04C65735E6</v>
      </c>
      <c r="I605" t="str">
        <f>HYPERLINK("https://baanknet.com/view-property/270643/E9D5E0FD3CF8E5D0AD9B24A829C4AD3A79D2C4A85ECD3AA6AFD2AF04C65735E6", "Open")</f>
        <v>Open</v>
      </c>
      <c r="J605" t="s">
        <v>20</v>
      </c>
      <c r="K605" t="s">
        <v>21</v>
      </c>
      <c r="L605">
        <v>10700000</v>
      </c>
      <c r="M605">
        <v>1070000</v>
      </c>
    </row>
    <row r="606" spans="1:13" x14ac:dyDescent="0.25">
      <c r="A606" t="s">
        <v>2161</v>
      </c>
      <c r="B606" t="s">
        <v>2162</v>
      </c>
      <c r="C606" t="s">
        <v>121</v>
      </c>
      <c r="D606" t="s">
        <v>2163</v>
      </c>
      <c r="E606" t="s">
        <v>654</v>
      </c>
      <c r="F606" t="s">
        <v>334</v>
      </c>
      <c r="G606" t="s">
        <v>2164</v>
      </c>
      <c r="H606" t="str">
        <f>HYPERLINK("https://baanknet.com/view-property/270652/5E26F69E513A85B11CC8012EBC2D31CBC5C3F9AD720CB904E60C4D48BC15B917", "https://baanknet.com/view-property/270652/5E26F69E513A85B11CC8012EBC2D31CBC5C3F9AD720CB904E60C4D48BC15B917")</f>
        <v>https://baanknet.com/view-property/270652/5E26F69E513A85B11CC8012EBC2D31CBC5C3F9AD720CB904E60C4D48BC15B917</v>
      </c>
      <c r="I606" t="str">
        <f>HYPERLINK("https://baanknet.com/view-property/270652/5E26F69E513A85B11CC8012EBC2D31CBC5C3F9AD720CB904E60C4D48BC15B917", "Open")</f>
        <v>Open</v>
      </c>
      <c r="J606" t="s">
        <v>20</v>
      </c>
      <c r="K606" t="s">
        <v>21</v>
      </c>
      <c r="L606">
        <v>3400000</v>
      </c>
      <c r="M606">
        <v>340000</v>
      </c>
    </row>
    <row r="607" spans="1:13" x14ac:dyDescent="0.25">
      <c r="A607" t="s">
        <v>2165</v>
      </c>
      <c r="B607" t="s">
        <v>2166</v>
      </c>
      <c r="C607" t="s">
        <v>121</v>
      </c>
      <c r="D607" t="s">
        <v>2167</v>
      </c>
      <c r="E607" t="s">
        <v>654</v>
      </c>
      <c r="F607" t="s">
        <v>334</v>
      </c>
      <c r="G607" t="s">
        <v>2168</v>
      </c>
      <c r="H607" t="str">
        <f>HYPERLINK("https://baanknet.com/view-property/279512/9F64A2B0FF37FD77196B53E1522A85F3A78985BAEFF17C786C7F48DF050EF2FB", "https://baanknet.com/view-property/279512/9F64A2B0FF37FD77196B53E1522A85F3A78985BAEFF17C786C7F48DF050EF2FB")</f>
        <v>https://baanknet.com/view-property/279512/9F64A2B0FF37FD77196B53E1522A85F3A78985BAEFF17C786C7F48DF050EF2FB</v>
      </c>
      <c r="I607" t="str">
        <f>HYPERLINK("https://baanknet.com/view-property/279512/9F64A2B0FF37FD77196B53E1522A85F3A78985BAEFF17C786C7F48DF050EF2FB", "Open")</f>
        <v>Open</v>
      </c>
      <c r="J607" t="s">
        <v>20</v>
      </c>
      <c r="K607" t="s">
        <v>21</v>
      </c>
      <c r="L607">
        <v>3660000</v>
      </c>
      <c r="M607">
        <v>366000</v>
      </c>
    </row>
    <row r="608" spans="1:13" x14ac:dyDescent="0.25">
      <c r="A608" t="s">
        <v>2169</v>
      </c>
      <c r="B608" t="s">
        <v>2170</v>
      </c>
      <c r="C608" t="s">
        <v>121</v>
      </c>
      <c r="D608" t="s">
        <v>2171</v>
      </c>
      <c r="E608" t="s">
        <v>654</v>
      </c>
      <c r="F608" t="s">
        <v>334</v>
      </c>
      <c r="G608" t="s">
        <v>2172</v>
      </c>
      <c r="H608" t="str">
        <f>HYPERLINK("https://baanknet.com/view-property/186761/82054544085C7C9BC20539247A25E338823F907A509CB6704A413A60DA81BBDA", "https://baanknet.com/view-property/186761/82054544085C7C9BC20539247A25E338823F907A509CB6704A413A60DA81BBDA")</f>
        <v>https://baanknet.com/view-property/186761/82054544085C7C9BC20539247A25E338823F907A509CB6704A413A60DA81BBDA</v>
      </c>
      <c r="I608" t="str">
        <f>HYPERLINK("https://baanknet.com/view-property/186761/82054544085C7C9BC20539247A25E338823F907A509CB6704A413A60DA81BBDA", "Open")</f>
        <v>Open</v>
      </c>
      <c r="J608" t="s">
        <v>20</v>
      </c>
      <c r="K608" t="s">
        <v>21</v>
      </c>
      <c r="L608">
        <v>393000</v>
      </c>
      <c r="M608">
        <v>39300</v>
      </c>
    </row>
    <row r="609" spans="1:13" x14ac:dyDescent="0.25">
      <c r="A609" t="s">
        <v>2173</v>
      </c>
      <c r="B609" t="s">
        <v>2174</v>
      </c>
      <c r="C609" t="s">
        <v>121</v>
      </c>
      <c r="D609" t="s">
        <v>706</v>
      </c>
      <c r="E609" t="s">
        <v>654</v>
      </c>
      <c r="F609" t="s">
        <v>334</v>
      </c>
      <c r="G609" t="s">
        <v>2175</v>
      </c>
      <c r="H609" t="str">
        <f>HYPERLINK("https://baanknet.com/view-property/282898/DF056951DBBAF5B8D752C7D8B5C2DF1C4789490041CEE6B1ECA7321A7DB69D29", "https://baanknet.com/view-property/282898/DF056951DBBAF5B8D752C7D8B5C2DF1C4789490041CEE6B1ECA7321A7DB69D29")</f>
        <v>https://baanknet.com/view-property/282898/DF056951DBBAF5B8D752C7D8B5C2DF1C4789490041CEE6B1ECA7321A7DB69D29</v>
      </c>
      <c r="I609" t="str">
        <f>HYPERLINK("https://baanknet.com/view-property/282898/DF056951DBBAF5B8D752C7D8B5C2DF1C4789490041CEE6B1ECA7321A7DB69D29", "Open")</f>
        <v>Open</v>
      </c>
      <c r="J609" t="s">
        <v>20</v>
      </c>
      <c r="K609" t="s">
        <v>21</v>
      </c>
      <c r="L609">
        <v>3330000</v>
      </c>
      <c r="M609">
        <v>333000</v>
      </c>
    </row>
    <row r="610" spans="1:13" x14ac:dyDescent="0.25">
      <c r="A610" t="s">
        <v>2176</v>
      </c>
      <c r="B610" t="s">
        <v>2177</v>
      </c>
      <c r="C610" t="s">
        <v>121</v>
      </c>
      <c r="D610" t="s">
        <v>2178</v>
      </c>
      <c r="E610" t="s">
        <v>654</v>
      </c>
      <c r="F610" t="s">
        <v>334</v>
      </c>
      <c r="G610" t="s">
        <v>2179</v>
      </c>
      <c r="H610" t="str">
        <f>HYPERLINK("https://baanknet.com/view-property/177221/64B550ADF8072A520F4A83C78A035A2BBD4E766AECB99E47631077DA3CD1483A", "https://baanknet.com/view-property/177221/64B550ADF8072A520F4A83C78A035A2BBD4E766AECB99E47631077DA3CD1483A")</f>
        <v>https://baanknet.com/view-property/177221/64B550ADF8072A520F4A83C78A035A2BBD4E766AECB99E47631077DA3CD1483A</v>
      </c>
      <c r="I610" t="str">
        <f>HYPERLINK("https://baanknet.com/view-property/177221/64B550ADF8072A520F4A83C78A035A2BBD4E766AECB99E47631077DA3CD1483A", "Open")</f>
        <v>Open</v>
      </c>
      <c r="J610" t="s">
        <v>20</v>
      </c>
      <c r="K610" t="s">
        <v>21</v>
      </c>
      <c r="L610">
        <v>3014000</v>
      </c>
      <c r="M610">
        <v>301400</v>
      </c>
    </row>
    <row r="611" spans="1:13" x14ac:dyDescent="0.25">
      <c r="A611" t="s">
        <v>2180</v>
      </c>
      <c r="B611" t="s">
        <v>2181</v>
      </c>
      <c r="C611" t="s">
        <v>121</v>
      </c>
      <c r="D611" t="s">
        <v>1310</v>
      </c>
      <c r="E611" t="s">
        <v>654</v>
      </c>
      <c r="F611" t="s">
        <v>334</v>
      </c>
      <c r="G611" t="s">
        <v>2182</v>
      </c>
      <c r="H611" t="str">
        <f>HYPERLINK("https://baanknet.com/view-property/265380/BE2FE2188D777F2B3828956CF9C1D1FED533340462A2503264236F8073E0A699", "https://baanknet.com/view-property/265380/BE2FE2188D777F2B3828956CF9C1D1FED533340462A2503264236F8073E0A699")</f>
        <v>https://baanknet.com/view-property/265380/BE2FE2188D777F2B3828956CF9C1D1FED533340462A2503264236F8073E0A699</v>
      </c>
      <c r="I611" t="str">
        <f>HYPERLINK("https://baanknet.com/view-property/265380/BE2FE2188D777F2B3828956CF9C1D1FED533340462A2503264236F8073E0A699", "Open")</f>
        <v>Open</v>
      </c>
      <c r="J611" t="s">
        <v>20</v>
      </c>
      <c r="K611" t="s">
        <v>21</v>
      </c>
      <c r="L611">
        <v>12400000</v>
      </c>
      <c r="M611">
        <v>1240000</v>
      </c>
    </row>
    <row r="612" spans="1:13" x14ac:dyDescent="0.25">
      <c r="A612" t="s">
        <v>2183</v>
      </c>
      <c r="B612" t="s">
        <v>2184</v>
      </c>
      <c r="C612" t="s">
        <v>121</v>
      </c>
      <c r="D612" t="s">
        <v>2185</v>
      </c>
      <c r="E612" t="s">
        <v>654</v>
      </c>
      <c r="F612" t="s">
        <v>334</v>
      </c>
      <c r="G612" t="s">
        <v>2186</v>
      </c>
      <c r="H612" t="str">
        <f>HYPERLINK("https://baanknet.com/view-property/270681/FC5FDE294B8601631D07550F5C99F5F50164D88C14CF0905146DDB7B9965319F", "https://baanknet.com/view-property/270681/FC5FDE294B8601631D07550F5C99F5F50164D88C14CF0905146DDB7B9965319F")</f>
        <v>https://baanknet.com/view-property/270681/FC5FDE294B8601631D07550F5C99F5F50164D88C14CF0905146DDB7B9965319F</v>
      </c>
      <c r="I612" t="str">
        <f>HYPERLINK("https://baanknet.com/view-property/270681/FC5FDE294B8601631D07550F5C99F5F50164D88C14CF0905146DDB7B9965319F", "Open")</f>
        <v>Open</v>
      </c>
      <c r="J612" t="s">
        <v>20</v>
      </c>
      <c r="K612" t="s">
        <v>21</v>
      </c>
      <c r="L612">
        <v>3443000</v>
      </c>
      <c r="M612">
        <v>344300</v>
      </c>
    </row>
    <row r="613" spans="1:13" x14ac:dyDescent="0.25">
      <c r="A613" t="s">
        <v>2187</v>
      </c>
      <c r="B613" t="s">
        <v>2188</v>
      </c>
      <c r="C613" t="s">
        <v>121</v>
      </c>
      <c r="D613" t="s">
        <v>937</v>
      </c>
      <c r="E613" t="s">
        <v>654</v>
      </c>
      <c r="F613" t="s">
        <v>334</v>
      </c>
      <c r="G613" t="s">
        <v>2189</v>
      </c>
      <c r="H613" t="str">
        <f>HYPERLINK("https://baanknet.com/view-property/177381/C9D1744A0C5927DE11F63C7344695FD01E65EA2B1B84E6598CBEDF45B7E88E37", "https://baanknet.com/view-property/177381/C9D1744A0C5927DE11F63C7344695FD01E65EA2B1B84E6598CBEDF45B7E88E37")</f>
        <v>https://baanknet.com/view-property/177381/C9D1744A0C5927DE11F63C7344695FD01E65EA2B1B84E6598CBEDF45B7E88E37</v>
      </c>
      <c r="I613" t="str">
        <f>HYPERLINK("https://baanknet.com/view-property/177381/C9D1744A0C5927DE11F63C7344695FD01E65EA2B1B84E6598CBEDF45B7E88E37", "Open")</f>
        <v>Open</v>
      </c>
      <c r="J613" t="s">
        <v>20</v>
      </c>
      <c r="K613" t="s">
        <v>21</v>
      </c>
      <c r="L613">
        <v>5577000</v>
      </c>
      <c r="M613">
        <v>557700</v>
      </c>
    </row>
    <row r="614" spans="1:13" x14ac:dyDescent="0.25">
      <c r="A614" t="s">
        <v>2190</v>
      </c>
      <c r="B614" t="s">
        <v>2191</v>
      </c>
      <c r="C614" t="s">
        <v>121</v>
      </c>
      <c r="D614" t="s">
        <v>991</v>
      </c>
      <c r="E614" t="s">
        <v>654</v>
      </c>
      <c r="F614" t="s">
        <v>334</v>
      </c>
      <c r="G614" t="s">
        <v>2192</v>
      </c>
      <c r="H614" t="str">
        <f>HYPERLINK("https://baanknet.com/view-property/173500/E4B03F5B04B5584092F456D33894EFDB2DF7AFF7727699034555B36D9BB23CFE", "https://baanknet.com/view-property/173500/E4B03F5B04B5584092F456D33894EFDB2DF7AFF7727699034555B36D9BB23CFE")</f>
        <v>https://baanknet.com/view-property/173500/E4B03F5B04B5584092F456D33894EFDB2DF7AFF7727699034555B36D9BB23CFE</v>
      </c>
      <c r="I614" t="str">
        <f>HYPERLINK("https://baanknet.com/view-property/173500/E4B03F5B04B5584092F456D33894EFDB2DF7AFF7727699034555B36D9BB23CFE", "Open")</f>
        <v>Open</v>
      </c>
      <c r="J614" t="s">
        <v>20</v>
      </c>
      <c r="K614" t="s">
        <v>21</v>
      </c>
      <c r="L614">
        <v>1663000</v>
      </c>
      <c r="M614">
        <v>166300</v>
      </c>
    </row>
    <row r="615" spans="1:13" x14ac:dyDescent="0.25">
      <c r="A615" t="s">
        <v>2193</v>
      </c>
      <c r="B615" t="s">
        <v>2194</v>
      </c>
      <c r="C615" t="s">
        <v>121</v>
      </c>
      <c r="D615" t="s">
        <v>2195</v>
      </c>
      <c r="E615" t="s">
        <v>654</v>
      </c>
      <c r="F615" t="s">
        <v>334</v>
      </c>
      <c r="G615" t="s">
        <v>2196</v>
      </c>
      <c r="H615" t="str">
        <f>HYPERLINK("https://baanknet.com/view-property/177183/8AFBDAF7BAF466271FF9F1B4BAA99756DE85EAC40F4A0DCA618EE3ADEF675E12", "https://baanknet.com/view-property/177183/8AFBDAF7BAF466271FF9F1B4BAA99756DE85EAC40F4A0DCA618EE3ADEF675E12")</f>
        <v>https://baanknet.com/view-property/177183/8AFBDAF7BAF466271FF9F1B4BAA99756DE85EAC40F4A0DCA618EE3ADEF675E12</v>
      </c>
      <c r="I615" t="str">
        <f>HYPERLINK("https://baanknet.com/view-property/177183/8AFBDAF7BAF466271FF9F1B4BAA99756DE85EAC40F4A0DCA618EE3ADEF675E12", "Open")</f>
        <v>Open</v>
      </c>
      <c r="J615" t="s">
        <v>20</v>
      </c>
      <c r="K615" t="s">
        <v>21</v>
      </c>
      <c r="L615">
        <v>2800000</v>
      </c>
      <c r="M615">
        <v>280000</v>
      </c>
    </row>
    <row r="616" spans="1:13" x14ac:dyDescent="0.25">
      <c r="A616" t="s">
        <v>2197</v>
      </c>
      <c r="B616" t="s">
        <v>2198</v>
      </c>
      <c r="C616" t="s">
        <v>121</v>
      </c>
      <c r="D616" t="s">
        <v>1090</v>
      </c>
      <c r="E616" t="s">
        <v>654</v>
      </c>
      <c r="F616" t="s">
        <v>334</v>
      </c>
      <c r="G616" t="s">
        <v>2199</v>
      </c>
      <c r="H616" t="str">
        <f>HYPERLINK("https://baanknet.com/view-property/213269/10C3B2FCE0FF3A815BBEF2874D3AB18352DC8AB13922DE18DFB0718684314978", "https://baanknet.com/view-property/213269/10C3B2FCE0FF3A815BBEF2874D3AB18352DC8AB13922DE18DFB0718684314978")</f>
        <v>https://baanknet.com/view-property/213269/10C3B2FCE0FF3A815BBEF2874D3AB18352DC8AB13922DE18DFB0718684314978</v>
      </c>
      <c r="I616" t="str">
        <f>HYPERLINK("https://baanknet.com/view-property/213269/10C3B2FCE0FF3A815BBEF2874D3AB18352DC8AB13922DE18DFB0718684314978", "Open")</f>
        <v>Open</v>
      </c>
      <c r="J616" t="s">
        <v>20</v>
      </c>
      <c r="K616" t="s">
        <v>21</v>
      </c>
      <c r="L616">
        <v>2580000</v>
      </c>
      <c r="M616">
        <v>258000</v>
      </c>
    </row>
    <row r="617" spans="1:13" x14ac:dyDescent="0.25">
      <c r="A617" t="s">
        <v>2200</v>
      </c>
      <c r="B617" t="s">
        <v>2201</v>
      </c>
      <c r="C617" t="s">
        <v>121</v>
      </c>
      <c r="D617" t="s">
        <v>937</v>
      </c>
      <c r="E617" t="s">
        <v>654</v>
      </c>
      <c r="F617" t="s">
        <v>334</v>
      </c>
      <c r="G617" t="s">
        <v>2202</v>
      </c>
      <c r="H617" t="str">
        <f>HYPERLINK("https://baanknet.com/view-property/177382/EFD14296C6006BF656E8EE3E43B61D520A657CD7F48202E05DA79221C68F26AC", "https://baanknet.com/view-property/177382/EFD14296C6006BF656E8EE3E43B61D520A657CD7F48202E05DA79221C68F26AC")</f>
        <v>https://baanknet.com/view-property/177382/EFD14296C6006BF656E8EE3E43B61D520A657CD7F48202E05DA79221C68F26AC</v>
      </c>
      <c r="I617" t="str">
        <f>HYPERLINK("https://baanknet.com/view-property/177382/EFD14296C6006BF656E8EE3E43B61D520A657CD7F48202E05DA79221C68F26AC", "Open")</f>
        <v>Open</v>
      </c>
      <c r="J617" t="s">
        <v>20</v>
      </c>
      <c r="K617" t="s">
        <v>21</v>
      </c>
      <c r="L617">
        <v>2340000</v>
      </c>
      <c r="M617">
        <v>234000</v>
      </c>
    </row>
    <row r="618" spans="1:13" x14ac:dyDescent="0.25">
      <c r="A618" t="s">
        <v>2203</v>
      </c>
      <c r="B618" t="s">
        <v>2204</v>
      </c>
      <c r="C618" t="s">
        <v>121</v>
      </c>
      <c r="D618" t="s">
        <v>1993</v>
      </c>
      <c r="E618" t="s">
        <v>654</v>
      </c>
      <c r="F618" t="s">
        <v>334</v>
      </c>
      <c r="G618" t="s">
        <v>2205</v>
      </c>
      <c r="H618" t="str">
        <f>HYPERLINK("https://baanknet.com/view-property/177375/D5793588C57A18E21CA4A30EAF4660B76E3056CFF5B402930D33CAB7A471493B", "https://baanknet.com/view-property/177375/D5793588C57A18E21CA4A30EAF4660B76E3056CFF5B402930D33CAB7A471493B")</f>
        <v>https://baanknet.com/view-property/177375/D5793588C57A18E21CA4A30EAF4660B76E3056CFF5B402930D33CAB7A471493B</v>
      </c>
      <c r="I618" t="str">
        <f>HYPERLINK("https://baanknet.com/view-property/177375/D5793588C57A18E21CA4A30EAF4660B76E3056CFF5B402930D33CAB7A471493B", "Open")</f>
        <v>Open</v>
      </c>
      <c r="J618" t="s">
        <v>20</v>
      </c>
      <c r="K618" t="s">
        <v>21</v>
      </c>
      <c r="L618">
        <v>2555000</v>
      </c>
      <c r="M618">
        <v>255500</v>
      </c>
    </row>
    <row r="619" spans="1:13" x14ac:dyDescent="0.25">
      <c r="A619" t="s">
        <v>2206</v>
      </c>
      <c r="B619" t="s">
        <v>2207</v>
      </c>
      <c r="C619" t="s">
        <v>121</v>
      </c>
      <c r="D619" t="s">
        <v>157</v>
      </c>
      <c r="E619" t="s">
        <v>654</v>
      </c>
      <c r="F619" t="s">
        <v>334</v>
      </c>
      <c r="G619" t="s">
        <v>2208</v>
      </c>
      <c r="H619" t="str">
        <f>HYPERLINK("https://baanknet.com/view-property/271879/64F84163C173121F9454B26838DDC0F6280E47A474EC120E14FF3BE29BECE216", "https://baanknet.com/view-property/271879/64F84163C173121F9454B26838DDC0F6280E47A474EC120E14FF3BE29BECE216")</f>
        <v>https://baanknet.com/view-property/271879/64F84163C173121F9454B26838DDC0F6280E47A474EC120E14FF3BE29BECE216</v>
      </c>
      <c r="I619" t="str">
        <f>HYPERLINK("https://baanknet.com/view-property/271879/64F84163C173121F9454B26838DDC0F6280E47A474EC120E14FF3BE29BECE216", "Open")</f>
        <v>Open</v>
      </c>
      <c r="J619" t="s">
        <v>20</v>
      </c>
      <c r="K619" t="s">
        <v>21</v>
      </c>
      <c r="L619">
        <v>4113000</v>
      </c>
      <c r="M619">
        <v>411300</v>
      </c>
    </row>
    <row r="620" spans="1:13" x14ac:dyDescent="0.25">
      <c r="A620" t="s">
        <v>2209</v>
      </c>
      <c r="B620" t="s">
        <v>2210</v>
      </c>
      <c r="C620" t="s">
        <v>121</v>
      </c>
      <c r="D620" t="s">
        <v>1310</v>
      </c>
      <c r="E620" t="s">
        <v>654</v>
      </c>
      <c r="F620" t="s">
        <v>334</v>
      </c>
      <c r="G620" t="s">
        <v>2211</v>
      </c>
      <c r="H620" t="str">
        <f>HYPERLINK("https://baanknet.com/view-property/269261/9B0BBBF6065EC1A49D61C249E7AC8B2093116A2C2845BCAAA3B79D265CDEED8C", "https://baanknet.com/view-property/269261/9B0BBBF6065EC1A49D61C249E7AC8B2093116A2C2845BCAAA3B79D265CDEED8C")</f>
        <v>https://baanknet.com/view-property/269261/9B0BBBF6065EC1A49D61C249E7AC8B2093116A2C2845BCAAA3B79D265CDEED8C</v>
      </c>
      <c r="I620" t="str">
        <f>HYPERLINK("https://baanknet.com/view-property/269261/9B0BBBF6065EC1A49D61C249E7AC8B2093116A2C2845BCAAA3B79D265CDEED8C", "Open")</f>
        <v>Open</v>
      </c>
      <c r="J620" t="s">
        <v>20</v>
      </c>
      <c r="K620" t="s">
        <v>21</v>
      </c>
      <c r="L620">
        <v>12960000</v>
      </c>
      <c r="M620">
        <v>1296000</v>
      </c>
    </row>
    <row r="621" spans="1:13" x14ac:dyDescent="0.25">
      <c r="A621" t="s">
        <v>2212</v>
      </c>
      <c r="B621" t="s">
        <v>2213</v>
      </c>
      <c r="C621" t="s">
        <v>121</v>
      </c>
      <c r="D621" t="s">
        <v>526</v>
      </c>
      <c r="E621" t="s">
        <v>654</v>
      </c>
      <c r="F621" t="s">
        <v>334</v>
      </c>
      <c r="G621" t="s">
        <v>2214</v>
      </c>
      <c r="H621" t="str">
        <f>HYPERLINK("https://baanknet.com/view-property/266085/A15D437499824DF6FB2FE09A23C2DC9541DEA2DFCFBFF6CAC1C2B1B3967DD432", "https://baanknet.com/view-property/266085/A15D437499824DF6FB2FE09A23C2DC9541DEA2DFCFBFF6CAC1C2B1B3967DD432")</f>
        <v>https://baanknet.com/view-property/266085/A15D437499824DF6FB2FE09A23C2DC9541DEA2DFCFBFF6CAC1C2B1B3967DD432</v>
      </c>
      <c r="I621" t="str">
        <f>HYPERLINK("https://baanknet.com/view-property/266085/A15D437499824DF6FB2FE09A23C2DC9541DEA2DFCFBFF6CAC1C2B1B3967DD432", "Open")</f>
        <v>Open</v>
      </c>
      <c r="J621" t="s">
        <v>20</v>
      </c>
      <c r="K621" t="s">
        <v>21</v>
      </c>
      <c r="L621">
        <v>3760000</v>
      </c>
      <c r="M621">
        <v>376000</v>
      </c>
    </row>
    <row r="622" spans="1:13" x14ac:dyDescent="0.25">
      <c r="A622" t="s">
        <v>2215</v>
      </c>
      <c r="B622" t="s">
        <v>2216</v>
      </c>
      <c r="C622" t="s">
        <v>121</v>
      </c>
      <c r="D622" t="s">
        <v>1602</v>
      </c>
      <c r="E622" t="s">
        <v>654</v>
      </c>
      <c r="F622" t="s">
        <v>334</v>
      </c>
      <c r="G622" t="s">
        <v>2217</v>
      </c>
      <c r="H622" t="str">
        <f>HYPERLINK("https://baanknet.com/view-property/177161/1DE34A83AD0BEFDEFA019AECB58D0EA5470AEEB05A13D1F21C73451FFDF23954", "https://baanknet.com/view-property/177161/1DE34A83AD0BEFDEFA019AECB58D0EA5470AEEB05A13D1F21C73451FFDF23954")</f>
        <v>https://baanknet.com/view-property/177161/1DE34A83AD0BEFDEFA019AECB58D0EA5470AEEB05A13D1F21C73451FFDF23954</v>
      </c>
      <c r="I622" t="str">
        <f>HYPERLINK("https://baanknet.com/view-property/177161/1DE34A83AD0BEFDEFA019AECB58D0EA5470AEEB05A13D1F21C73451FFDF23954", "Open")</f>
        <v>Open</v>
      </c>
      <c r="J622" t="s">
        <v>20</v>
      </c>
      <c r="K622" t="s">
        <v>21</v>
      </c>
      <c r="L622">
        <v>8110000</v>
      </c>
      <c r="M622">
        <v>811000</v>
      </c>
    </row>
    <row r="623" spans="1:13" x14ac:dyDescent="0.25">
      <c r="A623" t="s">
        <v>2218</v>
      </c>
      <c r="B623" t="s">
        <v>2219</v>
      </c>
      <c r="C623" t="s">
        <v>121</v>
      </c>
      <c r="D623" t="s">
        <v>2220</v>
      </c>
      <c r="E623" t="s">
        <v>654</v>
      </c>
      <c r="F623" t="s">
        <v>334</v>
      </c>
      <c r="G623" t="s">
        <v>2221</v>
      </c>
      <c r="H623" t="str">
        <f>HYPERLINK("https://baanknet.com/view-property/213247/FDA48C1A474346468EE3F5FBBCDA792F762A6DB689CC5CB831C36CD3412F5013", "https://baanknet.com/view-property/213247/FDA48C1A474346468EE3F5FBBCDA792F762A6DB689CC5CB831C36CD3412F5013")</f>
        <v>https://baanknet.com/view-property/213247/FDA48C1A474346468EE3F5FBBCDA792F762A6DB689CC5CB831C36CD3412F5013</v>
      </c>
      <c r="I623" t="str">
        <f>HYPERLINK("https://baanknet.com/view-property/213247/FDA48C1A474346468EE3F5FBBCDA792F762A6DB689CC5CB831C36CD3412F5013", "Open")</f>
        <v>Open</v>
      </c>
      <c r="J623" t="s">
        <v>20</v>
      </c>
      <c r="K623" t="s">
        <v>21</v>
      </c>
      <c r="L623">
        <v>2297000</v>
      </c>
      <c r="M623">
        <v>229700</v>
      </c>
    </row>
    <row r="624" spans="1:13" x14ac:dyDescent="0.25">
      <c r="A624" t="s">
        <v>2222</v>
      </c>
      <c r="B624" t="s">
        <v>2223</v>
      </c>
      <c r="C624" t="s">
        <v>121</v>
      </c>
      <c r="D624" t="s">
        <v>2224</v>
      </c>
      <c r="E624" t="s">
        <v>654</v>
      </c>
      <c r="F624" t="s">
        <v>334</v>
      </c>
      <c r="G624" t="s">
        <v>2225</v>
      </c>
      <c r="H624" t="str">
        <f>HYPERLINK("https://baanknet.com/view-property/250440/8DDE2A622A66AA295014A0A81D1CC2F52443B10C4441F7DB1794E2FC01F72A2A", "https://baanknet.com/view-property/250440/8DDE2A622A66AA295014A0A81D1CC2F52443B10C4441F7DB1794E2FC01F72A2A")</f>
        <v>https://baanknet.com/view-property/250440/8DDE2A622A66AA295014A0A81D1CC2F52443B10C4441F7DB1794E2FC01F72A2A</v>
      </c>
      <c r="I624" t="str">
        <f>HYPERLINK("https://baanknet.com/view-property/250440/8DDE2A622A66AA295014A0A81D1CC2F52443B10C4441F7DB1794E2FC01F72A2A", "Open")</f>
        <v>Open</v>
      </c>
      <c r="J624" t="s">
        <v>20</v>
      </c>
      <c r="K624" t="s">
        <v>21</v>
      </c>
      <c r="L624">
        <v>1147000</v>
      </c>
      <c r="M624">
        <v>114700</v>
      </c>
    </row>
    <row r="625" spans="1:13" x14ac:dyDescent="0.25">
      <c r="A625" t="s">
        <v>2226</v>
      </c>
      <c r="B625" t="s">
        <v>2227</v>
      </c>
      <c r="C625" t="s">
        <v>121</v>
      </c>
      <c r="D625" t="s">
        <v>2220</v>
      </c>
      <c r="E625" t="s">
        <v>654</v>
      </c>
      <c r="F625" t="s">
        <v>334</v>
      </c>
      <c r="G625" t="s">
        <v>2228</v>
      </c>
      <c r="H625" t="str">
        <f>HYPERLINK("https://baanknet.com/view-property/213157/0CF64CB190DEED4CBE78C8ADC47E520D6BAECE3B7819EF5E166E073ED2CD9280", "https://baanknet.com/view-property/213157/0CF64CB190DEED4CBE78C8ADC47E520D6BAECE3B7819EF5E166E073ED2CD9280")</f>
        <v>https://baanknet.com/view-property/213157/0CF64CB190DEED4CBE78C8ADC47E520D6BAECE3B7819EF5E166E073ED2CD9280</v>
      </c>
      <c r="I625" t="str">
        <f>HYPERLINK("https://baanknet.com/view-property/213157/0CF64CB190DEED4CBE78C8ADC47E520D6BAECE3B7819EF5E166E073ED2CD9280", "Open")</f>
        <v>Open</v>
      </c>
      <c r="J625" t="s">
        <v>20</v>
      </c>
      <c r="K625" t="s">
        <v>21</v>
      </c>
      <c r="L625">
        <v>1377000</v>
      </c>
      <c r="M625">
        <v>137700</v>
      </c>
    </row>
    <row r="626" spans="1:13" x14ac:dyDescent="0.25">
      <c r="A626" t="s">
        <v>2229</v>
      </c>
      <c r="B626" t="s">
        <v>2230</v>
      </c>
      <c r="C626" t="s">
        <v>121</v>
      </c>
      <c r="D626" t="s">
        <v>2195</v>
      </c>
      <c r="E626" t="s">
        <v>654</v>
      </c>
      <c r="F626" t="s">
        <v>334</v>
      </c>
      <c r="G626" t="s">
        <v>2231</v>
      </c>
      <c r="H626" t="str">
        <f>HYPERLINK("https://baanknet.com/view-property/198079/0257469D3B561D26D816707A0D5B2EB9F9CF69D5026C30A4D6CEE73FA06C331B", "https://baanknet.com/view-property/198079/0257469D3B561D26D816707A0D5B2EB9F9CF69D5026C30A4D6CEE73FA06C331B")</f>
        <v>https://baanknet.com/view-property/198079/0257469D3B561D26D816707A0D5B2EB9F9CF69D5026C30A4D6CEE73FA06C331B</v>
      </c>
      <c r="I626" t="str">
        <f>HYPERLINK("https://baanknet.com/view-property/198079/0257469D3B561D26D816707A0D5B2EB9F9CF69D5026C30A4D6CEE73FA06C331B", "Open")</f>
        <v>Open</v>
      </c>
      <c r="J626" t="s">
        <v>20</v>
      </c>
      <c r="K626" t="s">
        <v>21</v>
      </c>
      <c r="L626">
        <v>2000000</v>
      </c>
      <c r="M626">
        <v>200000</v>
      </c>
    </row>
    <row r="627" spans="1:13" x14ac:dyDescent="0.25">
      <c r="A627" t="s">
        <v>2232</v>
      </c>
      <c r="B627" t="s">
        <v>2233</v>
      </c>
      <c r="C627" t="s">
        <v>121</v>
      </c>
      <c r="D627" t="s">
        <v>2234</v>
      </c>
      <c r="E627" t="s">
        <v>654</v>
      </c>
      <c r="F627" t="s">
        <v>334</v>
      </c>
      <c r="G627" t="s">
        <v>2235</v>
      </c>
      <c r="H627" t="str">
        <f>HYPERLINK("https://baanknet.com/view-property/175072/BB182C8B0C86AB41C774161F58D4BD6264CF20B6697D950CA8E78F4715AB4688", "https://baanknet.com/view-property/175072/BB182C8B0C86AB41C774161F58D4BD6264CF20B6697D950CA8E78F4715AB4688")</f>
        <v>https://baanknet.com/view-property/175072/BB182C8B0C86AB41C774161F58D4BD6264CF20B6697D950CA8E78F4715AB4688</v>
      </c>
      <c r="I627" t="str">
        <f>HYPERLINK("https://baanknet.com/view-property/175072/BB182C8B0C86AB41C774161F58D4BD6264CF20B6697D950CA8E78F4715AB4688", "Open")</f>
        <v>Open</v>
      </c>
      <c r="J627" t="s">
        <v>20</v>
      </c>
      <c r="K627" t="s">
        <v>21</v>
      </c>
      <c r="L627">
        <v>1859000</v>
      </c>
      <c r="M627">
        <v>185900</v>
      </c>
    </row>
    <row r="628" spans="1:13" x14ac:dyDescent="0.25">
      <c r="A628" t="s">
        <v>2236</v>
      </c>
      <c r="B628" t="s">
        <v>2237</v>
      </c>
      <c r="C628" t="s">
        <v>121</v>
      </c>
      <c r="D628" t="s">
        <v>2238</v>
      </c>
      <c r="E628" t="s">
        <v>654</v>
      </c>
      <c r="F628" t="s">
        <v>334</v>
      </c>
      <c r="G628" t="s">
        <v>2239</v>
      </c>
      <c r="H628" t="str">
        <f>HYPERLINK("https://baanknet.com/view-property/202485/950AADD8718CAC9C791F9685CFFDE5256D509097870C2C706A77A707AA925B03", "https://baanknet.com/view-property/202485/950AADD8718CAC9C791F9685CFFDE5256D509097870C2C706A77A707AA925B03")</f>
        <v>https://baanknet.com/view-property/202485/950AADD8718CAC9C791F9685CFFDE5256D509097870C2C706A77A707AA925B03</v>
      </c>
      <c r="I628" t="str">
        <f>HYPERLINK("https://baanknet.com/view-property/202485/950AADD8718CAC9C791F9685CFFDE5256D509097870C2C706A77A707AA925B03", "Open")</f>
        <v>Open</v>
      </c>
      <c r="J628" t="s">
        <v>20</v>
      </c>
      <c r="K628" t="s">
        <v>21</v>
      </c>
      <c r="L628">
        <v>1144000</v>
      </c>
      <c r="M628">
        <v>114400</v>
      </c>
    </row>
    <row r="629" spans="1:13" x14ac:dyDescent="0.25">
      <c r="A629" t="s">
        <v>2240</v>
      </c>
      <c r="B629" t="s">
        <v>2241</v>
      </c>
      <c r="C629" t="s">
        <v>121</v>
      </c>
      <c r="D629" t="s">
        <v>2238</v>
      </c>
      <c r="E629" t="s">
        <v>654</v>
      </c>
      <c r="F629" t="s">
        <v>334</v>
      </c>
      <c r="G629" t="s">
        <v>2242</v>
      </c>
      <c r="H629" t="str">
        <f>HYPERLINK("https://baanknet.com/view-property/202458/247E457490CCCD59F22EE1C4C2A1C38AFF2D8C62FE2AE473B236C9DE50A43C16", "https://baanknet.com/view-property/202458/247E457490CCCD59F22EE1C4C2A1C38AFF2D8C62FE2AE473B236C9DE50A43C16")</f>
        <v>https://baanknet.com/view-property/202458/247E457490CCCD59F22EE1C4C2A1C38AFF2D8C62FE2AE473B236C9DE50A43C16</v>
      </c>
      <c r="I629" t="str">
        <f>HYPERLINK("https://baanknet.com/view-property/202458/247E457490CCCD59F22EE1C4C2A1C38AFF2D8C62FE2AE473B236C9DE50A43C16", "Open")</f>
        <v>Open</v>
      </c>
      <c r="J629" t="s">
        <v>20</v>
      </c>
      <c r="K629" t="s">
        <v>21</v>
      </c>
      <c r="L629">
        <v>2746000</v>
      </c>
      <c r="M629">
        <v>274600</v>
      </c>
    </row>
    <row r="630" spans="1:13" x14ac:dyDescent="0.25">
      <c r="A630" t="s">
        <v>2243</v>
      </c>
      <c r="B630" t="s">
        <v>2244</v>
      </c>
      <c r="C630" t="s">
        <v>121</v>
      </c>
      <c r="D630" t="s">
        <v>157</v>
      </c>
      <c r="E630" t="s">
        <v>654</v>
      </c>
      <c r="F630" t="s">
        <v>334</v>
      </c>
      <c r="G630" t="s">
        <v>2245</v>
      </c>
      <c r="H630" t="str">
        <f>HYPERLINK("https://baanknet.com/view-property/175026/3E8B3B243D0E884E47B3E35AED19BD63C1108775FC288148CC87A1649154D61F", "https://baanknet.com/view-property/175026/3E8B3B243D0E884E47B3E35AED19BD63C1108775FC288148CC87A1649154D61F")</f>
        <v>https://baanknet.com/view-property/175026/3E8B3B243D0E884E47B3E35AED19BD63C1108775FC288148CC87A1649154D61F</v>
      </c>
      <c r="I630" t="str">
        <f>HYPERLINK("https://baanknet.com/view-property/175026/3E8B3B243D0E884E47B3E35AED19BD63C1108775FC288148CC87A1649154D61F", "Open")</f>
        <v>Open</v>
      </c>
      <c r="J630" t="s">
        <v>20</v>
      </c>
      <c r="K630" t="s">
        <v>21</v>
      </c>
      <c r="L630">
        <v>3585000</v>
      </c>
      <c r="M630">
        <v>358500</v>
      </c>
    </row>
    <row r="631" spans="1:13" x14ac:dyDescent="0.25">
      <c r="A631" t="s">
        <v>2246</v>
      </c>
      <c r="B631" t="s">
        <v>2247</v>
      </c>
      <c r="C631" t="s">
        <v>121</v>
      </c>
      <c r="D631" t="s">
        <v>2248</v>
      </c>
      <c r="E631" t="s">
        <v>654</v>
      </c>
      <c r="F631" t="s">
        <v>334</v>
      </c>
      <c r="G631" t="s">
        <v>2249</v>
      </c>
      <c r="H631" t="str">
        <f>HYPERLINK("https://baanknet.com/view-property/272944/25816650ACA1F6F4DDE650F8BDEE4D19D4A0194051EEBA44F453DE001EA25E69", "https://baanknet.com/view-property/272944/25816650ACA1F6F4DDE650F8BDEE4D19D4A0194051EEBA44F453DE001EA25E69")</f>
        <v>https://baanknet.com/view-property/272944/25816650ACA1F6F4DDE650F8BDEE4D19D4A0194051EEBA44F453DE001EA25E69</v>
      </c>
      <c r="I631" t="str">
        <f>HYPERLINK("https://baanknet.com/view-property/272944/25816650ACA1F6F4DDE650F8BDEE4D19D4A0194051EEBA44F453DE001EA25E69", "Open")</f>
        <v>Open</v>
      </c>
      <c r="J631" t="s">
        <v>20</v>
      </c>
      <c r="K631" t="s">
        <v>21</v>
      </c>
      <c r="L631">
        <v>5452000</v>
      </c>
      <c r="M631">
        <v>545200</v>
      </c>
    </row>
    <row r="632" spans="1:13" x14ac:dyDescent="0.25">
      <c r="A632" t="s">
        <v>2250</v>
      </c>
      <c r="B632" t="s">
        <v>2251</v>
      </c>
      <c r="C632" t="s">
        <v>121</v>
      </c>
      <c r="D632" t="s">
        <v>2248</v>
      </c>
      <c r="E632" t="s">
        <v>654</v>
      </c>
      <c r="F632" t="s">
        <v>334</v>
      </c>
      <c r="G632" t="s">
        <v>2252</v>
      </c>
      <c r="H632" t="str">
        <f>HYPERLINK("https://baanknet.com/view-property/182152/7B5CF96F9E5664BA0FAB395650ECFA8FEAF247F351A0F3CDB6638B8573C22D30", "https://baanknet.com/view-property/182152/7B5CF96F9E5664BA0FAB395650ECFA8FEAF247F351A0F3CDB6638B8573C22D30")</f>
        <v>https://baanknet.com/view-property/182152/7B5CF96F9E5664BA0FAB395650ECFA8FEAF247F351A0F3CDB6638B8573C22D30</v>
      </c>
      <c r="I632" t="str">
        <f>HYPERLINK("https://baanknet.com/view-property/182152/7B5CF96F9E5664BA0FAB395650ECFA8FEAF247F351A0F3CDB6638B8573C22D30", "Open")</f>
        <v>Open</v>
      </c>
      <c r="J632" t="s">
        <v>20</v>
      </c>
      <c r="K632" t="s">
        <v>21</v>
      </c>
      <c r="L632">
        <v>5444000</v>
      </c>
      <c r="M632">
        <v>544400</v>
      </c>
    </row>
    <row r="633" spans="1:13" x14ac:dyDescent="0.25">
      <c r="A633" t="s">
        <v>2253</v>
      </c>
      <c r="B633" t="s">
        <v>2254</v>
      </c>
      <c r="C633" t="s">
        <v>121</v>
      </c>
      <c r="D633" t="s">
        <v>157</v>
      </c>
      <c r="E633" t="s">
        <v>654</v>
      </c>
      <c r="F633" t="s">
        <v>334</v>
      </c>
      <c r="G633" t="s">
        <v>2255</v>
      </c>
      <c r="H633" t="str">
        <f>HYPERLINK("https://baanknet.com/view-property/175062/340CFF30E5135F89CEECC379976A72AAB364086B0C2596DF33B3B59D70C9B64B", "https://baanknet.com/view-property/175062/340CFF30E5135F89CEECC379976A72AAB364086B0C2596DF33B3B59D70C9B64B")</f>
        <v>https://baanknet.com/view-property/175062/340CFF30E5135F89CEECC379976A72AAB364086B0C2596DF33B3B59D70C9B64B</v>
      </c>
      <c r="I633" t="str">
        <f>HYPERLINK("https://baanknet.com/view-property/175062/340CFF30E5135F89CEECC379976A72AAB364086B0C2596DF33B3B59D70C9B64B", "Open")</f>
        <v>Open</v>
      </c>
      <c r="J633" t="s">
        <v>20</v>
      </c>
      <c r="K633" t="s">
        <v>21</v>
      </c>
      <c r="L633">
        <v>6150000</v>
      </c>
      <c r="M633">
        <v>615000</v>
      </c>
    </row>
    <row r="634" spans="1:13" x14ac:dyDescent="0.25">
      <c r="A634" t="s">
        <v>2256</v>
      </c>
      <c r="B634" t="s">
        <v>2257</v>
      </c>
      <c r="C634" t="s">
        <v>121</v>
      </c>
      <c r="D634" t="s">
        <v>429</v>
      </c>
      <c r="E634" t="s">
        <v>654</v>
      </c>
      <c r="F634" t="s">
        <v>334</v>
      </c>
      <c r="G634" t="s">
        <v>2258</v>
      </c>
      <c r="H634" t="str">
        <f>HYPERLINK("https://baanknet.com/view-property/197577/A698D68084E9B8A4E61A5190A38ACA3EBC46470896C7100529988595E187747F", "https://baanknet.com/view-property/197577/A698D68084E9B8A4E61A5190A38ACA3EBC46470896C7100529988595E187747F")</f>
        <v>https://baanknet.com/view-property/197577/A698D68084E9B8A4E61A5190A38ACA3EBC46470896C7100529988595E187747F</v>
      </c>
      <c r="I634" t="str">
        <f>HYPERLINK("https://baanknet.com/view-property/197577/A698D68084E9B8A4E61A5190A38ACA3EBC46470896C7100529988595E187747F", "Open")</f>
        <v>Open</v>
      </c>
      <c r="J634" t="s">
        <v>20</v>
      </c>
      <c r="K634" t="s">
        <v>21</v>
      </c>
      <c r="L634">
        <v>3300000</v>
      </c>
      <c r="M634">
        <v>330000</v>
      </c>
    </row>
    <row r="635" spans="1:13" x14ac:dyDescent="0.25">
      <c r="A635" t="s">
        <v>2259</v>
      </c>
      <c r="B635" t="s">
        <v>2260</v>
      </c>
      <c r="C635" t="s">
        <v>121</v>
      </c>
      <c r="D635" t="s">
        <v>2261</v>
      </c>
      <c r="E635" t="s">
        <v>654</v>
      </c>
      <c r="F635" t="s">
        <v>334</v>
      </c>
      <c r="G635" t="s">
        <v>2262</v>
      </c>
      <c r="H635" t="str">
        <f>HYPERLINK("https://baanknet.com/view-property/198379/1A4416C8D5CBCD265228D283061491234BF7ED01D1FC37E28B9B3CCA2C2041C2", "https://baanknet.com/view-property/198379/1A4416C8D5CBCD265228D283061491234BF7ED01D1FC37E28B9B3CCA2C2041C2")</f>
        <v>https://baanknet.com/view-property/198379/1A4416C8D5CBCD265228D283061491234BF7ED01D1FC37E28B9B3CCA2C2041C2</v>
      </c>
      <c r="I635" t="str">
        <f>HYPERLINK("https://baanknet.com/view-property/198379/1A4416C8D5CBCD265228D283061491234BF7ED01D1FC37E28B9B3CCA2C2041C2", "Open")</f>
        <v>Open</v>
      </c>
      <c r="J635" t="s">
        <v>20</v>
      </c>
      <c r="K635" t="s">
        <v>21</v>
      </c>
      <c r="L635">
        <v>5202000</v>
      </c>
      <c r="M635">
        <v>520200</v>
      </c>
    </row>
    <row r="636" spans="1:13" x14ac:dyDescent="0.25">
      <c r="A636" t="s">
        <v>2263</v>
      </c>
      <c r="B636" t="s">
        <v>2264</v>
      </c>
      <c r="C636" t="s">
        <v>121</v>
      </c>
      <c r="D636" t="s">
        <v>2234</v>
      </c>
      <c r="E636" t="s">
        <v>654</v>
      </c>
      <c r="F636" t="s">
        <v>334</v>
      </c>
      <c r="G636" t="s">
        <v>2265</v>
      </c>
      <c r="H636" t="str">
        <f>HYPERLINK("https://baanknet.com/view-property/172926/104790F1652008495F16179EEB21FA1FA5E35A0FA8760E4F4C7B0795636F9E59", "https://baanknet.com/view-property/172926/104790F1652008495F16179EEB21FA1FA5E35A0FA8760E4F4C7B0795636F9E59")</f>
        <v>https://baanknet.com/view-property/172926/104790F1652008495F16179EEB21FA1FA5E35A0FA8760E4F4C7B0795636F9E59</v>
      </c>
      <c r="I636" t="str">
        <f>HYPERLINK("https://baanknet.com/view-property/172926/104790F1652008495F16179EEB21FA1FA5E35A0FA8760E4F4C7B0795636F9E59", "Open")</f>
        <v>Open</v>
      </c>
      <c r="J636" t="s">
        <v>20</v>
      </c>
      <c r="K636" t="s">
        <v>21</v>
      </c>
      <c r="L636">
        <v>3557000</v>
      </c>
      <c r="M636">
        <v>355700</v>
      </c>
    </row>
    <row r="637" spans="1:13" x14ac:dyDescent="0.25">
      <c r="A637" t="s">
        <v>2266</v>
      </c>
      <c r="B637" t="s">
        <v>2267</v>
      </c>
      <c r="C637" t="s">
        <v>121</v>
      </c>
      <c r="D637" t="s">
        <v>2268</v>
      </c>
      <c r="E637" t="s">
        <v>654</v>
      </c>
      <c r="F637" t="s">
        <v>334</v>
      </c>
      <c r="G637" t="s">
        <v>2269</v>
      </c>
      <c r="H637" t="str">
        <f>HYPERLINK("https://baanknet.com/view-property/218241/44CF1C0CF902E67C479FB2898D0C7E31F35B1A675F17D3A4639CF32DBC30B640", "https://baanknet.com/view-property/218241/44CF1C0CF902E67C479FB2898D0C7E31F35B1A675F17D3A4639CF32DBC30B640")</f>
        <v>https://baanknet.com/view-property/218241/44CF1C0CF902E67C479FB2898D0C7E31F35B1A675F17D3A4639CF32DBC30B640</v>
      </c>
      <c r="I637" t="str">
        <f>HYPERLINK("https://baanknet.com/view-property/218241/44CF1C0CF902E67C479FB2898D0C7E31F35B1A675F17D3A4639CF32DBC30B640", "Open")</f>
        <v>Open</v>
      </c>
      <c r="J637" t="s">
        <v>20</v>
      </c>
      <c r="K637" t="s">
        <v>21</v>
      </c>
      <c r="L637">
        <v>1856000</v>
      </c>
      <c r="M637">
        <v>185600</v>
      </c>
    </row>
    <row r="638" spans="1:13" x14ac:dyDescent="0.25">
      <c r="A638" t="s">
        <v>2270</v>
      </c>
      <c r="B638" t="s">
        <v>2271</v>
      </c>
      <c r="C638" t="s">
        <v>121</v>
      </c>
      <c r="D638" t="s">
        <v>584</v>
      </c>
      <c r="E638" t="s">
        <v>654</v>
      </c>
      <c r="F638" t="s">
        <v>334</v>
      </c>
      <c r="G638" t="s">
        <v>2272</v>
      </c>
      <c r="H638" t="str">
        <f>HYPERLINK("https://baanknet.com/view-property/280972/74DA6B99743664058441315AD72240713C0F48D5A21406A91AA46946116A0AF1", "https://baanknet.com/view-property/280972/74DA6B99743664058441315AD72240713C0F48D5A21406A91AA46946116A0AF1")</f>
        <v>https://baanknet.com/view-property/280972/74DA6B99743664058441315AD72240713C0F48D5A21406A91AA46946116A0AF1</v>
      </c>
      <c r="I638" t="str">
        <f>HYPERLINK("https://baanknet.com/view-property/280972/74DA6B99743664058441315AD72240713C0F48D5A21406A91AA46946116A0AF1", "Open")</f>
        <v>Open</v>
      </c>
      <c r="J638" t="s">
        <v>20</v>
      </c>
      <c r="K638" t="s">
        <v>21</v>
      </c>
      <c r="L638">
        <v>7176000</v>
      </c>
      <c r="M638">
        <v>717600</v>
      </c>
    </row>
    <row r="639" spans="1:13" x14ac:dyDescent="0.25">
      <c r="A639" t="s">
        <v>2273</v>
      </c>
      <c r="B639" t="s">
        <v>2274</v>
      </c>
      <c r="C639" t="s">
        <v>121</v>
      </c>
      <c r="D639" t="s">
        <v>2275</v>
      </c>
      <c r="E639" t="s">
        <v>654</v>
      </c>
      <c r="F639" t="s">
        <v>334</v>
      </c>
      <c r="G639" t="s">
        <v>2276</v>
      </c>
      <c r="H639" t="str">
        <f>HYPERLINK("https://baanknet.com/view-property/270720/53423CBD0FD451767DFC03421740406526210CFCD4E93816A96D6B9682B749EA", "https://baanknet.com/view-property/270720/53423CBD0FD451767DFC03421740406526210CFCD4E93816A96D6B9682B749EA")</f>
        <v>https://baanknet.com/view-property/270720/53423CBD0FD451767DFC03421740406526210CFCD4E93816A96D6B9682B749EA</v>
      </c>
      <c r="I639" t="str">
        <f>HYPERLINK("https://baanknet.com/view-property/270720/53423CBD0FD451767DFC03421740406526210CFCD4E93816A96D6B9682B749EA", "Open")</f>
        <v>Open</v>
      </c>
      <c r="J639" t="s">
        <v>20</v>
      </c>
      <c r="K639" t="s">
        <v>21</v>
      </c>
      <c r="L639">
        <v>950000</v>
      </c>
      <c r="M639">
        <v>95000</v>
      </c>
    </row>
    <row r="640" spans="1:13" x14ac:dyDescent="0.25">
      <c r="A640" t="s">
        <v>2277</v>
      </c>
      <c r="B640" t="s">
        <v>2278</v>
      </c>
      <c r="C640" t="s">
        <v>121</v>
      </c>
      <c r="D640" t="s">
        <v>429</v>
      </c>
      <c r="E640" t="s">
        <v>654</v>
      </c>
      <c r="F640" t="s">
        <v>334</v>
      </c>
      <c r="G640" t="s">
        <v>2279</v>
      </c>
      <c r="H640" t="str">
        <f>HYPERLINK("https://baanknet.com/view-property/197612/CCFC9B58F3A558AABC157802190BB73AEA4F8883D0FFB3DA6BCBF190E9384C21", "https://baanknet.com/view-property/197612/CCFC9B58F3A558AABC157802190BB73AEA4F8883D0FFB3DA6BCBF190E9384C21")</f>
        <v>https://baanknet.com/view-property/197612/CCFC9B58F3A558AABC157802190BB73AEA4F8883D0FFB3DA6BCBF190E9384C21</v>
      </c>
      <c r="I640" t="str">
        <f>HYPERLINK("https://baanknet.com/view-property/197612/CCFC9B58F3A558AABC157802190BB73AEA4F8883D0FFB3DA6BCBF190E9384C21", "Open")</f>
        <v>Open</v>
      </c>
      <c r="J640" t="s">
        <v>20</v>
      </c>
      <c r="K640" t="s">
        <v>21</v>
      </c>
      <c r="L640">
        <v>900000</v>
      </c>
      <c r="M640">
        <v>90000</v>
      </c>
    </row>
    <row r="641" spans="1:13" x14ac:dyDescent="0.25">
      <c r="A641" t="s">
        <v>2280</v>
      </c>
      <c r="B641" t="s">
        <v>2281</v>
      </c>
      <c r="C641" t="s">
        <v>121</v>
      </c>
      <c r="D641" t="s">
        <v>2282</v>
      </c>
      <c r="E641" t="s">
        <v>654</v>
      </c>
      <c r="F641" t="s">
        <v>334</v>
      </c>
      <c r="G641" t="s">
        <v>2283</v>
      </c>
      <c r="H641" t="str">
        <f>HYPERLINK("https://baanknet.com/view-property/260859/9EFE01DB2F8D56CB3DCA5E7ED8BE2561D13F8321C8454EF0AAEA543D7458A3CE", "https://baanknet.com/view-property/260859/9EFE01DB2F8D56CB3DCA5E7ED8BE2561D13F8321C8454EF0AAEA543D7458A3CE")</f>
        <v>https://baanknet.com/view-property/260859/9EFE01DB2F8D56CB3DCA5E7ED8BE2561D13F8321C8454EF0AAEA543D7458A3CE</v>
      </c>
      <c r="I641" t="str">
        <f>HYPERLINK("https://baanknet.com/view-property/260859/9EFE01DB2F8D56CB3DCA5E7ED8BE2561D13F8321C8454EF0AAEA543D7458A3CE", "Open")</f>
        <v>Open</v>
      </c>
      <c r="J641" t="s">
        <v>20</v>
      </c>
      <c r="K641" t="s">
        <v>21</v>
      </c>
      <c r="L641">
        <v>3000000</v>
      </c>
      <c r="M641">
        <v>300000</v>
      </c>
    </row>
    <row r="642" spans="1:13" x14ac:dyDescent="0.25">
      <c r="A642" t="s">
        <v>2284</v>
      </c>
      <c r="B642" t="s">
        <v>2285</v>
      </c>
      <c r="C642" t="s">
        <v>121</v>
      </c>
      <c r="D642" t="s">
        <v>2286</v>
      </c>
      <c r="E642" t="s">
        <v>654</v>
      </c>
      <c r="F642" t="s">
        <v>334</v>
      </c>
      <c r="G642" t="s">
        <v>2287</v>
      </c>
      <c r="H642" t="str">
        <f>HYPERLINK("https://baanknet.com/view-property/175384/6B77A4F0FA94028D9B49AC1EDEB72A21956B2795A191CC643EEC6554CF603F29", "https://baanknet.com/view-property/175384/6B77A4F0FA94028D9B49AC1EDEB72A21956B2795A191CC643EEC6554CF603F29")</f>
        <v>https://baanknet.com/view-property/175384/6B77A4F0FA94028D9B49AC1EDEB72A21956B2795A191CC643EEC6554CF603F29</v>
      </c>
      <c r="I642" t="str">
        <f>HYPERLINK("https://baanknet.com/view-property/175384/6B77A4F0FA94028D9B49AC1EDEB72A21956B2795A191CC643EEC6554CF603F29", "Open")</f>
        <v>Open</v>
      </c>
      <c r="J642" t="s">
        <v>20</v>
      </c>
      <c r="K642" t="s">
        <v>21</v>
      </c>
      <c r="L642">
        <v>2515500</v>
      </c>
      <c r="M642">
        <v>251550</v>
      </c>
    </row>
    <row r="643" spans="1:13" x14ac:dyDescent="0.25">
      <c r="A643" t="s">
        <v>2288</v>
      </c>
      <c r="B643" t="s">
        <v>2289</v>
      </c>
      <c r="C643" t="s">
        <v>121</v>
      </c>
      <c r="D643" t="s">
        <v>1602</v>
      </c>
      <c r="E643" t="s">
        <v>654</v>
      </c>
      <c r="F643" t="s">
        <v>334</v>
      </c>
      <c r="G643" t="s">
        <v>2290</v>
      </c>
      <c r="H643" t="str">
        <f>HYPERLINK("https://baanknet.com/view-property/274916/2D14233A5841779284B5D017A6D1179BB40D2564AD9CF42000EDBE616B5EB0DD", "https://baanknet.com/view-property/274916/2D14233A5841779284B5D017A6D1179BB40D2564AD9CF42000EDBE616B5EB0DD")</f>
        <v>https://baanknet.com/view-property/274916/2D14233A5841779284B5D017A6D1179BB40D2564AD9CF42000EDBE616B5EB0DD</v>
      </c>
      <c r="I643" t="str">
        <f>HYPERLINK("https://baanknet.com/view-property/274916/2D14233A5841779284B5D017A6D1179BB40D2564AD9CF42000EDBE616B5EB0DD", "Open")</f>
        <v>Open</v>
      </c>
      <c r="J643" t="s">
        <v>20</v>
      </c>
      <c r="K643" t="s">
        <v>21</v>
      </c>
      <c r="L643">
        <v>710000</v>
      </c>
      <c r="M643">
        <v>71000</v>
      </c>
    </row>
    <row r="644" spans="1:13" x14ac:dyDescent="0.25">
      <c r="A644" t="s">
        <v>2291</v>
      </c>
      <c r="B644" t="s">
        <v>2292</v>
      </c>
      <c r="C644" t="s">
        <v>121</v>
      </c>
      <c r="D644" t="s">
        <v>1602</v>
      </c>
      <c r="E644" t="s">
        <v>654</v>
      </c>
      <c r="F644" t="s">
        <v>334</v>
      </c>
      <c r="G644" t="s">
        <v>2293</v>
      </c>
      <c r="H644" t="str">
        <f>HYPERLINK("https://baanknet.com/view-property/236948/19516EA68756B6076267214F0A0E921911587325120827E8032AAF6CE3992B3F", "https://baanknet.com/view-property/236948/19516EA68756B6076267214F0A0E921911587325120827E8032AAF6CE3992B3F")</f>
        <v>https://baanknet.com/view-property/236948/19516EA68756B6076267214F0A0E921911587325120827E8032AAF6CE3992B3F</v>
      </c>
      <c r="I644" t="str">
        <f>HYPERLINK("https://baanknet.com/view-property/236948/19516EA68756B6076267214F0A0E921911587325120827E8032AAF6CE3992B3F", "Open")</f>
        <v>Open</v>
      </c>
      <c r="J644" t="s">
        <v>20</v>
      </c>
      <c r="K644" t="s">
        <v>21</v>
      </c>
      <c r="L644">
        <v>920000</v>
      </c>
      <c r="M644">
        <v>92000</v>
      </c>
    </row>
    <row r="645" spans="1:13" x14ac:dyDescent="0.25">
      <c r="A645" t="s">
        <v>2294</v>
      </c>
      <c r="B645" t="s">
        <v>2295</v>
      </c>
      <c r="C645" t="s">
        <v>121</v>
      </c>
      <c r="D645" t="s">
        <v>324</v>
      </c>
      <c r="E645" t="s">
        <v>654</v>
      </c>
      <c r="F645" t="s">
        <v>334</v>
      </c>
      <c r="G645" t="s">
        <v>2296</v>
      </c>
      <c r="H645" t="str">
        <f>HYPERLINK("https://baanknet.com/view-property/225294/1C1AC811525D1914276A12E459D857F1FDFC6066DA6DAA9D6C1EB26312D21940", "https://baanknet.com/view-property/225294/1C1AC811525D1914276A12E459D857F1FDFC6066DA6DAA9D6C1EB26312D21940")</f>
        <v>https://baanknet.com/view-property/225294/1C1AC811525D1914276A12E459D857F1FDFC6066DA6DAA9D6C1EB26312D21940</v>
      </c>
      <c r="I645" t="str">
        <f>HYPERLINK("https://baanknet.com/view-property/225294/1C1AC811525D1914276A12E459D857F1FDFC6066DA6DAA9D6C1EB26312D21940", "Open")</f>
        <v>Open</v>
      </c>
      <c r="J645" t="s">
        <v>20</v>
      </c>
      <c r="K645" t="s">
        <v>21</v>
      </c>
      <c r="L645">
        <v>5541000</v>
      </c>
      <c r="M645">
        <v>554100</v>
      </c>
    </row>
    <row r="646" spans="1:13" x14ac:dyDescent="0.25">
      <c r="A646" t="s">
        <v>2297</v>
      </c>
      <c r="B646" t="s">
        <v>2298</v>
      </c>
      <c r="C646" t="s">
        <v>121</v>
      </c>
      <c r="D646" t="s">
        <v>2117</v>
      </c>
      <c r="E646" t="s">
        <v>654</v>
      </c>
      <c r="F646" t="s">
        <v>334</v>
      </c>
      <c r="G646" t="s">
        <v>2299</v>
      </c>
      <c r="H646" t="str">
        <f>HYPERLINK("https://baanknet.com/view-property/256159/3F4A1EC75AE9F958C54D5B8221828DDA9D4F42751B9445B3EFEDD185E95B883A", "https://baanknet.com/view-property/256159/3F4A1EC75AE9F958C54D5B8221828DDA9D4F42751B9445B3EFEDD185E95B883A")</f>
        <v>https://baanknet.com/view-property/256159/3F4A1EC75AE9F958C54D5B8221828DDA9D4F42751B9445B3EFEDD185E95B883A</v>
      </c>
      <c r="I646" t="str">
        <f>HYPERLINK("https://baanknet.com/view-property/256159/3F4A1EC75AE9F958C54D5B8221828DDA9D4F42751B9445B3EFEDD185E95B883A", "Open")</f>
        <v>Open</v>
      </c>
      <c r="J646" t="s">
        <v>20</v>
      </c>
      <c r="K646" t="s">
        <v>21</v>
      </c>
      <c r="L646">
        <v>1507000</v>
      </c>
      <c r="M646">
        <v>150700</v>
      </c>
    </row>
    <row r="647" spans="1:13" x14ac:dyDescent="0.25">
      <c r="A647" t="s">
        <v>2300</v>
      </c>
      <c r="B647" t="s">
        <v>2301</v>
      </c>
      <c r="C647" t="s">
        <v>121</v>
      </c>
      <c r="D647" t="s">
        <v>2063</v>
      </c>
      <c r="E647" t="s">
        <v>654</v>
      </c>
      <c r="F647" t="s">
        <v>334</v>
      </c>
      <c r="G647" t="s">
        <v>2302</v>
      </c>
      <c r="H647" t="str">
        <f>HYPERLINK("https://baanknet.com/view-property/280682/B4B3817816658B5585214C60147CF169EEE57C747E7888925A7F58B5284FADEE", "https://baanknet.com/view-property/280682/B4B3817816658B5585214C60147CF169EEE57C747E7888925A7F58B5284FADEE")</f>
        <v>https://baanknet.com/view-property/280682/B4B3817816658B5585214C60147CF169EEE57C747E7888925A7F58B5284FADEE</v>
      </c>
      <c r="I647" t="str">
        <f>HYPERLINK("https://baanknet.com/view-property/280682/B4B3817816658B5585214C60147CF169EEE57C747E7888925A7F58B5284FADEE", "Open")</f>
        <v>Open</v>
      </c>
      <c r="J647" t="s">
        <v>20</v>
      </c>
      <c r="K647" t="s">
        <v>21</v>
      </c>
      <c r="L647">
        <v>3062000</v>
      </c>
      <c r="M647">
        <v>306200</v>
      </c>
    </row>
    <row r="648" spans="1:13" x14ac:dyDescent="0.25">
      <c r="A648" t="s">
        <v>2303</v>
      </c>
      <c r="B648" t="s">
        <v>2304</v>
      </c>
      <c r="C648" t="s">
        <v>121</v>
      </c>
      <c r="D648" t="s">
        <v>1602</v>
      </c>
      <c r="E648" t="s">
        <v>654</v>
      </c>
      <c r="F648" t="s">
        <v>334</v>
      </c>
      <c r="G648" t="s">
        <v>2305</v>
      </c>
      <c r="H648" t="str">
        <f>HYPERLINK("https://baanknet.com/view-property/278904/5A664BCFB3041D8ADEDA7C89642C33BB41FFACA7949D78883138DFF39A662FC5", "https://baanknet.com/view-property/278904/5A664BCFB3041D8ADEDA7C89642C33BB41FFACA7949D78883138DFF39A662FC5")</f>
        <v>https://baanknet.com/view-property/278904/5A664BCFB3041D8ADEDA7C89642C33BB41FFACA7949D78883138DFF39A662FC5</v>
      </c>
      <c r="I648" t="str">
        <f>HYPERLINK("https://baanknet.com/view-property/278904/5A664BCFB3041D8ADEDA7C89642C33BB41FFACA7949D78883138DFF39A662FC5", "Open")</f>
        <v>Open</v>
      </c>
      <c r="J648" t="s">
        <v>20</v>
      </c>
      <c r="K648" t="s">
        <v>21</v>
      </c>
      <c r="L648">
        <v>1491000</v>
      </c>
      <c r="M648">
        <v>149100</v>
      </c>
    </row>
    <row r="649" spans="1:13" x14ac:dyDescent="0.25">
      <c r="A649" t="s">
        <v>2306</v>
      </c>
      <c r="B649" t="s">
        <v>2307</v>
      </c>
      <c r="C649" t="s">
        <v>121</v>
      </c>
      <c r="D649" t="s">
        <v>157</v>
      </c>
      <c r="E649" t="s">
        <v>654</v>
      </c>
      <c r="F649" t="s">
        <v>334</v>
      </c>
      <c r="G649" t="s">
        <v>2308</v>
      </c>
      <c r="H649" t="str">
        <f>HYPERLINK("https://baanknet.com/view-property/177073/786387F4291679215DA5B9C820B2BACC8006453A731000593947889FC21D75ED", "https://baanknet.com/view-property/177073/786387F4291679215DA5B9C820B2BACC8006453A731000593947889FC21D75ED")</f>
        <v>https://baanknet.com/view-property/177073/786387F4291679215DA5B9C820B2BACC8006453A731000593947889FC21D75ED</v>
      </c>
      <c r="I649" t="str">
        <f>HYPERLINK("https://baanknet.com/view-property/177073/786387F4291679215DA5B9C820B2BACC8006453A731000593947889FC21D75ED", "Open")</f>
        <v>Open</v>
      </c>
      <c r="J649" t="s">
        <v>20</v>
      </c>
      <c r="K649" t="s">
        <v>21</v>
      </c>
      <c r="L649">
        <v>11741000</v>
      </c>
      <c r="M649">
        <v>1174100</v>
      </c>
    </row>
    <row r="650" spans="1:13" x14ac:dyDescent="0.25">
      <c r="A650" t="s">
        <v>2309</v>
      </c>
      <c r="B650" t="s">
        <v>2310</v>
      </c>
      <c r="C650" t="s">
        <v>121</v>
      </c>
      <c r="D650" t="s">
        <v>2311</v>
      </c>
      <c r="E650" t="s">
        <v>654</v>
      </c>
      <c r="F650" t="s">
        <v>334</v>
      </c>
      <c r="G650" t="s">
        <v>2312</v>
      </c>
      <c r="H650" t="str">
        <f>HYPERLINK("https://baanknet.com/view-property/277890/823995C84DB95121D0FB9C6BA75B6073AEA54BEEA7B0739BC92565046FEECEE3", "https://baanknet.com/view-property/277890/823995C84DB95121D0FB9C6BA75B6073AEA54BEEA7B0739BC92565046FEECEE3")</f>
        <v>https://baanknet.com/view-property/277890/823995C84DB95121D0FB9C6BA75B6073AEA54BEEA7B0739BC92565046FEECEE3</v>
      </c>
      <c r="I650" t="str">
        <f>HYPERLINK("https://baanknet.com/view-property/277890/823995C84DB95121D0FB9C6BA75B6073AEA54BEEA7B0739BC92565046FEECEE3", "Open")</f>
        <v>Open</v>
      </c>
      <c r="J650" t="s">
        <v>20</v>
      </c>
      <c r="K650" t="s">
        <v>21</v>
      </c>
      <c r="L650">
        <v>3310000</v>
      </c>
      <c r="M650">
        <v>331000</v>
      </c>
    </row>
    <row r="651" spans="1:13" x14ac:dyDescent="0.25">
      <c r="A651" t="s">
        <v>2313</v>
      </c>
      <c r="B651" t="s">
        <v>2314</v>
      </c>
      <c r="C651" t="s">
        <v>121</v>
      </c>
      <c r="D651" t="s">
        <v>1602</v>
      </c>
      <c r="E651" t="s">
        <v>654</v>
      </c>
      <c r="F651" t="s">
        <v>334</v>
      </c>
      <c r="G651" t="s">
        <v>2315</v>
      </c>
      <c r="H651" t="str">
        <f>HYPERLINK("https://baanknet.com/view-property/185549/11042A7D4116309F4ADB9A149747B825122B6A52CF0176A0BEEFE42017EDCC89", "https://baanknet.com/view-property/185549/11042A7D4116309F4ADB9A149747B825122B6A52CF0176A0BEEFE42017EDCC89")</f>
        <v>https://baanknet.com/view-property/185549/11042A7D4116309F4ADB9A149747B825122B6A52CF0176A0BEEFE42017EDCC89</v>
      </c>
      <c r="I651" t="str">
        <f>HYPERLINK("https://baanknet.com/view-property/185549/11042A7D4116309F4ADB9A149747B825122B6A52CF0176A0BEEFE42017EDCC89", "Open")</f>
        <v>Open</v>
      </c>
      <c r="J651" t="s">
        <v>20</v>
      </c>
      <c r="K651" t="s">
        <v>21</v>
      </c>
      <c r="L651">
        <v>3510000</v>
      </c>
      <c r="M651">
        <v>351000</v>
      </c>
    </row>
    <row r="652" spans="1:13" x14ac:dyDescent="0.25">
      <c r="A652" t="s">
        <v>2316</v>
      </c>
      <c r="B652" t="s">
        <v>2317</v>
      </c>
      <c r="C652" t="s">
        <v>121</v>
      </c>
      <c r="D652" t="s">
        <v>1602</v>
      </c>
      <c r="E652" t="s">
        <v>654</v>
      </c>
      <c r="F652" t="s">
        <v>334</v>
      </c>
      <c r="G652" t="s">
        <v>2318</v>
      </c>
      <c r="H652" t="str">
        <f>HYPERLINK("https://baanknet.com/view-property/267627/A5FE436409008269A57D932D3EEA2D5DCDD43BC020B1D296D1A318B983AA6EF3", "https://baanknet.com/view-property/267627/A5FE436409008269A57D932D3EEA2D5DCDD43BC020B1D296D1A318B983AA6EF3")</f>
        <v>https://baanknet.com/view-property/267627/A5FE436409008269A57D932D3EEA2D5DCDD43BC020B1D296D1A318B983AA6EF3</v>
      </c>
      <c r="I652" t="str">
        <f>HYPERLINK("https://baanknet.com/view-property/267627/A5FE436409008269A57D932D3EEA2D5DCDD43BC020B1D296D1A318B983AA6EF3", "Open")</f>
        <v>Open</v>
      </c>
      <c r="J652" t="s">
        <v>20</v>
      </c>
      <c r="K652" t="s">
        <v>21</v>
      </c>
      <c r="L652">
        <v>816000</v>
      </c>
      <c r="M652">
        <v>81600</v>
      </c>
    </row>
    <row r="653" spans="1:13" x14ac:dyDescent="0.25">
      <c r="A653" t="s">
        <v>2319</v>
      </c>
      <c r="B653" t="s">
        <v>2320</v>
      </c>
      <c r="C653" t="s">
        <v>121</v>
      </c>
      <c r="D653" t="s">
        <v>157</v>
      </c>
      <c r="E653" t="s">
        <v>654</v>
      </c>
      <c r="F653" t="s">
        <v>334</v>
      </c>
      <c r="G653" t="s">
        <v>2321</v>
      </c>
      <c r="H653" t="str">
        <f>HYPERLINK("https://baanknet.com/view-property/258110/D3C9F77223FF74C7BC23455D3C8900B68F0622070B74F670A218CE7DBD8717CA", "https://baanknet.com/view-property/258110/D3C9F77223FF74C7BC23455D3C8900B68F0622070B74F670A218CE7DBD8717CA")</f>
        <v>https://baanknet.com/view-property/258110/D3C9F77223FF74C7BC23455D3C8900B68F0622070B74F670A218CE7DBD8717CA</v>
      </c>
      <c r="I653" t="str">
        <f>HYPERLINK("https://baanknet.com/view-property/258110/D3C9F77223FF74C7BC23455D3C8900B68F0622070B74F670A218CE7DBD8717CA", "Open")</f>
        <v>Open</v>
      </c>
      <c r="J653" t="s">
        <v>20</v>
      </c>
      <c r="K653" t="s">
        <v>21</v>
      </c>
      <c r="L653">
        <v>3997000</v>
      </c>
      <c r="M653">
        <v>399700</v>
      </c>
    </row>
    <row r="654" spans="1:13" x14ac:dyDescent="0.25">
      <c r="A654" t="s">
        <v>2322</v>
      </c>
      <c r="B654" t="s">
        <v>2323</v>
      </c>
      <c r="C654" t="s">
        <v>121</v>
      </c>
      <c r="D654" t="s">
        <v>1602</v>
      </c>
      <c r="E654" t="s">
        <v>654</v>
      </c>
      <c r="F654" t="s">
        <v>334</v>
      </c>
      <c r="G654" t="s">
        <v>2324</v>
      </c>
      <c r="H654" t="str">
        <f>HYPERLINK("https://baanknet.com/view-property/171905/D1E64D38C32773C9231E933982D98EC85280100D41134A311549F3A9D72C33E1", "https://baanknet.com/view-property/171905/D1E64D38C32773C9231E933982D98EC85280100D41134A311549F3A9D72C33E1")</f>
        <v>https://baanknet.com/view-property/171905/D1E64D38C32773C9231E933982D98EC85280100D41134A311549F3A9D72C33E1</v>
      </c>
      <c r="I654" t="str">
        <f>HYPERLINK("https://baanknet.com/view-property/171905/D1E64D38C32773C9231E933982D98EC85280100D41134A311549F3A9D72C33E1", "Open")</f>
        <v>Open</v>
      </c>
      <c r="J654" t="s">
        <v>20</v>
      </c>
      <c r="K654" t="s">
        <v>21</v>
      </c>
      <c r="L654">
        <v>3400000</v>
      </c>
      <c r="M654">
        <v>340000</v>
      </c>
    </row>
    <row r="655" spans="1:13" x14ac:dyDescent="0.25">
      <c r="A655" t="s">
        <v>2325</v>
      </c>
      <c r="B655" t="s">
        <v>2326</v>
      </c>
      <c r="C655" t="s">
        <v>121</v>
      </c>
      <c r="D655" t="s">
        <v>2327</v>
      </c>
      <c r="E655" t="s">
        <v>654</v>
      </c>
      <c r="F655" t="s">
        <v>334</v>
      </c>
      <c r="G655" t="s">
        <v>2328</v>
      </c>
      <c r="H655" t="str">
        <f>HYPERLINK("https://baanknet.com/view-property/280490/78DC1B721617DAD4C5B0D4D140CDED198B5571C7B1B843E4D7797EDEFBFF85E6", "https://baanknet.com/view-property/280490/78DC1B721617DAD4C5B0D4D140CDED198B5571C7B1B843E4D7797EDEFBFF85E6")</f>
        <v>https://baanknet.com/view-property/280490/78DC1B721617DAD4C5B0D4D140CDED198B5571C7B1B843E4D7797EDEFBFF85E6</v>
      </c>
      <c r="I655" t="str">
        <f>HYPERLINK("https://baanknet.com/view-property/280490/78DC1B721617DAD4C5B0D4D140CDED198B5571C7B1B843E4D7797EDEFBFF85E6", "Open")</f>
        <v>Open</v>
      </c>
      <c r="J655" t="s">
        <v>20</v>
      </c>
      <c r="K655" t="s">
        <v>21</v>
      </c>
      <c r="L655">
        <v>1303000</v>
      </c>
      <c r="M655">
        <v>130300</v>
      </c>
    </row>
    <row r="656" spans="1:13" x14ac:dyDescent="0.25">
      <c r="A656" t="s">
        <v>2329</v>
      </c>
      <c r="B656" t="s">
        <v>2330</v>
      </c>
      <c r="C656" t="s">
        <v>121</v>
      </c>
      <c r="D656" t="s">
        <v>1602</v>
      </c>
      <c r="E656" t="s">
        <v>654</v>
      </c>
      <c r="F656" t="s">
        <v>334</v>
      </c>
      <c r="G656" t="s">
        <v>2331</v>
      </c>
      <c r="H656" t="str">
        <f>HYPERLINK("https://baanknet.com/view-property/279822/6A09CEDB73EF2BA80DEB16D1749B47FA09FC319504EEC18C438B94827A1CEFBB", "https://baanknet.com/view-property/279822/6A09CEDB73EF2BA80DEB16D1749B47FA09FC319504EEC18C438B94827A1CEFBB")</f>
        <v>https://baanknet.com/view-property/279822/6A09CEDB73EF2BA80DEB16D1749B47FA09FC319504EEC18C438B94827A1CEFBB</v>
      </c>
      <c r="I656" t="str">
        <f>HYPERLINK("https://baanknet.com/view-property/279822/6A09CEDB73EF2BA80DEB16D1749B47FA09FC319504EEC18C438B94827A1CEFBB", "Open")</f>
        <v>Open</v>
      </c>
      <c r="J656" t="s">
        <v>20</v>
      </c>
      <c r="K656" t="s">
        <v>21</v>
      </c>
      <c r="L656">
        <v>937000</v>
      </c>
      <c r="M656">
        <v>93700</v>
      </c>
    </row>
    <row r="657" spans="1:13" x14ac:dyDescent="0.25">
      <c r="A657" t="s">
        <v>2332</v>
      </c>
      <c r="B657" t="s">
        <v>2333</v>
      </c>
      <c r="C657" t="s">
        <v>121</v>
      </c>
      <c r="D657" t="s">
        <v>2334</v>
      </c>
      <c r="E657" t="s">
        <v>654</v>
      </c>
      <c r="F657" t="s">
        <v>334</v>
      </c>
      <c r="G657" t="s">
        <v>2335</v>
      </c>
      <c r="H657" t="str">
        <f>HYPERLINK("https://baanknet.com/view-property/191379/68EF9C0476587DF1A8798AFCD0AF6989273FB4008CDCE7D8701329F49DCD355C", "https://baanknet.com/view-property/191379/68EF9C0476587DF1A8798AFCD0AF6989273FB4008CDCE7D8701329F49DCD355C")</f>
        <v>https://baanknet.com/view-property/191379/68EF9C0476587DF1A8798AFCD0AF6989273FB4008CDCE7D8701329F49DCD355C</v>
      </c>
      <c r="I657" t="str">
        <f>HYPERLINK("https://baanknet.com/view-property/191379/68EF9C0476587DF1A8798AFCD0AF6989273FB4008CDCE7D8701329F49DCD355C", "Open")</f>
        <v>Open</v>
      </c>
      <c r="J657" t="s">
        <v>20</v>
      </c>
      <c r="K657" t="s">
        <v>21</v>
      </c>
      <c r="L657">
        <v>4019000</v>
      </c>
      <c r="M657">
        <v>401900</v>
      </c>
    </row>
    <row r="658" spans="1:13" x14ac:dyDescent="0.25">
      <c r="A658" t="s">
        <v>2336</v>
      </c>
      <c r="B658" t="s">
        <v>2337</v>
      </c>
      <c r="C658" t="s">
        <v>121</v>
      </c>
      <c r="D658" t="s">
        <v>991</v>
      </c>
      <c r="E658" t="s">
        <v>654</v>
      </c>
      <c r="F658" t="s">
        <v>334</v>
      </c>
      <c r="G658" t="s">
        <v>2338</v>
      </c>
      <c r="H658" t="str">
        <f>HYPERLINK("https://baanknet.com/view-property/173538/54E733B82BD63ECF021C848EF43E79C5F2BCA6D869F3160156476256E705481D", "https://baanknet.com/view-property/173538/54E733B82BD63ECF021C848EF43E79C5F2BCA6D869F3160156476256E705481D")</f>
        <v>https://baanknet.com/view-property/173538/54E733B82BD63ECF021C848EF43E79C5F2BCA6D869F3160156476256E705481D</v>
      </c>
      <c r="I658" t="str">
        <f>HYPERLINK("https://baanknet.com/view-property/173538/54E733B82BD63ECF021C848EF43E79C5F2BCA6D869F3160156476256E705481D", "Open")</f>
        <v>Open</v>
      </c>
      <c r="J658" t="s">
        <v>20</v>
      </c>
      <c r="K658" t="s">
        <v>21</v>
      </c>
      <c r="L658">
        <v>369900</v>
      </c>
      <c r="M658">
        <v>36990</v>
      </c>
    </row>
    <row r="659" spans="1:13" x14ac:dyDescent="0.25">
      <c r="A659" t="s">
        <v>2339</v>
      </c>
      <c r="B659" t="s">
        <v>2340</v>
      </c>
      <c r="C659" t="s">
        <v>121</v>
      </c>
      <c r="D659" t="s">
        <v>2341</v>
      </c>
      <c r="E659" t="s">
        <v>654</v>
      </c>
      <c r="F659" t="s">
        <v>334</v>
      </c>
      <c r="G659" t="s">
        <v>2342</v>
      </c>
      <c r="H659" t="str">
        <f>HYPERLINK("https://baanknet.com/view-property/175055/C855F8860B259CCF73B93AA75C716A86BDCA85D773D298C3077BAF917B633A22", "https://baanknet.com/view-property/175055/C855F8860B259CCF73B93AA75C716A86BDCA85D773D298C3077BAF917B633A22")</f>
        <v>https://baanknet.com/view-property/175055/C855F8860B259CCF73B93AA75C716A86BDCA85D773D298C3077BAF917B633A22</v>
      </c>
      <c r="I659" t="str">
        <f>HYPERLINK("https://baanknet.com/view-property/175055/C855F8860B259CCF73B93AA75C716A86BDCA85D773D298C3077BAF917B633A22", "Open")</f>
        <v>Open</v>
      </c>
      <c r="J659" t="s">
        <v>20</v>
      </c>
      <c r="K659" t="s">
        <v>21</v>
      </c>
      <c r="L659">
        <v>3997000</v>
      </c>
      <c r="M659">
        <v>399700</v>
      </c>
    </row>
    <row r="660" spans="1:13" x14ac:dyDescent="0.25">
      <c r="A660" t="s">
        <v>2343</v>
      </c>
      <c r="B660" t="s">
        <v>2344</v>
      </c>
      <c r="C660" t="s">
        <v>121</v>
      </c>
      <c r="D660" t="s">
        <v>2345</v>
      </c>
      <c r="E660" t="s">
        <v>654</v>
      </c>
      <c r="F660" t="s">
        <v>334</v>
      </c>
      <c r="G660" t="s">
        <v>2346</v>
      </c>
      <c r="H660" t="str">
        <f>HYPERLINK("https://baanknet.com/view-property/237298/E48168BE5FF4BC20ADAE90CDD191247AAD0456EE89012B583EE64FDEB3BE8EB6", "https://baanknet.com/view-property/237298/E48168BE5FF4BC20ADAE90CDD191247AAD0456EE89012B583EE64FDEB3BE8EB6")</f>
        <v>https://baanknet.com/view-property/237298/E48168BE5FF4BC20ADAE90CDD191247AAD0456EE89012B583EE64FDEB3BE8EB6</v>
      </c>
      <c r="I660" t="str">
        <f>HYPERLINK("https://baanknet.com/view-property/237298/E48168BE5FF4BC20ADAE90CDD191247AAD0456EE89012B583EE64FDEB3BE8EB6", "Open")</f>
        <v>Open</v>
      </c>
      <c r="J660" t="s">
        <v>20</v>
      </c>
      <c r="K660" t="s">
        <v>21</v>
      </c>
      <c r="L660">
        <v>5477000</v>
      </c>
      <c r="M660">
        <v>547700</v>
      </c>
    </row>
    <row r="661" spans="1:13" x14ac:dyDescent="0.25">
      <c r="A661" t="s">
        <v>2347</v>
      </c>
      <c r="B661" t="s">
        <v>2348</v>
      </c>
      <c r="C661" t="s">
        <v>121</v>
      </c>
      <c r="D661" t="s">
        <v>991</v>
      </c>
      <c r="E661" t="s">
        <v>654</v>
      </c>
      <c r="F661" t="s">
        <v>334</v>
      </c>
      <c r="G661" t="s">
        <v>2349</v>
      </c>
      <c r="H661" t="str">
        <f>HYPERLINK("https://baanknet.com/view-property/173139/FEB6CE9E26DD6B09776E8BFDF929CABA85D269210B1E91E23B1EC339BA9E0DE6", "https://baanknet.com/view-property/173139/FEB6CE9E26DD6B09776E8BFDF929CABA85D269210B1E91E23B1EC339BA9E0DE6")</f>
        <v>https://baanknet.com/view-property/173139/FEB6CE9E26DD6B09776E8BFDF929CABA85D269210B1E91E23B1EC339BA9E0DE6</v>
      </c>
      <c r="I661" t="str">
        <f>HYPERLINK("https://baanknet.com/view-property/173139/FEB6CE9E26DD6B09776E8BFDF929CABA85D269210B1E91E23B1EC339BA9E0DE6", "Open")</f>
        <v>Open</v>
      </c>
      <c r="J661" t="s">
        <v>20</v>
      </c>
      <c r="K661" t="s">
        <v>21</v>
      </c>
      <c r="L661">
        <v>419500</v>
      </c>
      <c r="M661">
        <v>41950</v>
      </c>
    </row>
    <row r="662" spans="1:13" x14ac:dyDescent="0.25">
      <c r="A662" t="s">
        <v>2350</v>
      </c>
      <c r="B662" t="s">
        <v>2351</v>
      </c>
      <c r="C662" t="s">
        <v>121</v>
      </c>
      <c r="D662" t="s">
        <v>991</v>
      </c>
      <c r="E662" t="s">
        <v>654</v>
      </c>
      <c r="F662" t="s">
        <v>334</v>
      </c>
      <c r="G662" t="s">
        <v>2352</v>
      </c>
      <c r="H662" t="str">
        <f>HYPERLINK("https://baanknet.com/view-property/173111/6AEACE71A0EA8092AB991F164094B5404E82CD300B18DB95240F584AF618EACF", "https://baanknet.com/view-property/173111/6AEACE71A0EA8092AB991F164094B5404E82CD300B18DB95240F584AF618EACF")</f>
        <v>https://baanknet.com/view-property/173111/6AEACE71A0EA8092AB991F164094B5404E82CD300B18DB95240F584AF618EACF</v>
      </c>
      <c r="I662" t="str">
        <f>HYPERLINK("https://baanknet.com/view-property/173111/6AEACE71A0EA8092AB991F164094B5404E82CD300B18DB95240F584AF618EACF", "Open")</f>
        <v>Open</v>
      </c>
      <c r="J662" t="s">
        <v>20</v>
      </c>
      <c r="K662" t="s">
        <v>21</v>
      </c>
      <c r="L662">
        <v>644400</v>
      </c>
      <c r="M662">
        <v>64440</v>
      </c>
    </row>
    <row r="663" spans="1:13" x14ac:dyDescent="0.25">
      <c r="A663" t="s">
        <v>2353</v>
      </c>
      <c r="B663" t="s">
        <v>2354</v>
      </c>
      <c r="C663" t="s">
        <v>121</v>
      </c>
      <c r="D663" t="s">
        <v>2334</v>
      </c>
      <c r="E663" t="s">
        <v>654</v>
      </c>
      <c r="F663" t="s">
        <v>334</v>
      </c>
      <c r="G663" t="s">
        <v>2355</v>
      </c>
      <c r="H663" t="str">
        <f>HYPERLINK("https://baanknet.com/view-property/191466/D39E298F0D2F4C5DE765DDA492D86BAF7323DE228D39FC7F7CC8E5E2C240D9CB", "https://baanknet.com/view-property/191466/D39E298F0D2F4C5DE765DDA492D86BAF7323DE228D39FC7F7CC8E5E2C240D9CB")</f>
        <v>https://baanknet.com/view-property/191466/D39E298F0D2F4C5DE765DDA492D86BAF7323DE228D39FC7F7CC8E5E2C240D9CB</v>
      </c>
      <c r="I663" t="str">
        <f>HYPERLINK("https://baanknet.com/view-property/191466/D39E298F0D2F4C5DE765DDA492D86BAF7323DE228D39FC7F7CC8E5E2C240D9CB", "Open")</f>
        <v>Open</v>
      </c>
      <c r="J663" t="s">
        <v>20</v>
      </c>
      <c r="K663" t="s">
        <v>21</v>
      </c>
      <c r="L663">
        <v>1220000</v>
      </c>
      <c r="M663">
        <v>122000</v>
      </c>
    </row>
    <row r="664" spans="1:13" x14ac:dyDescent="0.25">
      <c r="A664" t="s">
        <v>2356</v>
      </c>
      <c r="B664" t="s">
        <v>2357</v>
      </c>
      <c r="C664" t="s">
        <v>121</v>
      </c>
      <c r="D664" t="s">
        <v>2358</v>
      </c>
      <c r="E664" t="s">
        <v>654</v>
      </c>
      <c r="F664" t="s">
        <v>334</v>
      </c>
      <c r="G664" t="s">
        <v>2359</v>
      </c>
      <c r="H664" t="str">
        <f>HYPERLINK("https://baanknet.com/view-property/256544/451D2B4A572F9D3F048ED1F07391BE2B00D7A82ACA8448760A88EF223062642A", "https://baanknet.com/view-property/256544/451D2B4A572F9D3F048ED1F07391BE2B00D7A82ACA8448760A88EF223062642A")</f>
        <v>https://baanknet.com/view-property/256544/451D2B4A572F9D3F048ED1F07391BE2B00D7A82ACA8448760A88EF223062642A</v>
      </c>
      <c r="I664" t="str">
        <f>HYPERLINK("https://baanknet.com/view-property/256544/451D2B4A572F9D3F048ED1F07391BE2B00D7A82ACA8448760A88EF223062642A", "Open")</f>
        <v>Open</v>
      </c>
      <c r="J664" t="s">
        <v>20</v>
      </c>
      <c r="K664" t="s">
        <v>21</v>
      </c>
      <c r="L664">
        <v>850000</v>
      </c>
      <c r="M664">
        <v>85000</v>
      </c>
    </row>
    <row r="665" spans="1:13" x14ac:dyDescent="0.25">
      <c r="A665" t="s">
        <v>2360</v>
      </c>
      <c r="B665" t="s">
        <v>2361</v>
      </c>
      <c r="C665" t="s">
        <v>121</v>
      </c>
      <c r="D665" t="s">
        <v>991</v>
      </c>
      <c r="E665" t="s">
        <v>654</v>
      </c>
      <c r="F665" t="s">
        <v>334</v>
      </c>
      <c r="G665" t="s">
        <v>2362</v>
      </c>
      <c r="H665" t="str">
        <f>HYPERLINK("https://baanknet.com/view-property/173148/EAD9E0966EEFCFB8956D15376BA8C05EDBCE2129B6A4B09211AAE5F0FB19E178", "https://baanknet.com/view-property/173148/EAD9E0966EEFCFB8956D15376BA8C05EDBCE2129B6A4B09211AAE5F0FB19E178")</f>
        <v>https://baanknet.com/view-property/173148/EAD9E0966EEFCFB8956D15376BA8C05EDBCE2129B6A4B09211AAE5F0FB19E178</v>
      </c>
      <c r="I665" t="str">
        <f>HYPERLINK("https://baanknet.com/view-property/173148/EAD9E0966EEFCFB8956D15376BA8C05EDBCE2129B6A4B09211AAE5F0FB19E178", "Open")</f>
        <v>Open</v>
      </c>
      <c r="J665" t="s">
        <v>20</v>
      </c>
      <c r="K665" t="s">
        <v>21</v>
      </c>
      <c r="L665">
        <v>1579000</v>
      </c>
      <c r="M665">
        <v>157900</v>
      </c>
    </row>
    <row r="666" spans="1:13" x14ac:dyDescent="0.25">
      <c r="A666" t="s">
        <v>2363</v>
      </c>
      <c r="B666" t="s">
        <v>2364</v>
      </c>
      <c r="C666" t="s">
        <v>121</v>
      </c>
      <c r="D666" t="s">
        <v>145</v>
      </c>
      <c r="E666" t="s">
        <v>654</v>
      </c>
      <c r="F666" t="s">
        <v>334</v>
      </c>
      <c r="G666" t="s">
        <v>2365</v>
      </c>
      <c r="H666" t="str">
        <f>HYPERLINK("https://baanknet.com/view-property/276370/846D16D8C4B5C2D59451B6A4A71E8F65B938262495018AB5A2433BE515FF81BA", "https://baanknet.com/view-property/276370/846D16D8C4B5C2D59451B6A4A71E8F65B938262495018AB5A2433BE515FF81BA")</f>
        <v>https://baanknet.com/view-property/276370/846D16D8C4B5C2D59451B6A4A71E8F65B938262495018AB5A2433BE515FF81BA</v>
      </c>
      <c r="I666" t="str">
        <f>HYPERLINK("https://baanknet.com/view-property/276370/846D16D8C4B5C2D59451B6A4A71E8F65B938262495018AB5A2433BE515FF81BA", "Open")</f>
        <v>Open</v>
      </c>
      <c r="J666" t="s">
        <v>20</v>
      </c>
      <c r="K666" t="s">
        <v>21</v>
      </c>
      <c r="L666">
        <v>5909000</v>
      </c>
      <c r="M666">
        <v>590900</v>
      </c>
    </row>
    <row r="667" spans="1:13" x14ac:dyDescent="0.25">
      <c r="A667" t="s">
        <v>2366</v>
      </c>
      <c r="B667" t="s">
        <v>2367</v>
      </c>
      <c r="C667" t="s">
        <v>121</v>
      </c>
      <c r="D667" t="s">
        <v>2358</v>
      </c>
      <c r="E667" t="s">
        <v>654</v>
      </c>
      <c r="F667" t="s">
        <v>334</v>
      </c>
      <c r="G667" t="s">
        <v>2368</v>
      </c>
      <c r="H667" t="str">
        <f>HYPERLINK("https://baanknet.com/view-property/177487/4D988FB7DEE2A8E65C3BBCAFD1CAA6CA82C27A84C284CA4EA8C42C2F32D921B0", "https://baanknet.com/view-property/177487/4D988FB7DEE2A8E65C3BBCAFD1CAA6CA82C27A84C284CA4EA8C42C2F32D921B0")</f>
        <v>https://baanknet.com/view-property/177487/4D988FB7DEE2A8E65C3BBCAFD1CAA6CA82C27A84C284CA4EA8C42C2F32D921B0</v>
      </c>
      <c r="I667" t="str">
        <f>HYPERLINK("https://baanknet.com/view-property/177487/4D988FB7DEE2A8E65C3BBCAFD1CAA6CA82C27A84C284CA4EA8C42C2F32D921B0", "Open")</f>
        <v>Open</v>
      </c>
      <c r="J667" t="s">
        <v>20</v>
      </c>
      <c r="K667" t="s">
        <v>21</v>
      </c>
      <c r="L667">
        <v>1710000</v>
      </c>
      <c r="M667">
        <v>171000</v>
      </c>
    </row>
    <row r="668" spans="1:13" x14ac:dyDescent="0.25">
      <c r="A668" t="s">
        <v>2369</v>
      </c>
      <c r="B668" t="s">
        <v>2370</v>
      </c>
      <c r="C668" t="s">
        <v>121</v>
      </c>
      <c r="D668" t="s">
        <v>2358</v>
      </c>
      <c r="E668" t="s">
        <v>654</v>
      </c>
      <c r="F668" t="s">
        <v>334</v>
      </c>
      <c r="G668" t="s">
        <v>2371</v>
      </c>
      <c r="H668" t="str">
        <f>HYPERLINK("https://baanknet.com/view-property/177485/E976C93227B77F326C321CF418EE57FEFEB6D85D49C6D55407CEE41416E539E9", "https://baanknet.com/view-property/177485/E976C93227B77F326C321CF418EE57FEFEB6D85D49C6D55407CEE41416E539E9")</f>
        <v>https://baanknet.com/view-property/177485/E976C93227B77F326C321CF418EE57FEFEB6D85D49C6D55407CEE41416E539E9</v>
      </c>
      <c r="I668" t="str">
        <f>HYPERLINK("https://baanknet.com/view-property/177485/E976C93227B77F326C321CF418EE57FEFEB6D85D49C6D55407CEE41416E539E9", "Open")</f>
        <v>Open</v>
      </c>
      <c r="J668" t="s">
        <v>20</v>
      </c>
      <c r="K668" t="s">
        <v>21</v>
      </c>
      <c r="L668">
        <v>2367000</v>
      </c>
      <c r="M668">
        <v>236700</v>
      </c>
    </row>
    <row r="669" spans="1:13" x14ac:dyDescent="0.25">
      <c r="A669" t="s">
        <v>2372</v>
      </c>
      <c r="B669" t="s">
        <v>2373</v>
      </c>
      <c r="C669" t="s">
        <v>121</v>
      </c>
      <c r="D669" t="s">
        <v>48</v>
      </c>
      <c r="E669" t="s">
        <v>654</v>
      </c>
      <c r="F669" t="s">
        <v>334</v>
      </c>
      <c r="G669" t="s">
        <v>2374</v>
      </c>
      <c r="H669" t="str">
        <f>HYPERLINK("https://baanknet.com/view-property/179074/A9CAF62AE2FD5DBD7B6024950546D8991D559CDE39412BB7BDE375AC3A9465A9", "https://baanknet.com/view-property/179074/A9CAF62AE2FD5DBD7B6024950546D8991D559CDE39412BB7BDE375AC3A9465A9")</f>
        <v>https://baanknet.com/view-property/179074/A9CAF62AE2FD5DBD7B6024950546D8991D559CDE39412BB7BDE375AC3A9465A9</v>
      </c>
      <c r="I669" t="str">
        <f>HYPERLINK("https://baanknet.com/view-property/179074/A9CAF62AE2FD5DBD7B6024950546D8991D559CDE39412BB7BDE375AC3A9465A9", "Open")</f>
        <v>Open</v>
      </c>
      <c r="J669" t="s">
        <v>20</v>
      </c>
      <c r="K669" t="s">
        <v>21</v>
      </c>
      <c r="L669">
        <v>77800000</v>
      </c>
      <c r="M669">
        <v>7780000</v>
      </c>
    </row>
    <row r="670" spans="1:13" x14ac:dyDescent="0.25">
      <c r="A670" t="s">
        <v>2375</v>
      </c>
      <c r="B670" t="s">
        <v>2376</v>
      </c>
      <c r="C670" t="s">
        <v>121</v>
      </c>
      <c r="D670" t="s">
        <v>48</v>
      </c>
      <c r="E670" t="s">
        <v>654</v>
      </c>
      <c r="F670" t="s">
        <v>334</v>
      </c>
      <c r="G670" t="s">
        <v>2377</v>
      </c>
      <c r="H670" t="str">
        <f>HYPERLINK("https://baanknet.com/view-property/236101/2D686024D5F686CD5DA869C06B27E585D2ABA89ED60EB6A8A0666B74EFCEFCDE", "https://baanknet.com/view-property/236101/2D686024D5F686CD5DA869C06B27E585D2ABA89ED60EB6A8A0666B74EFCEFCDE")</f>
        <v>https://baanknet.com/view-property/236101/2D686024D5F686CD5DA869C06B27E585D2ABA89ED60EB6A8A0666B74EFCEFCDE</v>
      </c>
      <c r="I670" t="str">
        <f>HYPERLINK("https://baanknet.com/view-property/236101/2D686024D5F686CD5DA869C06B27E585D2ABA89ED60EB6A8A0666B74EFCEFCDE", "Open")</f>
        <v>Open</v>
      </c>
      <c r="J670" t="s">
        <v>20</v>
      </c>
      <c r="K670" t="s">
        <v>21</v>
      </c>
      <c r="L670">
        <v>5525000</v>
      </c>
      <c r="M670">
        <v>552500</v>
      </c>
    </row>
    <row r="671" spans="1:13" x14ac:dyDescent="0.25">
      <c r="A671" t="s">
        <v>2378</v>
      </c>
      <c r="B671" t="s">
        <v>2379</v>
      </c>
      <c r="C671" t="s">
        <v>121</v>
      </c>
      <c r="D671" t="s">
        <v>2380</v>
      </c>
      <c r="E671" t="s">
        <v>654</v>
      </c>
      <c r="F671" t="s">
        <v>334</v>
      </c>
      <c r="G671" t="s">
        <v>2381</v>
      </c>
      <c r="H671" t="str">
        <f>HYPERLINK("https://baanknet.com/view-property/173961/02730C6DAADEC2DF12106EDF4165F7A435BE130F90DC346092E1246087B611D8", "https://baanknet.com/view-property/173961/02730C6DAADEC2DF12106EDF4165F7A435BE130F90DC346092E1246087B611D8")</f>
        <v>https://baanknet.com/view-property/173961/02730C6DAADEC2DF12106EDF4165F7A435BE130F90DC346092E1246087B611D8</v>
      </c>
      <c r="I671" t="str">
        <f>HYPERLINK("https://baanknet.com/view-property/173961/02730C6DAADEC2DF12106EDF4165F7A435BE130F90DC346092E1246087B611D8", "Open")</f>
        <v>Open</v>
      </c>
      <c r="J671" t="s">
        <v>20</v>
      </c>
      <c r="K671" t="s">
        <v>21</v>
      </c>
      <c r="L671">
        <v>8358000</v>
      </c>
      <c r="M671">
        <v>835800</v>
      </c>
    </row>
    <row r="672" spans="1:13" x14ac:dyDescent="0.25">
      <c r="A672" t="s">
        <v>2382</v>
      </c>
      <c r="B672" t="s">
        <v>2383</v>
      </c>
      <c r="C672" t="s">
        <v>121</v>
      </c>
      <c r="D672" t="s">
        <v>2384</v>
      </c>
      <c r="E672" t="s">
        <v>654</v>
      </c>
      <c r="F672" t="s">
        <v>334</v>
      </c>
      <c r="G672" t="s">
        <v>2385</v>
      </c>
      <c r="H672" t="str">
        <f>HYPERLINK("https://baanknet.com/view-property/236097/DCA212C32496B60619A90BC3C215F8D2260288CDE74FA0FF6E5CB5537A62D516", "https://baanknet.com/view-property/236097/DCA212C32496B60619A90BC3C215F8D2260288CDE74FA0FF6E5CB5537A62D516")</f>
        <v>https://baanknet.com/view-property/236097/DCA212C32496B60619A90BC3C215F8D2260288CDE74FA0FF6E5CB5537A62D516</v>
      </c>
      <c r="I672" t="str">
        <f>HYPERLINK("https://baanknet.com/view-property/236097/DCA212C32496B60619A90BC3C215F8D2260288CDE74FA0FF6E5CB5537A62D516", "Open")</f>
        <v>Open</v>
      </c>
      <c r="J672" t="s">
        <v>20</v>
      </c>
      <c r="K672" t="s">
        <v>21</v>
      </c>
      <c r="L672">
        <v>14451000</v>
      </c>
      <c r="M672">
        <v>1445100</v>
      </c>
    </row>
    <row r="673" spans="1:13" x14ac:dyDescent="0.25">
      <c r="A673" t="s">
        <v>2386</v>
      </c>
      <c r="B673" t="s">
        <v>2387</v>
      </c>
      <c r="C673" t="s">
        <v>121</v>
      </c>
      <c r="D673" t="s">
        <v>1740</v>
      </c>
      <c r="E673" t="s">
        <v>654</v>
      </c>
      <c r="F673" t="s">
        <v>334</v>
      </c>
      <c r="G673" t="s">
        <v>2388</v>
      </c>
      <c r="H673" t="str">
        <f>HYPERLINK("https://baanknet.com/view-property/261652/30E53FDFDAF3790C7A43035ACA4C779B399B2D69629E403F28E4D41192CF1FC2", "https://baanknet.com/view-property/261652/30E53FDFDAF3790C7A43035ACA4C779B399B2D69629E403F28E4D41192CF1FC2")</f>
        <v>https://baanknet.com/view-property/261652/30E53FDFDAF3790C7A43035ACA4C779B399B2D69629E403F28E4D41192CF1FC2</v>
      </c>
      <c r="I673" t="str">
        <f>HYPERLINK("https://baanknet.com/view-property/261652/30E53FDFDAF3790C7A43035ACA4C779B399B2D69629E403F28E4D41192CF1FC2", "Open")</f>
        <v>Open</v>
      </c>
      <c r="J673" t="s">
        <v>20</v>
      </c>
      <c r="K673" t="s">
        <v>21</v>
      </c>
      <c r="L673">
        <v>1569200</v>
      </c>
      <c r="M673">
        <v>156920</v>
      </c>
    </row>
    <row r="674" spans="1:13" x14ac:dyDescent="0.25">
      <c r="A674" t="s">
        <v>2389</v>
      </c>
      <c r="B674" t="s">
        <v>2390</v>
      </c>
      <c r="C674" t="s">
        <v>121</v>
      </c>
      <c r="D674" t="s">
        <v>1740</v>
      </c>
      <c r="E674" t="s">
        <v>654</v>
      </c>
      <c r="F674" t="s">
        <v>334</v>
      </c>
      <c r="G674" t="s">
        <v>2391</v>
      </c>
      <c r="H674" t="str">
        <f>HYPERLINK("https://baanknet.com/view-property/261668/D91428E24D540FA937531288AD32AA57904D773C8FE69824C5A5BA95308A6F2B", "https://baanknet.com/view-property/261668/D91428E24D540FA937531288AD32AA57904D773C8FE69824C5A5BA95308A6F2B")</f>
        <v>https://baanknet.com/view-property/261668/D91428E24D540FA937531288AD32AA57904D773C8FE69824C5A5BA95308A6F2B</v>
      </c>
      <c r="I674" t="str">
        <f>HYPERLINK("https://baanknet.com/view-property/261668/D91428E24D540FA937531288AD32AA57904D773C8FE69824C5A5BA95308A6F2B", "Open")</f>
        <v>Open</v>
      </c>
      <c r="J674" t="s">
        <v>20</v>
      </c>
      <c r="K674" t="s">
        <v>21</v>
      </c>
      <c r="L674">
        <v>386750</v>
      </c>
      <c r="M674">
        <v>38675</v>
      </c>
    </row>
    <row r="675" spans="1:13" x14ac:dyDescent="0.25">
      <c r="A675" t="s">
        <v>2392</v>
      </c>
      <c r="B675" t="s">
        <v>2393</v>
      </c>
      <c r="C675" t="s">
        <v>121</v>
      </c>
      <c r="D675" t="s">
        <v>1740</v>
      </c>
      <c r="E675" t="s">
        <v>654</v>
      </c>
      <c r="F675" t="s">
        <v>334</v>
      </c>
      <c r="G675" t="s">
        <v>2394</v>
      </c>
      <c r="H675" t="str">
        <f>HYPERLINK("https://baanknet.com/view-property/173945/A82C40F94AB38D8DECF87E2A2277ABED41FB0A902A10CB7E870D418DF40D9E9E", "https://baanknet.com/view-property/173945/A82C40F94AB38D8DECF87E2A2277ABED41FB0A902A10CB7E870D418DF40D9E9E")</f>
        <v>https://baanknet.com/view-property/173945/A82C40F94AB38D8DECF87E2A2277ABED41FB0A902A10CB7E870D418DF40D9E9E</v>
      </c>
      <c r="I675" t="str">
        <f>HYPERLINK("https://baanknet.com/view-property/173945/A82C40F94AB38D8DECF87E2A2277ABED41FB0A902A10CB7E870D418DF40D9E9E", "Open")</f>
        <v>Open</v>
      </c>
      <c r="J675" t="s">
        <v>20</v>
      </c>
      <c r="K675" t="s">
        <v>21</v>
      </c>
      <c r="L675">
        <v>2991000</v>
      </c>
      <c r="M675">
        <v>299100</v>
      </c>
    </row>
    <row r="676" spans="1:13" x14ac:dyDescent="0.25">
      <c r="A676" t="s">
        <v>2395</v>
      </c>
      <c r="B676" t="s">
        <v>2396</v>
      </c>
      <c r="C676" t="s">
        <v>121</v>
      </c>
      <c r="D676" t="s">
        <v>2397</v>
      </c>
      <c r="E676" t="s">
        <v>654</v>
      </c>
      <c r="F676" t="s">
        <v>334</v>
      </c>
      <c r="G676" t="s">
        <v>2398</v>
      </c>
      <c r="H676" t="str">
        <f>HYPERLINK("https://baanknet.com/view-property/173944/F1971470D91D70B977510D1F47ACB73066F8073915A4431D4F70CA4DDD08B2C5", "https://baanknet.com/view-property/173944/F1971470D91D70B977510D1F47ACB73066F8073915A4431D4F70CA4DDD08B2C5")</f>
        <v>https://baanknet.com/view-property/173944/F1971470D91D70B977510D1F47ACB73066F8073915A4431D4F70CA4DDD08B2C5</v>
      </c>
      <c r="I676" t="str">
        <f>HYPERLINK("https://baanknet.com/view-property/173944/F1971470D91D70B977510D1F47ACB73066F8073915A4431D4F70CA4DDD08B2C5", "Open")</f>
        <v>Open</v>
      </c>
      <c r="J676" t="s">
        <v>20</v>
      </c>
      <c r="K676" t="s">
        <v>21</v>
      </c>
      <c r="L676">
        <v>1458000</v>
      </c>
      <c r="M676">
        <v>145800</v>
      </c>
    </row>
    <row r="677" spans="1:13" x14ac:dyDescent="0.25">
      <c r="A677" t="s">
        <v>2399</v>
      </c>
      <c r="B677" t="s">
        <v>2400</v>
      </c>
      <c r="C677" t="s">
        <v>121</v>
      </c>
      <c r="D677" t="s">
        <v>2401</v>
      </c>
      <c r="E677" t="s">
        <v>654</v>
      </c>
      <c r="F677" t="s">
        <v>334</v>
      </c>
      <c r="G677" t="s">
        <v>2402</v>
      </c>
      <c r="H677" t="str">
        <f>HYPERLINK("https://baanknet.com/view-property/174006/822413C7D9EFA1C1745C1E27C1BDFDD1A54299F796BE7EC2DE067A3FB54BCA3A", "https://baanknet.com/view-property/174006/822413C7D9EFA1C1745C1E27C1BDFDD1A54299F796BE7EC2DE067A3FB54BCA3A")</f>
        <v>https://baanknet.com/view-property/174006/822413C7D9EFA1C1745C1E27C1BDFDD1A54299F796BE7EC2DE067A3FB54BCA3A</v>
      </c>
      <c r="I677" t="str">
        <f>HYPERLINK("https://baanknet.com/view-property/174006/822413C7D9EFA1C1745C1E27C1BDFDD1A54299F796BE7EC2DE067A3FB54BCA3A", "Open")</f>
        <v>Open</v>
      </c>
      <c r="J677" t="s">
        <v>20</v>
      </c>
      <c r="K677" t="s">
        <v>21</v>
      </c>
      <c r="L677">
        <v>3143000</v>
      </c>
      <c r="M677">
        <v>314300</v>
      </c>
    </row>
    <row r="678" spans="1:13" x14ac:dyDescent="0.25">
      <c r="A678" t="s">
        <v>2403</v>
      </c>
      <c r="B678" t="s">
        <v>2404</v>
      </c>
      <c r="C678" t="s">
        <v>121</v>
      </c>
      <c r="D678" t="s">
        <v>149</v>
      </c>
      <c r="E678" t="s">
        <v>654</v>
      </c>
      <c r="F678" t="s">
        <v>334</v>
      </c>
      <c r="G678" t="s">
        <v>2405</v>
      </c>
      <c r="H678" t="str">
        <f>HYPERLINK("https://baanknet.com/view-property/173936/35FA62D3836C7A6D6FFC87A00032DAF2FB2C68273CA8D4B8B20C8455BC571457", "https://baanknet.com/view-property/173936/35FA62D3836C7A6D6FFC87A00032DAF2FB2C68273CA8D4B8B20C8455BC571457")</f>
        <v>https://baanknet.com/view-property/173936/35FA62D3836C7A6D6FFC87A00032DAF2FB2C68273CA8D4B8B20C8455BC571457</v>
      </c>
      <c r="I678" t="str">
        <f>HYPERLINK("https://baanknet.com/view-property/173936/35FA62D3836C7A6D6FFC87A00032DAF2FB2C68273CA8D4B8B20C8455BC571457", "Open")</f>
        <v>Open</v>
      </c>
      <c r="J678" t="s">
        <v>20</v>
      </c>
      <c r="K678" t="s">
        <v>21</v>
      </c>
      <c r="L678">
        <v>705000</v>
      </c>
      <c r="M678">
        <v>70500</v>
      </c>
    </row>
    <row r="679" spans="1:13" x14ac:dyDescent="0.25">
      <c r="A679" t="s">
        <v>2406</v>
      </c>
      <c r="B679" t="s">
        <v>2407</v>
      </c>
      <c r="C679" t="s">
        <v>121</v>
      </c>
      <c r="D679" t="s">
        <v>2408</v>
      </c>
      <c r="E679" t="s">
        <v>654</v>
      </c>
      <c r="F679" t="s">
        <v>334</v>
      </c>
      <c r="G679" t="s">
        <v>2409</v>
      </c>
      <c r="H679" t="str">
        <f>HYPERLINK("https://baanknet.com/view-property/189563/28DD3BE604E0487CA6E2410CFBC7F56043954F0C78C272B3CB78FA129BFA7A46", "https://baanknet.com/view-property/189563/28DD3BE604E0487CA6E2410CFBC7F56043954F0C78C272B3CB78FA129BFA7A46")</f>
        <v>https://baanknet.com/view-property/189563/28DD3BE604E0487CA6E2410CFBC7F56043954F0C78C272B3CB78FA129BFA7A46</v>
      </c>
      <c r="I679" t="str">
        <f>HYPERLINK("https://baanknet.com/view-property/189563/28DD3BE604E0487CA6E2410CFBC7F56043954F0C78C272B3CB78FA129BFA7A46", "Open")</f>
        <v>Open</v>
      </c>
      <c r="J679" t="s">
        <v>20</v>
      </c>
      <c r="K679" t="s">
        <v>21</v>
      </c>
      <c r="L679">
        <v>1073000</v>
      </c>
      <c r="M679">
        <v>107300</v>
      </c>
    </row>
    <row r="680" spans="1:13" x14ac:dyDescent="0.25">
      <c r="A680" t="s">
        <v>2410</v>
      </c>
      <c r="B680" t="s">
        <v>2411</v>
      </c>
      <c r="C680" t="s">
        <v>121</v>
      </c>
      <c r="D680" t="s">
        <v>2412</v>
      </c>
      <c r="E680" t="s">
        <v>654</v>
      </c>
      <c r="F680" t="s">
        <v>334</v>
      </c>
      <c r="G680" t="s">
        <v>2413</v>
      </c>
      <c r="H680" t="str">
        <f>HYPERLINK("https://baanknet.com/view-property/280398/850428FFD5FCB6E89F5F7F7F2C296DBDDF343A243AAC84BF8F0B371CC809F030", "https://baanknet.com/view-property/280398/850428FFD5FCB6E89F5F7F7F2C296DBDDF343A243AAC84BF8F0B371CC809F030")</f>
        <v>https://baanknet.com/view-property/280398/850428FFD5FCB6E89F5F7F7F2C296DBDDF343A243AAC84BF8F0B371CC809F030</v>
      </c>
      <c r="I680" t="str">
        <f>HYPERLINK("https://baanknet.com/view-property/280398/850428FFD5FCB6E89F5F7F7F2C296DBDDF343A243AAC84BF8F0B371CC809F030", "Open")</f>
        <v>Open</v>
      </c>
      <c r="J680" t="s">
        <v>20</v>
      </c>
      <c r="K680" t="s">
        <v>21</v>
      </c>
      <c r="L680">
        <v>1498500</v>
      </c>
      <c r="M680">
        <v>149850</v>
      </c>
    </row>
    <row r="681" spans="1:13" x14ac:dyDescent="0.25">
      <c r="A681" t="s">
        <v>2414</v>
      </c>
      <c r="B681" t="s">
        <v>2415</v>
      </c>
      <c r="C681" t="s">
        <v>121</v>
      </c>
      <c r="D681" t="s">
        <v>2412</v>
      </c>
      <c r="E681" t="s">
        <v>654</v>
      </c>
      <c r="F681" t="s">
        <v>334</v>
      </c>
      <c r="G681" t="s">
        <v>2416</v>
      </c>
      <c r="H681" t="str">
        <f>HYPERLINK("https://baanknet.com/view-property/235546/3AAC62CEC473487CD1B7D5044B7896DD86C89435AADBF62DEC60D68EEF582997", "https://baanknet.com/view-property/235546/3AAC62CEC473487CD1B7D5044B7896DD86C89435AADBF62DEC60D68EEF582997")</f>
        <v>https://baanknet.com/view-property/235546/3AAC62CEC473487CD1B7D5044B7896DD86C89435AADBF62DEC60D68EEF582997</v>
      </c>
      <c r="I681" t="str">
        <f>HYPERLINK("https://baanknet.com/view-property/235546/3AAC62CEC473487CD1B7D5044B7896DD86C89435AADBF62DEC60D68EEF582997", "Open")</f>
        <v>Open</v>
      </c>
      <c r="J681" t="s">
        <v>20</v>
      </c>
      <c r="K681" t="s">
        <v>21</v>
      </c>
      <c r="L681">
        <v>3765267</v>
      </c>
      <c r="M681">
        <v>376526.7</v>
      </c>
    </row>
    <row r="682" spans="1:13" x14ac:dyDescent="0.25">
      <c r="A682" t="s">
        <v>2417</v>
      </c>
      <c r="B682" t="s">
        <v>2418</v>
      </c>
      <c r="C682" t="s">
        <v>121</v>
      </c>
      <c r="D682" t="s">
        <v>1246</v>
      </c>
      <c r="E682" t="s">
        <v>654</v>
      </c>
      <c r="F682" t="s">
        <v>334</v>
      </c>
      <c r="G682" t="s">
        <v>2419</v>
      </c>
      <c r="H682" t="str">
        <f>HYPERLINK("https://baanknet.com/view-property/220236/D645E1D5F43ED57C35C395B59BFE0ADAB6B07925865945B1EDC5EBC0C7B02053", "https://baanknet.com/view-property/220236/D645E1D5F43ED57C35C395B59BFE0ADAB6B07925865945B1EDC5EBC0C7B02053")</f>
        <v>https://baanknet.com/view-property/220236/D645E1D5F43ED57C35C395B59BFE0ADAB6B07925865945B1EDC5EBC0C7B02053</v>
      </c>
      <c r="I682" t="str">
        <f>HYPERLINK("https://baanknet.com/view-property/220236/D645E1D5F43ED57C35C395B59BFE0ADAB6B07925865945B1EDC5EBC0C7B02053", "Open")</f>
        <v>Open</v>
      </c>
      <c r="J682" t="s">
        <v>20</v>
      </c>
      <c r="K682" t="s">
        <v>21</v>
      </c>
      <c r="L682">
        <v>5220000</v>
      </c>
      <c r="M682">
        <v>522000</v>
      </c>
    </row>
    <row r="683" spans="1:13" x14ac:dyDescent="0.25">
      <c r="A683" t="s">
        <v>2420</v>
      </c>
      <c r="B683" t="s">
        <v>2421</v>
      </c>
      <c r="C683" t="s">
        <v>121</v>
      </c>
      <c r="D683" t="s">
        <v>1246</v>
      </c>
      <c r="E683" t="s">
        <v>654</v>
      </c>
      <c r="F683" t="s">
        <v>334</v>
      </c>
      <c r="G683" t="s">
        <v>2422</v>
      </c>
      <c r="H683" t="str">
        <f>HYPERLINK("https://baanknet.com/view-property/177495/F6B8C7FDD897B5B66E17B9CBB2D23B674F20B7B3C98AAABFD8391E6133EBD0B9", "https://baanknet.com/view-property/177495/F6B8C7FDD897B5B66E17B9CBB2D23B674F20B7B3C98AAABFD8391E6133EBD0B9")</f>
        <v>https://baanknet.com/view-property/177495/F6B8C7FDD897B5B66E17B9CBB2D23B674F20B7B3C98AAABFD8391E6133EBD0B9</v>
      </c>
      <c r="I683" t="str">
        <f>HYPERLINK("https://baanknet.com/view-property/177495/F6B8C7FDD897B5B66E17B9CBB2D23B674F20B7B3C98AAABFD8391E6133EBD0B9", "Open")</f>
        <v>Open</v>
      </c>
      <c r="J683" t="s">
        <v>20</v>
      </c>
      <c r="K683" t="s">
        <v>21</v>
      </c>
      <c r="L683">
        <v>5316000</v>
      </c>
      <c r="M683">
        <v>531600</v>
      </c>
    </row>
    <row r="684" spans="1:13" x14ac:dyDescent="0.25">
      <c r="A684" t="s">
        <v>2423</v>
      </c>
      <c r="B684" t="s">
        <v>2424</v>
      </c>
      <c r="C684" t="s">
        <v>121</v>
      </c>
      <c r="D684" t="s">
        <v>2425</v>
      </c>
      <c r="E684" t="s">
        <v>654</v>
      </c>
      <c r="F684" t="s">
        <v>334</v>
      </c>
      <c r="G684" t="s">
        <v>2426</v>
      </c>
      <c r="H684" t="str">
        <f>HYPERLINK("https://baanknet.com/view-property/256699/41A642534BF6C8A0E3F54D840CE97C3822D38DADD5881DD26A71449B699952CA", "https://baanknet.com/view-property/256699/41A642534BF6C8A0E3F54D840CE97C3822D38DADD5881DD26A71449B699952CA")</f>
        <v>https://baanknet.com/view-property/256699/41A642534BF6C8A0E3F54D840CE97C3822D38DADD5881DD26A71449B699952CA</v>
      </c>
      <c r="I684" t="str">
        <f>HYPERLINK("https://baanknet.com/view-property/256699/41A642534BF6C8A0E3F54D840CE97C3822D38DADD5881DD26A71449B699952CA", "Open")</f>
        <v>Open</v>
      </c>
      <c r="J684" t="s">
        <v>20</v>
      </c>
      <c r="K684" t="s">
        <v>21</v>
      </c>
      <c r="L684">
        <v>2456000</v>
      </c>
      <c r="M684">
        <v>245600</v>
      </c>
    </row>
    <row r="685" spans="1:13" x14ac:dyDescent="0.25">
      <c r="A685" t="s">
        <v>2427</v>
      </c>
      <c r="B685" t="s">
        <v>2428</v>
      </c>
      <c r="C685" t="s">
        <v>121</v>
      </c>
      <c r="D685" t="s">
        <v>2425</v>
      </c>
      <c r="E685" t="s">
        <v>654</v>
      </c>
      <c r="F685" t="s">
        <v>334</v>
      </c>
      <c r="G685" t="s">
        <v>2429</v>
      </c>
      <c r="H685" t="str">
        <f>HYPERLINK("https://baanknet.com/view-property/247377/09371C5C8D1E5FF7CF06576B945CEB46158E8AFE07C94635F217ED373D1A3C59", "https://baanknet.com/view-property/247377/09371C5C8D1E5FF7CF06576B945CEB46158E8AFE07C94635F217ED373D1A3C59")</f>
        <v>https://baanknet.com/view-property/247377/09371C5C8D1E5FF7CF06576B945CEB46158E8AFE07C94635F217ED373D1A3C59</v>
      </c>
      <c r="I685" t="str">
        <f>HYPERLINK("https://baanknet.com/view-property/247377/09371C5C8D1E5FF7CF06576B945CEB46158E8AFE07C94635F217ED373D1A3C59", "Open")</f>
        <v>Open</v>
      </c>
      <c r="J685" t="s">
        <v>20</v>
      </c>
      <c r="K685" t="s">
        <v>21</v>
      </c>
      <c r="L685">
        <v>4500000</v>
      </c>
      <c r="M685">
        <v>450000</v>
      </c>
    </row>
    <row r="686" spans="1:13" x14ac:dyDescent="0.25">
      <c r="A686" t="s">
        <v>2430</v>
      </c>
      <c r="B686" t="s">
        <v>2431</v>
      </c>
      <c r="C686" t="s">
        <v>121</v>
      </c>
      <c r="D686" t="s">
        <v>2425</v>
      </c>
      <c r="E686" t="s">
        <v>654</v>
      </c>
      <c r="F686" t="s">
        <v>334</v>
      </c>
      <c r="G686" t="s">
        <v>2432</v>
      </c>
      <c r="H686" t="str">
        <f>HYPERLINK("https://baanknet.com/view-property/247371/40F33D66F26CE50BF5D942DBA590DC935EFE4A809CC90C2FAAFDDFEE2E6EDF28", "https://baanknet.com/view-property/247371/40F33D66F26CE50BF5D942DBA590DC935EFE4A809CC90C2FAAFDDFEE2E6EDF28")</f>
        <v>https://baanknet.com/view-property/247371/40F33D66F26CE50BF5D942DBA590DC935EFE4A809CC90C2FAAFDDFEE2E6EDF28</v>
      </c>
      <c r="I686" t="str">
        <f>HYPERLINK("https://baanknet.com/view-property/247371/40F33D66F26CE50BF5D942DBA590DC935EFE4A809CC90C2FAAFDDFEE2E6EDF28", "Open")</f>
        <v>Open</v>
      </c>
      <c r="J686" t="s">
        <v>20</v>
      </c>
      <c r="K686" t="s">
        <v>21</v>
      </c>
      <c r="L686">
        <v>4500000</v>
      </c>
      <c r="M686">
        <v>450000</v>
      </c>
    </row>
    <row r="687" spans="1:13" x14ac:dyDescent="0.25">
      <c r="A687" t="s">
        <v>2433</v>
      </c>
      <c r="B687" t="s">
        <v>2434</v>
      </c>
      <c r="C687" t="s">
        <v>121</v>
      </c>
      <c r="D687" t="s">
        <v>2425</v>
      </c>
      <c r="E687" t="s">
        <v>654</v>
      </c>
      <c r="F687" t="s">
        <v>334</v>
      </c>
      <c r="G687" t="s">
        <v>2435</v>
      </c>
      <c r="H687" t="str">
        <f>HYPERLINK("https://baanknet.com/view-property/263696/2944198BDD30424CFBE467F70405D332D03870ACCA11FBFD7FDEF56B7A44DD65", "https://baanknet.com/view-property/263696/2944198BDD30424CFBE467F70405D332D03870ACCA11FBFD7FDEF56B7A44DD65")</f>
        <v>https://baanknet.com/view-property/263696/2944198BDD30424CFBE467F70405D332D03870ACCA11FBFD7FDEF56B7A44DD65</v>
      </c>
      <c r="I687" t="str">
        <f>HYPERLINK("https://baanknet.com/view-property/263696/2944198BDD30424CFBE467F70405D332D03870ACCA11FBFD7FDEF56B7A44DD65", "Open")</f>
        <v>Open</v>
      </c>
      <c r="J687" t="s">
        <v>20</v>
      </c>
      <c r="K687" t="s">
        <v>21</v>
      </c>
      <c r="L687">
        <v>3060000</v>
      </c>
      <c r="M687">
        <v>306000</v>
      </c>
    </row>
    <row r="688" spans="1:13" x14ac:dyDescent="0.25">
      <c r="A688" t="s">
        <v>2436</v>
      </c>
      <c r="B688" t="s">
        <v>2437</v>
      </c>
      <c r="C688" t="s">
        <v>121</v>
      </c>
      <c r="D688" t="s">
        <v>2438</v>
      </c>
      <c r="E688" t="s">
        <v>654</v>
      </c>
      <c r="F688" t="s">
        <v>334</v>
      </c>
      <c r="G688" t="s">
        <v>2439</v>
      </c>
      <c r="H688" t="str">
        <f>HYPERLINK("https://baanknet.com/view-property/171732/CBA4C831822E9030ED45E9C30FBF3CEAB979681357CBEA1DA25EEEBCB0E0B3BA", "https://baanknet.com/view-property/171732/CBA4C831822E9030ED45E9C30FBF3CEAB979681357CBEA1DA25EEEBCB0E0B3BA")</f>
        <v>https://baanknet.com/view-property/171732/CBA4C831822E9030ED45E9C30FBF3CEAB979681357CBEA1DA25EEEBCB0E0B3BA</v>
      </c>
      <c r="I688" t="str">
        <f>HYPERLINK("https://baanknet.com/view-property/171732/CBA4C831822E9030ED45E9C30FBF3CEAB979681357CBEA1DA25EEEBCB0E0B3BA", "Open")</f>
        <v>Open</v>
      </c>
      <c r="J688" t="s">
        <v>20</v>
      </c>
      <c r="K688" t="s">
        <v>21</v>
      </c>
      <c r="L688">
        <v>5202000</v>
      </c>
      <c r="M688">
        <v>520200</v>
      </c>
    </row>
    <row r="689" spans="1:13" x14ac:dyDescent="0.25">
      <c r="A689" t="s">
        <v>2440</v>
      </c>
      <c r="B689" t="s">
        <v>2441</v>
      </c>
      <c r="C689" t="s">
        <v>121</v>
      </c>
      <c r="D689" t="s">
        <v>2442</v>
      </c>
      <c r="E689" t="s">
        <v>654</v>
      </c>
      <c r="F689" t="s">
        <v>334</v>
      </c>
      <c r="G689" t="s">
        <v>2443</v>
      </c>
      <c r="H689" t="str">
        <f>HYPERLINK("https://baanknet.com/view-property/220505/177B26CE41358CEC4F6B66755DF104DE2B426DDC91C4AB4367C2C8965D74CDE9", "https://baanknet.com/view-property/220505/177B26CE41358CEC4F6B66755DF104DE2B426DDC91C4AB4367C2C8965D74CDE9")</f>
        <v>https://baanknet.com/view-property/220505/177B26CE41358CEC4F6B66755DF104DE2B426DDC91C4AB4367C2C8965D74CDE9</v>
      </c>
      <c r="I689" t="str">
        <f>HYPERLINK("https://baanknet.com/view-property/220505/177B26CE41358CEC4F6B66755DF104DE2B426DDC91C4AB4367C2C8965D74CDE9", "Open")</f>
        <v>Open</v>
      </c>
      <c r="J689" t="s">
        <v>20</v>
      </c>
      <c r="K689" t="s">
        <v>21</v>
      </c>
      <c r="L689">
        <v>2544000</v>
      </c>
      <c r="M689">
        <v>254400</v>
      </c>
    </row>
    <row r="690" spans="1:13" x14ac:dyDescent="0.25">
      <c r="A690" t="s">
        <v>2444</v>
      </c>
      <c r="B690" t="s">
        <v>2445</v>
      </c>
      <c r="C690" t="s">
        <v>121</v>
      </c>
      <c r="D690" t="s">
        <v>2446</v>
      </c>
      <c r="E690" t="s">
        <v>654</v>
      </c>
      <c r="F690" t="s">
        <v>334</v>
      </c>
      <c r="G690" t="s">
        <v>2447</v>
      </c>
      <c r="H690" t="str">
        <f>HYPERLINK("https://baanknet.com/view-property/176170/FF29466DBC4495BE871B5D1FFC440C7BC30FFE576B6D3A980085B32EAF91B73C", "https://baanknet.com/view-property/176170/FF29466DBC4495BE871B5D1FFC440C7BC30FFE576B6D3A980085B32EAF91B73C")</f>
        <v>https://baanknet.com/view-property/176170/FF29466DBC4495BE871B5D1FFC440C7BC30FFE576B6D3A980085B32EAF91B73C</v>
      </c>
      <c r="I690" t="str">
        <f>HYPERLINK("https://baanknet.com/view-property/176170/FF29466DBC4495BE871B5D1FFC440C7BC30FFE576B6D3A980085B32EAF91B73C", "Open")</f>
        <v>Open</v>
      </c>
      <c r="J690" t="s">
        <v>20</v>
      </c>
      <c r="K690" t="s">
        <v>21</v>
      </c>
      <c r="L690">
        <v>3009000</v>
      </c>
      <c r="M690">
        <v>300900</v>
      </c>
    </row>
    <row r="691" spans="1:13" x14ac:dyDescent="0.25">
      <c r="A691" t="s">
        <v>2448</v>
      </c>
      <c r="B691" t="s">
        <v>2449</v>
      </c>
      <c r="C691" t="s">
        <v>121</v>
      </c>
      <c r="D691" t="s">
        <v>2446</v>
      </c>
      <c r="E691" t="s">
        <v>654</v>
      </c>
      <c r="F691" t="s">
        <v>334</v>
      </c>
      <c r="G691" t="s">
        <v>2450</v>
      </c>
      <c r="H691" t="str">
        <f>HYPERLINK("https://baanknet.com/view-property/176206/7413ADC74AFF99FF9EF17A6655F18F99A7AFDBA9F92415AFB791DB2533EECAA3", "https://baanknet.com/view-property/176206/7413ADC74AFF99FF9EF17A6655F18F99A7AFDBA9F92415AFB791DB2533EECAA3")</f>
        <v>https://baanknet.com/view-property/176206/7413ADC74AFF99FF9EF17A6655F18F99A7AFDBA9F92415AFB791DB2533EECAA3</v>
      </c>
      <c r="I691" t="str">
        <f>HYPERLINK("https://baanknet.com/view-property/176206/7413ADC74AFF99FF9EF17A6655F18F99A7AFDBA9F92415AFB791DB2533EECAA3", "Open")</f>
        <v>Open</v>
      </c>
      <c r="J691" t="s">
        <v>20</v>
      </c>
      <c r="K691" t="s">
        <v>21</v>
      </c>
      <c r="L691">
        <v>2637000</v>
      </c>
      <c r="M691">
        <v>263700</v>
      </c>
    </row>
    <row r="692" spans="1:13" x14ac:dyDescent="0.25">
      <c r="A692" t="s">
        <v>2451</v>
      </c>
      <c r="B692" t="s">
        <v>2452</v>
      </c>
      <c r="C692" t="s">
        <v>121</v>
      </c>
      <c r="D692" t="s">
        <v>2453</v>
      </c>
      <c r="E692" t="s">
        <v>654</v>
      </c>
      <c r="F692" t="s">
        <v>334</v>
      </c>
      <c r="G692" t="s">
        <v>2454</v>
      </c>
      <c r="H692" t="str">
        <f>HYPERLINK("https://baanknet.com/view-property/176227/F571D4849581B70A7261FA8990F29190496D20635D721DAE358FE7E0AA21E769", "https://baanknet.com/view-property/176227/F571D4849581B70A7261FA8990F29190496D20635D721DAE358FE7E0AA21E769")</f>
        <v>https://baanknet.com/view-property/176227/F571D4849581B70A7261FA8990F29190496D20635D721DAE358FE7E0AA21E769</v>
      </c>
      <c r="I692" t="str">
        <f>HYPERLINK("https://baanknet.com/view-property/176227/F571D4849581B70A7261FA8990F29190496D20635D721DAE358FE7E0AA21E769", "Open")</f>
        <v>Open</v>
      </c>
      <c r="J692" t="s">
        <v>20</v>
      </c>
      <c r="K692" t="s">
        <v>21</v>
      </c>
      <c r="L692">
        <v>1950000</v>
      </c>
      <c r="M692">
        <v>195000</v>
      </c>
    </row>
    <row r="693" spans="1:13" x14ac:dyDescent="0.25">
      <c r="A693" t="s">
        <v>2455</v>
      </c>
      <c r="B693" t="s">
        <v>2456</v>
      </c>
      <c r="C693" t="s">
        <v>121</v>
      </c>
      <c r="D693" t="s">
        <v>2457</v>
      </c>
      <c r="E693" t="s">
        <v>654</v>
      </c>
      <c r="F693" t="s">
        <v>334</v>
      </c>
      <c r="G693" t="s">
        <v>2458</v>
      </c>
      <c r="H693" t="str">
        <f>HYPERLINK("https://baanknet.com/view-property/187461/B4BCD157934AB80C5E51B6987367A0545B9187CAE47A8C303355FC0B7BEF793E", "https://baanknet.com/view-property/187461/B4BCD157934AB80C5E51B6987367A0545B9187CAE47A8C303355FC0B7BEF793E")</f>
        <v>https://baanknet.com/view-property/187461/B4BCD157934AB80C5E51B6987367A0545B9187CAE47A8C303355FC0B7BEF793E</v>
      </c>
      <c r="I693" t="str">
        <f>HYPERLINK("https://baanknet.com/view-property/187461/B4BCD157934AB80C5E51B6987367A0545B9187CAE47A8C303355FC0B7BEF793E", "Open")</f>
        <v>Open</v>
      </c>
      <c r="J693" t="s">
        <v>20</v>
      </c>
      <c r="K693" t="s">
        <v>21</v>
      </c>
      <c r="L693">
        <v>1847000</v>
      </c>
      <c r="M693">
        <v>184700</v>
      </c>
    </row>
    <row r="694" spans="1:13" x14ac:dyDescent="0.25">
      <c r="A694" t="s">
        <v>2459</v>
      </c>
      <c r="B694" t="s">
        <v>2460</v>
      </c>
      <c r="C694" t="s">
        <v>121</v>
      </c>
      <c r="D694" t="s">
        <v>2438</v>
      </c>
      <c r="E694" t="s">
        <v>654</v>
      </c>
      <c r="F694" t="s">
        <v>334</v>
      </c>
      <c r="G694" t="s">
        <v>2461</v>
      </c>
      <c r="H694" t="str">
        <f>HYPERLINK("https://baanknet.com/view-property/172232/8D051C1D188AA07C7204CB638F7EA7068C0E58C1159D025EB8EB328140DD8DAC", "https://baanknet.com/view-property/172232/8D051C1D188AA07C7204CB638F7EA7068C0E58C1159D025EB8EB328140DD8DAC")</f>
        <v>https://baanknet.com/view-property/172232/8D051C1D188AA07C7204CB638F7EA7068C0E58C1159D025EB8EB328140DD8DAC</v>
      </c>
      <c r="I694" t="str">
        <f>HYPERLINK("https://baanknet.com/view-property/172232/8D051C1D188AA07C7204CB638F7EA7068C0E58C1159D025EB8EB328140DD8DAC", "Open")</f>
        <v>Open</v>
      </c>
      <c r="J694" t="s">
        <v>20</v>
      </c>
      <c r="K694" t="s">
        <v>21</v>
      </c>
      <c r="L694">
        <v>1709000</v>
      </c>
      <c r="M694">
        <v>170900</v>
      </c>
    </row>
    <row r="695" spans="1:13" x14ac:dyDescent="0.25">
      <c r="A695" t="s">
        <v>2462</v>
      </c>
      <c r="B695" t="s">
        <v>2463</v>
      </c>
      <c r="C695" t="s">
        <v>121</v>
      </c>
      <c r="D695" t="s">
        <v>2464</v>
      </c>
      <c r="E695" t="s">
        <v>654</v>
      </c>
      <c r="F695" t="s">
        <v>334</v>
      </c>
      <c r="G695" t="s">
        <v>2465</v>
      </c>
      <c r="H695" t="str">
        <f>HYPERLINK("https://baanknet.com/view-property/187459/6E6C5D53B17DFC7F8D5549F9F63465B523034A242FCA0B8A0BCA40652F8F6AB1", "https://baanknet.com/view-property/187459/6E6C5D53B17DFC7F8D5549F9F63465B523034A242FCA0B8A0BCA40652F8F6AB1")</f>
        <v>https://baanknet.com/view-property/187459/6E6C5D53B17DFC7F8D5549F9F63465B523034A242FCA0B8A0BCA40652F8F6AB1</v>
      </c>
      <c r="I695" t="str">
        <f>HYPERLINK("https://baanknet.com/view-property/187459/6E6C5D53B17DFC7F8D5549F9F63465B523034A242FCA0B8A0BCA40652F8F6AB1", "Open")</f>
        <v>Open</v>
      </c>
      <c r="J695" t="s">
        <v>20</v>
      </c>
      <c r="K695" t="s">
        <v>21</v>
      </c>
      <c r="L695">
        <v>3149000</v>
      </c>
      <c r="M695">
        <v>314900</v>
      </c>
    </row>
    <row r="696" spans="1:13" x14ac:dyDescent="0.25">
      <c r="A696" t="s">
        <v>2466</v>
      </c>
      <c r="B696" t="s">
        <v>2467</v>
      </c>
      <c r="C696" t="s">
        <v>121</v>
      </c>
      <c r="D696" t="s">
        <v>2442</v>
      </c>
      <c r="E696" t="s">
        <v>654</v>
      </c>
      <c r="F696" t="s">
        <v>334</v>
      </c>
      <c r="G696" t="s">
        <v>2468</v>
      </c>
      <c r="H696" t="str">
        <f>HYPERLINK("https://baanknet.com/view-property/176186/8C5807B7E09FAF0497E4707F2C69A8B7BE843F8489CA85D5098FE5BE38C8DC9D", "https://baanknet.com/view-property/176186/8C5807B7E09FAF0497E4707F2C69A8B7BE843F8489CA85D5098FE5BE38C8DC9D")</f>
        <v>https://baanknet.com/view-property/176186/8C5807B7E09FAF0497E4707F2C69A8B7BE843F8489CA85D5098FE5BE38C8DC9D</v>
      </c>
      <c r="I696" t="str">
        <f>HYPERLINK("https://baanknet.com/view-property/176186/8C5807B7E09FAF0497E4707F2C69A8B7BE843F8489CA85D5098FE5BE38C8DC9D", "Open")</f>
        <v>Open</v>
      </c>
      <c r="J696" t="s">
        <v>20</v>
      </c>
      <c r="K696" t="s">
        <v>21</v>
      </c>
      <c r="L696">
        <v>1415000</v>
      </c>
      <c r="M696">
        <v>141500</v>
      </c>
    </row>
    <row r="697" spans="1:13" x14ac:dyDescent="0.25">
      <c r="A697" t="s">
        <v>2469</v>
      </c>
      <c r="B697" t="s">
        <v>2470</v>
      </c>
      <c r="C697" t="s">
        <v>121</v>
      </c>
      <c r="D697" t="s">
        <v>324</v>
      </c>
      <c r="E697" t="s">
        <v>654</v>
      </c>
      <c r="F697" t="s">
        <v>334</v>
      </c>
      <c r="G697" t="s">
        <v>2471</v>
      </c>
      <c r="H697" t="str">
        <f>HYPERLINK("https://baanknet.com/view-property/244624/D74167456D92A89FF88EF43F84C382A41864359EDD0F9AAD80FCC1396F420307", "https://baanknet.com/view-property/244624/D74167456D92A89FF88EF43F84C382A41864359EDD0F9AAD80FCC1396F420307")</f>
        <v>https://baanknet.com/view-property/244624/D74167456D92A89FF88EF43F84C382A41864359EDD0F9AAD80FCC1396F420307</v>
      </c>
      <c r="I697" t="str">
        <f>HYPERLINK("https://baanknet.com/view-property/244624/D74167456D92A89FF88EF43F84C382A41864359EDD0F9AAD80FCC1396F420307", "Open")</f>
        <v>Open</v>
      </c>
      <c r="J697" t="s">
        <v>20</v>
      </c>
      <c r="K697" t="s">
        <v>21</v>
      </c>
      <c r="L697">
        <v>8489000</v>
      </c>
      <c r="M697">
        <v>848900</v>
      </c>
    </row>
    <row r="698" spans="1:13" x14ac:dyDescent="0.25">
      <c r="A698" t="s">
        <v>2472</v>
      </c>
      <c r="B698" t="s">
        <v>2473</v>
      </c>
      <c r="C698" t="s">
        <v>121</v>
      </c>
      <c r="D698" t="s">
        <v>324</v>
      </c>
      <c r="E698" t="s">
        <v>654</v>
      </c>
      <c r="F698" t="s">
        <v>334</v>
      </c>
      <c r="G698" t="s">
        <v>2474</v>
      </c>
      <c r="H698" t="str">
        <f>HYPERLINK("https://baanknet.com/view-property/201731/CE0610CD947498C0D7269528E2A95D0A4CBBB0C3024D503A62F21FC53238D532", "https://baanknet.com/view-property/201731/CE0610CD947498C0D7269528E2A95D0A4CBBB0C3024D503A62F21FC53238D532")</f>
        <v>https://baanknet.com/view-property/201731/CE0610CD947498C0D7269528E2A95D0A4CBBB0C3024D503A62F21FC53238D532</v>
      </c>
      <c r="I698" t="str">
        <f>HYPERLINK("https://baanknet.com/view-property/201731/CE0610CD947498C0D7269528E2A95D0A4CBBB0C3024D503A62F21FC53238D532", "Open")</f>
        <v>Open</v>
      </c>
      <c r="J698" t="s">
        <v>20</v>
      </c>
      <c r="K698" t="s">
        <v>21</v>
      </c>
      <c r="L698">
        <v>7430000</v>
      </c>
      <c r="M698">
        <v>743000</v>
      </c>
    </row>
    <row r="699" spans="1:13" x14ac:dyDescent="0.25">
      <c r="A699" t="s">
        <v>2475</v>
      </c>
      <c r="B699" t="s">
        <v>2476</v>
      </c>
      <c r="C699" t="s">
        <v>121</v>
      </c>
      <c r="D699" t="s">
        <v>2477</v>
      </c>
      <c r="E699" t="s">
        <v>654</v>
      </c>
      <c r="F699" t="s">
        <v>334</v>
      </c>
      <c r="G699" t="s">
        <v>2478</v>
      </c>
      <c r="H699" t="str">
        <f>HYPERLINK("https://baanknet.com/view-property/221388/1EFC3FB8B988C2D30A142EA5C004A61EB4FA620382FF99FC7365890C84BB2E5F", "https://baanknet.com/view-property/221388/1EFC3FB8B988C2D30A142EA5C004A61EB4FA620382FF99FC7365890C84BB2E5F")</f>
        <v>https://baanknet.com/view-property/221388/1EFC3FB8B988C2D30A142EA5C004A61EB4FA620382FF99FC7365890C84BB2E5F</v>
      </c>
      <c r="I699" t="str">
        <f>HYPERLINK("https://baanknet.com/view-property/221388/1EFC3FB8B988C2D30A142EA5C004A61EB4FA620382FF99FC7365890C84BB2E5F", "Open")</f>
        <v>Open</v>
      </c>
      <c r="J699" t="s">
        <v>20</v>
      </c>
      <c r="K699" t="s">
        <v>21</v>
      </c>
      <c r="L699">
        <v>1377000</v>
      </c>
      <c r="M699">
        <v>138000</v>
      </c>
    </row>
    <row r="700" spans="1:13" x14ac:dyDescent="0.25">
      <c r="A700" t="s">
        <v>2479</v>
      </c>
      <c r="B700" t="s">
        <v>2480</v>
      </c>
      <c r="C700" t="s">
        <v>121</v>
      </c>
      <c r="D700" t="s">
        <v>2477</v>
      </c>
      <c r="E700" t="s">
        <v>654</v>
      </c>
      <c r="F700" t="s">
        <v>334</v>
      </c>
      <c r="G700" t="s">
        <v>2481</v>
      </c>
      <c r="H700" t="str">
        <f>HYPERLINK("https://baanknet.com/view-property/216952/92C4F23654F746907DA78A4CE709EDEBA87EAF516F9EE228A0B13CCFFB317EAC", "https://baanknet.com/view-property/216952/92C4F23654F746907DA78A4CE709EDEBA87EAF516F9EE228A0B13CCFFB317EAC")</f>
        <v>https://baanknet.com/view-property/216952/92C4F23654F746907DA78A4CE709EDEBA87EAF516F9EE228A0B13CCFFB317EAC</v>
      </c>
      <c r="I700" t="str">
        <f>HYPERLINK("https://baanknet.com/view-property/216952/92C4F23654F746907DA78A4CE709EDEBA87EAF516F9EE228A0B13CCFFB317EAC", "Open")</f>
        <v>Open</v>
      </c>
      <c r="J700" t="s">
        <v>20</v>
      </c>
      <c r="K700" t="s">
        <v>21</v>
      </c>
      <c r="L700">
        <v>1116000</v>
      </c>
      <c r="M700">
        <v>112000</v>
      </c>
    </row>
    <row r="701" spans="1:13" x14ac:dyDescent="0.25">
      <c r="A701" t="s">
        <v>2482</v>
      </c>
      <c r="B701" t="s">
        <v>2483</v>
      </c>
      <c r="C701" t="s">
        <v>121</v>
      </c>
      <c r="D701" t="s">
        <v>2484</v>
      </c>
      <c r="E701" t="s">
        <v>654</v>
      </c>
      <c r="F701" t="s">
        <v>334</v>
      </c>
      <c r="G701" t="s">
        <v>2485</v>
      </c>
      <c r="H701" t="str">
        <f>HYPERLINK("https://baanknet.com/view-property/186096/A49F0C530B851CF1FE5C534117470F48742DCA0194D02B7BE8130FBEA97728BD", "https://baanknet.com/view-property/186096/A49F0C530B851CF1FE5C534117470F48742DCA0194D02B7BE8130FBEA97728BD")</f>
        <v>https://baanknet.com/view-property/186096/A49F0C530B851CF1FE5C534117470F48742DCA0194D02B7BE8130FBEA97728BD</v>
      </c>
      <c r="I701" t="str">
        <f>HYPERLINK("https://baanknet.com/view-property/186096/A49F0C530B851CF1FE5C534117470F48742DCA0194D02B7BE8130FBEA97728BD", "Open")</f>
        <v>Open</v>
      </c>
      <c r="J701" t="s">
        <v>20</v>
      </c>
      <c r="K701" t="s">
        <v>21</v>
      </c>
      <c r="L701">
        <v>1544000</v>
      </c>
      <c r="M701">
        <v>154000</v>
      </c>
    </row>
    <row r="702" spans="1:13" x14ac:dyDescent="0.25">
      <c r="A702" t="s">
        <v>2486</v>
      </c>
      <c r="B702" t="s">
        <v>2487</v>
      </c>
      <c r="C702" t="s">
        <v>121</v>
      </c>
      <c r="D702" t="s">
        <v>2477</v>
      </c>
      <c r="E702" t="s">
        <v>654</v>
      </c>
      <c r="F702" t="s">
        <v>334</v>
      </c>
      <c r="G702" t="s">
        <v>2488</v>
      </c>
      <c r="H702" t="str">
        <f>HYPERLINK("https://baanknet.com/view-property/172937/F88F217C2B79A7BBB103C64DD4380A320D8B7EA9C8A6502459FA9FD336A8636A", "https://baanknet.com/view-property/172937/F88F217C2B79A7BBB103C64DD4380A320D8B7EA9C8A6502459FA9FD336A8636A")</f>
        <v>https://baanknet.com/view-property/172937/F88F217C2B79A7BBB103C64DD4380A320D8B7EA9C8A6502459FA9FD336A8636A</v>
      </c>
      <c r="I702" t="str">
        <f>HYPERLINK("https://baanknet.com/view-property/172937/F88F217C2B79A7BBB103C64DD4380A320D8B7EA9C8A6502459FA9FD336A8636A", "Open")</f>
        <v>Open</v>
      </c>
      <c r="J702" t="s">
        <v>20</v>
      </c>
      <c r="K702" t="s">
        <v>21</v>
      </c>
      <c r="L702">
        <v>810000</v>
      </c>
      <c r="M702">
        <v>81000</v>
      </c>
    </row>
    <row r="703" spans="1:13" x14ac:dyDescent="0.25">
      <c r="A703" t="s">
        <v>2489</v>
      </c>
      <c r="B703" t="s">
        <v>2490</v>
      </c>
      <c r="C703" t="s">
        <v>121</v>
      </c>
      <c r="D703" t="s">
        <v>2491</v>
      </c>
      <c r="E703" t="s">
        <v>654</v>
      </c>
      <c r="F703" t="s">
        <v>334</v>
      </c>
      <c r="G703" t="s">
        <v>2492</v>
      </c>
      <c r="H703" t="str">
        <f>HYPERLINK("https://baanknet.com/view-property/175634/B470BA195583AF9BC7B9A8146DD9B35B1CCF2D0C6ACC912AD79CCA7334B09288", "https://baanknet.com/view-property/175634/B470BA195583AF9BC7B9A8146DD9B35B1CCF2D0C6ACC912AD79CCA7334B09288")</f>
        <v>https://baanknet.com/view-property/175634/B470BA195583AF9BC7B9A8146DD9B35B1CCF2D0C6ACC912AD79CCA7334B09288</v>
      </c>
      <c r="I703" t="str">
        <f>HYPERLINK("https://baanknet.com/view-property/175634/B470BA195583AF9BC7B9A8146DD9B35B1CCF2D0C6ACC912AD79CCA7334B09288", "Open")</f>
        <v>Open</v>
      </c>
      <c r="J703" t="s">
        <v>20</v>
      </c>
      <c r="K703" t="s">
        <v>21</v>
      </c>
      <c r="L703">
        <v>753000</v>
      </c>
      <c r="M703">
        <v>75000</v>
      </c>
    </row>
    <row r="704" spans="1:13" x14ac:dyDescent="0.25">
      <c r="A704" t="s">
        <v>2493</v>
      </c>
      <c r="B704" t="s">
        <v>2494</v>
      </c>
      <c r="C704" t="s">
        <v>121</v>
      </c>
      <c r="D704" t="s">
        <v>282</v>
      </c>
      <c r="E704" t="s">
        <v>654</v>
      </c>
      <c r="F704" t="s">
        <v>334</v>
      </c>
      <c r="G704" t="s">
        <v>2495</v>
      </c>
      <c r="H704" t="str">
        <f>HYPERLINK("https://baanknet.com/view-property/225111/81D7F1987C12B4441A678BE0A1EBF8C5744D07A03F64037A193F72F79928CC35", "https://baanknet.com/view-property/225111/81D7F1987C12B4441A678BE0A1EBF8C5744D07A03F64037A193F72F79928CC35")</f>
        <v>https://baanknet.com/view-property/225111/81D7F1987C12B4441A678BE0A1EBF8C5744D07A03F64037A193F72F79928CC35</v>
      </c>
      <c r="I704" t="str">
        <f>HYPERLINK("https://baanknet.com/view-property/225111/81D7F1987C12B4441A678BE0A1EBF8C5744D07A03F64037A193F72F79928CC35", "Open")</f>
        <v>Open</v>
      </c>
      <c r="J704" t="s">
        <v>20</v>
      </c>
      <c r="K704" t="s">
        <v>21</v>
      </c>
      <c r="L704">
        <v>5373000</v>
      </c>
      <c r="M704">
        <v>537300</v>
      </c>
    </row>
    <row r="705" spans="1:13" x14ac:dyDescent="0.25">
      <c r="A705" t="s">
        <v>2496</v>
      </c>
      <c r="B705" t="s">
        <v>2497</v>
      </c>
      <c r="C705" t="s">
        <v>121</v>
      </c>
      <c r="D705" t="s">
        <v>2498</v>
      </c>
      <c r="E705" t="s">
        <v>654</v>
      </c>
      <c r="F705" t="s">
        <v>334</v>
      </c>
      <c r="G705" t="s">
        <v>2499</v>
      </c>
      <c r="H705" t="str">
        <f>HYPERLINK("https://baanknet.com/view-property/187663/C2BF95E89C0576DAE3136E796D86F08011D54E686F7ED4D498ED9DCC7C85EFA3", "https://baanknet.com/view-property/187663/C2BF95E89C0576DAE3136E796D86F08011D54E686F7ED4D498ED9DCC7C85EFA3")</f>
        <v>https://baanknet.com/view-property/187663/C2BF95E89C0576DAE3136E796D86F08011D54E686F7ED4D498ED9DCC7C85EFA3</v>
      </c>
      <c r="I705" t="str">
        <f>HYPERLINK("https://baanknet.com/view-property/187663/C2BF95E89C0576DAE3136E796D86F08011D54E686F7ED4D498ED9DCC7C85EFA3", "Open")</f>
        <v>Open</v>
      </c>
      <c r="J705" t="s">
        <v>20</v>
      </c>
      <c r="K705" t="s">
        <v>21</v>
      </c>
      <c r="L705">
        <v>1350000</v>
      </c>
      <c r="M705">
        <v>135000</v>
      </c>
    </row>
    <row r="706" spans="1:13" x14ac:dyDescent="0.25">
      <c r="A706" t="s">
        <v>2500</v>
      </c>
      <c r="B706" t="s">
        <v>2501</v>
      </c>
      <c r="C706" t="s">
        <v>121</v>
      </c>
      <c r="D706" t="s">
        <v>2502</v>
      </c>
      <c r="E706" t="s">
        <v>654</v>
      </c>
      <c r="F706" t="s">
        <v>334</v>
      </c>
      <c r="G706" t="s">
        <v>2503</v>
      </c>
      <c r="H706" t="str">
        <f>HYPERLINK("https://baanknet.com/view-property/187771/50BE2F8FE17C0ED36B3E30BAB89EEB647ECF0B7543E75081000891C2D282B679", "https://baanknet.com/view-property/187771/50BE2F8FE17C0ED36B3E30BAB89EEB647ECF0B7543E75081000891C2D282B679")</f>
        <v>https://baanknet.com/view-property/187771/50BE2F8FE17C0ED36B3E30BAB89EEB647ECF0B7543E75081000891C2D282B679</v>
      </c>
      <c r="I706" t="str">
        <f>HYPERLINK("https://baanknet.com/view-property/187771/50BE2F8FE17C0ED36B3E30BAB89EEB647ECF0B7543E75081000891C2D282B679", "Open")</f>
        <v>Open</v>
      </c>
      <c r="J706" t="s">
        <v>20</v>
      </c>
      <c r="K706" t="s">
        <v>21</v>
      </c>
      <c r="L706">
        <v>1764000</v>
      </c>
      <c r="M706">
        <v>176400</v>
      </c>
    </row>
    <row r="707" spans="1:13" x14ac:dyDescent="0.25">
      <c r="A707" t="s">
        <v>2504</v>
      </c>
      <c r="B707" t="s">
        <v>2505</v>
      </c>
      <c r="C707" t="s">
        <v>121</v>
      </c>
      <c r="D707" t="s">
        <v>2506</v>
      </c>
      <c r="E707" t="s">
        <v>654</v>
      </c>
      <c r="F707" t="s">
        <v>334</v>
      </c>
      <c r="G707" t="s">
        <v>2507</v>
      </c>
      <c r="H707" t="str">
        <f>HYPERLINK("https://baanknet.com/view-property/177428/D75D27D09013FB7EE6CB90CF43F18F62934B6767A9D9C574300B4DE846F68531", "https://baanknet.com/view-property/177428/D75D27D09013FB7EE6CB90CF43F18F62934B6767A9D9C574300B4DE846F68531")</f>
        <v>https://baanknet.com/view-property/177428/D75D27D09013FB7EE6CB90CF43F18F62934B6767A9D9C574300B4DE846F68531</v>
      </c>
      <c r="I707" t="str">
        <f>HYPERLINK("https://baanknet.com/view-property/177428/D75D27D09013FB7EE6CB90CF43F18F62934B6767A9D9C574300B4DE846F68531", "Open")</f>
        <v>Open</v>
      </c>
      <c r="J707" t="s">
        <v>20</v>
      </c>
      <c r="K707" t="s">
        <v>21</v>
      </c>
      <c r="L707">
        <v>14904000</v>
      </c>
      <c r="M707">
        <v>1490400</v>
      </c>
    </row>
    <row r="708" spans="1:13" x14ac:dyDescent="0.25">
      <c r="A708" t="s">
        <v>2508</v>
      </c>
      <c r="B708" t="s">
        <v>2509</v>
      </c>
      <c r="C708" t="s">
        <v>121</v>
      </c>
      <c r="D708" t="s">
        <v>2510</v>
      </c>
      <c r="E708" t="s">
        <v>654</v>
      </c>
      <c r="F708" t="s">
        <v>334</v>
      </c>
      <c r="G708" t="s">
        <v>2511</v>
      </c>
      <c r="H708" t="str">
        <f>HYPERLINK("https://baanknet.com/view-property/188959/61DD9C7B8B880535E6528A26E9C25324ACB78DF6ED32AE313FF675C1D3D933A1", "https://baanknet.com/view-property/188959/61DD9C7B8B880535E6528A26E9C25324ACB78DF6ED32AE313FF675C1D3D933A1")</f>
        <v>https://baanknet.com/view-property/188959/61DD9C7B8B880535E6528A26E9C25324ACB78DF6ED32AE313FF675C1D3D933A1</v>
      </c>
      <c r="I708" t="str">
        <f>HYPERLINK("https://baanknet.com/view-property/188959/61DD9C7B8B880535E6528A26E9C25324ACB78DF6ED32AE313FF675C1D3D933A1", "Open")</f>
        <v>Open</v>
      </c>
      <c r="J708" t="s">
        <v>20</v>
      </c>
      <c r="K708" t="s">
        <v>21</v>
      </c>
      <c r="L708">
        <v>6000000</v>
      </c>
      <c r="M708">
        <v>600000</v>
      </c>
    </row>
    <row r="709" spans="1:13" x14ac:dyDescent="0.25">
      <c r="A709" t="s">
        <v>2512</v>
      </c>
      <c r="B709" t="s">
        <v>2513</v>
      </c>
      <c r="C709" t="s">
        <v>121</v>
      </c>
      <c r="D709" t="s">
        <v>2498</v>
      </c>
      <c r="E709" t="s">
        <v>654</v>
      </c>
      <c r="F709" t="s">
        <v>334</v>
      </c>
      <c r="G709" t="s">
        <v>2514</v>
      </c>
      <c r="H709" t="str">
        <f>HYPERLINK("https://baanknet.com/view-property/189600/0E0B2245E93920E0BE2BDF55A1D13CA910AE12B5E5B47C38E38B686C791078FB", "https://baanknet.com/view-property/189600/0E0B2245E93920E0BE2BDF55A1D13CA910AE12B5E5B47C38E38B686C791078FB")</f>
        <v>https://baanknet.com/view-property/189600/0E0B2245E93920E0BE2BDF55A1D13CA910AE12B5E5B47C38E38B686C791078FB</v>
      </c>
      <c r="I709" t="str">
        <f>HYPERLINK("https://baanknet.com/view-property/189600/0E0B2245E93920E0BE2BDF55A1D13CA910AE12B5E5B47C38E38B686C791078FB", "Open")</f>
        <v>Open</v>
      </c>
      <c r="J709" t="s">
        <v>20</v>
      </c>
      <c r="K709" t="s">
        <v>21</v>
      </c>
      <c r="L709">
        <v>800000</v>
      </c>
      <c r="M709">
        <v>80000</v>
      </c>
    </row>
    <row r="710" spans="1:13" x14ac:dyDescent="0.25">
      <c r="A710" t="s">
        <v>2515</v>
      </c>
      <c r="B710" t="s">
        <v>2516</v>
      </c>
      <c r="C710" t="s">
        <v>121</v>
      </c>
      <c r="D710" t="s">
        <v>2517</v>
      </c>
      <c r="E710" t="s">
        <v>654</v>
      </c>
      <c r="F710" t="s">
        <v>334</v>
      </c>
      <c r="G710" t="s">
        <v>2518</v>
      </c>
      <c r="H710" t="str">
        <f>HYPERLINK("https://baanknet.com/view-property/187798/84B94E04386B5F72DFB2783E9B7BDEC901542D2180DA9F0CC20BC7DDB3D205F7", "https://baanknet.com/view-property/187798/84B94E04386B5F72DFB2783E9B7BDEC901542D2180DA9F0CC20BC7DDB3D205F7")</f>
        <v>https://baanknet.com/view-property/187798/84B94E04386B5F72DFB2783E9B7BDEC901542D2180DA9F0CC20BC7DDB3D205F7</v>
      </c>
      <c r="I710" t="str">
        <f>HYPERLINK("https://baanknet.com/view-property/187798/84B94E04386B5F72DFB2783E9B7BDEC901542D2180DA9F0CC20BC7DDB3D205F7", "Open")</f>
        <v>Open</v>
      </c>
      <c r="J710" t="s">
        <v>20</v>
      </c>
      <c r="K710" t="s">
        <v>21</v>
      </c>
      <c r="L710">
        <v>2575000</v>
      </c>
      <c r="M710">
        <v>257500</v>
      </c>
    </row>
    <row r="711" spans="1:13" x14ac:dyDescent="0.25">
      <c r="A711" t="s">
        <v>2519</v>
      </c>
      <c r="B711" t="s">
        <v>2520</v>
      </c>
      <c r="C711" t="s">
        <v>121</v>
      </c>
      <c r="D711" t="s">
        <v>2502</v>
      </c>
      <c r="E711" t="s">
        <v>654</v>
      </c>
      <c r="F711" t="s">
        <v>334</v>
      </c>
      <c r="G711" t="s">
        <v>2521</v>
      </c>
      <c r="H711" t="str">
        <f>HYPERLINK("https://baanknet.com/view-property/187821/CEB6C95A548042E704FE079CDD9A1BD1152FB933321B81062E51BFF068F0FCBD", "https://baanknet.com/view-property/187821/CEB6C95A548042E704FE079CDD9A1BD1152FB933321B81062E51BFF068F0FCBD")</f>
        <v>https://baanknet.com/view-property/187821/CEB6C95A548042E704FE079CDD9A1BD1152FB933321B81062E51BFF068F0FCBD</v>
      </c>
      <c r="I711" t="str">
        <f>HYPERLINK("https://baanknet.com/view-property/187821/CEB6C95A548042E704FE079CDD9A1BD1152FB933321B81062E51BFF068F0FCBD", "Open")</f>
        <v>Open</v>
      </c>
      <c r="J711" t="s">
        <v>20</v>
      </c>
      <c r="K711" t="s">
        <v>21</v>
      </c>
      <c r="L711">
        <v>1724000</v>
      </c>
      <c r="M711">
        <v>172400</v>
      </c>
    </row>
    <row r="712" spans="1:13" x14ac:dyDescent="0.25">
      <c r="A712" t="s">
        <v>2522</v>
      </c>
      <c r="B712" t="s">
        <v>2523</v>
      </c>
      <c r="C712" t="s">
        <v>121</v>
      </c>
      <c r="D712" t="s">
        <v>2502</v>
      </c>
      <c r="E712" t="s">
        <v>654</v>
      </c>
      <c r="F712" t="s">
        <v>334</v>
      </c>
      <c r="G712" t="s">
        <v>2524</v>
      </c>
      <c r="H712" t="str">
        <f>HYPERLINK("https://baanknet.com/view-property/187690/BE4A3B21E931FF436B91841822C448A6F2BCE61C0C6D37B676CE16DC8258E3D4", "https://baanknet.com/view-property/187690/BE4A3B21E931FF436B91841822C448A6F2BCE61C0C6D37B676CE16DC8258E3D4")</f>
        <v>https://baanknet.com/view-property/187690/BE4A3B21E931FF436B91841822C448A6F2BCE61C0C6D37B676CE16DC8258E3D4</v>
      </c>
      <c r="I712" t="str">
        <f>HYPERLINK("https://baanknet.com/view-property/187690/BE4A3B21E931FF436B91841822C448A6F2BCE61C0C6D37B676CE16DC8258E3D4", "Open")</f>
        <v>Open</v>
      </c>
      <c r="J712" t="s">
        <v>20</v>
      </c>
      <c r="K712" t="s">
        <v>21</v>
      </c>
      <c r="L712">
        <v>1220000</v>
      </c>
      <c r="M712">
        <v>122000</v>
      </c>
    </row>
    <row r="713" spans="1:13" x14ac:dyDescent="0.25">
      <c r="A713" t="s">
        <v>2525</v>
      </c>
      <c r="B713" t="s">
        <v>2526</v>
      </c>
      <c r="C713" t="s">
        <v>121</v>
      </c>
      <c r="D713" t="s">
        <v>2527</v>
      </c>
      <c r="E713" t="s">
        <v>654</v>
      </c>
      <c r="F713" t="s">
        <v>334</v>
      </c>
      <c r="G713" t="s">
        <v>2528</v>
      </c>
      <c r="H713" t="str">
        <f>HYPERLINK("https://baanknet.com/view-property/177514/85E40DD923024066EF8C7AA341D58B6444E9DF06B65C1C5575EE1AA27067D911", "https://baanknet.com/view-property/177514/85E40DD923024066EF8C7AA341D58B6444E9DF06B65C1C5575EE1AA27067D911")</f>
        <v>https://baanknet.com/view-property/177514/85E40DD923024066EF8C7AA341D58B6444E9DF06B65C1C5575EE1AA27067D911</v>
      </c>
      <c r="I713" t="str">
        <f>HYPERLINK("https://baanknet.com/view-property/177514/85E40DD923024066EF8C7AA341D58B6444E9DF06B65C1C5575EE1AA27067D911", "Open")</f>
        <v>Open</v>
      </c>
      <c r="J713" t="s">
        <v>20</v>
      </c>
      <c r="K713" t="s">
        <v>21</v>
      </c>
      <c r="L713">
        <v>1730000</v>
      </c>
      <c r="M713">
        <v>173000</v>
      </c>
    </row>
    <row r="714" spans="1:13" x14ac:dyDescent="0.25">
      <c r="A714" t="s">
        <v>2529</v>
      </c>
      <c r="B714" t="s">
        <v>2530</v>
      </c>
      <c r="C714" t="s">
        <v>121</v>
      </c>
      <c r="D714" t="s">
        <v>2531</v>
      </c>
      <c r="E714" t="s">
        <v>654</v>
      </c>
      <c r="F714" t="s">
        <v>334</v>
      </c>
      <c r="G714" t="s">
        <v>2532</v>
      </c>
      <c r="H714" t="str">
        <f>HYPERLINK("https://baanknet.com/view-property/188769/ACC0D51ED0C9A1C749391589293728D7975941E8DA830B394955292FB1552B09", "https://baanknet.com/view-property/188769/ACC0D51ED0C9A1C749391589293728D7975941E8DA830B394955292FB1552B09")</f>
        <v>https://baanknet.com/view-property/188769/ACC0D51ED0C9A1C749391589293728D7975941E8DA830B394955292FB1552B09</v>
      </c>
      <c r="I714" t="str">
        <f>HYPERLINK("https://baanknet.com/view-property/188769/ACC0D51ED0C9A1C749391589293728D7975941E8DA830B394955292FB1552B09", "Open")</f>
        <v>Open</v>
      </c>
      <c r="J714" t="s">
        <v>20</v>
      </c>
      <c r="K714" t="s">
        <v>21</v>
      </c>
      <c r="L714">
        <v>14875000</v>
      </c>
      <c r="M714">
        <v>1487500</v>
      </c>
    </row>
    <row r="715" spans="1:13" x14ac:dyDescent="0.25">
      <c r="A715" t="s">
        <v>2533</v>
      </c>
      <c r="B715" t="s">
        <v>2534</v>
      </c>
      <c r="C715" t="s">
        <v>121</v>
      </c>
      <c r="D715" t="s">
        <v>2531</v>
      </c>
      <c r="E715" t="s">
        <v>654</v>
      </c>
      <c r="F715" t="s">
        <v>334</v>
      </c>
      <c r="G715" t="s">
        <v>2535</v>
      </c>
      <c r="H715" t="str">
        <f>HYPERLINK("https://baanknet.com/view-property/177274/FE2499E9CC72BFDE7FED930A4DBC64F3922C3BD7EA74A50C960AED91A0C80B6F", "https://baanknet.com/view-property/177274/FE2499E9CC72BFDE7FED930A4DBC64F3922C3BD7EA74A50C960AED91A0C80B6F")</f>
        <v>https://baanknet.com/view-property/177274/FE2499E9CC72BFDE7FED930A4DBC64F3922C3BD7EA74A50C960AED91A0C80B6F</v>
      </c>
      <c r="I715" t="str">
        <f>HYPERLINK("https://baanknet.com/view-property/177274/FE2499E9CC72BFDE7FED930A4DBC64F3922C3BD7EA74A50C960AED91A0C80B6F", "Open")</f>
        <v>Open</v>
      </c>
      <c r="J715" t="s">
        <v>20</v>
      </c>
      <c r="K715" t="s">
        <v>21</v>
      </c>
      <c r="L715">
        <v>2600000</v>
      </c>
      <c r="M715">
        <v>260000</v>
      </c>
    </row>
    <row r="716" spans="1:13" x14ac:dyDescent="0.25">
      <c r="A716" t="s">
        <v>2536</v>
      </c>
      <c r="B716" t="s">
        <v>2537</v>
      </c>
      <c r="C716" t="s">
        <v>121</v>
      </c>
      <c r="D716" t="s">
        <v>2531</v>
      </c>
      <c r="E716" t="s">
        <v>654</v>
      </c>
      <c r="F716" t="s">
        <v>334</v>
      </c>
      <c r="G716" t="s">
        <v>2538</v>
      </c>
      <c r="H716" t="str">
        <f>HYPERLINK("https://baanknet.com/view-property/177272/5A9C49B99F239AB7BFE1DDE908704F631553CC0911F4175949449CA5460A9CD2", "https://baanknet.com/view-property/177272/5A9C49B99F239AB7BFE1DDE908704F631553CC0911F4175949449CA5460A9CD2")</f>
        <v>https://baanknet.com/view-property/177272/5A9C49B99F239AB7BFE1DDE908704F631553CC0911F4175949449CA5460A9CD2</v>
      </c>
      <c r="I716" t="str">
        <f>HYPERLINK("https://baanknet.com/view-property/177272/5A9C49B99F239AB7BFE1DDE908704F631553CC0911F4175949449CA5460A9CD2", "Open")</f>
        <v>Open</v>
      </c>
      <c r="J716" t="s">
        <v>20</v>
      </c>
      <c r="K716" t="s">
        <v>21</v>
      </c>
      <c r="L716">
        <v>2700000</v>
      </c>
      <c r="M716">
        <v>270000</v>
      </c>
    </row>
    <row r="717" spans="1:13" x14ac:dyDescent="0.25">
      <c r="A717" t="s">
        <v>2539</v>
      </c>
      <c r="B717" t="s">
        <v>2540</v>
      </c>
      <c r="C717" t="s">
        <v>121</v>
      </c>
      <c r="D717" t="s">
        <v>2541</v>
      </c>
      <c r="E717" t="s">
        <v>654</v>
      </c>
      <c r="F717" t="s">
        <v>334</v>
      </c>
      <c r="G717" t="s">
        <v>2542</v>
      </c>
      <c r="H717" t="str">
        <f>HYPERLINK("https://baanknet.com/view-property/177268/2E8F0DBE558B7E0243F574CA5EAA86313C2035E84186503251F573EC6762DB80", "https://baanknet.com/view-property/177268/2E8F0DBE558B7E0243F574CA5EAA86313C2035E84186503251F573EC6762DB80")</f>
        <v>https://baanknet.com/view-property/177268/2E8F0DBE558B7E0243F574CA5EAA86313C2035E84186503251F573EC6762DB80</v>
      </c>
      <c r="I717" t="str">
        <f>HYPERLINK("https://baanknet.com/view-property/177268/2E8F0DBE558B7E0243F574CA5EAA86313C2035E84186503251F573EC6762DB80", "Open")</f>
        <v>Open</v>
      </c>
      <c r="J717" t="s">
        <v>20</v>
      </c>
      <c r="K717" t="s">
        <v>21</v>
      </c>
      <c r="L717">
        <v>1653000</v>
      </c>
      <c r="M717">
        <v>165300</v>
      </c>
    </row>
    <row r="718" spans="1:13" x14ac:dyDescent="0.25">
      <c r="A718" t="s">
        <v>2543</v>
      </c>
      <c r="B718" t="s">
        <v>2544</v>
      </c>
      <c r="C718" t="s">
        <v>121</v>
      </c>
      <c r="D718" t="s">
        <v>2531</v>
      </c>
      <c r="E718" t="s">
        <v>654</v>
      </c>
      <c r="F718" t="s">
        <v>334</v>
      </c>
      <c r="G718" t="s">
        <v>2545</v>
      </c>
      <c r="H718" t="str">
        <f>HYPERLINK("https://baanknet.com/view-property/177269/491ABCDE5343A3FA581F63C1DB9ABC69933782BA224282C64F1AD20FDD4BB0BA", "https://baanknet.com/view-property/177269/491ABCDE5343A3FA581F63C1DB9ABC69933782BA224282C64F1AD20FDD4BB0BA")</f>
        <v>https://baanknet.com/view-property/177269/491ABCDE5343A3FA581F63C1DB9ABC69933782BA224282C64F1AD20FDD4BB0BA</v>
      </c>
      <c r="I718" t="str">
        <f>HYPERLINK("https://baanknet.com/view-property/177269/491ABCDE5343A3FA581F63C1DB9ABC69933782BA224282C64F1AD20FDD4BB0BA", "Open")</f>
        <v>Open</v>
      </c>
      <c r="J718" t="s">
        <v>20</v>
      </c>
      <c r="K718" t="s">
        <v>21</v>
      </c>
      <c r="L718">
        <v>848000</v>
      </c>
      <c r="M718">
        <v>84800</v>
      </c>
    </row>
    <row r="719" spans="1:13" x14ac:dyDescent="0.25">
      <c r="A719" t="s">
        <v>2546</v>
      </c>
      <c r="B719" t="s">
        <v>2547</v>
      </c>
      <c r="C719" t="s">
        <v>121</v>
      </c>
      <c r="D719" t="s">
        <v>2517</v>
      </c>
      <c r="E719" t="s">
        <v>654</v>
      </c>
      <c r="F719" t="s">
        <v>334</v>
      </c>
      <c r="G719" t="s">
        <v>2548</v>
      </c>
      <c r="H719" t="str">
        <f>HYPERLINK("https://baanknet.com/view-property/254640/E9B9D4B11333F822C343B3880EC8719B1BAEF03CC5ECAFB0AFD2CBB8D0F2A136", "https://baanknet.com/view-property/254640/E9B9D4B11333F822C343B3880EC8719B1BAEF03CC5ECAFB0AFD2CBB8D0F2A136")</f>
        <v>https://baanknet.com/view-property/254640/E9B9D4B11333F822C343B3880EC8719B1BAEF03CC5ECAFB0AFD2CBB8D0F2A136</v>
      </c>
      <c r="I719" t="str">
        <f>HYPERLINK("https://baanknet.com/view-property/254640/E9B9D4B11333F822C343B3880EC8719B1BAEF03CC5ECAFB0AFD2CBB8D0F2A136", "Open")</f>
        <v>Open</v>
      </c>
      <c r="J719" t="s">
        <v>20</v>
      </c>
      <c r="K719" t="s">
        <v>21</v>
      </c>
      <c r="L719">
        <v>3186000</v>
      </c>
      <c r="M719">
        <v>318600</v>
      </c>
    </row>
    <row r="720" spans="1:13" x14ac:dyDescent="0.25">
      <c r="A720" t="s">
        <v>2549</v>
      </c>
      <c r="B720" t="s">
        <v>2550</v>
      </c>
      <c r="C720" t="s">
        <v>121</v>
      </c>
      <c r="D720" t="s">
        <v>2541</v>
      </c>
      <c r="E720" t="s">
        <v>654</v>
      </c>
      <c r="F720" t="s">
        <v>334</v>
      </c>
      <c r="G720" t="s">
        <v>2551</v>
      </c>
      <c r="H720" t="str">
        <f>HYPERLINK("https://baanknet.com/view-property/177277/1E3137ACB6E37497B56A49D595F73EA822E870ACC00AFA4DF8E3819E747117CD", "https://baanknet.com/view-property/177277/1E3137ACB6E37497B56A49D595F73EA822E870ACC00AFA4DF8E3819E747117CD")</f>
        <v>https://baanknet.com/view-property/177277/1E3137ACB6E37497B56A49D595F73EA822E870ACC00AFA4DF8E3819E747117CD</v>
      </c>
      <c r="I720" t="str">
        <f>HYPERLINK("https://baanknet.com/view-property/177277/1E3137ACB6E37497B56A49D595F73EA822E870ACC00AFA4DF8E3819E747117CD", "Open")</f>
        <v>Open</v>
      </c>
      <c r="J720" t="s">
        <v>20</v>
      </c>
      <c r="K720" t="s">
        <v>21</v>
      </c>
      <c r="L720">
        <v>803000</v>
      </c>
      <c r="M720">
        <v>80300</v>
      </c>
    </row>
    <row r="721" spans="1:13" x14ac:dyDescent="0.25">
      <c r="A721" t="s">
        <v>2552</v>
      </c>
      <c r="B721" t="s">
        <v>2553</v>
      </c>
      <c r="C721" t="s">
        <v>121</v>
      </c>
      <c r="D721" t="s">
        <v>2554</v>
      </c>
      <c r="E721" t="s">
        <v>654</v>
      </c>
      <c r="F721" t="s">
        <v>334</v>
      </c>
      <c r="G721" t="s">
        <v>2555</v>
      </c>
      <c r="H721" t="str">
        <f>HYPERLINK("https://baanknet.com/view-property/188909/867F2214E5068AE9EE7BC13F17E7BD74E39EB706F6CC537BF68A6616B6B4747A", "https://baanknet.com/view-property/188909/867F2214E5068AE9EE7BC13F17E7BD74E39EB706F6CC537BF68A6616B6B4747A")</f>
        <v>https://baanknet.com/view-property/188909/867F2214E5068AE9EE7BC13F17E7BD74E39EB706F6CC537BF68A6616B6B4747A</v>
      </c>
      <c r="I721" t="str">
        <f>HYPERLINK("https://baanknet.com/view-property/188909/867F2214E5068AE9EE7BC13F17E7BD74E39EB706F6CC537BF68A6616B6B4747A", "Open")</f>
        <v>Open</v>
      </c>
      <c r="J721" t="s">
        <v>20</v>
      </c>
      <c r="K721" t="s">
        <v>21</v>
      </c>
      <c r="L721">
        <v>2351000</v>
      </c>
      <c r="M721">
        <v>235100</v>
      </c>
    </row>
    <row r="722" spans="1:13" x14ac:dyDescent="0.25">
      <c r="A722" t="s">
        <v>2556</v>
      </c>
      <c r="B722" t="s">
        <v>2557</v>
      </c>
      <c r="C722" t="s">
        <v>121</v>
      </c>
      <c r="D722" t="s">
        <v>2531</v>
      </c>
      <c r="E722" t="s">
        <v>654</v>
      </c>
      <c r="F722" t="s">
        <v>334</v>
      </c>
      <c r="G722" t="s">
        <v>2558</v>
      </c>
      <c r="H722" t="str">
        <f>HYPERLINK("https://baanknet.com/view-property/188900/4255E4A4A7DE0AE104CB402F3B148A8BBC636A3BEEA9E0C9A7CA4A97805749F9", "https://baanknet.com/view-property/188900/4255E4A4A7DE0AE104CB402F3B148A8BBC636A3BEEA9E0C9A7CA4A97805749F9")</f>
        <v>https://baanknet.com/view-property/188900/4255E4A4A7DE0AE104CB402F3B148A8BBC636A3BEEA9E0C9A7CA4A97805749F9</v>
      </c>
      <c r="I722" t="str">
        <f>HYPERLINK("https://baanknet.com/view-property/188900/4255E4A4A7DE0AE104CB402F3B148A8BBC636A3BEEA9E0C9A7CA4A97805749F9", "Open")</f>
        <v>Open</v>
      </c>
      <c r="J722" t="s">
        <v>20</v>
      </c>
      <c r="K722" t="s">
        <v>21</v>
      </c>
      <c r="L722">
        <v>6120000</v>
      </c>
      <c r="M722">
        <v>612000</v>
      </c>
    </row>
    <row r="723" spans="1:13" x14ac:dyDescent="0.25">
      <c r="A723" t="s">
        <v>2559</v>
      </c>
      <c r="B723" t="s">
        <v>2560</v>
      </c>
      <c r="C723" t="s">
        <v>121</v>
      </c>
      <c r="D723" t="s">
        <v>2561</v>
      </c>
      <c r="E723" t="s">
        <v>654</v>
      </c>
      <c r="F723" t="s">
        <v>334</v>
      </c>
      <c r="G723" t="s">
        <v>2562</v>
      </c>
      <c r="H723" t="str">
        <f>HYPERLINK("https://baanknet.com/view-property/187741/558812622BE45FBE38983971B66E01E7A054480FD3C5447D89E52227FEF13AB9", "https://baanknet.com/view-property/187741/558812622BE45FBE38983971B66E01E7A054480FD3C5447D89E52227FEF13AB9")</f>
        <v>https://baanknet.com/view-property/187741/558812622BE45FBE38983971B66E01E7A054480FD3C5447D89E52227FEF13AB9</v>
      </c>
      <c r="I723" t="str">
        <f>HYPERLINK("https://baanknet.com/view-property/187741/558812622BE45FBE38983971B66E01E7A054480FD3C5447D89E52227FEF13AB9", "Open")</f>
        <v>Open</v>
      </c>
      <c r="J723" t="s">
        <v>20</v>
      </c>
      <c r="K723" t="s">
        <v>21</v>
      </c>
      <c r="L723">
        <v>3060000</v>
      </c>
      <c r="M723">
        <v>306000</v>
      </c>
    </row>
    <row r="724" spans="1:13" x14ac:dyDescent="0.25">
      <c r="A724" t="s">
        <v>2563</v>
      </c>
      <c r="B724" t="s">
        <v>2564</v>
      </c>
      <c r="C724" t="s">
        <v>121</v>
      </c>
      <c r="D724" t="s">
        <v>2565</v>
      </c>
      <c r="E724" t="s">
        <v>654</v>
      </c>
      <c r="F724" t="s">
        <v>334</v>
      </c>
      <c r="G724" t="s">
        <v>2566</v>
      </c>
      <c r="H724" t="str">
        <f>HYPERLINK("https://baanknet.com/view-property/254106/C46E3247C4312CBD9AE1EEE03265167F019530270B4D5EC216EE11182C582D81", "https://baanknet.com/view-property/254106/C46E3247C4312CBD9AE1EEE03265167F019530270B4D5EC216EE11182C582D81")</f>
        <v>https://baanknet.com/view-property/254106/C46E3247C4312CBD9AE1EEE03265167F019530270B4D5EC216EE11182C582D81</v>
      </c>
      <c r="I724" t="str">
        <f>HYPERLINK("https://baanknet.com/view-property/254106/C46E3247C4312CBD9AE1EEE03265167F019530270B4D5EC216EE11182C582D81", "Open")</f>
        <v>Open</v>
      </c>
      <c r="J724" t="s">
        <v>20</v>
      </c>
      <c r="K724" t="s">
        <v>21</v>
      </c>
      <c r="L724">
        <v>934000</v>
      </c>
      <c r="M724">
        <v>93400</v>
      </c>
    </row>
    <row r="725" spans="1:13" x14ac:dyDescent="0.25">
      <c r="A725" t="s">
        <v>2567</v>
      </c>
      <c r="B725" t="s">
        <v>2568</v>
      </c>
      <c r="C725" t="s">
        <v>121</v>
      </c>
      <c r="D725" t="s">
        <v>2569</v>
      </c>
      <c r="E725" t="s">
        <v>654</v>
      </c>
      <c r="F725" t="s">
        <v>334</v>
      </c>
      <c r="G725" t="s">
        <v>2570</v>
      </c>
      <c r="H725" t="str">
        <f>HYPERLINK("https://baanknet.com/view-property/270618/F693CB79E834C38A77DB2B0E48D23B6BF1D525A957F6531E07EBC21491897655", "https://baanknet.com/view-property/270618/F693CB79E834C38A77DB2B0E48D23B6BF1D525A957F6531E07EBC21491897655")</f>
        <v>https://baanknet.com/view-property/270618/F693CB79E834C38A77DB2B0E48D23B6BF1D525A957F6531E07EBC21491897655</v>
      </c>
      <c r="I725" t="str">
        <f>HYPERLINK("https://baanknet.com/view-property/270618/F693CB79E834C38A77DB2B0E48D23B6BF1D525A957F6531E07EBC21491897655", "Open")</f>
        <v>Open</v>
      </c>
      <c r="J725" t="s">
        <v>20</v>
      </c>
      <c r="K725" t="s">
        <v>21</v>
      </c>
      <c r="L725">
        <v>1507000</v>
      </c>
      <c r="M725">
        <v>150700</v>
      </c>
    </row>
    <row r="726" spans="1:13" x14ac:dyDescent="0.25">
      <c r="A726" t="s">
        <v>2571</v>
      </c>
      <c r="B726" t="s">
        <v>2572</v>
      </c>
      <c r="C726" t="s">
        <v>121</v>
      </c>
      <c r="D726" t="s">
        <v>2573</v>
      </c>
      <c r="E726" t="s">
        <v>654</v>
      </c>
      <c r="F726" t="s">
        <v>334</v>
      </c>
      <c r="G726" t="s">
        <v>2574</v>
      </c>
      <c r="H726" t="str">
        <f>HYPERLINK("https://baanknet.com/view-property/270677/B7284ADEA0F654628430EF02144F1A4003041E25F73323C40EABDF7469D061DA", "https://baanknet.com/view-property/270677/B7284ADEA0F654628430EF02144F1A4003041E25F73323C40EABDF7469D061DA")</f>
        <v>https://baanknet.com/view-property/270677/B7284ADEA0F654628430EF02144F1A4003041E25F73323C40EABDF7469D061DA</v>
      </c>
      <c r="I726" t="str">
        <f>HYPERLINK("https://baanknet.com/view-property/270677/B7284ADEA0F654628430EF02144F1A4003041E25F73323C40EABDF7469D061DA", "Open")</f>
        <v>Open</v>
      </c>
      <c r="J726" t="s">
        <v>20</v>
      </c>
      <c r="K726" t="s">
        <v>21</v>
      </c>
      <c r="L726">
        <v>3443000</v>
      </c>
      <c r="M726">
        <v>344300</v>
      </c>
    </row>
    <row r="727" spans="1:13" x14ac:dyDescent="0.25">
      <c r="A727" t="s">
        <v>2575</v>
      </c>
      <c r="B727" t="s">
        <v>2576</v>
      </c>
      <c r="C727" t="s">
        <v>121</v>
      </c>
      <c r="D727" t="s">
        <v>2577</v>
      </c>
      <c r="E727" t="s">
        <v>654</v>
      </c>
      <c r="F727" t="s">
        <v>334</v>
      </c>
      <c r="G727" t="s">
        <v>2578</v>
      </c>
      <c r="H727" t="str">
        <f>HYPERLINK("https://baanknet.com/view-property/179872/F71C5E3C183B509DB247B953A4A5931E901FCFA37C7669C176BEFDACB0FBBA65", "https://baanknet.com/view-property/179872/F71C5E3C183B509DB247B953A4A5931E901FCFA37C7669C176BEFDACB0FBBA65")</f>
        <v>https://baanknet.com/view-property/179872/F71C5E3C183B509DB247B953A4A5931E901FCFA37C7669C176BEFDACB0FBBA65</v>
      </c>
      <c r="I727" t="str">
        <f>HYPERLINK("https://baanknet.com/view-property/179872/F71C5E3C183B509DB247B953A4A5931E901FCFA37C7669C176BEFDACB0FBBA65", "Open")</f>
        <v>Open</v>
      </c>
      <c r="J727" t="s">
        <v>20</v>
      </c>
      <c r="K727" t="s">
        <v>21</v>
      </c>
      <c r="L727">
        <v>4500000</v>
      </c>
      <c r="M727">
        <v>450000</v>
      </c>
    </row>
    <row r="728" spans="1:13" x14ac:dyDescent="0.25">
      <c r="A728" t="s">
        <v>2579</v>
      </c>
      <c r="B728" t="s">
        <v>2580</v>
      </c>
      <c r="C728" t="s">
        <v>121</v>
      </c>
      <c r="D728" t="s">
        <v>2581</v>
      </c>
      <c r="E728" t="s">
        <v>654</v>
      </c>
      <c r="F728" t="s">
        <v>334</v>
      </c>
      <c r="G728" t="s">
        <v>2582</v>
      </c>
      <c r="H728" t="str">
        <f>HYPERLINK("https://baanknet.com/view-property/233334/603A036D1D0D9D67966F92C93F84726A84F45945261B607B8099A91269FB2077", "https://baanknet.com/view-property/233334/603A036D1D0D9D67966F92C93F84726A84F45945261B607B8099A91269FB2077")</f>
        <v>https://baanknet.com/view-property/233334/603A036D1D0D9D67966F92C93F84726A84F45945261B607B8099A91269FB2077</v>
      </c>
      <c r="I728" t="str">
        <f>HYPERLINK("https://baanknet.com/view-property/233334/603A036D1D0D9D67966F92C93F84726A84F45945261B607B8099A91269FB2077", "Open")</f>
        <v>Open</v>
      </c>
      <c r="J728" t="s">
        <v>20</v>
      </c>
      <c r="K728" t="s">
        <v>21</v>
      </c>
      <c r="L728">
        <v>2952000</v>
      </c>
      <c r="M728">
        <v>295200</v>
      </c>
    </row>
    <row r="729" spans="1:13" x14ac:dyDescent="0.25">
      <c r="A729" t="s">
        <v>2583</v>
      </c>
      <c r="B729" t="s">
        <v>2584</v>
      </c>
      <c r="C729" t="s">
        <v>121</v>
      </c>
      <c r="D729" t="s">
        <v>2585</v>
      </c>
      <c r="E729" t="s">
        <v>654</v>
      </c>
      <c r="F729" t="s">
        <v>334</v>
      </c>
      <c r="G729" t="s">
        <v>2586</v>
      </c>
      <c r="H729" t="str">
        <f>HYPERLINK("https://baanknet.com/view-property/179825/04B894257A8DABB59CF646E45B676A9D7F7C190D8505274B068AADF333DDEF5C", "https://baanknet.com/view-property/179825/04B894257A8DABB59CF646E45B676A9D7F7C190D8505274B068AADF333DDEF5C")</f>
        <v>https://baanknet.com/view-property/179825/04B894257A8DABB59CF646E45B676A9D7F7C190D8505274B068AADF333DDEF5C</v>
      </c>
      <c r="I729" t="str">
        <f>HYPERLINK("https://baanknet.com/view-property/179825/04B894257A8DABB59CF646E45B676A9D7F7C190D8505274B068AADF333DDEF5C", "Open")</f>
        <v>Open</v>
      </c>
      <c r="J729" t="s">
        <v>20</v>
      </c>
      <c r="K729" t="s">
        <v>21</v>
      </c>
      <c r="L729">
        <v>2500000</v>
      </c>
      <c r="M729">
        <v>250000</v>
      </c>
    </row>
    <row r="730" spans="1:13" x14ac:dyDescent="0.25">
      <c r="A730" t="s">
        <v>2587</v>
      </c>
      <c r="B730" t="s">
        <v>2588</v>
      </c>
      <c r="C730" t="s">
        <v>121</v>
      </c>
      <c r="D730" t="s">
        <v>1602</v>
      </c>
      <c r="E730" t="s">
        <v>654</v>
      </c>
      <c r="F730" t="s">
        <v>334</v>
      </c>
      <c r="G730" t="s">
        <v>2589</v>
      </c>
      <c r="H730" t="str">
        <f>HYPERLINK("https://baanknet.com/view-property/176715/4665FA6485B1274284B5D3F0181174024A9135BB5186F791A13A826DAF7B9F5B", "https://baanknet.com/view-property/176715/4665FA6485B1274284B5D3F0181174024A9135BB5186F791A13A826DAF7B9F5B")</f>
        <v>https://baanknet.com/view-property/176715/4665FA6485B1274284B5D3F0181174024A9135BB5186F791A13A826DAF7B9F5B</v>
      </c>
      <c r="I730" t="str">
        <f>HYPERLINK("https://baanknet.com/view-property/176715/4665FA6485B1274284B5D3F0181174024A9135BB5186F791A13A826DAF7B9F5B", "Open")</f>
        <v>Open</v>
      </c>
      <c r="J730" t="s">
        <v>20</v>
      </c>
      <c r="K730" t="s">
        <v>21</v>
      </c>
      <c r="L730">
        <v>7030000</v>
      </c>
      <c r="M730">
        <v>703000</v>
      </c>
    </row>
    <row r="731" spans="1:13" x14ac:dyDescent="0.25">
      <c r="A731" t="s">
        <v>2590</v>
      </c>
      <c r="B731" t="s">
        <v>2591</v>
      </c>
      <c r="C731" t="s">
        <v>121</v>
      </c>
      <c r="D731" t="s">
        <v>2592</v>
      </c>
      <c r="E731" t="s">
        <v>654</v>
      </c>
      <c r="F731" t="s">
        <v>334</v>
      </c>
      <c r="G731" t="s">
        <v>2593</v>
      </c>
      <c r="H731" t="str">
        <f>HYPERLINK("https://baanknet.com/view-property/282329/F11E8C57D8EADA7821A02C7481ECE3353B4A302F6101424A1C3C241A1F907034", "https://baanknet.com/view-property/282329/F11E8C57D8EADA7821A02C7481ECE3353B4A302F6101424A1C3C241A1F907034")</f>
        <v>https://baanknet.com/view-property/282329/F11E8C57D8EADA7821A02C7481ECE3353B4A302F6101424A1C3C241A1F907034</v>
      </c>
      <c r="I731" t="str">
        <f>HYPERLINK("https://baanknet.com/view-property/282329/F11E8C57D8EADA7821A02C7481ECE3353B4A302F6101424A1C3C241A1F907034", "Open")</f>
        <v>Open</v>
      </c>
      <c r="J731" t="s">
        <v>20</v>
      </c>
      <c r="K731" t="s">
        <v>21</v>
      </c>
      <c r="L731">
        <v>2485000</v>
      </c>
      <c r="M731">
        <v>248500</v>
      </c>
    </row>
    <row r="732" spans="1:13" x14ac:dyDescent="0.25">
      <c r="A732" t="s">
        <v>2594</v>
      </c>
      <c r="B732" t="s">
        <v>2595</v>
      </c>
      <c r="C732" t="s">
        <v>121</v>
      </c>
      <c r="D732" t="s">
        <v>32</v>
      </c>
      <c r="E732" t="s">
        <v>654</v>
      </c>
      <c r="F732" t="s">
        <v>334</v>
      </c>
      <c r="G732" t="s">
        <v>2596</v>
      </c>
      <c r="H732" t="str">
        <f>HYPERLINK("https://baanknet.com/view-property/174323/BB74F757DCAD39265E0CC156B9BF23F5D58CB4786A09B473BE0099FAE4AF4729", "https://baanknet.com/view-property/174323/BB74F757DCAD39265E0CC156B9BF23F5D58CB4786A09B473BE0099FAE4AF4729")</f>
        <v>https://baanknet.com/view-property/174323/BB74F757DCAD39265E0CC156B9BF23F5D58CB4786A09B473BE0099FAE4AF4729</v>
      </c>
      <c r="I732" t="str">
        <f>HYPERLINK("https://baanknet.com/view-property/174323/BB74F757DCAD39265E0CC156B9BF23F5D58CB4786A09B473BE0099FAE4AF4729", "Open")</f>
        <v>Open</v>
      </c>
      <c r="J732" t="s">
        <v>20</v>
      </c>
      <c r="K732" t="s">
        <v>21</v>
      </c>
      <c r="L732">
        <v>44221000</v>
      </c>
      <c r="M732">
        <v>4422100</v>
      </c>
    </row>
    <row r="733" spans="1:13" x14ac:dyDescent="0.25">
      <c r="A733" t="s">
        <v>2597</v>
      </c>
      <c r="B733" t="s">
        <v>2598</v>
      </c>
      <c r="C733" t="s">
        <v>121</v>
      </c>
      <c r="D733" t="s">
        <v>1337</v>
      </c>
      <c r="E733" t="s">
        <v>654</v>
      </c>
      <c r="F733" t="s">
        <v>334</v>
      </c>
      <c r="G733" t="s">
        <v>2599</v>
      </c>
      <c r="H733" t="str">
        <f>HYPERLINK("https://baanknet.com/view-property/189423/D0FB96AC5BE6B22F2A9380E6375DAC7878117DC8DBF865E78CCC1B1A5E2DFA6E", "https://baanknet.com/view-property/189423/D0FB96AC5BE6B22F2A9380E6375DAC7878117DC8DBF865E78CCC1B1A5E2DFA6E")</f>
        <v>https://baanknet.com/view-property/189423/D0FB96AC5BE6B22F2A9380E6375DAC7878117DC8DBF865E78CCC1B1A5E2DFA6E</v>
      </c>
      <c r="I733" t="str">
        <f>HYPERLINK("https://baanknet.com/view-property/189423/D0FB96AC5BE6B22F2A9380E6375DAC7878117DC8DBF865E78CCC1B1A5E2DFA6E", "Open")</f>
        <v>Open</v>
      </c>
      <c r="J733" t="s">
        <v>20</v>
      </c>
      <c r="K733" t="s">
        <v>21</v>
      </c>
      <c r="L733">
        <v>1346000</v>
      </c>
      <c r="M733">
        <v>134600</v>
      </c>
    </row>
    <row r="734" spans="1:13" x14ac:dyDescent="0.25">
      <c r="A734" t="s">
        <v>2600</v>
      </c>
      <c r="B734" t="s">
        <v>2601</v>
      </c>
      <c r="C734" t="s">
        <v>121</v>
      </c>
      <c r="D734" t="s">
        <v>32</v>
      </c>
      <c r="E734" t="s">
        <v>654</v>
      </c>
      <c r="F734" t="s">
        <v>334</v>
      </c>
      <c r="G734" t="s">
        <v>2602</v>
      </c>
      <c r="H734" t="str">
        <f>HYPERLINK("https://baanknet.com/view-property/191214/3950847EB657674BACF7B4E987D9A90BFFEF7662AA8B16F1494DEAF17C6E61C6", "https://baanknet.com/view-property/191214/3950847EB657674BACF7B4E987D9A90BFFEF7662AA8B16F1494DEAF17C6E61C6")</f>
        <v>https://baanknet.com/view-property/191214/3950847EB657674BACF7B4E987D9A90BFFEF7662AA8B16F1494DEAF17C6E61C6</v>
      </c>
      <c r="I734" t="str">
        <f>HYPERLINK("https://baanknet.com/view-property/191214/3950847EB657674BACF7B4E987D9A90BFFEF7662AA8B16F1494DEAF17C6E61C6", "Open")</f>
        <v>Open</v>
      </c>
      <c r="J734" t="s">
        <v>20</v>
      </c>
      <c r="K734" t="s">
        <v>21</v>
      </c>
      <c r="L734">
        <v>13220000</v>
      </c>
      <c r="M734">
        <v>1322000</v>
      </c>
    </row>
    <row r="735" spans="1:13" x14ac:dyDescent="0.25">
      <c r="A735" t="s">
        <v>2603</v>
      </c>
      <c r="B735" t="s">
        <v>2604</v>
      </c>
      <c r="C735" t="s">
        <v>121</v>
      </c>
      <c r="D735" t="s">
        <v>1246</v>
      </c>
      <c r="E735" t="s">
        <v>654</v>
      </c>
      <c r="F735" t="s">
        <v>334</v>
      </c>
      <c r="G735" t="s">
        <v>2605</v>
      </c>
      <c r="H735" t="str">
        <f>HYPERLINK("https://baanknet.com/view-property/287349/9A1BF73105877537D6C41A46CDE2ED7F1052EF79D775A1B31C9A1A9097DD6496", "https://baanknet.com/view-property/287349/9A1BF73105877537D6C41A46CDE2ED7F1052EF79D775A1B31C9A1A9097DD6496")</f>
        <v>https://baanknet.com/view-property/287349/9A1BF73105877537D6C41A46CDE2ED7F1052EF79D775A1B31C9A1A9097DD6496</v>
      </c>
      <c r="I735" t="str">
        <f>HYPERLINK("https://baanknet.com/view-property/287349/9A1BF73105877537D6C41A46CDE2ED7F1052EF79D775A1B31C9A1A9097DD6496", "Open")</f>
        <v>Open</v>
      </c>
      <c r="J735" t="s">
        <v>20</v>
      </c>
      <c r="K735" t="s">
        <v>21</v>
      </c>
      <c r="L735">
        <v>5116000</v>
      </c>
      <c r="M735">
        <v>511600</v>
      </c>
    </row>
    <row r="736" spans="1:13" x14ac:dyDescent="0.25">
      <c r="A736" t="s">
        <v>2606</v>
      </c>
      <c r="B736" t="s">
        <v>2607</v>
      </c>
      <c r="C736" t="s">
        <v>121</v>
      </c>
      <c r="D736" t="s">
        <v>2608</v>
      </c>
      <c r="E736" t="s">
        <v>654</v>
      </c>
      <c r="F736" t="s">
        <v>334</v>
      </c>
      <c r="G736" t="s">
        <v>2609</v>
      </c>
      <c r="H736" t="str">
        <f>HYPERLINK("https://baanknet.com/view-property/171834/D3C9B3B3497230F98EC33B0CAE289BBE9B5DD728ABBABD591DF667FE76E90422", "https://baanknet.com/view-property/171834/D3C9B3B3497230F98EC33B0CAE289BBE9B5DD728ABBABD591DF667FE76E90422")</f>
        <v>https://baanknet.com/view-property/171834/D3C9B3B3497230F98EC33B0CAE289BBE9B5DD728ABBABD591DF667FE76E90422</v>
      </c>
      <c r="I736" t="str">
        <f>HYPERLINK("https://baanknet.com/view-property/171834/D3C9B3B3497230F98EC33B0CAE289BBE9B5DD728ABBABD591DF667FE76E90422", "Open")</f>
        <v>Open</v>
      </c>
      <c r="J736" t="s">
        <v>20</v>
      </c>
      <c r="K736" t="s">
        <v>21</v>
      </c>
      <c r="L736">
        <v>1733400</v>
      </c>
      <c r="M736">
        <v>173340</v>
      </c>
    </row>
    <row r="737" spans="1:13" x14ac:dyDescent="0.25">
      <c r="A737" t="s">
        <v>2610</v>
      </c>
      <c r="B737" t="s">
        <v>2611</v>
      </c>
      <c r="C737" t="s">
        <v>121</v>
      </c>
      <c r="D737" t="s">
        <v>2612</v>
      </c>
      <c r="E737" t="s">
        <v>654</v>
      </c>
      <c r="F737" t="s">
        <v>334</v>
      </c>
      <c r="G737" t="s">
        <v>2613</v>
      </c>
      <c r="H737" t="str">
        <f>HYPERLINK("https://baanknet.com/view-property/172079/A824585A422CC3AF2BDA24714522F7215A8EFABB36DC5DE7154CBA6CC9699C4B", "https://baanknet.com/view-property/172079/A824585A422CC3AF2BDA24714522F7215A8EFABB36DC5DE7154CBA6CC9699C4B")</f>
        <v>https://baanknet.com/view-property/172079/A824585A422CC3AF2BDA24714522F7215A8EFABB36DC5DE7154CBA6CC9699C4B</v>
      </c>
      <c r="I737" t="str">
        <f>HYPERLINK("https://baanknet.com/view-property/172079/A824585A422CC3AF2BDA24714522F7215A8EFABB36DC5DE7154CBA6CC9699C4B", "Open")</f>
        <v>Open</v>
      </c>
      <c r="J737" t="s">
        <v>20</v>
      </c>
      <c r="K737" t="s">
        <v>21</v>
      </c>
      <c r="L737">
        <v>2623500</v>
      </c>
      <c r="M737">
        <v>262350</v>
      </c>
    </row>
    <row r="738" spans="1:13" x14ac:dyDescent="0.25">
      <c r="A738" t="s">
        <v>2614</v>
      </c>
      <c r="B738" t="s">
        <v>2615</v>
      </c>
      <c r="C738" t="s">
        <v>121</v>
      </c>
      <c r="D738" t="s">
        <v>2616</v>
      </c>
      <c r="E738" t="s">
        <v>654</v>
      </c>
      <c r="F738" t="s">
        <v>334</v>
      </c>
      <c r="G738" t="s">
        <v>2617</v>
      </c>
      <c r="H738" t="str">
        <f>HYPERLINK("https://baanknet.com/view-property/176365/AF20CEBDB7E7B19EEED2E04573BCC4FBD03091E9641576DA8D24183D5A60C4EF", "https://baanknet.com/view-property/176365/AF20CEBDB7E7B19EEED2E04573BCC4FBD03091E9641576DA8D24183D5A60C4EF")</f>
        <v>https://baanknet.com/view-property/176365/AF20CEBDB7E7B19EEED2E04573BCC4FBD03091E9641576DA8D24183D5A60C4EF</v>
      </c>
      <c r="I738" t="str">
        <f>HYPERLINK("https://baanknet.com/view-property/176365/AF20CEBDB7E7B19EEED2E04573BCC4FBD03091E9641576DA8D24183D5A60C4EF", "Open")</f>
        <v>Open</v>
      </c>
      <c r="J738" t="s">
        <v>20</v>
      </c>
      <c r="K738" t="s">
        <v>21</v>
      </c>
      <c r="L738">
        <v>918900</v>
      </c>
      <c r="M738">
        <v>91890</v>
      </c>
    </row>
    <row r="739" spans="1:13" x14ac:dyDescent="0.25">
      <c r="A739" t="s">
        <v>2618</v>
      </c>
      <c r="B739" t="s">
        <v>2619</v>
      </c>
      <c r="C739" t="s">
        <v>121</v>
      </c>
      <c r="D739" t="s">
        <v>2620</v>
      </c>
      <c r="E739" t="s">
        <v>654</v>
      </c>
      <c r="F739" t="s">
        <v>334</v>
      </c>
      <c r="G739" t="s">
        <v>2621</v>
      </c>
      <c r="H739" t="str">
        <f>HYPERLINK("https://baanknet.com/view-property/187460/0238425512D2FF7A301079065F5BBFD527B6AFA17EFA15B3E30F13DDD59FC6AF", "https://baanknet.com/view-property/187460/0238425512D2FF7A301079065F5BBFD527B6AFA17EFA15B3E30F13DDD59FC6AF")</f>
        <v>https://baanknet.com/view-property/187460/0238425512D2FF7A301079065F5BBFD527B6AFA17EFA15B3E30F13DDD59FC6AF</v>
      </c>
      <c r="I739" t="str">
        <f>HYPERLINK("https://baanknet.com/view-property/187460/0238425512D2FF7A301079065F5BBFD527B6AFA17EFA15B3E30F13DDD59FC6AF", "Open")</f>
        <v>Open</v>
      </c>
      <c r="J739" t="s">
        <v>20</v>
      </c>
      <c r="K739" t="s">
        <v>21</v>
      </c>
      <c r="L739">
        <v>456000</v>
      </c>
      <c r="M739">
        <v>45600</v>
      </c>
    </row>
    <row r="740" spans="1:13" x14ac:dyDescent="0.25">
      <c r="A740" t="s">
        <v>2622</v>
      </c>
      <c r="B740" t="s">
        <v>2623</v>
      </c>
      <c r="C740" t="s">
        <v>121</v>
      </c>
      <c r="D740" t="s">
        <v>2624</v>
      </c>
      <c r="E740" t="s">
        <v>654</v>
      </c>
      <c r="F740" t="s">
        <v>334</v>
      </c>
      <c r="G740" t="s">
        <v>2625</v>
      </c>
      <c r="H740" t="str">
        <f>HYPERLINK("https://baanknet.com/view-property/176195/95105B227BD5F029AAAC66CBE925D09EB03BC93E134C2ED33FB6074F48D94C03", "https://baanknet.com/view-property/176195/95105B227BD5F029AAAC66CBE925D09EB03BC93E134C2ED33FB6074F48D94C03")</f>
        <v>https://baanknet.com/view-property/176195/95105B227BD5F029AAAC66CBE925D09EB03BC93E134C2ED33FB6074F48D94C03</v>
      </c>
      <c r="I740" t="str">
        <f>HYPERLINK("https://baanknet.com/view-property/176195/95105B227BD5F029AAAC66CBE925D09EB03BC93E134C2ED33FB6074F48D94C03", "Open")</f>
        <v>Open</v>
      </c>
      <c r="J740" t="s">
        <v>20</v>
      </c>
      <c r="K740" t="s">
        <v>21</v>
      </c>
      <c r="L740">
        <v>2166000</v>
      </c>
      <c r="M740">
        <v>216600</v>
      </c>
    </row>
    <row r="741" spans="1:13" x14ac:dyDescent="0.25">
      <c r="A741" t="s">
        <v>2626</v>
      </c>
      <c r="B741" t="s">
        <v>2627</v>
      </c>
      <c r="C741" t="s">
        <v>121</v>
      </c>
      <c r="D741" t="s">
        <v>2438</v>
      </c>
      <c r="E741" t="s">
        <v>654</v>
      </c>
      <c r="F741" t="s">
        <v>334</v>
      </c>
      <c r="G741" t="s">
        <v>2628</v>
      </c>
      <c r="H741" t="str">
        <f>HYPERLINK("https://baanknet.com/view-property/176125/085827BEC461903AF61E7A11A6A292ABF03139C2D77E7734F637072735D099FE", "https://baanknet.com/view-property/176125/085827BEC461903AF61E7A11A6A292ABF03139C2D77E7734F637072735D099FE")</f>
        <v>https://baanknet.com/view-property/176125/085827BEC461903AF61E7A11A6A292ABF03139C2D77E7734F637072735D099FE</v>
      </c>
      <c r="I741" t="str">
        <f>HYPERLINK("https://baanknet.com/view-property/176125/085827BEC461903AF61E7A11A6A292ABF03139C2D77E7734F637072735D099FE", "Open")</f>
        <v>Open</v>
      </c>
      <c r="J741" t="s">
        <v>20</v>
      </c>
      <c r="K741" t="s">
        <v>21</v>
      </c>
      <c r="L741">
        <v>3280500</v>
      </c>
      <c r="M741">
        <v>328050</v>
      </c>
    </row>
    <row r="742" spans="1:13" x14ac:dyDescent="0.25">
      <c r="A742" t="s">
        <v>2629</v>
      </c>
      <c r="B742" t="s">
        <v>2630</v>
      </c>
      <c r="C742" t="s">
        <v>121</v>
      </c>
      <c r="D742" t="s">
        <v>2624</v>
      </c>
      <c r="E742" t="s">
        <v>654</v>
      </c>
      <c r="F742" t="s">
        <v>334</v>
      </c>
      <c r="G742" t="s">
        <v>2631</v>
      </c>
      <c r="H742" t="str">
        <f>HYPERLINK("https://baanknet.com/view-property/255368/44ABA90744235DC1AB8B001768078161297A6E8B956EF128E82FB403711BCB57", "https://baanknet.com/view-property/255368/44ABA90744235DC1AB8B001768078161297A6E8B956EF128E82FB403711BCB57")</f>
        <v>https://baanknet.com/view-property/255368/44ABA90744235DC1AB8B001768078161297A6E8B956EF128E82FB403711BCB57</v>
      </c>
      <c r="I742" t="str">
        <f>HYPERLINK("https://baanknet.com/view-property/255368/44ABA90744235DC1AB8B001768078161297A6E8B956EF128E82FB403711BCB57", "Open")</f>
        <v>Open</v>
      </c>
      <c r="J742" t="s">
        <v>20</v>
      </c>
      <c r="K742" t="s">
        <v>21</v>
      </c>
      <c r="L742">
        <v>3925000</v>
      </c>
      <c r="M742">
        <v>392500</v>
      </c>
    </row>
    <row r="743" spans="1:13" x14ac:dyDescent="0.25">
      <c r="A743" t="s">
        <v>2632</v>
      </c>
      <c r="B743" t="s">
        <v>2633</v>
      </c>
      <c r="C743" t="s">
        <v>121</v>
      </c>
      <c r="D743" t="s">
        <v>2380</v>
      </c>
      <c r="E743" t="s">
        <v>654</v>
      </c>
      <c r="F743" t="s">
        <v>334</v>
      </c>
      <c r="G743" t="s">
        <v>2634</v>
      </c>
      <c r="H743" t="str">
        <f>HYPERLINK("https://baanknet.com/view-property/265516/BD26BF0C4E55C10889C4AE3FAB21FF283BFB4EF6BEB00975FB59D1658E7A99AC", "https://baanknet.com/view-property/265516/BD26BF0C4E55C10889C4AE3FAB21FF283BFB4EF6BEB00975FB59D1658E7A99AC")</f>
        <v>https://baanknet.com/view-property/265516/BD26BF0C4E55C10889C4AE3FAB21FF283BFB4EF6BEB00975FB59D1658E7A99AC</v>
      </c>
      <c r="I743" t="str">
        <f>HYPERLINK("https://baanknet.com/view-property/265516/BD26BF0C4E55C10889C4AE3FAB21FF283BFB4EF6BEB00975FB59D1658E7A99AC", "Open")</f>
        <v>Open</v>
      </c>
      <c r="J743" t="s">
        <v>20</v>
      </c>
      <c r="K743" t="s">
        <v>21</v>
      </c>
      <c r="L743">
        <v>3681350</v>
      </c>
      <c r="M743">
        <v>368135</v>
      </c>
    </row>
    <row r="744" spans="1:13" x14ac:dyDescent="0.25">
      <c r="A744" t="s">
        <v>2635</v>
      </c>
      <c r="B744" t="s">
        <v>2636</v>
      </c>
      <c r="C744" t="s">
        <v>121</v>
      </c>
      <c r="D744" t="s">
        <v>2637</v>
      </c>
      <c r="E744" t="s">
        <v>654</v>
      </c>
      <c r="F744" t="s">
        <v>334</v>
      </c>
      <c r="G744" t="s">
        <v>2638</v>
      </c>
      <c r="H744" t="str">
        <f>HYPERLINK("https://baanknet.com/view-property/279972/C1F7D0A62C0E8B1D2D2B7DEB4CDC516890EB7E8F20AD5DC34FA4632455B0880E", "https://baanknet.com/view-property/279972/C1F7D0A62C0E8B1D2D2B7DEB4CDC516890EB7E8F20AD5DC34FA4632455B0880E")</f>
        <v>https://baanknet.com/view-property/279972/C1F7D0A62C0E8B1D2D2B7DEB4CDC516890EB7E8F20AD5DC34FA4632455B0880E</v>
      </c>
      <c r="I744" t="str">
        <f>HYPERLINK("https://baanknet.com/view-property/279972/C1F7D0A62C0E8B1D2D2B7DEB4CDC516890EB7E8F20AD5DC34FA4632455B0880E", "Open")</f>
        <v>Open</v>
      </c>
      <c r="J744" t="s">
        <v>20</v>
      </c>
      <c r="K744" t="s">
        <v>21</v>
      </c>
      <c r="L744">
        <v>14300000</v>
      </c>
      <c r="M744">
        <v>1430000</v>
      </c>
    </row>
    <row r="745" spans="1:13" x14ac:dyDescent="0.25">
      <c r="A745" t="s">
        <v>2639</v>
      </c>
      <c r="B745" t="s">
        <v>2640</v>
      </c>
      <c r="C745" t="s">
        <v>121</v>
      </c>
      <c r="D745" t="s">
        <v>533</v>
      </c>
      <c r="E745" t="s">
        <v>654</v>
      </c>
      <c r="F745" t="s">
        <v>334</v>
      </c>
      <c r="G745" t="s">
        <v>2641</v>
      </c>
      <c r="H745" t="str">
        <f>HYPERLINK("https://baanknet.com/view-property/232187/107225346E1B755ACBB94928C6AEE98C99398046505F8966F62D1AA56ECC7A36", "https://baanknet.com/view-property/232187/107225346E1B755ACBB94928C6AEE98C99398046505F8966F62D1AA56ECC7A36")</f>
        <v>https://baanknet.com/view-property/232187/107225346E1B755ACBB94928C6AEE98C99398046505F8966F62D1AA56ECC7A36</v>
      </c>
      <c r="I745" t="str">
        <f>HYPERLINK("https://baanknet.com/view-property/232187/107225346E1B755ACBB94928C6AEE98C99398046505F8966F62D1AA56ECC7A36", "Open")</f>
        <v>Open</v>
      </c>
      <c r="J745" t="s">
        <v>20</v>
      </c>
      <c r="K745" t="s">
        <v>21</v>
      </c>
      <c r="L745">
        <v>4420000</v>
      </c>
      <c r="M745">
        <v>442000</v>
      </c>
    </row>
    <row r="746" spans="1:13" x14ac:dyDescent="0.25">
      <c r="A746" t="s">
        <v>2642</v>
      </c>
      <c r="B746" t="s">
        <v>2643</v>
      </c>
      <c r="C746" t="s">
        <v>121</v>
      </c>
      <c r="D746" t="s">
        <v>2442</v>
      </c>
      <c r="E746" t="s">
        <v>654</v>
      </c>
      <c r="F746" t="s">
        <v>334</v>
      </c>
      <c r="G746" t="s">
        <v>2644</v>
      </c>
      <c r="H746" t="str">
        <f>HYPERLINK("https://baanknet.com/view-property/258016/8D127E8F28524C89C4B89288D318F7445EADCE7BECE27C8D2FAED6AE0FA83875", "https://baanknet.com/view-property/258016/8D127E8F28524C89C4B89288D318F7445EADCE7BECE27C8D2FAED6AE0FA83875")</f>
        <v>https://baanknet.com/view-property/258016/8D127E8F28524C89C4B89288D318F7445EADCE7BECE27C8D2FAED6AE0FA83875</v>
      </c>
      <c r="I746" t="str">
        <f>HYPERLINK("https://baanknet.com/view-property/258016/8D127E8F28524C89C4B89288D318F7445EADCE7BECE27C8D2FAED6AE0FA83875", "Open")</f>
        <v>Open</v>
      </c>
      <c r="J746" t="s">
        <v>20</v>
      </c>
      <c r="K746" t="s">
        <v>21</v>
      </c>
      <c r="L746">
        <v>422000</v>
      </c>
      <c r="M746">
        <v>42200</v>
      </c>
    </row>
    <row r="747" spans="1:13" x14ac:dyDescent="0.25">
      <c r="A747" t="s">
        <v>2645</v>
      </c>
      <c r="B747" t="s">
        <v>2646</v>
      </c>
      <c r="C747" t="s">
        <v>121</v>
      </c>
      <c r="D747" t="s">
        <v>2442</v>
      </c>
      <c r="E747" t="s">
        <v>654</v>
      </c>
      <c r="F747" t="s">
        <v>334</v>
      </c>
      <c r="G747" t="s">
        <v>2647</v>
      </c>
      <c r="H747" t="str">
        <f>HYPERLINK("https://baanknet.com/view-property/219775/4062A1F233651AA1EBB0A844D15D47145F026AE4B26FCA4A5D77B20D34E299CE", "https://baanknet.com/view-property/219775/4062A1F233651AA1EBB0A844D15D47145F026AE4B26FCA4A5D77B20D34E299CE")</f>
        <v>https://baanknet.com/view-property/219775/4062A1F233651AA1EBB0A844D15D47145F026AE4B26FCA4A5D77B20D34E299CE</v>
      </c>
      <c r="I747" t="str">
        <f>HYPERLINK("https://baanknet.com/view-property/219775/4062A1F233651AA1EBB0A844D15D47145F026AE4B26FCA4A5D77B20D34E299CE", "Open")</f>
        <v>Open</v>
      </c>
      <c r="J747" t="s">
        <v>20</v>
      </c>
      <c r="K747" t="s">
        <v>21</v>
      </c>
      <c r="L747">
        <v>2245700</v>
      </c>
      <c r="M747">
        <v>224570</v>
      </c>
    </row>
    <row r="748" spans="1:13" x14ac:dyDescent="0.25">
      <c r="A748" t="s">
        <v>2648</v>
      </c>
      <c r="B748" t="s">
        <v>2649</v>
      </c>
      <c r="C748" t="s">
        <v>121</v>
      </c>
      <c r="D748" t="s">
        <v>2650</v>
      </c>
      <c r="E748" t="s">
        <v>654</v>
      </c>
      <c r="F748" t="s">
        <v>334</v>
      </c>
      <c r="G748" t="s">
        <v>2651</v>
      </c>
      <c r="H748" t="str">
        <f>HYPERLINK("https://baanknet.com/view-property/214946/8016724A8BF0D2A4E83EBEB59CC9D1C03EBAE6BBEEA99FC9A3A7FAD067613810", "https://baanknet.com/view-property/214946/8016724A8BF0D2A4E83EBEB59CC9D1C03EBAE6BBEEA99FC9A3A7FAD067613810")</f>
        <v>https://baanknet.com/view-property/214946/8016724A8BF0D2A4E83EBEB59CC9D1C03EBAE6BBEEA99FC9A3A7FAD067613810</v>
      </c>
      <c r="I748" t="str">
        <f>HYPERLINK("https://baanknet.com/view-property/214946/8016724A8BF0D2A4E83EBEB59CC9D1C03EBAE6BBEEA99FC9A3A7FAD067613810", "Open")</f>
        <v>Open</v>
      </c>
      <c r="J748" t="s">
        <v>20</v>
      </c>
      <c r="K748" t="s">
        <v>21</v>
      </c>
      <c r="L748">
        <v>647300</v>
      </c>
      <c r="M748">
        <v>64730</v>
      </c>
    </row>
    <row r="749" spans="1:13" x14ac:dyDescent="0.25">
      <c r="A749" t="s">
        <v>2652</v>
      </c>
      <c r="B749" t="s">
        <v>2653</v>
      </c>
      <c r="C749" t="s">
        <v>121</v>
      </c>
      <c r="D749" t="s">
        <v>2654</v>
      </c>
      <c r="E749" t="s">
        <v>654</v>
      </c>
      <c r="F749" t="s">
        <v>334</v>
      </c>
      <c r="G749" t="s">
        <v>2655</v>
      </c>
      <c r="H749" t="str">
        <f>HYPERLINK("https://baanknet.com/view-property/181455/C1A0435F41C6097D14CAE47D204C45C97BBCA895B3E967B4357D4A092AB6CB8F", "https://baanknet.com/view-property/181455/C1A0435F41C6097D14CAE47D204C45C97BBCA895B3E967B4357D4A092AB6CB8F")</f>
        <v>https://baanknet.com/view-property/181455/C1A0435F41C6097D14CAE47D204C45C97BBCA895B3E967B4357D4A092AB6CB8F</v>
      </c>
      <c r="I749" t="str">
        <f>HYPERLINK("https://baanknet.com/view-property/181455/C1A0435F41C6097D14CAE47D204C45C97BBCA895B3E967B4357D4A092AB6CB8F", "Open")</f>
        <v>Open</v>
      </c>
      <c r="J749" t="s">
        <v>20</v>
      </c>
      <c r="K749" t="s">
        <v>21</v>
      </c>
      <c r="L749">
        <v>19300000</v>
      </c>
      <c r="M749">
        <v>1930000</v>
      </c>
    </row>
    <row r="750" spans="1:13" x14ac:dyDescent="0.25">
      <c r="A750" t="s">
        <v>2656</v>
      </c>
      <c r="B750" t="s">
        <v>2657</v>
      </c>
      <c r="C750" t="s">
        <v>121</v>
      </c>
      <c r="D750" t="s">
        <v>2658</v>
      </c>
      <c r="E750" t="s">
        <v>654</v>
      </c>
      <c r="F750" t="s">
        <v>334</v>
      </c>
      <c r="G750" t="s">
        <v>2659</v>
      </c>
      <c r="H750" t="str">
        <f>HYPERLINK("https://baanknet.com/view-property/275126/02655A3010B6973F61AA2A271E4BB31F5CFEB081C03B5D259328EAAED636D31D", "https://baanknet.com/view-property/275126/02655A3010B6973F61AA2A271E4BB31F5CFEB081C03B5D259328EAAED636D31D")</f>
        <v>https://baanknet.com/view-property/275126/02655A3010B6973F61AA2A271E4BB31F5CFEB081C03B5D259328EAAED636D31D</v>
      </c>
      <c r="I750" t="str">
        <f>HYPERLINK("https://baanknet.com/view-property/275126/02655A3010B6973F61AA2A271E4BB31F5CFEB081C03B5D259328EAAED636D31D", "Open")</f>
        <v>Open</v>
      </c>
      <c r="J750" t="s">
        <v>20</v>
      </c>
      <c r="K750" t="s">
        <v>21</v>
      </c>
      <c r="L750">
        <v>2400000</v>
      </c>
      <c r="M750">
        <v>240000</v>
      </c>
    </row>
    <row r="751" spans="1:13" x14ac:dyDescent="0.25">
      <c r="A751" t="s">
        <v>2660</v>
      </c>
      <c r="B751" t="s">
        <v>2661</v>
      </c>
      <c r="C751" t="s">
        <v>121</v>
      </c>
      <c r="D751" t="s">
        <v>2662</v>
      </c>
      <c r="E751" t="s">
        <v>654</v>
      </c>
      <c r="F751" t="s">
        <v>334</v>
      </c>
      <c r="G751" t="s">
        <v>2663</v>
      </c>
      <c r="H751" t="str">
        <f>HYPERLINK("https://baanknet.com/view-property/200659/2EB471E1F010AA714093E5DF0AA27B00C07FB622CA66FB88D1FB3A8EEE542166", "https://baanknet.com/view-property/200659/2EB471E1F010AA714093E5DF0AA27B00C07FB622CA66FB88D1FB3A8EEE542166")</f>
        <v>https://baanknet.com/view-property/200659/2EB471E1F010AA714093E5DF0AA27B00C07FB622CA66FB88D1FB3A8EEE542166</v>
      </c>
      <c r="I751" t="str">
        <f>HYPERLINK("https://baanknet.com/view-property/200659/2EB471E1F010AA714093E5DF0AA27B00C07FB622CA66FB88D1FB3A8EEE542166", "Open")</f>
        <v>Open</v>
      </c>
      <c r="J751" t="s">
        <v>20</v>
      </c>
      <c r="K751" t="s">
        <v>21</v>
      </c>
      <c r="L751">
        <v>1470000</v>
      </c>
      <c r="M751">
        <v>147000</v>
      </c>
    </row>
    <row r="752" spans="1:13" x14ac:dyDescent="0.25">
      <c r="A752" t="s">
        <v>2664</v>
      </c>
      <c r="B752" t="s">
        <v>2665</v>
      </c>
      <c r="C752" t="s">
        <v>121</v>
      </c>
      <c r="D752" t="s">
        <v>2666</v>
      </c>
      <c r="E752" t="s">
        <v>654</v>
      </c>
      <c r="F752" t="s">
        <v>334</v>
      </c>
      <c r="G752" t="s">
        <v>2667</v>
      </c>
      <c r="H752" t="str">
        <f>HYPERLINK("https://baanknet.com/view-property/176308/7FCF6C4D0445FF2AB6F0DE4A5294DC869AB87B97CCE0D10DB36A7D322071C99B", "https://baanknet.com/view-property/176308/7FCF6C4D0445FF2AB6F0DE4A5294DC869AB87B97CCE0D10DB36A7D322071C99B")</f>
        <v>https://baanknet.com/view-property/176308/7FCF6C4D0445FF2AB6F0DE4A5294DC869AB87B97CCE0D10DB36A7D322071C99B</v>
      </c>
      <c r="I752" t="str">
        <f>HYPERLINK("https://baanknet.com/view-property/176308/7FCF6C4D0445FF2AB6F0DE4A5294DC869AB87B97CCE0D10DB36A7D322071C99B", "Open")</f>
        <v>Open</v>
      </c>
      <c r="J752" t="s">
        <v>20</v>
      </c>
      <c r="K752" t="s">
        <v>21</v>
      </c>
      <c r="L752">
        <v>17737000</v>
      </c>
      <c r="M752">
        <v>1773700</v>
      </c>
    </row>
    <row r="753" spans="1:13" x14ac:dyDescent="0.25">
      <c r="A753" t="s">
        <v>2668</v>
      </c>
      <c r="B753" t="s">
        <v>2669</v>
      </c>
      <c r="C753" t="s">
        <v>121</v>
      </c>
      <c r="D753" t="s">
        <v>2670</v>
      </c>
      <c r="E753" t="s">
        <v>654</v>
      </c>
      <c r="F753" t="s">
        <v>334</v>
      </c>
      <c r="G753" t="s">
        <v>2671</v>
      </c>
      <c r="H753" t="str">
        <f>HYPERLINK("https://baanknet.com/view-property/267711/DE2503FC7624C7AB7E8C36BF0E1D6E5DA5A6C39822C197716A551334E4037C2E", "https://baanknet.com/view-property/267711/DE2503FC7624C7AB7E8C36BF0E1D6E5DA5A6C39822C197716A551334E4037C2E")</f>
        <v>https://baanknet.com/view-property/267711/DE2503FC7624C7AB7E8C36BF0E1D6E5DA5A6C39822C197716A551334E4037C2E</v>
      </c>
      <c r="I753" t="str">
        <f>HYPERLINK("https://baanknet.com/view-property/267711/DE2503FC7624C7AB7E8C36BF0E1D6E5DA5A6C39822C197716A551334E4037C2E", "Open")</f>
        <v>Open</v>
      </c>
      <c r="J753" t="s">
        <v>20</v>
      </c>
      <c r="K753" t="s">
        <v>21</v>
      </c>
      <c r="L753">
        <v>2990000</v>
      </c>
      <c r="M753">
        <v>299000</v>
      </c>
    </row>
    <row r="754" spans="1:13" x14ac:dyDescent="0.25">
      <c r="A754" t="s">
        <v>2672</v>
      </c>
      <c r="B754" t="s">
        <v>2673</v>
      </c>
      <c r="C754" t="s">
        <v>121</v>
      </c>
      <c r="D754" t="s">
        <v>2658</v>
      </c>
      <c r="E754" t="s">
        <v>654</v>
      </c>
      <c r="F754" t="s">
        <v>334</v>
      </c>
      <c r="G754" t="s">
        <v>2674</v>
      </c>
      <c r="H754" t="str">
        <f>HYPERLINK("https://baanknet.com/view-property/177816/3F09BABDD7705AEB085AD21E1AEF3549D24F0F5F05E9E0373E665A6303EDADEF", "https://baanknet.com/view-property/177816/3F09BABDD7705AEB085AD21E1AEF3549D24F0F5F05E9E0373E665A6303EDADEF")</f>
        <v>https://baanknet.com/view-property/177816/3F09BABDD7705AEB085AD21E1AEF3549D24F0F5F05E9E0373E665A6303EDADEF</v>
      </c>
      <c r="I754" t="str">
        <f>HYPERLINK("https://baanknet.com/view-property/177816/3F09BABDD7705AEB085AD21E1AEF3549D24F0F5F05E9E0373E665A6303EDADEF", "Open")</f>
        <v>Open</v>
      </c>
      <c r="J754" t="s">
        <v>20</v>
      </c>
      <c r="K754" t="s">
        <v>21</v>
      </c>
      <c r="L754">
        <v>5824000</v>
      </c>
      <c r="M754">
        <v>582400</v>
      </c>
    </row>
    <row r="755" spans="1:13" x14ac:dyDescent="0.25">
      <c r="A755" t="s">
        <v>2675</v>
      </c>
      <c r="B755" t="s">
        <v>2676</v>
      </c>
      <c r="C755" t="s">
        <v>121</v>
      </c>
      <c r="D755" t="s">
        <v>2658</v>
      </c>
      <c r="E755" t="s">
        <v>654</v>
      </c>
      <c r="F755" t="s">
        <v>334</v>
      </c>
      <c r="G755" t="s">
        <v>2677</v>
      </c>
      <c r="H755" t="str">
        <f>HYPERLINK("https://baanknet.com/view-property/214223/551C3F481CFE6E71791DBCA7722AA78BF122C479FEFA6DAD043D50789E1E82C2", "https://baanknet.com/view-property/214223/551C3F481CFE6E71791DBCA7722AA78BF122C479FEFA6DAD043D50789E1E82C2")</f>
        <v>https://baanknet.com/view-property/214223/551C3F481CFE6E71791DBCA7722AA78BF122C479FEFA6DAD043D50789E1E82C2</v>
      </c>
      <c r="I755" t="str">
        <f>HYPERLINK("https://baanknet.com/view-property/214223/551C3F481CFE6E71791DBCA7722AA78BF122C479FEFA6DAD043D50789E1E82C2", "Open")</f>
        <v>Open</v>
      </c>
      <c r="J755" t="s">
        <v>20</v>
      </c>
      <c r="K755" t="s">
        <v>21</v>
      </c>
      <c r="L755">
        <v>3200000</v>
      </c>
      <c r="M755">
        <v>320000</v>
      </c>
    </row>
    <row r="756" spans="1:13" x14ac:dyDescent="0.25">
      <c r="A756" t="s">
        <v>2678</v>
      </c>
      <c r="B756" t="s">
        <v>2679</v>
      </c>
      <c r="C756" t="s">
        <v>121</v>
      </c>
      <c r="D756" t="s">
        <v>2680</v>
      </c>
      <c r="E756" t="s">
        <v>654</v>
      </c>
      <c r="F756" t="s">
        <v>334</v>
      </c>
      <c r="G756" t="s">
        <v>2681</v>
      </c>
      <c r="H756" t="str">
        <f>HYPERLINK("https://baanknet.com/view-property/284926/19E7C097F96C1FA3C9B118800AAC941A25AA6C7762E034E5E4B8501B0FF1C0E4", "https://baanknet.com/view-property/284926/19E7C097F96C1FA3C9B118800AAC941A25AA6C7762E034E5E4B8501B0FF1C0E4")</f>
        <v>https://baanknet.com/view-property/284926/19E7C097F96C1FA3C9B118800AAC941A25AA6C7762E034E5E4B8501B0FF1C0E4</v>
      </c>
      <c r="I756" t="str">
        <f>HYPERLINK("https://baanknet.com/view-property/284926/19E7C097F96C1FA3C9B118800AAC941A25AA6C7762E034E5E4B8501B0FF1C0E4", "Open")</f>
        <v>Open</v>
      </c>
      <c r="J756" t="s">
        <v>20</v>
      </c>
      <c r="K756" t="s">
        <v>21</v>
      </c>
      <c r="L756">
        <v>3000000</v>
      </c>
      <c r="M756">
        <v>300000</v>
      </c>
    </row>
    <row r="757" spans="1:13" x14ac:dyDescent="0.25">
      <c r="A757" t="s">
        <v>2682</v>
      </c>
      <c r="B757" t="s">
        <v>2683</v>
      </c>
      <c r="C757" t="s">
        <v>121</v>
      </c>
      <c r="D757" t="s">
        <v>2684</v>
      </c>
      <c r="E757" t="s">
        <v>654</v>
      </c>
      <c r="F757" t="s">
        <v>334</v>
      </c>
      <c r="G757" t="s">
        <v>2685</v>
      </c>
      <c r="H757" t="str">
        <f>HYPERLINK("https://baanknet.com/view-property/189772/163C051CA6DF86A46798D0BE8B1C4AA22B3DC8C3C7583FD316DD4CC9AA3E54CB", "https://baanknet.com/view-property/189772/163C051CA6DF86A46798D0BE8B1C4AA22B3DC8C3C7583FD316DD4CC9AA3E54CB")</f>
        <v>https://baanknet.com/view-property/189772/163C051CA6DF86A46798D0BE8B1C4AA22B3DC8C3C7583FD316DD4CC9AA3E54CB</v>
      </c>
      <c r="I757" t="str">
        <f>HYPERLINK("https://baanknet.com/view-property/189772/163C051CA6DF86A46798D0BE8B1C4AA22B3DC8C3C7583FD316DD4CC9AA3E54CB", "Open")</f>
        <v>Open</v>
      </c>
      <c r="J757" t="s">
        <v>20</v>
      </c>
      <c r="K757" t="s">
        <v>21</v>
      </c>
      <c r="L757">
        <v>2595000</v>
      </c>
      <c r="M757">
        <v>259500</v>
      </c>
    </row>
    <row r="758" spans="1:13" x14ac:dyDescent="0.25">
      <c r="A758" t="s">
        <v>2686</v>
      </c>
      <c r="B758" t="s">
        <v>2687</v>
      </c>
      <c r="C758" t="s">
        <v>121</v>
      </c>
      <c r="D758" t="s">
        <v>117</v>
      </c>
      <c r="E758" t="s">
        <v>654</v>
      </c>
      <c r="F758" t="s">
        <v>334</v>
      </c>
      <c r="G758" t="s">
        <v>2688</v>
      </c>
      <c r="H758" t="str">
        <f>HYPERLINK("https://baanknet.com/view-property/259031/8201EF50AEA9400676C16D045ED0F1FAA4EF33822A7446B3FCB5AA07E6A114D1", "https://baanknet.com/view-property/259031/8201EF50AEA9400676C16D045ED0F1FAA4EF33822A7446B3FCB5AA07E6A114D1")</f>
        <v>https://baanknet.com/view-property/259031/8201EF50AEA9400676C16D045ED0F1FAA4EF33822A7446B3FCB5AA07E6A114D1</v>
      </c>
      <c r="I758" t="str">
        <f>HYPERLINK("https://baanknet.com/view-property/259031/8201EF50AEA9400676C16D045ED0F1FAA4EF33822A7446B3FCB5AA07E6A114D1", "Open")</f>
        <v>Open</v>
      </c>
      <c r="J758" t="s">
        <v>20</v>
      </c>
      <c r="K758" t="s">
        <v>21</v>
      </c>
      <c r="L758">
        <v>3750000</v>
      </c>
      <c r="M758">
        <v>375000</v>
      </c>
    </row>
    <row r="759" spans="1:13" x14ac:dyDescent="0.25">
      <c r="A759" t="s">
        <v>2689</v>
      </c>
      <c r="B759" t="s">
        <v>2690</v>
      </c>
      <c r="C759" t="s">
        <v>121</v>
      </c>
      <c r="D759" t="s">
        <v>937</v>
      </c>
      <c r="E759" t="s">
        <v>654</v>
      </c>
      <c r="F759" t="s">
        <v>334</v>
      </c>
      <c r="G759" t="s">
        <v>2691</v>
      </c>
      <c r="H759" t="str">
        <f>HYPERLINK("https://baanknet.com/view-property/174027/76C2F6753B803EB7009D82704E334AE272B5AE35A951180D8BCE8D569B5FC002", "https://baanknet.com/view-property/174027/76C2F6753B803EB7009D82704E334AE272B5AE35A951180D8BCE8D569B5FC002")</f>
        <v>https://baanknet.com/view-property/174027/76C2F6753B803EB7009D82704E334AE272B5AE35A951180D8BCE8D569B5FC002</v>
      </c>
      <c r="I759" t="str">
        <f>HYPERLINK("https://baanknet.com/view-property/174027/76C2F6753B803EB7009D82704E334AE272B5AE35A951180D8BCE8D569B5FC002", "Open")</f>
        <v>Open</v>
      </c>
      <c r="J759" t="s">
        <v>20</v>
      </c>
      <c r="K759" t="s">
        <v>21</v>
      </c>
      <c r="L759">
        <v>3051000</v>
      </c>
      <c r="M759">
        <v>305100</v>
      </c>
    </row>
    <row r="760" spans="1:13" x14ac:dyDescent="0.25">
      <c r="A760" t="s">
        <v>2692</v>
      </c>
      <c r="B760" t="s">
        <v>2693</v>
      </c>
      <c r="C760" t="s">
        <v>121</v>
      </c>
      <c r="D760" t="s">
        <v>149</v>
      </c>
      <c r="E760" t="s">
        <v>654</v>
      </c>
      <c r="F760" t="s">
        <v>334</v>
      </c>
      <c r="G760" t="s">
        <v>2694</v>
      </c>
      <c r="H760" t="str">
        <f>HYPERLINK("https://baanknet.com/view-property/248503/B0C39341F93C54F271DCAB7C7C9BC8C71DA8E5085741EB1AD19CFA7856EF756B", "https://baanknet.com/view-property/248503/B0C39341F93C54F271DCAB7C7C9BC8C71DA8E5085741EB1AD19CFA7856EF756B")</f>
        <v>https://baanknet.com/view-property/248503/B0C39341F93C54F271DCAB7C7C9BC8C71DA8E5085741EB1AD19CFA7856EF756B</v>
      </c>
      <c r="I760" t="str">
        <f>HYPERLINK("https://baanknet.com/view-property/248503/B0C39341F93C54F271DCAB7C7C9BC8C71DA8E5085741EB1AD19CFA7856EF756B", "Open")</f>
        <v>Open</v>
      </c>
      <c r="J760" t="s">
        <v>20</v>
      </c>
      <c r="K760" t="s">
        <v>21</v>
      </c>
      <c r="L760">
        <v>10440000</v>
      </c>
      <c r="M760">
        <v>1044000</v>
      </c>
    </row>
    <row r="761" spans="1:13" x14ac:dyDescent="0.25">
      <c r="A761" t="s">
        <v>2695</v>
      </c>
      <c r="B761" t="s">
        <v>2696</v>
      </c>
      <c r="C761" t="s">
        <v>121</v>
      </c>
      <c r="D761" t="s">
        <v>2662</v>
      </c>
      <c r="E761" t="s">
        <v>654</v>
      </c>
      <c r="F761" t="s">
        <v>334</v>
      </c>
      <c r="G761" t="s">
        <v>2697</v>
      </c>
      <c r="H761" t="str">
        <f>HYPERLINK("https://baanknet.com/view-property/177860/64C6689B8BA2DC76A5EF87D3240C74D62E146AB4BE3DC6A5ACC326A348B3FAB6", "https://baanknet.com/view-property/177860/64C6689B8BA2DC76A5EF87D3240C74D62E146AB4BE3DC6A5ACC326A348B3FAB6")</f>
        <v>https://baanknet.com/view-property/177860/64C6689B8BA2DC76A5EF87D3240C74D62E146AB4BE3DC6A5ACC326A348B3FAB6</v>
      </c>
      <c r="I761" t="str">
        <f>HYPERLINK("https://baanknet.com/view-property/177860/64C6689B8BA2DC76A5EF87D3240C74D62E146AB4BE3DC6A5ACC326A348B3FAB6", "Open")</f>
        <v>Open</v>
      </c>
      <c r="J761" t="s">
        <v>20</v>
      </c>
      <c r="K761" t="s">
        <v>21</v>
      </c>
      <c r="L761">
        <v>1839000</v>
      </c>
      <c r="M761">
        <v>183900</v>
      </c>
    </row>
    <row r="762" spans="1:13" x14ac:dyDescent="0.25">
      <c r="A762" t="s">
        <v>2698</v>
      </c>
      <c r="B762" t="s">
        <v>2699</v>
      </c>
      <c r="C762" t="s">
        <v>121</v>
      </c>
      <c r="D762" t="s">
        <v>2658</v>
      </c>
      <c r="E762" t="s">
        <v>654</v>
      </c>
      <c r="F762" t="s">
        <v>334</v>
      </c>
      <c r="G762" t="s">
        <v>2700</v>
      </c>
      <c r="H762" t="str">
        <f>HYPERLINK("https://baanknet.com/view-property/177771/CD0EA06CFF0E5D9EAF7FF91F059E650759D5CE2B15E3AF44792148B1DF9CC67E", "https://baanknet.com/view-property/177771/CD0EA06CFF0E5D9EAF7FF91F059E650759D5CE2B15E3AF44792148B1DF9CC67E")</f>
        <v>https://baanknet.com/view-property/177771/CD0EA06CFF0E5D9EAF7FF91F059E650759D5CE2B15E3AF44792148B1DF9CC67E</v>
      </c>
      <c r="I762" t="str">
        <f>HYPERLINK("https://baanknet.com/view-property/177771/CD0EA06CFF0E5D9EAF7FF91F059E650759D5CE2B15E3AF44792148B1DF9CC67E", "Open")</f>
        <v>Open</v>
      </c>
      <c r="J762" t="s">
        <v>20</v>
      </c>
      <c r="K762" t="s">
        <v>21</v>
      </c>
      <c r="L762">
        <v>824500</v>
      </c>
      <c r="M762">
        <v>82450</v>
      </c>
    </row>
    <row r="763" spans="1:13" x14ac:dyDescent="0.25">
      <c r="A763" t="s">
        <v>2701</v>
      </c>
      <c r="B763" t="s">
        <v>2702</v>
      </c>
      <c r="C763" t="s">
        <v>121</v>
      </c>
      <c r="D763" t="s">
        <v>2658</v>
      </c>
      <c r="E763" t="s">
        <v>654</v>
      </c>
      <c r="F763" t="s">
        <v>334</v>
      </c>
      <c r="G763" t="s">
        <v>2703</v>
      </c>
      <c r="H763" t="str">
        <f>HYPERLINK("https://baanknet.com/view-property/177826/3969D0E9EE83E6C38BD457A6A534B04234BB5B708158819C0589C3D8123C681D", "https://baanknet.com/view-property/177826/3969D0E9EE83E6C38BD457A6A534B04234BB5B708158819C0589C3D8123C681D")</f>
        <v>https://baanknet.com/view-property/177826/3969D0E9EE83E6C38BD457A6A534B04234BB5B708158819C0589C3D8123C681D</v>
      </c>
      <c r="I763" t="str">
        <f>HYPERLINK("https://baanknet.com/view-property/177826/3969D0E9EE83E6C38BD457A6A534B04234BB5B708158819C0589C3D8123C681D", "Open")</f>
        <v>Open</v>
      </c>
      <c r="J763" t="s">
        <v>20</v>
      </c>
      <c r="K763" t="s">
        <v>21</v>
      </c>
      <c r="L763">
        <v>3585000</v>
      </c>
      <c r="M763">
        <v>358500</v>
      </c>
    </row>
    <row r="764" spans="1:13" x14ac:dyDescent="0.25">
      <c r="A764" t="s">
        <v>2704</v>
      </c>
      <c r="B764" t="s">
        <v>2705</v>
      </c>
      <c r="C764" t="s">
        <v>121</v>
      </c>
      <c r="D764" t="s">
        <v>2658</v>
      </c>
      <c r="E764" t="s">
        <v>654</v>
      </c>
      <c r="F764" t="s">
        <v>334</v>
      </c>
      <c r="G764" t="s">
        <v>2706</v>
      </c>
      <c r="H764" t="str">
        <f>HYPERLINK("https://baanknet.com/view-property/177836/B96AE1085D0014F0878A0D48033AEB5D054043F109F182461B6FD65F9C4BB731", "https://baanknet.com/view-property/177836/B96AE1085D0014F0878A0D48033AEB5D054043F109F182461B6FD65F9C4BB731")</f>
        <v>https://baanknet.com/view-property/177836/B96AE1085D0014F0878A0D48033AEB5D054043F109F182461B6FD65F9C4BB731</v>
      </c>
      <c r="I764" t="str">
        <f>HYPERLINK("https://baanknet.com/view-property/177836/B96AE1085D0014F0878A0D48033AEB5D054043F109F182461B6FD65F9C4BB731", "Open")</f>
        <v>Open</v>
      </c>
      <c r="J764" t="s">
        <v>20</v>
      </c>
      <c r="K764" t="s">
        <v>21</v>
      </c>
      <c r="L764">
        <v>2100000</v>
      </c>
      <c r="M764">
        <v>210000</v>
      </c>
    </row>
    <row r="765" spans="1:13" x14ac:dyDescent="0.25">
      <c r="A765" t="s">
        <v>2707</v>
      </c>
      <c r="B765" t="s">
        <v>2708</v>
      </c>
      <c r="C765" t="s">
        <v>121</v>
      </c>
      <c r="D765" t="s">
        <v>2658</v>
      </c>
      <c r="E765" t="s">
        <v>654</v>
      </c>
      <c r="F765" t="s">
        <v>334</v>
      </c>
      <c r="G765" t="s">
        <v>2709</v>
      </c>
      <c r="H765" t="str">
        <f>HYPERLINK("https://baanknet.com/view-property/177781/2FDD9D0397B2053647DAFB2A4C37379E1E8756B6C583EEC19688B778A5258EDB", "https://baanknet.com/view-property/177781/2FDD9D0397B2053647DAFB2A4C37379E1E8756B6C583EEC19688B778A5258EDB")</f>
        <v>https://baanknet.com/view-property/177781/2FDD9D0397B2053647DAFB2A4C37379E1E8756B6C583EEC19688B778A5258EDB</v>
      </c>
      <c r="I765" t="str">
        <f>HYPERLINK("https://baanknet.com/view-property/177781/2FDD9D0397B2053647DAFB2A4C37379E1E8756B6C583EEC19688B778A5258EDB", "Open")</f>
        <v>Open</v>
      </c>
      <c r="J765" t="s">
        <v>20</v>
      </c>
      <c r="K765" t="s">
        <v>21</v>
      </c>
      <c r="L765">
        <v>938000</v>
      </c>
      <c r="M765">
        <v>93800</v>
      </c>
    </row>
    <row r="766" spans="1:13" x14ac:dyDescent="0.25">
      <c r="A766" t="s">
        <v>2710</v>
      </c>
      <c r="B766" t="s">
        <v>2711</v>
      </c>
      <c r="C766" t="s">
        <v>121</v>
      </c>
      <c r="D766" t="s">
        <v>2658</v>
      </c>
      <c r="E766" t="s">
        <v>654</v>
      </c>
      <c r="F766" t="s">
        <v>334</v>
      </c>
      <c r="G766" t="s">
        <v>2712</v>
      </c>
      <c r="H766" t="str">
        <f>HYPERLINK("https://baanknet.com/view-property/184236/7E321006091B54AECB952549130E741DFB40755E5B9A2F2550B896134348659F", "https://baanknet.com/view-property/184236/7E321006091B54AECB952549130E741DFB40755E5B9A2F2550B896134348659F")</f>
        <v>https://baanknet.com/view-property/184236/7E321006091B54AECB952549130E741DFB40755E5B9A2F2550B896134348659F</v>
      </c>
      <c r="I766" t="str">
        <f>HYPERLINK("https://baanknet.com/view-property/184236/7E321006091B54AECB952549130E741DFB40755E5B9A2F2550B896134348659F", "Open")</f>
        <v>Open</v>
      </c>
      <c r="J766" t="s">
        <v>20</v>
      </c>
      <c r="K766" t="s">
        <v>21</v>
      </c>
      <c r="L766">
        <v>3495000</v>
      </c>
      <c r="M766">
        <v>349500</v>
      </c>
    </row>
    <row r="767" spans="1:13" x14ac:dyDescent="0.25">
      <c r="A767" t="s">
        <v>2713</v>
      </c>
      <c r="B767" t="s">
        <v>2714</v>
      </c>
      <c r="C767" t="s">
        <v>121</v>
      </c>
      <c r="D767" t="s">
        <v>2658</v>
      </c>
      <c r="E767" t="s">
        <v>654</v>
      </c>
      <c r="F767" t="s">
        <v>334</v>
      </c>
      <c r="G767" t="s">
        <v>2715</v>
      </c>
      <c r="H767" t="str">
        <f>HYPERLINK("https://baanknet.com/view-property/177829/2C9A2DB7177137E82FA0509B5CFD35910FB33DA494358CC0F9AC64D3C558C1EF", "https://baanknet.com/view-property/177829/2C9A2DB7177137E82FA0509B5CFD35910FB33DA494358CC0F9AC64D3C558C1EF")</f>
        <v>https://baanknet.com/view-property/177829/2C9A2DB7177137E82FA0509B5CFD35910FB33DA494358CC0F9AC64D3C558C1EF</v>
      </c>
      <c r="I767" t="str">
        <f>HYPERLINK("https://baanknet.com/view-property/177829/2C9A2DB7177137E82FA0509B5CFD35910FB33DA494358CC0F9AC64D3C558C1EF", "Open")</f>
        <v>Open</v>
      </c>
      <c r="J767" t="s">
        <v>20</v>
      </c>
      <c r="K767" t="s">
        <v>21</v>
      </c>
      <c r="L767">
        <v>2000000</v>
      </c>
      <c r="M767">
        <v>200000</v>
      </c>
    </row>
    <row r="768" spans="1:13" x14ac:dyDescent="0.25">
      <c r="A768" t="s">
        <v>2716</v>
      </c>
      <c r="B768" t="s">
        <v>2717</v>
      </c>
      <c r="C768" t="s">
        <v>121</v>
      </c>
      <c r="D768" t="s">
        <v>2718</v>
      </c>
      <c r="E768" t="s">
        <v>654</v>
      </c>
      <c r="F768" t="s">
        <v>334</v>
      </c>
      <c r="G768" t="s">
        <v>2719</v>
      </c>
      <c r="H768" t="str">
        <f>HYPERLINK("https://baanknet.com/view-property/177872/10528F7CA6B1C8B2ED8687CE7BA958803C0371CAFEF1EC5739F32C40121467E6", "https://baanknet.com/view-property/177872/10528F7CA6B1C8B2ED8687CE7BA958803C0371CAFEF1EC5739F32C40121467E6")</f>
        <v>https://baanknet.com/view-property/177872/10528F7CA6B1C8B2ED8687CE7BA958803C0371CAFEF1EC5739F32C40121467E6</v>
      </c>
      <c r="I768" t="str">
        <f>HYPERLINK("https://baanknet.com/view-property/177872/10528F7CA6B1C8B2ED8687CE7BA958803C0371CAFEF1EC5739F32C40121467E6", "Open")</f>
        <v>Open</v>
      </c>
      <c r="J768" t="s">
        <v>20</v>
      </c>
      <c r="K768" t="s">
        <v>21</v>
      </c>
      <c r="L768">
        <v>915300</v>
      </c>
      <c r="M768">
        <v>91530</v>
      </c>
    </row>
    <row r="769" spans="1:13" x14ac:dyDescent="0.25">
      <c r="A769" t="s">
        <v>2720</v>
      </c>
      <c r="B769" t="s">
        <v>2721</v>
      </c>
      <c r="C769" t="s">
        <v>121</v>
      </c>
      <c r="D769" t="s">
        <v>2722</v>
      </c>
      <c r="E769" t="s">
        <v>654</v>
      </c>
      <c r="F769" t="s">
        <v>334</v>
      </c>
      <c r="G769" t="s">
        <v>2723</v>
      </c>
      <c r="H769" t="str">
        <f>HYPERLINK("https://baanknet.com/view-property/190254/1A45538B80FB53AC3363F8A8A04E4901125D6D5B7258E652EF84D562121299D1", "https://baanknet.com/view-property/190254/1A45538B80FB53AC3363F8A8A04E4901125D6D5B7258E652EF84D562121299D1")</f>
        <v>https://baanknet.com/view-property/190254/1A45538B80FB53AC3363F8A8A04E4901125D6D5B7258E652EF84D562121299D1</v>
      </c>
      <c r="I769" t="str">
        <f>HYPERLINK("https://baanknet.com/view-property/190254/1A45538B80FB53AC3363F8A8A04E4901125D6D5B7258E652EF84D562121299D1", "Open")</f>
        <v>Open</v>
      </c>
      <c r="J769" t="s">
        <v>20</v>
      </c>
      <c r="K769" t="s">
        <v>21</v>
      </c>
      <c r="L769">
        <v>1460700</v>
      </c>
      <c r="M769">
        <v>146070</v>
      </c>
    </row>
    <row r="770" spans="1:13" x14ac:dyDescent="0.25">
      <c r="A770" t="s">
        <v>2724</v>
      </c>
      <c r="B770" t="s">
        <v>2725</v>
      </c>
      <c r="C770" t="s">
        <v>121</v>
      </c>
      <c r="D770" t="s">
        <v>2722</v>
      </c>
      <c r="E770" t="s">
        <v>654</v>
      </c>
      <c r="F770" t="s">
        <v>334</v>
      </c>
      <c r="G770" t="s">
        <v>2726</v>
      </c>
      <c r="H770" t="str">
        <f>HYPERLINK("https://baanknet.com/view-property/219280/394C942F57E733E97B44AB9EE967020020856220AB917DFEB7AB6BCC6D2803C0", "https://baanknet.com/view-property/219280/394C942F57E733E97B44AB9EE967020020856220AB917DFEB7AB6BCC6D2803C0")</f>
        <v>https://baanknet.com/view-property/219280/394C942F57E733E97B44AB9EE967020020856220AB917DFEB7AB6BCC6D2803C0</v>
      </c>
      <c r="I770" t="str">
        <f>HYPERLINK("https://baanknet.com/view-property/219280/394C942F57E733E97B44AB9EE967020020856220AB917DFEB7AB6BCC6D2803C0", "Open")</f>
        <v>Open</v>
      </c>
      <c r="J770" t="s">
        <v>20</v>
      </c>
      <c r="K770" t="s">
        <v>21</v>
      </c>
      <c r="L770">
        <v>4680000</v>
      </c>
      <c r="M770">
        <v>468000</v>
      </c>
    </row>
    <row r="771" spans="1:13" x14ac:dyDescent="0.25">
      <c r="A771" t="s">
        <v>2727</v>
      </c>
      <c r="B771" t="s">
        <v>2728</v>
      </c>
      <c r="C771" t="s">
        <v>387</v>
      </c>
      <c r="D771" t="s">
        <v>2729</v>
      </c>
      <c r="E771" t="s">
        <v>654</v>
      </c>
      <c r="F771" t="s">
        <v>334</v>
      </c>
      <c r="G771" t="s">
        <v>2730</v>
      </c>
      <c r="H771" t="str">
        <f>HYPERLINK("https://baanknet.com/view-property/257852/CBFECF393301253B8CCAEC19DF491B3B662A58583622E18A86FA4D137EAF5A13", "https://baanknet.com/view-property/257852/CBFECF393301253B8CCAEC19DF491B3B662A58583622E18A86FA4D137EAF5A13")</f>
        <v>https://baanknet.com/view-property/257852/CBFECF393301253B8CCAEC19DF491B3B662A58583622E18A86FA4D137EAF5A13</v>
      </c>
      <c r="I771" t="str">
        <f>HYPERLINK("https://baanknet.com/view-property/257852/CBFECF393301253B8CCAEC19DF491B3B662A58583622E18A86FA4D137EAF5A13", "Open")</f>
        <v>Open</v>
      </c>
      <c r="J771" t="s">
        <v>20</v>
      </c>
      <c r="K771" t="s">
        <v>21</v>
      </c>
      <c r="L771">
        <v>10100000</v>
      </c>
      <c r="M771">
        <v>1010000</v>
      </c>
    </row>
    <row r="772" spans="1:13" x14ac:dyDescent="0.25">
      <c r="A772" t="s">
        <v>2731</v>
      </c>
      <c r="B772" t="s">
        <v>2732</v>
      </c>
      <c r="C772" t="s">
        <v>121</v>
      </c>
      <c r="D772" t="s">
        <v>2658</v>
      </c>
      <c r="E772" t="s">
        <v>654</v>
      </c>
      <c r="F772" t="s">
        <v>334</v>
      </c>
      <c r="G772" t="s">
        <v>2733</v>
      </c>
      <c r="H772" t="str">
        <f>HYPERLINK("https://baanknet.com/view-property/177861/F004C1784881F3B018D775F9C0147A5C09930AFB5D8965EB660554C320762AA5", "https://baanknet.com/view-property/177861/F004C1784881F3B018D775F9C0147A5C09930AFB5D8965EB660554C320762AA5")</f>
        <v>https://baanknet.com/view-property/177861/F004C1784881F3B018D775F9C0147A5C09930AFB5D8965EB660554C320762AA5</v>
      </c>
      <c r="I772" t="str">
        <f>HYPERLINK("https://baanknet.com/view-property/177861/F004C1784881F3B018D775F9C0147A5C09930AFB5D8965EB660554C320762AA5", "Open")</f>
        <v>Open</v>
      </c>
      <c r="J772" t="s">
        <v>20</v>
      </c>
      <c r="K772" t="s">
        <v>21</v>
      </c>
      <c r="L772">
        <v>2014000</v>
      </c>
      <c r="M772">
        <v>201400</v>
      </c>
    </row>
    <row r="773" spans="1:13" x14ac:dyDescent="0.25">
      <c r="A773" t="s">
        <v>2734</v>
      </c>
      <c r="B773" t="s">
        <v>2735</v>
      </c>
      <c r="C773" t="s">
        <v>387</v>
      </c>
      <c r="D773" t="s">
        <v>2729</v>
      </c>
      <c r="E773" t="s">
        <v>654</v>
      </c>
      <c r="F773" t="s">
        <v>334</v>
      </c>
      <c r="G773" t="s">
        <v>2736</v>
      </c>
      <c r="H773" t="str">
        <f>HYPERLINK("https://baanknet.com/view-property/272332/A09D4F63303D044B57CE4DC19DDE55FC9B72FBD44BA787945035C0509A43AA1C", "https://baanknet.com/view-property/272332/A09D4F63303D044B57CE4DC19DDE55FC9B72FBD44BA787945035C0509A43AA1C")</f>
        <v>https://baanknet.com/view-property/272332/A09D4F63303D044B57CE4DC19DDE55FC9B72FBD44BA787945035C0509A43AA1C</v>
      </c>
      <c r="I773" t="str">
        <f>HYPERLINK("https://baanknet.com/view-property/272332/A09D4F63303D044B57CE4DC19DDE55FC9B72FBD44BA787945035C0509A43AA1C", "Open")</f>
        <v>Open</v>
      </c>
      <c r="J773" t="s">
        <v>20</v>
      </c>
      <c r="K773" t="s">
        <v>21</v>
      </c>
      <c r="L773">
        <v>1488000</v>
      </c>
      <c r="M773">
        <v>148800</v>
      </c>
    </row>
    <row r="774" spans="1:13" x14ac:dyDescent="0.25">
      <c r="A774" t="s">
        <v>2737</v>
      </c>
      <c r="B774" t="s">
        <v>2738</v>
      </c>
      <c r="C774" t="s">
        <v>387</v>
      </c>
      <c r="D774" t="s">
        <v>1463</v>
      </c>
      <c r="E774" t="s">
        <v>654</v>
      </c>
      <c r="F774" t="s">
        <v>334</v>
      </c>
      <c r="G774" t="s">
        <v>2739</v>
      </c>
      <c r="H774" t="str">
        <f>HYPERLINK("https://baanknet.com/view-property/257879/4C0E86A6209BF8E085E630599200CDA149CC095CCE8A98659B9E4F46E17E7FA1", "https://baanknet.com/view-property/257879/4C0E86A6209BF8E085E630599200CDA149CC095CCE8A98659B9E4F46E17E7FA1")</f>
        <v>https://baanknet.com/view-property/257879/4C0E86A6209BF8E085E630599200CDA149CC095CCE8A98659B9E4F46E17E7FA1</v>
      </c>
      <c r="I774" t="str">
        <f>HYPERLINK("https://baanknet.com/view-property/257879/4C0E86A6209BF8E085E630599200CDA149CC095CCE8A98659B9E4F46E17E7FA1", "Open")</f>
        <v>Open</v>
      </c>
      <c r="J774" t="s">
        <v>20</v>
      </c>
      <c r="K774" t="s">
        <v>21</v>
      </c>
      <c r="L774">
        <v>2230000</v>
      </c>
      <c r="M774">
        <v>223000</v>
      </c>
    </row>
    <row r="775" spans="1:13" x14ac:dyDescent="0.25">
      <c r="A775" t="s">
        <v>2740</v>
      </c>
      <c r="B775" t="s">
        <v>2741</v>
      </c>
      <c r="C775" t="s">
        <v>387</v>
      </c>
      <c r="D775" t="s">
        <v>2742</v>
      </c>
      <c r="E775" t="s">
        <v>654</v>
      </c>
      <c r="F775" t="s">
        <v>334</v>
      </c>
      <c r="G775" t="s">
        <v>2743</v>
      </c>
      <c r="H775" t="str">
        <f>HYPERLINK("https://baanknet.com/view-property/187401/D54A2F9B492DF97C3443E56A1F834D3D7E721082FFA791D78811BB759FA447A2", "https://baanknet.com/view-property/187401/D54A2F9B492DF97C3443E56A1F834D3D7E721082FFA791D78811BB759FA447A2")</f>
        <v>https://baanknet.com/view-property/187401/D54A2F9B492DF97C3443E56A1F834D3D7E721082FFA791D78811BB759FA447A2</v>
      </c>
      <c r="I775" t="str">
        <f>HYPERLINK("https://baanknet.com/view-property/187401/D54A2F9B492DF97C3443E56A1F834D3D7E721082FFA791D78811BB759FA447A2", "Open")</f>
        <v>Open</v>
      </c>
      <c r="J775" t="s">
        <v>20</v>
      </c>
      <c r="K775" t="s">
        <v>21</v>
      </c>
      <c r="L775">
        <v>3010000</v>
      </c>
      <c r="M775">
        <v>301000</v>
      </c>
    </row>
    <row r="776" spans="1:13" x14ac:dyDescent="0.25">
      <c r="A776" t="s">
        <v>2744</v>
      </c>
      <c r="B776" t="s">
        <v>2745</v>
      </c>
      <c r="C776" t="s">
        <v>387</v>
      </c>
      <c r="D776" t="s">
        <v>2746</v>
      </c>
      <c r="E776" t="s">
        <v>654</v>
      </c>
      <c r="F776" t="s">
        <v>334</v>
      </c>
      <c r="G776" t="s">
        <v>2747</v>
      </c>
      <c r="H776" t="str">
        <f>HYPERLINK("https://baanknet.com/view-property/253966/5BA15967B90E031BBC3B3580BD111ECE95FDDCA5614E30047F47D3CCC5DB6187", "https://baanknet.com/view-property/253966/5BA15967B90E031BBC3B3580BD111ECE95FDDCA5614E30047F47D3CCC5DB6187")</f>
        <v>https://baanknet.com/view-property/253966/5BA15967B90E031BBC3B3580BD111ECE95FDDCA5614E30047F47D3CCC5DB6187</v>
      </c>
      <c r="I776" t="str">
        <f>HYPERLINK("https://baanknet.com/view-property/253966/5BA15967B90E031BBC3B3580BD111ECE95FDDCA5614E30047F47D3CCC5DB6187", "Open")</f>
        <v>Open</v>
      </c>
      <c r="J776" t="s">
        <v>20</v>
      </c>
      <c r="K776" t="s">
        <v>21</v>
      </c>
      <c r="L776">
        <v>1753000</v>
      </c>
      <c r="M776">
        <v>175300</v>
      </c>
    </row>
    <row r="777" spans="1:13" x14ac:dyDescent="0.25">
      <c r="A777" t="s">
        <v>2748</v>
      </c>
      <c r="B777" t="s">
        <v>2749</v>
      </c>
      <c r="C777" t="s">
        <v>121</v>
      </c>
      <c r="D777" t="s">
        <v>2341</v>
      </c>
      <c r="E777" t="s">
        <v>654</v>
      </c>
      <c r="F777" t="s">
        <v>334</v>
      </c>
      <c r="G777" t="s">
        <v>2750</v>
      </c>
      <c r="H777" t="str">
        <f>HYPERLINK("https://baanknet.com/view-property/226970/850F6AA6C709899B1E2953349AB494B955AD16A501BCCA321DFA2EEAAC731011", "https://baanknet.com/view-property/226970/850F6AA6C709899B1E2953349AB494B955AD16A501BCCA321DFA2EEAAC731011")</f>
        <v>https://baanknet.com/view-property/226970/850F6AA6C709899B1E2953349AB494B955AD16A501BCCA321DFA2EEAAC731011</v>
      </c>
      <c r="I777" t="str">
        <f>HYPERLINK("https://baanknet.com/view-property/226970/850F6AA6C709899B1E2953349AB494B955AD16A501BCCA321DFA2EEAAC731011", "Open")</f>
        <v>Open</v>
      </c>
      <c r="J777" t="s">
        <v>20</v>
      </c>
      <c r="K777" t="s">
        <v>21</v>
      </c>
      <c r="L777">
        <v>2150000</v>
      </c>
      <c r="M777">
        <v>215000</v>
      </c>
    </row>
    <row r="778" spans="1:13" x14ac:dyDescent="0.25">
      <c r="A778" t="s">
        <v>2751</v>
      </c>
      <c r="B778" t="s">
        <v>2752</v>
      </c>
      <c r="C778" t="s">
        <v>121</v>
      </c>
      <c r="D778" t="s">
        <v>1839</v>
      </c>
      <c r="E778" t="s">
        <v>654</v>
      </c>
      <c r="F778" t="s">
        <v>334</v>
      </c>
      <c r="G778" t="s">
        <v>2753</v>
      </c>
      <c r="H778" t="str">
        <f>HYPERLINK("https://baanknet.com/view-property/287406/6311EE50C18AD22276FF6B0F907BC800CE6D33C525AA37307CA7EB834188FB80", "https://baanknet.com/view-property/287406/6311EE50C18AD22276FF6B0F907BC800CE6D33C525AA37307CA7EB834188FB80")</f>
        <v>https://baanknet.com/view-property/287406/6311EE50C18AD22276FF6B0F907BC800CE6D33C525AA37307CA7EB834188FB80</v>
      </c>
      <c r="I778" t="str">
        <f>HYPERLINK("https://baanknet.com/view-property/287406/6311EE50C18AD22276FF6B0F907BC800CE6D33C525AA37307CA7EB834188FB80", "Open")</f>
        <v>Open</v>
      </c>
      <c r="J778" t="s">
        <v>20</v>
      </c>
      <c r="K778" t="s">
        <v>21</v>
      </c>
      <c r="L778">
        <v>1317000</v>
      </c>
      <c r="M778">
        <v>131700</v>
      </c>
    </row>
    <row r="779" spans="1:13" x14ac:dyDescent="0.25">
      <c r="A779" t="s">
        <v>2754</v>
      </c>
      <c r="B779" t="s">
        <v>2755</v>
      </c>
      <c r="C779" t="s">
        <v>121</v>
      </c>
      <c r="D779" t="s">
        <v>584</v>
      </c>
      <c r="E779" t="s">
        <v>654</v>
      </c>
      <c r="F779" t="s">
        <v>334</v>
      </c>
      <c r="G779" t="s">
        <v>2756</v>
      </c>
      <c r="H779" t="str">
        <f>HYPERLINK("https://baanknet.com/view-property/230794/7A82A8A1E2232E9997DB6D194B76C87C1FB345DCE46D8C286580AF5635771B77", "https://baanknet.com/view-property/230794/7A82A8A1E2232E9997DB6D194B76C87C1FB345DCE46D8C286580AF5635771B77")</f>
        <v>https://baanknet.com/view-property/230794/7A82A8A1E2232E9997DB6D194B76C87C1FB345DCE46D8C286580AF5635771B77</v>
      </c>
      <c r="I779" t="str">
        <f>HYPERLINK("https://baanknet.com/view-property/230794/7A82A8A1E2232E9997DB6D194B76C87C1FB345DCE46D8C286580AF5635771B77", "Open")</f>
        <v>Open</v>
      </c>
      <c r="J779" t="s">
        <v>20</v>
      </c>
      <c r="K779" t="s">
        <v>21</v>
      </c>
      <c r="L779">
        <v>4331000</v>
      </c>
      <c r="M779">
        <v>433100</v>
      </c>
    </row>
    <row r="780" spans="1:13" x14ac:dyDescent="0.25">
      <c r="A780" t="s">
        <v>2757</v>
      </c>
      <c r="B780" t="s">
        <v>2758</v>
      </c>
      <c r="C780" t="s">
        <v>121</v>
      </c>
      <c r="D780" t="s">
        <v>2684</v>
      </c>
      <c r="E780" t="s">
        <v>654</v>
      </c>
      <c r="F780" t="s">
        <v>334</v>
      </c>
      <c r="G780" t="s">
        <v>2759</v>
      </c>
      <c r="H780" t="str">
        <f>HYPERLINK("https://baanknet.com/view-property/225404/8E3671D9203F646DD2D5F9C1DBEFC55BE16A41E60AC7CA7646A8F4CF15816861", "https://baanknet.com/view-property/225404/8E3671D9203F646DD2D5F9C1DBEFC55BE16A41E60AC7CA7646A8F4CF15816861")</f>
        <v>https://baanknet.com/view-property/225404/8E3671D9203F646DD2D5F9C1DBEFC55BE16A41E60AC7CA7646A8F4CF15816861</v>
      </c>
      <c r="I780" t="str">
        <f>HYPERLINK("https://baanknet.com/view-property/225404/8E3671D9203F646DD2D5F9C1DBEFC55BE16A41E60AC7CA7646A8F4CF15816861", "Open")</f>
        <v>Open</v>
      </c>
      <c r="J780" t="s">
        <v>20</v>
      </c>
      <c r="K780" t="s">
        <v>21</v>
      </c>
      <c r="L780">
        <v>2818000</v>
      </c>
      <c r="M780">
        <v>281800</v>
      </c>
    </row>
    <row r="781" spans="1:13" x14ac:dyDescent="0.25">
      <c r="A781" t="s">
        <v>2760</v>
      </c>
      <c r="B781" t="s">
        <v>2761</v>
      </c>
      <c r="C781" t="s">
        <v>332</v>
      </c>
      <c r="D781" t="s">
        <v>2762</v>
      </c>
      <c r="E781" t="s">
        <v>654</v>
      </c>
      <c r="F781" t="s">
        <v>334</v>
      </c>
      <c r="G781" t="s">
        <v>2763</v>
      </c>
      <c r="H781" t="str">
        <f>HYPERLINK("https://baanknet.com/view-property/261999/3FB193D70B264312DA4E8F99A7EE29BAED33E75F508EF924211BE533659317B6", "https://baanknet.com/view-property/261999/3FB193D70B264312DA4E8F99A7EE29BAED33E75F508EF924211BE533659317B6")</f>
        <v>https://baanknet.com/view-property/261999/3FB193D70B264312DA4E8F99A7EE29BAED33E75F508EF924211BE533659317B6</v>
      </c>
      <c r="I781" t="str">
        <f>HYPERLINK("https://baanknet.com/view-property/261999/3FB193D70B264312DA4E8F99A7EE29BAED33E75F508EF924211BE533659317B6", "Open")</f>
        <v>Open</v>
      </c>
      <c r="J781" t="s">
        <v>20</v>
      </c>
      <c r="K781" t="s">
        <v>21</v>
      </c>
      <c r="L781">
        <v>3500000</v>
      </c>
      <c r="M781">
        <v>350000</v>
      </c>
    </row>
    <row r="782" spans="1:13" x14ac:dyDescent="0.25">
      <c r="A782" t="s">
        <v>2764</v>
      </c>
      <c r="B782" t="s">
        <v>2765</v>
      </c>
      <c r="C782" t="s">
        <v>332</v>
      </c>
      <c r="D782" t="s">
        <v>2766</v>
      </c>
      <c r="E782" t="s">
        <v>654</v>
      </c>
      <c r="F782" t="s">
        <v>334</v>
      </c>
      <c r="G782" t="s">
        <v>2767</v>
      </c>
      <c r="H782" t="str">
        <f>HYPERLINK("https://baanknet.com/view-property/286319/FEC11C10FB8925684588F6C80313CB2C184A463E2671E0920961B7C31B1F3934", "https://baanknet.com/view-property/286319/FEC11C10FB8925684588F6C80313CB2C184A463E2671E0920961B7C31B1F3934")</f>
        <v>https://baanknet.com/view-property/286319/FEC11C10FB8925684588F6C80313CB2C184A463E2671E0920961B7C31B1F3934</v>
      </c>
      <c r="I782" t="str">
        <f>HYPERLINK("https://baanknet.com/view-property/286319/FEC11C10FB8925684588F6C80313CB2C184A463E2671E0920961B7C31B1F3934", "Open")</f>
        <v>Open</v>
      </c>
      <c r="J782" t="s">
        <v>20</v>
      </c>
      <c r="K782" t="s">
        <v>21</v>
      </c>
      <c r="L782">
        <v>4887000</v>
      </c>
      <c r="M782">
        <v>488700</v>
      </c>
    </row>
    <row r="783" spans="1:13" x14ac:dyDescent="0.25">
      <c r="A783" t="s">
        <v>2768</v>
      </c>
      <c r="B783" t="s">
        <v>2769</v>
      </c>
      <c r="C783" t="s">
        <v>121</v>
      </c>
      <c r="D783" t="s">
        <v>2770</v>
      </c>
      <c r="E783" t="s">
        <v>654</v>
      </c>
      <c r="F783" t="s">
        <v>334</v>
      </c>
      <c r="G783" t="s">
        <v>2771</v>
      </c>
      <c r="H783" t="str">
        <f>HYPERLINK("https://baanknet.com/view-property/263709/5A6F12A1274F488C8CDB026719A5825473C2A1A73C9356CC0445ADE5AB02A37F", "https://baanknet.com/view-property/263709/5A6F12A1274F488C8CDB026719A5825473C2A1A73C9356CC0445ADE5AB02A37F")</f>
        <v>https://baanknet.com/view-property/263709/5A6F12A1274F488C8CDB026719A5825473C2A1A73C9356CC0445ADE5AB02A37F</v>
      </c>
      <c r="I783" t="str">
        <f>HYPERLINK("https://baanknet.com/view-property/263709/5A6F12A1274F488C8CDB026719A5825473C2A1A73C9356CC0445ADE5AB02A37F", "Open")</f>
        <v>Open</v>
      </c>
      <c r="J783" t="s">
        <v>20</v>
      </c>
      <c r="K783" t="s">
        <v>21</v>
      </c>
      <c r="L783">
        <v>1625000</v>
      </c>
      <c r="M783">
        <v>162500</v>
      </c>
    </row>
    <row r="784" spans="1:13" x14ac:dyDescent="0.25">
      <c r="A784" t="s">
        <v>2772</v>
      </c>
      <c r="B784" t="s">
        <v>2773</v>
      </c>
      <c r="C784" t="s">
        <v>121</v>
      </c>
      <c r="D784" t="s">
        <v>1602</v>
      </c>
      <c r="E784" t="s">
        <v>654</v>
      </c>
      <c r="F784" t="s">
        <v>334</v>
      </c>
      <c r="G784" t="s">
        <v>2774</v>
      </c>
      <c r="H784" t="str">
        <f>HYPERLINK("https://baanknet.com/view-property/267165/C856D997B5C7A71A36511FF906A597F63186835DC4A45EE47A3455FD34C5F940", "https://baanknet.com/view-property/267165/C856D997B5C7A71A36511FF906A597F63186835DC4A45EE47A3455FD34C5F940")</f>
        <v>https://baanknet.com/view-property/267165/C856D997B5C7A71A36511FF906A597F63186835DC4A45EE47A3455FD34C5F940</v>
      </c>
      <c r="I784" t="str">
        <f>HYPERLINK("https://baanknet.com/view-property/267165/C856D997B5C7A71A36511FF906A597F63186835DC4A45EE47A3455FD34C5F940", "Open")</f>
        <v>Open</v>
      </c>
      <c r="J784" t="s">
        <v>20</v>
      </c>
      <c r="K784" t="s">
        <v>21</v>
      </c>
      <c r="L784">
        <v>5118000</v>
      </c>
      <c r="M784">
        <v>511800</v>
      </c>
    </row>
    <row r="785" spans="1:13" x14ac:dyDescent="0.25">
      <c r="A785" t="s">
        <v>2775</v>
      </c>
      <c r="B785" t="s">
        <v>2776</v>
      </c>
      <c r="C785" t="s">
        <v>121</v>
      </c>
      <c r="D785" t="s">
        <v>2777</v>
      </c>
      <c r="E785" t="s">
        <v>654</v>
      </c>
      <c r="F785" t="s">
        <v>334</v>
      </c>
      <c r="G785" t="s">
        <v>2778</v>
      </c>
      <c r="H785" t="str">
        <f>HYPERLINK("https://baanknet.com/view-property/236777/C4E2BD220DEB26587F8213AA7294507F5B71EE8A1384B9167A25A2AE308FE027", "https://baanknet.com/view-property/236777/C4E2BD220DEB26587F8213AA7294507F5B71EE8A1384B9167A25A2AE308FE027")</f>
        <v>https://baanknet.com/view-property/236777/C4E2BD220DEB26587F8213AA7294507F5B71EE8A1384B9167A25A2AE308FE027</v>
      </c>
      <c r="I785" t="str">
        <f>HYPERLINK("https://baanknet.com/view-property/236777/C4E2BD220DEB26587F8213AA7294507F5B71EE8A1384B9167A25A2AE308FE027", "Open")</f>
        <v>Open</v>
      </c>
      <c r="J785" t="s">
        <v>20</v>
      </c>
      <c r="K785" t="s">
        <v>21</v>
      </c>
      <c r="L785">
        <v>684000</v>
      </c>
      <c r="M785">
        <v>68400</v>
      </c>
    </row>
    <row r="786" spans="1:13" x14ac:dyDescent="0.25">
      <c r="A786" t="s">
        <v>2779</v>
      </c>
      <c r="B786" t="s">
        <v>2780</v>
      </c>
      <c r="C786" t="s">
        <v>121</v>
      </c>
      <c r="D786" t="s">
        <v>2498</v>
      </c>
      <c r="E786" t="s">
        <v>654</v>
      </c>
      <c r="F786" t="s">
        <v>334</v>
      </c>
      <c r="G786" t="s">
        <v>2781</v>
      </c>
      <c r="H786" t="str">
        <f>HYPERLINK("https://baanknet.com/view-property/231583/C944FA0AE9D06160E43E9201A49DB59877BF77E015FF29550628A32ACE5D59A7", "https://baanknet.com/view-property/231583/C944FA0AE9D06160E43E9201A49DB59877BF77E015FF29550628A32ACE5D59A7")</f>
        <v>https://baanknet.com/view-property/231583/C944FA0AE9D06160E43E9201A49DB59877BF77E015FF29550628A32ACE5D59A7</v>
      </c>
      <c r="I786" t="str">
        <f>HYPERLINK("https://baanknet.com/view-property/231583/C944FA0AE9D06160E43E9201A49DB59877BF77E015FF29550628A32ACE5D59A7", "Open")</f>
        <v>Open</v>
      </c>
      <c r="J786" t="s">
        <v>20</v>
      </c>
      <c r="K786" t="s">
        <v>21</v>
      </c>
      <c r="L786">
        <v>1418000</v>
      </c>
      <c r="M786">
        <v>141800</v>
      </c>
    </row>
    <row r="787" spans="1:13" x14ac:dyDescent="0.25">
      <c r="A787" t="s">
        <v>2782</v>
      </c>
      <c r="B787" t="s">
        <v>2783</v>
      </c>
      <c r="C787" t="s">
        <v>121</v>
      </c>
      <c r="D787" t="s">
        <v>2784</v>
      </c>
      <c r="E787" t="s">
        <v>654</v>
      </c>
      <c r="F787" t="s">
        <v>334</v>
      </c>
      <c r="G787" t="s">
        <v>2785</v>
      </c>
      <c r="H787" t="str">
        <f>HYPERLINK("https://baanknet.com/view-property/179569/1EEAA487C43A00FE66AD91D1E86534914F8B48E83B92C416160C2345C7DEB251", "https://baanknet.com/view-property/179569/1EEAA487C43A00FE66AD91D1E86534914F8B48E83B92C416160C2345C7DEB251")</f>
        <v>https://baanknet.com/view-property/179569/1EEAA487C43A00FE66AD91D1E86534914F8B48E83B92C416160C2345C7DEB251</v>
      </c>
      <c r="I787" t="str">
        <f>HYPERLINK("https://baanknet.com/view-property/179569/1EEAA487C43A00FE66AD91D1E86534914F8B48E83B92C416160C2345C7DEB251", "Open")</f>
        <v>Open</v>
      </c>
      <c r="J787" t="s">
        <v>20</v>
      </c>
      <c r="K787" t="s">
        <v>21</v>
      </c>
      <c r="L787">
        <v>1747000</v>
      </c>
      <c r="M787">
        <v>174700</v>
      </c>
    </row>
    <row r="788" spans="1:13" x14ac:dyDescent="0.25">
      <c r="A788" t="s">
        <v>2786</v>
      </c>
      <c r="B788" t="s">
        <v>2787</v>
      </c>
      <c r="C788" t="s">
        <v>121</v>
      </c>
      <c r="D788" t="s">
        <v>2788</v>
      </c>
      <c r="E788" t="s">
        <v>654</v>
      </c>
      <c r="F788" t="s">
        <v>334</v>
      </c>
      <c r="G788" t="s">
        <v>2789</v>
      </c>
      <c r="H788" t="str">
        <f>HYPERLINK("https://baanknet.com/view-property/287537/B2D0FBA53AAB0DC1F3BD15D16F415755A04C108C328F327F67229E48B7C61F63", "https://baanknet.com/view-property/287537/B2D0FBA53AAB0DC1F3BD15D16F415755A04C108C328F327F67229E48B7C61F63")</f>
        <v>https://baanknet.com/view-property/287537/B2D0FBA53AAB0DC1F3BD15D16F415755A04C108C328F327F67229E48B7C61F63</v>
      </c>
      <c r="I788" t="str">
        <f>HYPERLINK("https://baanknet.com/view-property/287537/B2D0FBA53AAB0DC1F3BD15D16F415755A04C108C328F327F67229E48B7C61F63", "Open")</f>
        <v>Open</v>
      </c>
      <c r="J788" t="s">
        <v>20</v>
      </c>
      <c r="K788" t="s">
        <v>21</v>
      </c>
      <c r="L788">
        <v>3608000</v>
      </c>
      <c r="M788">
        <v>360800</v>
      </c>
    </row>
    <row r="789" spans="1:13" x14ac:dyDescent="0.25">
      <c r="A789" t="s">
        <v>2790</v>
      </c>
      <c r="B789" t="s">
        <v>2791</v>
      </c>
      <c r="C789" t="s">
        <v>121</v>
      </c>
      <c r="D789" t="s">
        <v>1277</v>
      </c>
      <c r="E789" t="s">
        <v>654</v>
      </c>
      <c r="F789" t="s">
        <v>334</v>
      </c>
      <c r="G789" t="s">
        <v>2792</v>
      </c>
      <c r="H789" t="str">
        <f>HYPERLINK("https://baanknet.com/view-property/263263/601018D41A4510C13C00FFB775FA575828C3AEB24F5CBB7C0EA46D68E15DFD37", "https://baanknet.com/view-property/263263/601018D41A4510C13C00FFB775FA575828C3AEB24F5CBB7C0EA46D68E15DFD37")</f>
        <v>https://baanknet.com/view-property/263263/601018D41A4510C13C00FFB775FA575828C3AEB24F5CBB7C0EA46D68E15DFD37</v>
      </c>
      <c r="I789" t="str">
        <f>HYPERLINK("https://baanknet.com/view-property/263263/601018D41A4510C13C00FFB775FA575828C3AEB24F5CBB7C0EA46D68E15DFD37", "Open")</f>
        <v>Open</v>
      </c>
      <c r="J789" t="s">
        <v>20</v>
      </c>
      <c r="K789" t="s">
        <v>21</v>
      </c>
      <c r="L789">
        <v>2326000</v>
      </c>
      <c r="M789">
        <v>232600</v>
      </c>
    </row>
    <row r="790" spans="1:13" x14ac:dyDescent="0.25">
      <c r="A790" t="s">
        <v>2793</v>
      </c>
      <c r="B790" t="s">
        <v>2794</v>
      </c>
      <c r="C790" t="s">
        <v>121</v>
      </c>
      <c r="D790" t="s">
        <v>2167</v>
      </c>
      <c r="E790" t="s">
        <v>654</v>
      </c>
      <c r="F790" t="s">
        <v>334</v>
      </c>
      <c r="G790" t="s">
        <v>2795</v>
      </c>
      <c r="H790" t="str">
        <f>HYPERLINK("https://baanknet.com/view-property/287540/83E3DEBC541F4C6B4B24BB3D5CF5793CD56350B245969540559CBB950A5CF551", "https://baanknet.com/view-property/287540/83E3DEBC541F4C6B4B24BB3D5CF5793CD56350B245969540559CBB950A5CF551")</f>
        <v>https://baanknet.com/view-property/287540/83E3DEBC541F4C6B4B24BB3D5CF5793CD56350B245969540559CBB950A5CF551</v>
      </c>
      <c r="I790" t="str">
        <f>HYPERLINK("https://baanknet.com/view-property/287540/83E3DEBC541F4C6B4B24BB3D5CF5793CD56350B245969540559CBB950A5CF551", "Open")</f>
        <v>Open</v>
      </c>
      <c r="J790" t="s">
        <v>20</v>
      </c>
      <c r="K790" t="s">
        <v>21</v>
      </c>
      <c r="L790">
        <v>2468000</v>
      </c>
      <c r="M790">
        <v>246800</v>
      </c>
    </row>
    <row r="791" spans="1:13" x14ac:dyDescent="0.25">
      <c r="A791" t="s">
        <v>2796</v>
      </c>
      <c r="B791" t="s">
        <v>2797</v>
      </c>
      <c r="C791" t="s">
        <v>121</v>
      </c>
      <c r="D791" t="s">
        <v>2798</v>
      </c>
      <c r="E791" t="s">
        <v>654</v>
      </c>
      <c r="F791" t="s">
        <v>334</v>
      </c>
      <c r="G791" t="s">
        <v>2799</v>
      </c>
      <c r="H791" t="str">
        <f>HYPERLINK("https://baanknet.com/view-property/179574/03AFDF80DE710A132F9F46B5F03D6ACF71172F12E2FBCF4AE29239F1A6A1DB44", "https://baanknet.com/view-property/179574/03AFDF80DE710A132F9F46B5F03D6ACF71172F12E2FBCF4AE29239F1A6A1DB44")</f>
        <v>https://baanknet.com/view-property/179574/03AFDF80DE710A132F9F46B5F03D6ACF71172F12E2FBCF4AE29239F1A6A1DB44</v>
      </c>
      <c r="I791" t="str">
        <f>HYPERLINK("https://baanknet.com/view-property/179574/03AFDF80DE710A132F9F46B5F03D6ACF71172F12E2FBCF4AE29239F1A6A1DB44", "Open")</f>
        <v>Open</v>
      </c>
      <c r="J791" t="s">
        <v>20</v>
      </c>
      <c r="K791" t="s">
        <v>21</v>
      </c>
      <c r="L791">
        <v>8493000</v>
      </c>
      <c r="M791">
        <v>849300</v>
      </c>
    </row>
    <row r="792" spans="1:13" x14ac:dyDescent="0.25">
      <c r="A792" t="s">
        <v>2800</v>
      </c>
      <c r="B792" t="s">
        <v>2801</v>
      </c>
      <c r="C792" t="s">
        <v>121</v>
      </c>
      <c r="D792" t="s">
        <v>2802</v>
      </c>
      <c r="E792" t="s">
        <v>654</v>
      </c>
      <c r="F792" t="s">
        <v>334</v>
      </c>
      <c r="G792" t="s">
        <v>2803</v>
      </c>
      <c r="H792" t="str">
        <f>HYPERLINK("https://baanknet.com/view-property/246184/18C6BBCBFC11D4447D8CF36C3AD9FFED07E354489403F94A8C47706AD3E5CC5A", "https://baanknet.com/view-property/246184/18C6BBCBFC11D4447D8CF36C3AD9FFED07E354489403F94A8C47706AD3E5CC5A")</f>
        <v>https://baanknet.com/view-property/246184/18C6BBCBFC11D4447D8CF36C3AD9FFED07E354489403F94A8C47706AD3E5CC5A</v>
      </c>
      <c r="I792" t="str">
        <f>HYPERLINK("https://baanknet.com/view-property/246184/18C6BBCBFC11D4447D8CF36C3AD9FFED07E354489403F94A8C47706AD3E5CC5A", "Open")</f>
        <v>Open</v>
      </c>
      <c r="J792" t="s">
        <v>20</v>
      </c>
      <c r="K792" t="s">
        <v>21</v>
      </c>
      <c r="L792">
        <v>5898000</v>
      </c>
      <c r="M792">
        <v>589800</v>
      </c>
    </row>
    <row r="793" spans="1:13" x14ac:dyDescent="0.25">
      <c r="A793" t="s">
        <v>2804</v>
      </c>
      <c r="B793" t="s">
        <v>2805</v>
      </c>
      <c r="C793" t="s">
        <v>121</v>
      </c>
      <c r="D793" t="s">
        <v>2806</v>
      </c>
      <c r="E793" t="s">
        <v>654</v>
      </c>
      <c r="F793" t="s">
        <v>334</v>
      </c>
      <c r="G793" t="s">
        <v>2807</v>
      </c>
      <c r="H793" t="str">
        <f>HYPERLINK("https://baanknet.com/view-property/179536/CA9011FA471E4B39177E79551961018099F1A73D2990FB880D68B7D3B0408B74", "https://baanknet.com/view-property/179536/CA9011FA471E4B39177E79551961018099F1A73D2990FB880D68B7D3B0408B74")</f>
        <v>https://baanknet.com/view-property/179536/CA9011FA471E4B39177E79551961018099F1A73D2990FB880D68B7D3B0408B74</v>
      </c>
      <c r="I793" t="str">
        <f>HYPERLINK("https://baanknet.com/view-property/179536/CA9011FA471E4B39177E79551961018099F1A73D2990FB880D68B7D3B0408B74", "Open")</f>
        <v>Open</v>
      </c>
      <c r="J793" t="s">
        <v>20</v>
      </c>
      <c r="K793" t="s">
        <v>21</v>
      </c>
      <c r="L793">
        <v>1140000</v>
      </c>
      <c r="M793">
        <v>114000</v>
      </c>
    </row>
    <row r="794" spans="1:13" x14ac:dyDescent="0.25">
      <c r="A794" t="s">
        <v>2808</v>
      </c>
      <c r="B794" t="s">
        <v>2809</v>
      </c>
      <c r="C794" t="s">
        <v>121</v>
      </c>
      <c r="D794" t="s">
        <v>2798</v>
      </c>
      <c r="E794" t="s">
        <v>654</v>
      </c>
      <c r="F794" t="s">
        <v>334</v>
      </c>
      <c r="G794" t="s">
        <v>2810</v>
      </c>
      <c r="H794" t="str">
        <f>HYPERLINK("https://baanknet.com/view-property/270679/F0F5588576481FE51E05392886562FA6E6659739C080BF99647625051DF0E0EA", "https://baanknet.com/view-property/270679/F0F5588576481FE51E05392886562FA6E6659739C080BF99647625051DF0E0EA")</f>
        <v>https://baanknet.com/view-property/270679/F0F5588576481FE51E05392886562FA6E6659739C080BF99647625051DF0E0EA</v>
      </c>
      <c r="I794" t="str">
        <f>HYPERLINK("https://baanknet.com/view-property/270679/F0F5588576481FE51E05392886562FA6E6659739C080BF99647625051DF0E0EA", "Open")</f>
        <v>Open</v>
      </c>
      <c r="J794" t="s">
        <v>20</v>
      </c>
      <c r="K794" t="s">
        <v>21</v>
      </c>
      <c r="L794">
        <v>5273000</v>
      </c>
      <c r="M794">
        <v>527300</v>
      </c>
    </row>
    <row r="795" spans="1:13" x14ac:dyDescent="0.25">
      <c r="A795" t="s">
        <v>2811</v>
      </c>
      <c r="B795" t="s">
        <v>2812</v>
      </c>
      <c r="C795" t="s">
        <v>121</v>
      </c>
      <c r="D795" t="s">
        <v>2813</v>
      </c>
      <c r="E795" t="s">
        <v>654</v>
      </c>
      <c r="F795" t="s">
        <v>334</v>
      </c>
      <c r="G795" t="s">
        <v>2814</v>
      </c>
      <c r="H795" t="str">
        <f>HYPERLINK("https://baanknet.com/view-property/174667/4FB13485E2DAAC52C8568D8F10CB3A1C5D22E2905BDF264465AE08AA440589C1", "https://baanknet.com/view-property/174667/4FB13485E2DAAC52C8568D8F10CB3A1C5D22E2905BDF264465AE08AA440589C1")</f>
        <v>https://baanknet.com/view-property/174667/4FB13485E2DAAC52C8568D8F10CB3A1C5D22E2905BDF264465AE08AA440589C1</v>
      </c>
      <c r="I795" t="str">
        <f>HYPERLINK("https://baanknet.com/view-property/174667/4FB13485E2DAAC52C8568D8F10CB3A1C5D22E2905BDF264465AE08AA440589C1", "Open")</f>
        <v>Open</v>
      </c>
      <c r="J795" t="s">
        <v>20</v>
      </c>
      <c r="K795" t="s">
        <v>21</v>
      </c>
      <c r="L795">
        <v>742000</v>
      </c>
      <c r="M795">
        <v>74200</v>
      </c>
    </row>
    <row r="796" spans="1:13" x14ac:dyDescent="0.25">
      <c r="A796" t="s">
        <v>2815</v>
      </c>
      <c r="B796" t="s">
        <v>2816</v>
      </c>
      <c r="C796" t="s">
        <v>121</v>
      </c>
      <c r="D796" t="s">
        <v>2817</v>
      </c>
      <c r="E796" t="s">
        <v>654</v>
      </c>
      <c r="F796" t="s">
        <v>334</v>
      </c>
      <c r="G796" t="s">
        <v>2818</v>
      </c>
      <c r="H796" t="str">
        <f>HYPERLINK("https://baanknet.com/view-property/282531/ADFC53C4BDE4E0970E866FC6A8032FD73FA1831DCFECF5F8FB9EED252446D732", "https://baanknet.com/view-property/282531/ADFC53C4BDE4E0970E866FC6A8032FD73FA1831DCFECF5F8FB9EED252446D732")</f>
        <v>https://baanknet.com/view-property/282531/ADFC53C4BDE4E0970E866FC6A8032FD73FA1831DCFECF5F8FB9EED252446D732</v>
      </c>
      <c r="I796" t="str">
        <f>HYPERLINK("https://baanknet.com/view-property/282531/ADFC53C4BDE4E0970E866FC6A8032FD73FA1831DCFECF5F8FB9EED252446D732", "Open")</f>
        <v>Open</v>
      </c>
      <c r="J796" t="s">
        <v>20</v>
      </c>
      <c r="K796" t="s">
        <v>21</v>
      </c>
      <c r="L796">
        <v>909000</v>
      </c>
      <c r="M796">
        <v>90900</v>
      </c>
    </row>
    <row r="797" spans="1:13" x14ac:dyDescent="0.25">
      <c r="A797" t="s">
        <v>2819</v>
      </c>
      <c r="B797" t="s">
        <v>2820</v>
      </c>
      <c r="C797" t="s">
        <v>121</v>
      </c>
      <c r="D797" t="s">
        <v>2817</v>
      </c>
      <c r="E797" t="s">
        <v>654</v>
      </c>
      <c r="F797" t="s">
        <v>334</v>
      </c>
      <c r="G797" t="s">
        <v>2821</v>
      </c>
      <c r="H797" t="str">
        <f>HYPERLINK("https://baanknet.com/view-property/282530/02B64BC76A8F9D92FF67B6B78BEB91F42775DB6738CE26CE643F724CEA17BA97", "https://baanknet.com/view-property/282530/02B64BC76A8F9D92FF67B6B78BEB91F42775DB6738CE26CE643F724CEA17BA97")</f>
        <v>https://baanknet.com/view-property/282530/02B64BC76A8F9D92FF67B6B78BEB91F42775DB6738CE26CE643F724CEA17BA97</v>
      </c>
      <c r="I797" t="str">
        <f>HYPERLINK("https://baanknet.com/view-property/282530/02B64BC76A8F9D92FF67B6B78BEB91F42775DB6738CE26CE643F724CEA17BA97", "Open")</f>
        <v>Open</v>
      </c>
      <c r="J797" t="s">
        <v>20</v>
      </c>
      <c r="K797" t="s">
        <v>21</v>
      </c>
      <c r="L797">
        <v>496000</v>
      </c>
      <c r="M797">
        <v>49600</v>
      </c>
    </row>
    <row r="798" spans="1:13" x14ac:dyDescent="0.25">
      <c r="A798" t="s">
        <v>2822</v>
      </c>
      <c r="B798" t="s">
        <v>2823</v>
      </c>
      <c r="C798" t="s">
        <v>121</v>
      </c>
      <c r="D798" t="s">
        <v>2824</v>
      </c>
      <c r="E798" t="s">
        <v>654</v>
      </c>
      <c r="F798" t="s">
        <v>334</v>
      </c>
      <c r="G798" t="s">
        <v>2825</v>
      </c>
      <c r="H798" t="str">
        <f>HYPERLINK("https://baanknet.com/view-property/248464/6A03F76FC87946CBE68DD25E759BE7DB641A1EDC3A1A382C48F5048CC60D0418", "https://baanknet.com/view-property/248464/6A03F76FC87946CBE68DD25E759BE7DB641A1EDC3A1A382C48F5048CC60D0418")</f>
        <v>https://baanknet.com/view-property/248464/6A03F76FC87946CBE68DD25E759BE7DB641A1EDC3A1A382C48F5048CC60D0418</v>
      </c>
      <c r="I798" t="str">
        <f>HYPERLINK("https://baanknet.com/view-property/248464/6A03F76FC87946CBE68DD25E759BE7DB641A1EDC3A1A382C48F5048CC60D0418", "Open")</f>
        <v>Open</v>
      </c>
      <c r="J798" t="s">
        <v>20</v>
      </c>
      <c r="K798" t="s">
        <v>21</v>
      </c>
      <c r="L798">
        <v>1372000</v>
      </c>
      <c r="M798">
        <v>137200</v>
      </c>
    </row>
    <row r="799" spans="1:13" x14ac:dyDescent="0.25">
      <c r="A799" t="s">
        <v>2826</v>
      </c>
      <c r="B799" t="s">
        <v>2827</v>
      </c>
      <c r="C799" t="s">
        <v>121</v>
      </c>
      <c r="D799" t="s">
        <v>2828</v>
      </c>
      <c r="E799" t="s">
        <v>654</v>
      </c>
      <c r="F799" t="s">
        <v>334</v>
      </c>
      <c r="G799" t="s">
        <v>2829</v>
      </c>
      <c r="H799" t="str">
        <f>HYPERLINK("https://baanknet.com/view-property/200932/A2B5CEAB004D8D25A219244112944EA5B5B78955B9FFFB3B828839F555E05A33", "https://baanknet.com/view-property/200932/A2B5CEAB004D8D25A219244112944EA5B5B78955B9FFFB3B828839F555E05A33")</f>
        <v>https://baanknet.com/view-property/200932/A2B5CEAB004D8D25A219244112944EA5B5B78955B9FFFB3B828839F555E05A33</v>
      </c>
      <c r="I799" t="str">
        <f>HYPERLINK("https://baanknet.com/view-property/200932/A2B5CEAB004D8D25A219244112944EA5B5B78955B9FFFB3B828839F555E05A33", "Open")</f>
        <v>Open</v>
      </c>
      <c r="J799" t="s">
        <v>20</v>
      </c>
      <c r="K799" t="s">
        <v>21</v>
      </c>
      <c r="L799">
        <v>468000</v>
      </c>
      <c r="M799">
        <v>46800</v>
      </c>
    </row>
    <row r="800" spans="1:13" x14ac:dyDescent="0.25">
      <c r="A800" t="s">
        <v>2830</v>
      </c>
      <c r="B800" t="s">
        <v>2831</v>
      </c>
      <c r="C800" t="s">
        <v>121</v>
      </c>
      <c r="D800" t="s">
        <v>157</v>
      </c>
      <c r="E800" t="s">
        <v>654</v>
      </c>
      <c r="F800" t="s">
        <v>334</v>
      </c>
      <c r="G800" t="s">
        <v>2832</v>
      </c>
      <c r="H800" t="str">
        <f>HYPERLINK("https://baanknet.com/view-property/269586/3FB3A9954BBA2592CF297C25C7E90CE342B444DECDBB54E905B2BAA8CAACCF3E", "https://baanknet.com/view-property/269586/3FB3A9954BBA2592CF297C25C7E90CE342B444DECDBB54E905B2BAA8CAACCF3E")</f>
        <v>https://baanknet.com/view-property/269586/3FB3A9954BBA2592CF297C25C7E90CE342B444DECDBB54E905B2BAA8CAACCF3E</v>
      </c>
      <c r="I800" t="str">
        <f>HYPERLINK("https://baanknet.com/view-property/269586/3FB3A9954BBA2592CF297C25C7E90CE342B444DECDBB54E905B2BAA8CAACCF3E", "Open")</f>
        <v>Open</v>
      </c>
      <c r="J800" t="s">
        <v>20</v>
      </c>
      <c r="K800" t="s">
        <v>21</v>
      </c>
      <c r="L800">
        <v>2188000</v>
      </c>
      <c r="M800">
        <v>218800</v>
      </c>
    </row>
    <row r="801" spans="1:13" x14ac:dyDescent="0.25">
      <c r="A801" t="s">
        <v>2833</v>
      </c>
      <c r="B801" t="s">
        <v>2834</v>
      </c>
      <c r="C801" t="s">
        <v>121</v>
      </c>
      <c r="D801" t="s">
        <v>2817</v>
      </c>
      <c r="E801" t="s">
        <v>654</v>
      </c>
      <c r="F801" t="s">
        <v>334</v>
      </c>
      <c r="G801" t="s">
        <v>2835</v>
      </c>
      <c r="H801" t="str">
        <f>HYPERLINK("https://baanknet.com/view-property/175611/019424B438522CB104C6351BA2BC5C851FAF8931390B957202D2B354C0F612EA", "https://baanknet.com/view-property/175611/019424B438522CB104C6351BA2BC5C851FAF8931390B957202D2B354C0F612EA")</f>
        <v>https://baanknet.com/view-property/175611/019424B438522CB104C6351BA2BC5C851FAF8931390B957202D2B354C0F612EA</v>
      </c>
      <c r="I801" t="str">
        <f>HYPERLINK("https://baanknet.com/view-property/175611/019424B438522CB104C6351BA2BC5C851FAF8931390B957202D2B354C0F612EA", "Open")</f>
        <v>Open</v>
      </c>
      <c r="J801" t="s">
        <v>20</v>
      </c>
      <c r="K801" t="s">
        <v>21</v>
      </c>
      <c r="L801">
        <v>1509000</v>
      </c>
      <c r="M801">
        <v>150900</v>
      </c>
    </row>
    <row r="802" spans="1:13" x14ac:dyDescent="0.25">
      <c r="A802" t="s">
        <v>2836</v>
      </c>
      <c r="B802" t="s">
        <v>2837</v>
      </c>
      <c r="C802" t="s">
        <v>121</v>
      </c>
      <c r="D802" t="s">
        <v>2817</v>
      </c>
      <c r="E802" t="s">
        <v>654</v>
      </c>
      <c r="F802" t="s">
        <v>334</v>
      </c>
      <c r="G802" t="s">
        <v>2838</v>
      </c>
      <c r="H802" t="str">
        <f>HYPERLINK("https://baanknet.com/view-property/175608/A3A306630759034F6E0CA2732F10DE2EBE4086CB9A89E01128843A6FF7D1EE81", "https://baanknet.com/view-property/175608/A3A306630759034F6E0CA2732F10DE2EBE4086CB9A89E01128843A6FF7D1EE81")</f>
        <v>https://baanknet.com/view-property/175608/A3A306630759034F6E0CA2732F10DE2EBE4086CB9A89E01128843A6FF7D1EE81</v>
      </c>
      <c r="I802" t="str">
        <f>HYPERLINK("https://baanknet.com/view-property/175608/A3A306630759034F6E0CA2732F10DE2EBE4086CB9A89E01128843A6FF7D1EE81", "Open")</f>
        <v>Open</v>
      </c>
      <c r="J802" t="s">
        <v>20</v>
      </c>
      <c r="K802" t="s">
        <v>21</v>
      </c>
      <c r="L802">
        <v>1363000</v>
      </c>
      <c r="M802">
        <v>136300</v>
      </c>
    </row>
    <row r="803" spans="1:13" x14ac:dyDescent="0.25">
      <c r="A803" t="s">
        <v>2839</v>
      </c>
      <c r="B803" t="s">
        <v>2840</v>
      </c>
      <c r="C803" t="s">
        <v>121</v>
      </c>
      <c r="D803" t="s">
        <v>2841</v>
      </c>
      <c r="E803" t="s">
        <v>654</v>
      </c>
      <c r="F803" t="s">
        <v>334</v>
      </c>
      <c r="G803" t="s">
        <v>2842</v>
      </c>
      <c r="H803" t="str">
        <f>HYPERLINK("https://baanknet.com/view-property/174681/7B4EB0C03BB52C7371D06189472A1F56011C37729B4E736188BCA75FC53F590C", "https://baanknet.com/view-property/174681/7B4EB0C03BB52C7371D06189472A1F56011C37729B4E736188BCA75FC53F590C")</f>
        <v>https://baanknet.com/view-property/174681/7B4EB0C03BB52C7371D06189472A1F56011C37729B4E736188BCA75FC53F590C</v>
      </c>
      <c r="I803" t="str">
        <f>HYPERLINK("https://baanknet.com/view-property/174681/7B4EB0C03BB52C7371D06189472A1F56011C37729B4E736188BCA75FC53F590C", "Open")</f>
        <v>Open</v>
      </c>
      <c r="J803" t="s">
        <v>20</v>
      </c>
      <c r="K803" t="s">
        <v>21</v>
      </c>
      <c r="L803">
        <v>595000</v>
      </c>
      <c r="M803">
        <v>59500</v>
      </c>
    </row>
    <row r="804" spans="1:13" x14ac:dyDescent="0.25">
      <c r="A804" t="s">
        <v>2843</v>
      </c>
      <c r="B804" t="s">
        <v>2844</v>
      </c>
      <c r="C804" t="s">
        <v>121</v>
      </c>
      <c r="D804" t="s">
        <v>2841</v>
      </c>
      <c r="E804" t="s">
        <v>654</v>
      </c>
      <c r="F804" t="s">
        <v>334</v>
      </c>
      <c r="G804" t="s">
        <v>2845</v>
      </c>
      <c r="H804" t="str">
        <f>HYPERLINK("https://baanknet.com/view-property/174670/40E297093432427C4CA300AF72398A767144E265289AEC5656182772F89A1DA7", "https://baanknet.com/view-property/174670/40E297093432427C4CA300AF72398A767144E265289AEC5656182772F89A1DA7")</f>
        <v>https://baanknet.com/view-property/174670/40E297093432427C4CA300AF72398A767144E265289AEC5656182772F89A1DA7</v>
      </c>
      <c r="I804" t="str">
        <f>HYPERLINK("https://baanknet.com/view-property/174670/40E297093432427C4CA300AF72398A767144E265289AEC5656182772F89A1DA7", "Open")</f>
        <v>Open</v>
      </c>
      <c r="J804" t="s">
        <v>20</v>
      </c>
      <c r="K804" t="s">
        <v>21</v>
      </c>
      <c r="L804">
        <v>1674000</v>
      </c>
      <c r="M804">
        <v>167400</v>
      </c>
    </row>
    <row r="805" spans="1:13" x14ac:dyDescent="0.25">
      <c r="A805" t="s">
        <v>2846</v>
      </c>
      <c r="B805" t="s">
        <v>2847</v>
      </c>
      <c r="C805" t="s">
        <v>121</v>
      </c>
      <c r="D805" t="s">
        <v>157</v>
      </c>
      <c r="E805" t="s">
        <v>654</v>
      </c>
      <c r="F805" t="s">
        <v>334</v>
      </c>
      <c r="G805" t="s">
        <v>2848</v>
      </c>
      <c r="H805" t="str">
        <f>HYPERLINK("https://baanknet.com/view-property/178645/8011BF20C404F01E5F4C9EB41A87872CDEA573707839EDD2D45CB43EFE66F4BE", "https://baanknet.com/view-property/178645/8011BF20C404F01E5F4C9EB41A87872CDEA573707839EDD2D45CB43EFE66F4BE")</f>
        <v>https://baanknet.com/view-property/178645/8011BF20C404F01E5F4C9EB41A87872CDEA573707839EDD2D45CB43EFE66F4BE</v>
      </c>
      <c r="I805" t="str">
        <f>HYPERLINK("https://baanknet.com/view-property/178645/8011BF20C404F01E5F4C9EB41A87872CDEA573707839EDD2D45CB43EFE66F4BE", "Open")</f>
        <v>Open</v>
      </c>
      <c r="J805" t="s">
        <v>20</v>
      </c>
      <c r="K805" t="s">
        <v>21</v>
      </c>
      <c r="L805">
        <v>1727000</v>
      </c>
      <c r="M805">
        <v>172700</v>
      </c>
    </row>
    <row r="806" spans="1:13" x14ac:dyDescent="0.25">
      <c r="A806" t="s">
        <v>2849</v>
      </c>
      <c r="B806" t="s">
        <v>2850</v>
      </c>
      <c r="C806" t="s">
        <v>121</v>
      </c>
      <c r="D806" t="s">
        <v>157</v>
      </c>
      <c r="E806" t="s">
        <v>654</v>
      </c>
      <c r="F806" t="s">
        <v>334</v>
      </c>
      <c r="G806" t="s">
        <v>2851</v>
      </c>
      <c r="H806" t="str">
        <f>HYPERLINK("https://baanknet.com/view-property/175828/DEEDA80BCF6B4B42ED7B5CAE53A446106B86F16EBCAD50C67AF119EBFE01C107", "https://baanknet.com/view-property/175828/DEEDA80BCF6B4B42ED7B5CAE53A446106B86F16EBCAD50C67AF119EBFE01C107")</f>
        <v>https://baanknet.com/view-property/175828/DEEDA80BCF6B4B42ED7B5CAE53A446106B86F16EBCAD50C67AF119EBFE01C107</v>
      </c>
      <c r="I806" t="str">
        <f>HYPERLINK("https://baanknet.com/view-property/175828/DEEDA80BCF6B4B42ED7B5CAE53A446106B86F16EBCAD50C67AF119EBFE01C107", "Open")</f>
        <v>Open</v>
      </c>
      <c r="J806" t="s">
        <v>20</v>
      </c>
      <c r="K806" t="s">
        <v>21</v>
      </c>
      <c r="L806">
        <v>1131000</v>
      </c>
      <c r="M806">
        <v>113100</v>
      </c>
    </row>
    <row r="807" spans="1:13" x14ac:dyDescent="0.25">
      <c r="A807" t="s">
        <v>2852</v>
      </c>
      <c r="B807" t="s">
        <v>2853</v>
      </c>
      <c r="C807" t="s">
        <v>121</v>
      </c>
      <c r="D807" t="s">
        <v>157</v>
      </c>
      <c r="E807" t="s">
        <v>654</v>
      </c>
      <c r="F807" t="s">
        <v>334</v>
      </c>
      <c r="G807" t="s">
        <v>2854</v>
      </c>
      <c r="H807" t="str">
        <f>HYPERLINK("https://baanknet.com/view-property/178637/28EE03962E4CE5D719A44163ABD165F634A8044447A619F3342967F9967AAC6C", "https://baanknet.com/view-property/178637/28EE03962E4CE5D719A44163ABD165F634A8044447A619F3342967F9967AAC6C")</f>
        <v>https://baanknet.com/view-property/178637/28EE03962E4CE5D719A44163ABD165F634A8044447A619F3342967F9967AAC6C</v>
      </c>
      <c r="I807" t="str">
        <f>HYPERLINK("https://baanknet.com/view-property/178637/28EE03962E4CE5D719A44163ABD165F634A8044447A619F3342967F9967AAC6C", "Open")</f>
        <v>Open</v>
      </c>
      <c r="J807" t="s">
        <v>20</v>
      </c>
      <c r="K807" t="s">
        <v>21</v>
      </c>
      <c r="L807">
        <v>1296000</v>
      </c>
      <c r="M807">
        <v>129600</v>
      </c>
    </row>
    <row r="808" spans="1:13" x14ac:dyDescent="0.25">
      <c r="A808" t="s">
        <v>2855</v>
      </c>
      <c r="B808" t="s">
        <v>2856</v>
      </c>
      <c r="C808" t="s">
        <v>121</v>
      </c>
      <c r="D808" t="s">
        <v>157</v>
      </c>
      <c r="E808" t="s">
        <v>654</v>
      </c>
      <c r="F808" t="s">
        <v>334</v>
      </c>
      <c r="G808" t="s">
        <v>2857</v>
      </c>
      <c r="H808" t="str">
        <f>HYPERLINK("https://baanknet.com/view-property/221654/3B5ABF30873EEF71D56B9873E340131226C42121C95041A0A5287AB218F61847", "https://baanknet.com/view-property/221654/3B5ABF30873EEF71D56B9873E340131226C42121C95041A0A5287AB218F61847")</f>
        <v>https://baanknet.com/view-property/221654/3B5ABF30873EEF71D56B9873E340131226C42121C95041A0A5287AB218F61847</v>
      </c>
      <c r="I808" t="str">
        <f>HYPERLINK("https://baanknet.com/view-property/221654/3B5ABF30873EEF71D56B9873E340131226C42121C95041A0A5287AB218F61847", "Open")</f>
        <v>Open</v>
      </c>
      <c r="J808" t="s">
        <v>20</v>
      </c>
      <c r="K808" t="s">
        <v>21</v>
      </c>
      <c r="L808">
        <v>948000</v>
      </c>
      <c r="M808">
        <v>94800</v>
      </c>
    </row>
    <row r="809" spans="1:13" x14ac:dyDescent="0.25">
      <c r="A809" t="s">
        <v>2858</v>
      </c>
      <c r="B809" t="s">
        <v>2859</v>
      </c>
      <c r="C809" t="s">
        <v>121</v>
      </c>
      <c r="D809" t="s">
        <v>1671</v>
      </c>
      <c r="E809" t="s">
        <v>654</v>
      </c>
      <c r="F809" t="s">
        <v>334</v>
      </c>
      <c r="G809" t="s">
        <v>2860</v>
      </c>
      <c r="H809" t="str">
        <f>HYPERLINK("https://baanknet.com/view-property/287654/3CD3DC0824DCEE9E36451F99ED9B4FAA732675E665778A82FDFF22D9DD50F19C", "https://baanknet.com/view-property/287654/3CD3DC0824DCEE9E36451F99ED9B4FAA732675E665778A82FDFF22D9DD50F19C")</f>
        <v>https://baanknet.com/view-property/287654/3CD3DC0824DCEE9E36451F99ED9B4FAA732675E665778A82FDFF22D9DD50F19C</v>
      </c>
      <c r="I809" t="str">
        <f>HYPERLINK("https://baanknet.com/view-property/287654/3CD3DC0824DCEE9E36451F99ED9B4FAA732675E665778A82FDFF22D9DD50F19C", "Open")</f>
        <v>Open</v>
      </c>
      <c r="J809" t="s">
        <v>20</v>
      </c>
      <c r="K809" t="s">
        <v>21</v>
      </c>
      <c r="L809">
        <v>3193000</v>
      </c>
      <c r="M809">
        <v>319300</v>
      </c>
    </row>
    <row r="810" spans="1:13" x14ac:dyDescent="0.25">
      <c r="A810" t="s">
        <v>2861</v>
      </c>
      <c r="B810" t="s">
        <v>2862</v>
      </c>
      <c r="C810" t="s">
        <v>121</v>
      </c>
      <c r="D810" t="s">
        <v>157</v>
      </c>
      <c r="E810" t="s">
        <v>654</v>
      </c>
      <c r="F810" t="s">
        <v>334</v>
      </c>
      <c r="G810" t="s">
        <v>2863</v>
      </c>
      <c r="H810" t="str">
        <f>HYPERLINK("https://baanknet.com/view-property/240486/ADBB74F73992DA2D0542CBB82F5363FAC065082DC92798B1B92162FB1F0B065A", "https://baanknet.com/view-property/240486/ADBB74F73992DA2D0542CBB82F5363FAC065082DC92798B1B92162FB1F0B065A")</f>
        <v>https://baanknet.com/view-property/240486/ADBB74F73992DA2D0542CBB82F5363FAC065082DC92798B1B92162FB1F0B065A</v>
      </c>
      <c r="I810" t="str">
        <f>HYPERLINK("https://baanknet.com/view-property/240486/ADBB74F73992DA2D0542CBB82F5363FAC065082DC92798B1B92162FB1F0B065A", "Open")</f>
        <v>Open</v>
      </c>
      <c r="J810" t="s">
        <v>20</v>
      </c>
      <c r="K810" t="s">
        <v>21</v>
      </c>
      <c r="L810">
        <v>2526000</v>
      </c>
      <c r="M810">
        <v>252600</v>
      </c>
    </row>
    <row r="811" spans="1:13" x14ac:dyDescent="0.25">
      <c r="A811" t="s">
        <v>2864</v>
      </c>
      <c r="B811" t="s">
        <v>2865</v>
      </c>
      <c r="C811" t="s">
        <v>121</v>
      </c>
      <c r="D811" t="s">
        <v>2866</v>
      </c>
      <c r="E811" t="s">
        <v>654</v>
      </c>
      <c r="F811" t="s">
        <v>334</v>
      </c>
      <c r="G811" t="s">
        <v>2867</v>
      </c>
      <c r="H811" t="str">
        <f>HYPERLINK("https://baanknet.com/view-property/287621/26FD3F9CFA455D8596A35C6F27E657AA718524E67A11C710F44797D1F7D17B4E", "https://baanknet.com/view-property/287621/26FD3F9CFA455D8596A35C6F27E657AA718524E67A11C710F44797D1F7D17B4E")</f>
        <v>https://baanknet.com/view-property/287621/26FD3F9CFA455D8596A35C6F27E657AA718524E67A11C710F44797D1F7D17B4E</v>
      </c>
      <c r="I811" t="str">
        <f>HYPERLINK("https://baanknet.com/view-property/287621/26FD3F9CFA455D8596A35C6F27E657AA718524E67A11C710F44797D1F7D17B4E", "Open")</f>
        <v>Open</v>
      </c>
      <c r="J811" t="s">
        <v>20</v>
      </c>
      <c r="K811" t="s">
        <v>21</v>
      </c>
      <c r="L811">
        <v>1288000</v>
      </c>
      <c r="M811">
        <v>128800</v>
      </c>
    </row>
    <row r="812" spans="1:13" x14ac:dyDescent="0.25">
      <c r="A812" t="s">
        <v>2868</v>
      </c>
      <c r="B812" t="s">
        <v>2869</v>
      </c>
      <c r="C812" t="s">
        <v>121</v>
      </c>
      <c r="D812" t="s">
        <v>2870</v>
      </c>
      <c r="E812" t="s">
        <v>654</v>
      </c>
      <c r="F812" t="s">
        <v>334</v>
      </c>
      <c r="G812" t="s">
        <v>2871</v>
      </c>
      <c r="H812" t="str">
        <f>HYPERLINK("https://baanknet.com/view-property/287616/236372B3BEA86D1D67237BACB49727CEC6667BB0231E1E1CD4BAE1DABA72FD77", "https://baanknet.com/view-property/287616/236372B3BEA86D1D67237BACB49727CEC6667BB0231E1E1CD4BAE1DABA72FD77")</f>
        <v>https://baanknet.com/view-property/287616/236372B3BEA86D1D67237BACB49727CEC6667BB0231E1E1CD4BAE1DABA72FD77</v>
      </c>
      <c r="I812" t="str">
        <f>HYPERLINK("https://baanknet.com/view-property/287616/236372B3BEA86D1D67237BACB49727CEC6667BB0231E1E1CD4BAE1DABA72FD77", "Open")</f>
        <v>Open</v>
      </c>
      <c r="J812" t="s">
        <v>20</v>
      </c>
      <c r="K812" t="s">
        <v>21</v>
      </c>
      <c r="L812">
        <v>1000000</v>
      </c>
      <c r="M812">
        <v>100000</v>
      </c>
    </row>
    <row r="813" spans="1:13" x14ac:dyDescent="0.25">
      <c r="A813" t="s">
        <v>2872</v>
      </c>
      <c r="B813" t="s">
        <v>2873</v>
      </c>
      <c r="C813" t="s">
        <v>121</v>
      </c>
      <c r="D813" t="s">
        <v>1059</v>
      </c>
      <c r="E813" t="s">
        <v>654</v>
      </c>
      <c r="F813" t="s">
        <v>334</v>
      </c>
      <c r="G813" t="s">
        <v>2874</v>
      </c>
      <c r="H813" t="str">
        <f>HYPERLINK("https://baanknet.com/view-property/287600/C4EF2536F212FF7016BEFB0A9A9D5FB2AC4AEDFCB9F1E7ABD1FC9BFFBEA6024D", "https://baanknet.com/view-property/287600/C4EF2536F212FF7016BEFB0A9A9D5FB2AC4AEDFCB9F1E7ABD1FC9BFFBEA6024D")</f>
        <v>https://baanknet.com/view-property/287600/C4EF2536F212FF7016BEFB0A9A9D5FB2AC4AEDFCB9F1E7ABD1FC9BFFBEA6024D</v>
      </c>
      <c r="I813" t="str">
        <f>HYPERLINK("https://baanknet.com/view-property/287600/C4EF2536F212FF7016BEFB0A9A9D5FB2AC4AEDFCB9F1E7ABD1FC9BFFBEA6024D", "Open")</f>
        <v>Open</v>
      </c>
      <c r="J813" t="s">
        <v>20</v>
      </c>
      <c r="K813" t="s">
        <v>21</v>
      </c>
      <c r="L813">
        <v>1412000</v>
      </c>
      <c r="M813">
        <v>141200</v>
      </c>
    </row>
    <row r="814" spans="1:13" x14ac:dyDescent="0.25">
      <c r="A814" t="s">
        <v>2875</v>
      </c>
      <c r="B814" t="s">
        <v>2876</v>
      </c>
      <c r="C814" t="s">
        <v>121</v>
      </c>
      <c r="D814" t="s">
        <v>1402</v>
      </c>
      <c r="E814" t="s">
        <v>654</v>
      </c>
      <c r="F814" t="s">
        <v>334</v>
      </c>
      <c r="G814" t="s">
        <v>2877</v>
      </c>
      <c r="H814" t="str">
        <f>HYPERLINK("https://baanknet.com/view-property/268054/CEDAE9AB5587EE852E7C977BCE292568F0FB0BA289562BCBC99C0B92DCF0DD4B", "https://baanknet.com/view-property/268054/CEDAE9AB5587EE852E7C977BCE292568F0FB0BA289562BCBC99C0B92DCF0DD4B")</f>
        <v>https://baanknet.com/view-property/268054/CEDAE9AB5587EE852E7C977BCE292568F0FB0BA289562BCBC99C0B92DCF0DD4B</v>
      </c>
      <c r="I814" t="str">
        <f>HYPERLINK("https://baanknet.com/view-property/268054/CEDAE9AB5587EE852E7C977BCE292568F0FB0BA289562BCBC99C0B92DCF0DD4B", "Open")</f>
        <v>Open</v>
      </c>
      <c r="J814" t="s">
        <v>20</v>
      </c>
      <c r="K814" t="s">
        <v>21</v>
      </c>
      <c r="L814">
        <v>2300000</v>
      </c>
      <c r="M814">
        <v>230000</v>
      </c>
    </row>
    <row r="815" spans="1:13" x14ac:dyDescent="0.25">
      <c r="A815" t="s">
        <v>2878</v>
      </c>
      <c r="B815" t="s">
        <v>2879</v>
      </c>
      <c r="C815" t="s">
        <v>121</v>
      </c>
      <c r="D815" t="s">
        <v>2345</v>
      </c>
      <c r="E815" t="s">
        <v>654</v>
      </c>
      <c r="F815" t="s">
        <v>334</v>
      </c>
      <c r="G815" t="s">
        <v>2880</v>
      </c>
      <c r="H815" t="str">
        <f>HYPERLINK("https://baanknet.com/view-property/278797/2F1B4C96A156B37118B00EEC4F6A6A57B0987DA24F5F7D224548949FBE5B5E8F", "https://baanknet.com/view-property/278797/2F1B4C96A156B37118B00EEC4F6A6A57B0987DA24F5F7D224548949FBE5B5E8F")</f>
        <v>https://baanknet.com/view-property/278797/2F1B4C96A156B37118B00EEC4F6A6A57B0987DA24F5F7D224548949FBE5B5E8F</v>
      </c>
      <c r="I815" t="str">
        <f>HYPERLINK("https://baanknet.com/view-property/278797/2F1B4C96A156B37118B00EEC4F6A6A57B0987DA24F5F7D224548949FBE5B5E8F", "Open")</f>
        <v>Open</v>
      </c>
      <c r="J815" t="s">
        <v>20</v>
      </c>
      <c r="K815" t="s">
        <v>21</v>
      </c>
      <c r="L815">
        <v>1350000</v>
      </c>
      <c r="M815">
        <v>135000</v>
      </c>
    </row>
    <row r="816" spans="1:13" x14ac:dyDescent="0.25">
      <c r="A816" t="s">
        <v>2881</v>
      </c>
      <c r="B816" t="s">
        <v>2882</v>
      </c>
      <c r="C816" t="s">
        <v>121</v>
      </c>
      <c r="D816" t="s">
        <v>2883</v>
      </c>
      <c r="E816" t="s">
        <v>654</v>
      </c>
      <c r="F816" t="s">
        <v>334</v>
      </c>
      <c r="G816" t="s">
        <v>2884</v>
      </c>
      <c r="H816" t="str">
        <f>HYPERLINK("https://baanknet.com/view-property/287737/ACD24BC13FF2D1C52E039A41DB5C8E3C6795991C8819289BE15DEC2478C4C301", "https://baanknet.com/view-property/287737/ACD24BC13FF2D1C52E039A41DB5C8E3C6795991C8819289BE15DEC2478C4C301")</f>
        <v>https://baanknet.com/view-property/287737/ACD24BC13FF2D1C52E039A41DB5C8E3C6795991C8819289BE15DEC2478C4C301</v>
      </c>
      <c r="I816" t="str">
        <f>HYPERLINK("https://baanknet.com/view-property/287737/ACD24BC13FF2D1C52E039A41DB5C8E3C6795991C8819289BE15DEC2478C4C301", "Open")</f>
        <v>Open</v>
      </c>
      <c r="J816" t="s">
        <v>20</v>
      </c>
      <c r="K816" t="s">
        <v>21</v>
      </c>
      <c r="L816">
        <v>3080000</v>
      </c>
      <c r="M816">
        <v>308000</v>
      </c>
    </row>
    <row r="817" spans="1:13" x14ac:dyDescent="0.25">
      <c r="A817" t="s">
        <v>2885</v>
      </c>
      <c r="B817" t="s">
        <v>2886</v>
      </c>
      <c r="C817" t="s">
        <v>121</v>
      </c>
      <c r="D817" t="s">
        <v>2887</v>
      </c>
      <c r="E817" t="s">
        <v>654</v>
      </c>
      <c r="F817" t="s">
        <v>334</v>
      </c>
      <c r="G817" t="s">
        <v>2888</v>
      </c>
      <c r="H817" t="str">
        <f>HYPERLINK("https://baanknet.com/view-property/208290/67C27D5824ADE6EA76CCE3439AC24F64725F0880CCC4BC4158A79E8CFA823ED5", "https://baanknet.com/view-property/208290/67C27D5824ADE6EA76CCE3439AC24F64725F0880CCC4BC4158A79E8CFA823ED5")</f>
        <v>https://baanknet.com/view-property/208290/67C27D5824ADE6EA76CCE3439AC24F64725F0880CCC4BC4158A79E8CFA823ED5</v>
      </c>
      <c r="I817" t="str">
        <f>HYPERLINK("https://baanknet.com/view-property/208290/67C27D5824ADE6EA76CCE3439AC24F64725F0880CCC4BC4158A79E8CFA823ED5", "Open")</f>
        <v>Open</v>
      </c>
      <c r="J817" t="s">
        <v>20</v>
      </c>
      <c r="K817" t="s">
        <v>21</v>
      </c>
      <c r="L817">
        <v>1387000</v>
      </c>
      <c r="M817">
        <v>138700</v>
      </c>
    </row>
    <row r="818" spans="1:13" x14ac:dyDescent="0.25">
      <c r="A818" t="s">
        <v>2889</v>
      </c>
      <c r="B818" t="s">
        <v>2890</v>
      </c>
      <c r="C818" t="s">
        <v>121</v>
      </c>
      <c r="D818" t="s">
        <v>2891</v>
      </c>
      <c r="E818" t="s">
        <v>654</v>
      </c>
      <c r="F818" t="s">
        <v>334</v>
      </c>
      <c r="G818" t="s">
        <v>2892</v>
      </c>
      <c r="H818" t="str">
        <f>HYPERLINK("https://baanknet.com/view-property/221182/FC6D2B84B53DE09A577655C2872DF3E0C702AFAE8B3B427AD67C7B20F1DB6AFE", "https://baanknet.com/view-property/221182/FC6D2B84B53DE09A577655C2872DF3E0C702AFAE8B3B427AD67C7B20F1DB6AFE")</f>
        <v>https://baanknet.com/view-property/221182/FC6D2B84B53DE09A577655C2872DF3E0C702AFAE8B3B427AD67C7B20F1DB6AFE</v>
      </c>
      <c r="I818" t="str">
        <f>HYPERLINK("https://baanknet.com/view-property/221182/FC6D2B84B53DE09A577655C2872DF3E0C702AFAE8B3B427AD67C7B20F1DB6AFE", "Open")</f>
        <v>Open</v>
      </c>
      <c r="J818" t="s">
        <v>20</v>
      </c>
      <c r="K818" t="s">
        <v>21</v>
      </c>
      <c r="L818">
        <v>1753000</v>
      </c>
      <c r="M818">
        <v>175300</v>
      </c>
    </row>
    <row r="819" spans="1:13" x14ac:dyDescent="0.25">
      <c r="A819" t="s">
        <v>2893</v>
      </c>
      <c r="B819" t="s">
        <v>2894</v>
      </c>
      <c r="C819" t="s">
        <v>121</v>
      </c>
      <c r="D819" t="s">
        <v>2891</v>
      </c>
      <c r="E819" t="s">
        <v>654</v>
      </c>
      <c r="F819" t="s">
        <v>334</v>
      </c>
      <c r="G819" t="s">
        <v>2895</v>
      </c>
      <c r="H819" t="str">
        <f>HYPERLINK("https://baanknet.com/view-property/221174/5B5C87B314D54B5164D703A78A2541BBBF7FF3775F49240FFD5653756DB93A74", "https://baanknet.com/view-property/221174/5B5C87B314D54B5164D703A78A2541BBBF7FF3775F49240FFD5653756DB93A74")</f>
        <v>https://baanknet.com/view-property/221174/5B5C87B314D54B5164D703A78A2541BBBF7FF3775F49240FFD5653756DB93A74</v>
      </c>
      <c r="I819" t="str">
        <f>HYPERLINK("https://baanknet.com/view-property/221174/5B5C87B314D54B5164D703A78A2541BBBF7FF3775F49240FFD5653756DB93A74", "Open")</f>
        <v>Open</v>
      </c>
      <c r="J819" t="s">
        <v>20</v>
      </c>
      <c r="K819" t="s">
        <v>21</v>
      </c>
      <c r="L819">
        <v>4037000</v>
      </c>
      <c r="M819">
        <v>403700</v>
      </c>
    </row>
    <row r="820" spans="1:13" x14ac:dyDescent="0.25">
      <c r="A820" t="s">
        <v>2896</v>
      </c>
      <c r="B820" t="s">
        <v>2897</v>
      </c>
      <c r="C820" t="s">
        <v>121</v>
      </c>
      <c r="D820" t="s">
        <v>2891</v>
      </c>
      <c r="E820" t="s">
        <v>654</v>
      </c>
      <c r="F820" t="s">
        <v>334</v>
      </c>
      <c r="G820" t="s">
        <v>2898</v>
      </c>
      <c r="H820" t="str">
        <f>HYPERLINK("https://baanknet.com/view-property/221170/1CC4B82BB394DD9C196B4528B578905DE7D8608C387FA7FD4DEFBD59D6D0968B", "https://baanknet.com/view-property/221170/1CC4B82BB394DD9C196B4528B578905DE7D8608C387FA7FD4DEFBD59D6D0968B")</f>
        <v>https://baanknet.com/view-property/221170/1CC4B82BB394DD9C196B4528B578905DE7D8608C387FA7FD4DEFBD59D6D0968B</v>
      </c>
      <c r="I820" t="str">
        <f>HYPERLINK("https://baanknet.com/view-property/221170/1CC4B82BB394DD9C196B4528B578905DE7D8608C387FA7FD4DEFBD59D6D0968B", "Open")</f>
        <v>Open</v>
      </c>
      <c r="J820" t="s">
        <v>20</v>
      </c>
      <c r="K820" t="s">
        <v>21</v>
      </c>
      <c r="L820">
        <v>10878000</v>
      </c>
      <c r="M820">
        <v>1087800</v>
      </c>
    </row>
    <row r="821" spans="1:13" x14ac:dyDescent="0.25">
      <c r="A821" t="s">
        <v>2899</v>
      </c>
      <c r="B821" t="s">
        <v>2900</v>
      </c>
      <c r="C821" t="s">
        <v>121</v>
      </c>
      <c r="D821" t="s">
        <v>2167</v>
      </c>
      <c r="E821" t="s">
        <v>654</v>
      </c>
      <c r="F821" t="s">
        <v>334</v>
      </c>
      <c r="G821" t="s">
        <v>2901</v>
      </c>
      <c r="H821" t="str">
        <f>HYPERLINK("https://baanknet.com/view-property/184263/DCFFE5D77A4C0E0FD11C117FA32B220CBBDBF392D3983225641958A4E2B38425", "https://baanknet.com/view-property/184263/DCFFE5D77A4C0E0FD11C117FA32B220CBBDBF392D3983225641958A4E2B38425")</f>
        <v>https://baanknet.com/view-property/184263/DCFFE5D77A4C0E0FD11C117FA32B220CBBDBF392D3983225641958A4E2B38425</v>
      </c>
      <c r="I821" t="str">
        <f>HYPERLINK("https://baanknet.com/view-property/184263/DCFFE5D77A4C0E0FD11C117FA32B220CBBDBF392D3983225641958A4E2B38425", "Open")</f>
        <v>Open</v>
      </c>
      <c r="J821" t="s">
        <v>20</v>
      </c>
      <c r="K821" t="s">
        <v>21</v>
      </c>
      <c r="L821">
        <v>3863000</v>
      </c>
      <c r="M821">
        <v>386300</v>
      </c>
    </row>
    <row r="822" spans="1:13" x14ac:dyDescent="0.25">
      <c r="A822" t="s">
        <v>2902</v>
      </c>
      <c r="B822" t="s">
        <v>2903</v>
      </c>
      <c r="C822" t="s">
        <v>121</v>
      </c>
      <c r="D822" t="s">
        <v>1712</v>
      </c>
      <c r="E822" t="s">
        <v>654</v>
      </c>
      <c r="F822" t="s">
        <v>334</v>
      </c>
      <c r="G822" t="s">
        <v>2904</v>
      </c>
      <c r="H822" t="str">
        <f>HYPERLINK("https://baanknet.com/view-property/263898/5475465D22808E3135F1D57F9166508BAB0725D3448F4EAA1F2CFF19A0EEBA3B", "https://baanknet.com/view-property/263898/5475465D22808E3135F1D57F9166508BAB0725D3448F4EAA1F2CFF19A0EEBA3B")</f>
        <v>https://baanknet.com/view-property/263898/5475465D22808E3135F1D57F9166508BAB0725D3448F4EAA1F2CFF19A0EEBA3B</v>
      </c>
      <c r="I822" t="str">
        <f>HYPERLINK("https://baanknet.com/view-property/263898/5475465D22808E3135F1D57F9166508BAB0725D3448F4EAA1F2CFF19A0EEBA3B", "Open")</f>
        <v>Open</v>
      </c>
      <c r="J822" t="s">
        <v>20</v>
      </c>
      <c r="K822" t="s">
        <v>21</v>
      </c>
      <c r="L822">
        <v>9550000</v>
      </c>
      <c r="M822">
        <v>955000</v>
      </c>
    </row>
    <row r="823" spans="1:13" x14ac:dyDescent="0.25">
      <c r="A823" t="s">
        <v>2905</v>
      </c>
      <c r="B823" t="s">
        <v>2906</v>
      </c>
      <c r="C823" t="s">
        <v>121</v>
      </c>
      <c r="D823" t="s">
        <v>1702</v>
      </c>
      <c r="E823" t="s">
        <v>654</v>
      </c>
      <c r="F823" t="s">
        <v>334</v>
      </c>
      <c r="G823" t="s">
        <v>2907</v>
      </c>
      <c r="H823" t="str">
        <f>HYPERLINK("https://baanknet.com/view-property/191369/AF0C71D63038F2B30812A4D6E934EABDF2F36C143AAE4FDE64A4BB3B9CD5C760", "https://baanknet.com/view-property/191369/AF0C71D63038F2B30812A4D6E934EABDF2F36C143AAE4FDE64A4BB3B9CD5C760")</f>
        <v>https://baanknet.com/view-property/191369/AF0C71D63038F2B30812A4D6E934EABDF2F36C143AAE4FDE64A4BB3B9CD5C760</v>
      </c>
      <c r="I823" t="str">
        <f>HYPERLINK("https://baanknet.com/view-property/191369/AF0C71D63038F2B30812A4D6E934EABDF2F36C143AAE4FDE64A4BB3B9CD5C760", "Open")</f>
        <v>Open</v>
      </c>
      <c r="J823" t="s">
        <v>20</v>
      </c>
      <c r="K823" t="s">
        <v>21</v>
      </c>
      <c r="L823">
        <v>6174000</v>
      </c>
      <c r="M823">
        <v>617400</v>
      </c>
    </row>
    <row r="824" spans="1:13" x14ac:dyDescent="0.25">
      <c r="A824" t="s">
        <v>2908</v>
      </c>
      <c r="B824" t="s">
        <v>2909</v>
      </c>
      <c r="C824" t="s">
        <v>121</v>
      </c>
      <c r="D824" t="s">
        <v>2910</v>
      </c>
      <c r="E824" t="s">
        <v>654</v>
      </c>
      <c r="F824" t="s">
        <v>334</v>
      </c>
      <c r="G824" t="s">
        <v>2911</v>
      </c>
      <c r="H824" t="str">
        <f>HYPERLINK("https://baanknet.com/view-property/256937/A6FA133818BB028202BCCB4A38F99C0D791998AC8374DC6AE66F428B81AA8A07", "https://baanknet.com/view-property/256937/A6FA133818BB028202BCCB4A38F99C0D791998AC8374DC6AE66F428B81AA8A07")</f>
        <v>https://baanknet.com/view-property/256937/A6FA133818BB028202BCCB4A38F99C0D791998AC8374DC6AE66F428B81AA8A07</v>
      </c>
      <c r="I824" t="str">
        <f>HYPERLINK("https://baanknet.com/view-property/256937/A6FA133818BB028202BCCB4A38F99C0D791998AC8374DC6AE66F428B81AA8A07", "Open")</f>
        <v>Open</v>
      </c>
      <c r="J824" t="s">
        <v>20</v>
      </c>
      <c r="K824" t="s">
        <v>21</v>
      </c>
      <c r="L824">
        <v>3234000</v>
      </c>
      <c r="M824">
        <v>323400</v>
      </c>
    </row>
    <row r="825" spans="1:13" x14ac:dyDescent="0.25">
      <c r="A825" t="s">
        <v>2912</v>
      </c>
      <c r="B825" t="s">
        <v>2913</v>
      </c>
      <c r="C825" t="s">
        <v>121</v>
      </c>
      <c r="D825" t="s">
        <v>2870</v>
      </c>
      <c r="E825" t="s">
        <v>654</v>
      </c>
      <c r="F825" t="s">
        <v>334</v>
      </c>
      <c r="G825" t="s">
        <v>2914</v>
      </c>
      <c r="H825" t="str">
        <f>HYPERLINK("https://baanknet.com/view-property/228937/5ABC43F31D4F657EBCE18E41B8BD02DC8477AC3D10477A92C2FB1EA8A13D66A1", "https://baanknet.com/view-property/228937/5ABC43F31D4F657EBCE18E41B8BD02DC8477AC3D10477A92C2FB1EA8A13D66A1")</f>
        <v>https://baanknet.com/view-property/228937/5ABC43F31D4F657EBCE18E41B8BD02DC8477AC3D10477A92C2FB1EA8A13D66A1</v>
      </c>
      <c r="I825" t="str">
        <f>HYPERLINK("https://baanknet.com/view-property/228937/5ABC43F31D4F657EBCE18E41B8BD02DC8477AC3D10477A92C2FB1EA8A13D66A1", "Open")</f>
        <v>Open</v>
      </c>
      <c r="J825" t="s">
        <v>20</v>
      </c>
      <c r="K825" t="s">
        <v>21</v>
      </c>
      <c r="L825">
        <v>2082000</v>
      </c>
      <c r="M825">
        <v>208200</v>
      </c>
    </row>
    <row r="826" spans="1:13" x14ac:dyDescent="0.25">
      <c r="A826" t="s">
        <v>2915</v>
      </c>
      <c r="B826" t="s">
        <v>2916</v>
      </c>
      <c r="C826" t="s">
        <v>121</v>
      </c>
      <c r="D826" t="s">
        <v>758</v>
      </c>
      <c r="E826" t="s">
        <v>654</v>
      </c>
      <c r="F826" t="s">
        <v>334</v>
      </c>
      <c r="G826" t="s">
        <v>2917</v>
      </c>
      <c r="H826" t="str">
        <f>HYPERLINK("https://baanknet.com/view-property/255168/A4CDFAC70F12D476F977E4E585E842ECD2CDCF34A64451EBAF2C61CE0A64954D", "https://baanknet.com/view-property/255168/A4CDFAC70F12D476F977E4E585E842ECD2CDCF34A64451EBAF2C61CE0A64954D")</f>
        <v>https://baanknet.com/view-property/255168/A4CDFAC70F12D476F977E4E585E842ECD2CDCF34A64451EBAF2C61CE0A64954D</v>
      </c>
      <c r="I826" t="str">
        <f>HYPERLINK("https://baanknet.com/view-property/255168/A4CDFAC70F12D476F977E4E585E842ECD2CDCF34A64451EBAF2C61CE0A64954D", "Open")</f>
        <v>Open</v>
      </c>
      <c r="J826" t="s">
        <v>20</v>
      </c>
      <c r="K826" t="s">
        <v>21</v>
      </c>
      <c r="L826">
        <v>3827000</v>
      </c>
      <c r="M826">
        <v>382700</v>
      </c>
    </row>
    <row r="827" spans="1:13" x14ac:dyDescent="0.25">
      <c r="A827" t="s">
        <v>2918</v>
      </c>
      <c r="B827" t="s">
        <v>2919</v>
      </c>
      <c r="C827" t="s">
        <v>121</v>
      </c>
      <c r="D827" t="s">
        <v>2920</v>
      </c>
      <c r="E827" t="s">
        <v>654</v>
      </c>
      <c r="F827" t="s">
        <v>334</v>
      </c>
      <c r="G827" t="s">
        <v>2921</v>
      </c>
      <c r="H827" t="str">
        <f>HYPERLINK("https://baanknet.com/view-property/263361/2C5294F3751A39F59D557514740FC81BC9EDF1D35414831CE8D9C9065F17D510", "https://baanknet.com/view-property/263361/2C5294F3751A39F59D557514740FC81BC9EDF1D35414831CE8D9C9065F17D510")</f>
        <v>https://baanknet.com/view-property/263361/2C5294F3751A39F59D557514740FC81BC9EDF1D35414831CE8D9C9065F17D510</v>
      </c>
      <c r="I827" t="str">
        <f>HYPERLINK("https://baanknet.com/view-property/263361/2C5294F3751A39F59D557514740FC81BC9EDF1D35414831CE8D9C9065F17D510", "Open")</f>
        <v>Open</v>
      </c>
      <c r="J827" t="s">
        <v>20</v>
      </c>
      <c r="K827" t="s">
        <v>21</v>
      </c>
      <c r="L827">
        <v>1150000</v>
      </c>
      <c r="M827">
        <v>115000</v>
      </c>
    </row>
    <row r="828" spans="1:13" x14ac:dyDescent="0.25">
      <c r="A828" t="s">
        <v>2922</v>
      </c>
      <c r="B828" t="s">
        <v>2923</v>
      </c>
      <c r="C828" t="s">
        <v>121</v>
      </c>
      <c r="D828" t="s">
        <v>2924</v>
      </c>
      <c r="E828" t="s">
        <v>654</v>
      </c>
      <c r="F828" t="s">
        <v>334</v>
      </c>
      <c r="G828" t="s">
        <v>2925</v>
      </c>
      <c r="H828" t="str">
        <f>HYPERLINK("https://baanknet.com/view-property/174333/5CF2080DAFA9590E9E7E830AC78753116F9A322D409365607C4AF003576D9107", "https://baanknet.com/view-property/174333/5CF2080DAFA9590E9E7E830AC78753116F9A322D409365607C4AF003576D9107")</f>
        <v>https://baanknet.com/view-property/174333/5CF2080DAFA9590E9E7E830AC78753116F9A322D409365607C4AF003576D9107</v>
      </c>
      <c r="I828" t="str">
        <f>HYPERLINK("https://baanknet.com/view-property/174333/5CF2080DAFA9590E9E7E830AC78753116F9A322D409365607C4AF003576D9107", "Open")</f>
        <v>Open</v>
      </c>
      <c r="J828" t="s">
        <v>20</v>
      </c>
      <c r="K828" t="s">
        <v>21</v>
      </c>
      <c r="L828">
        <v>2381000</v>
      </c>
      <c r="M828">
        <v>238100</v>
      </c>
    </row>
    <row r="829" spans="1:13" x14ac:dyDescent="0.25">
      <c r="A829" t="s">
        <v>2926</v>
      </c>
      <c r="B829" t="s">
        <v>2927</v>
      </c>
      <c r="C829" t="s">
        <v>121</v>
      </c>
      <c r="D829" t="s">
        <v>2928</v>
      </c>
      <c r="E829" t="s">
        <v>654</v>
      </c>
      <c r="F829" t="s">
        <v>334</v>
      </c>
      <c r="G829" t="s">
        <v>2929</v>
      </c>
      <c r="H829" t="str">
        <f>HYPERLINK("https://baanknet.com/view-property/280116/DB6B5304A52CCFFDA367137086BF263BCEDD0F5ED7B847E408820099B67E9FCC", "https://baanknet.com/view-property/280116/DB6B5304A52CCFFDA367137086BF263BCEDD0F5ED7B847E408820099B67E9FCC")</f>
        <v>https://baanknet.com/view-property/280116/DB6B5304A52CCFFDA367137086BF263BCEDD0F5ED7B847E408820099B67E9FCC</v>
      </c>
      <c r="I829" t="str">
        <f>HYPERLINK("https://baanknet.com/view-property/280116/DB6B5304A52CCFFDA367137086BF263BCEDD0F5ED7B847E408820099B67E9FCC", "Open")</f>
        <v>Open</v>
      </c>
      <c r="J829" t="s">
        <v>20</v>
      </c>
      <c r="K829" t="s">
        <v>21</v>
      </c>
      <c r="L829">
        <v>2933000</v>
      </c>
      <c r="M829">
        <v>293300</v>
      </c>
    </row>
    <row r="830" spans="1:13" x14ac:dyDescent="0.25">
      <c r="A830" t="s">
        <v>2930</v>
      </c>
      <c r="B830" t="s">
        <v>2931</v>
      </c>
      <c r="C830" t="s">
        <v>121</v>
      </c>
      <c r="D830" t="s">
        <v>2932</v>
      </c>
      <c r="E830" t="s">
        <v>654</v>
      </c>
      <c r="F830" t="s">
        <v>334</v>
      </c>
      <c r="G830" t="s">
        <v>2933</v>
      </c>
      <c r="H830" t="str">
        <f>HYPERLINK("https://baanknet.com/view-property/202155/0FA8526406458261D78C38EA25F7079FBAA208AB4B863F7966297D110A07A345", "https://baanknet.com/view-property/202155/0FA8526406458261D78C38EA25F7079FBAA208AB4B863F7966297D110A07A345")</f>
        <v>https://baanknet.com/view-property/202155/0FA8526406458261D78C38EA25F7079FBAA208AB4B863F7966297D110A07A345</v>
      </c>
      <c r="I830" t="str">
        <f>HYPERLINK("https://baanknet.com/view-property/202155/0FA8526406458261D78C38EA25F7079FBAA208AB4B863F7966297D110A07A345", "Open")</f>
        <v>Open</v>
      </c>
      <c r="J830" t="s">
        <v>20</v>
      </c>
      <c r="K830" t="s">
        <v>21</v>
      </c>
      <c r="L830">
        <v>468000</v>
      </c>
      <c r="M830">
        <v>46800</v>
      </c>
    </row>
    <row r="831" spans="1:13" x14ac:dyDescent="0.25">
      <c r="A831" t="s">
        <v>2934</v>
      </c>
      <c r="B831" t="s">
        <v>2935</v>
      </c>
      <c r="C831" t="s">
        <v>121</v>
      </c>
      <c r="D831" t="s">
        <v>2936</v>
      </c>
      <c r="E831" t="s">
        <v>654</v>
      </c>
      <c r="F831" t="s">
        <v>334</v>
      </c>
      <c r="G831" t="s">
        <v>2937</v>
      </c>
      <c r="H831" t="str">
        <f>HYPERLINK("https://baanknet.com/view-property/185131/E1EFBD027C53F3336E99FFC2B02D27166F2BFBB531C55B7706CDB1B62A1E7644", "https://baanknet.com/view-property/185131/E1EFBD027C53F3336E99FFC2B02D27166F2BFBB531C55B7706CDB1B62A1E7644")</f>
        <v>https://baanknet.com/view-property/185131/E1EFBD027C53F3336E99FFC2B02D27166F2BFBB531C55B7706CDB1B62A1E7644</v>
      </c>
      <c r="I831" t="str">
        <f>HYPERLINK("https://baanknet.com/view-property/185131/E1EFBD027C53F3336E99FFC2B02D27166F2BFBB531C55B7706CDB1B62A1E7644", "Open")</f>
        <v>Open</v>
      </c>
      <c r="J831" t="s">
        <v>20</v>
      </c>
      <c r="K831" t="s">
        <v>21</v>
      </c>
      <c r="L831">
        <v>564000</v>
      </c>
      <c r="M831">
        <v>56400</v>
      </c>
    </row>
    <row r="832" spans="1:13" x14ac:dyDescent="0.25">
      <c r="A832" t="s">
        <v>2938</v>
      </c>
      <c r="B832" t="s">
        <v>2939</v>
      </c>
      <c r="C832" t="s">
        <v>121</v>
      </c>
      <c r="D832" t="s">
        <v>2936</v>
      </c>
      <c r="E832" t="s">
        <v>654</v>
      </c>
      <c r="F832" t="s">
        <v>334</v>
      </c>
      <c r="G832" t="s">
        <v>2940</v>
      </c>
      <c r="H832" t="str">
        <f>HYPERLINK("https://baanknet.com/view-property/185143/3CC261143FEF6839F9415EF8CB3A119C302926D1E51032A9D43D48B92453E52D", "https://baanknet.com/view-property/185143/3CC261143FEF6839F9415EF8CB3A119C302926D1E51032A9D43D48B92453E52D")</f>
        <v>https://baanknet.com/view-property/185143/3CC261143FEF6839F9415EF8CB3A119C302926D1E51032A9D43D48B92453E52D</v>
      </c>
      <c r="I832" t="str">
        <f>HYPERLINK("https://baanknet.com/view-property/185143/3CC261143FEF6839F9415EF8CB3A119C302926D1E51032A9D43D48B92453E52D", "Open")</f>
        <v>Open</v>
      </c>
      <c r="J832" t="s">
        <v>20</v>
      </c>
      <c r="K832" t="s">
        <v>21</v>
      </c>
      <c r="L832">
        <v>1102000</v>
      </c>
      <c r="M832">
        <v>110200</v>
      </c>
    </row>
    <row r="833" spans="1:13" x14ac:dyDescent="0.25">
      <c r="A833" t="s">
        <v>2941</v>
      </c>
      <c r="B833" t="s">
        <v>2942</v>
      </c>
      <c r="C833" t="s">
        <v>121</v>
      </c>
      <c r="D833" t="s">
        <v>995</v>
      </c>
      <c r="E833" t="s">
        <v>654</v>
      </c>
      <c r="F833" t="s">
        <v>334</v>
      </c>
      <c r="G833" t="s">
        <v>2943</v>
      </c>
      <c r="H833" t="str">
        <f>HYPERLINK("https://baanknet.com/view-property/171897/E396DCB9D492438418FF0427114C67BA72FC62F61C60F5187E0C3AB0A51C19F7", "https://baanknet.com/view-property/171897/E396DCB9D492438418FF0427114C67BA72FC62F61C60F5187E0C3AB0A51C19F7")</f>
        <v>https://baanknet.com/view-property/171897/E396DCB9D492438418FF0427114C67BA72FC62F61C60F5187E0C3AB0A51C19F7</v>
      </c>
      <c r="I833" t="str">
        <f>HYPERLINK("https://baanknet.com/view-property/171897/E396DCB9D492438418FF0427114C67BA72FC62F61C60F5187E0C3AB0A51C19F7", "Open")</f>
        <v>Open</v>
      </c>
      <c r="J833" t="s">
        <v>20</v>
      </c>
      <c r="K833" t="s">
        <v>21</v>
      </c>
      <c r="L833">
        <v>335000</v>
      </c>
      <c r="M833">
        <v>33500</v>
      </c>
    </row>
    <row r="834" spans="1:13" x14ac:dyDescent="0.25">
      <c r="A834" t="s">
        <v>2944</v>
      </c>
      <c r="B834" t="s">
        <v>2945</v>
      </c>
      <c r="C834" t="s">
        <v>121</v>
      </c>
      <c r="D834" t="s">
        <v>2946</v>
      </c>
      <c r="E834" t="s">
        <v>654</v>
      </c>
      <c r="F834" t="s">
        <v>334</v>
      </c>
      <c r="G834" t="s">
        <v>2947</v>
      </c>
      <c r="H834" t="str">
        <f>HYPERLINK("https://baanknet.com/view-property/176398/0026A24CA44B7E98CD912B4722306736A7A08CDCA85CB0B7CB7978A4DC1A593E", "https://baanknet.com/view-property/176398/0026A24CA44B7E98CD912B4722306736A7A08CDCA85CB0B7CB7978A4DC1A593E")</f>
        <v>https://baanknet.com/view-property/176398/0026A24CA44B7E98CD912B4722306736A7A08CDCA85CB0B7CB7978A4DC1A593E</v>
      </c>
      <c r="I834" t="str">
        <f>HYPERLINK("https://baanknet.com/view-property/176398/0026A24CA44B7E98CD912B4722306736A7A08CDCA85CB0B7CB7978A4DC1A593E", "Open")</f>
        <v>Open</v>
      </c>
      <c r="J834" t="s">
        <v>20</v>
      </c>
      <c r="K834" t="s">
        <v>21</v>
      </c>
      <c r="L834">
        <v>496000</v>
      </c>
      <c r="M834">
        <v>49600</v>
      </c>
    </row>
    <row r="835" spans="1:13" x14ac:dyDescent="0.25">
      <c r="A835" t="s">
        <v>2948</v>
      </c>
      <c r="B835" t="s">
        <v>2949</v>
      </c>
      <c r="C835" t="s">
        <v>121</v>
      </c>
      <c r="D835" t="s">
        <v>2950</v>
      </c>
      <c r="E835" t="s">
        <v>654</v>
      </c>
      <c r="F835" t="s">
        <v>334</v>
      </c>
      <c r="G835" t="s">
        <v>2951</v>
      </c>
      <c r="H835" t="str">
        <f>HYPERLINK("https://baanknet.com/view-property/256957/C551A9B35EC61E102FFDF1023654BE6207E50FE5D217270701D147108DB9E8E7", "https://baanknet.com/view-property/256957/C551A9B35EC61E102FFDF1023654BE6207E50FE5D217270701D147108DB9E8E7")</f>
        <v>https://baanknet.com/view-property/256957/C551A9B35EC61E102FFDF1023654BE6207E50FE5D217270701D147108DB9E8E7</v>
      </c>
      <c r="I835" t="str">
        <f>HYPERLINK("https://baanknet.com/view-property/256957/C551A9B35EC61E102FFDF1023654BE6207E50FE5D217270701D147108DB9E8E7", "Open")</f>
        <v>Open</v>
      </c>
      <c r="J835" t="s">
        <v>20</v>
      </c>
      <c r="K835" t="s">
        <v>21</v>
      </c>
      <c r="L835">
        <v>5270000</v>
      </c>
      <c r="M835">
        <v>527000</v>
      </c>
    </row>
    <row r="836" spans="1:13" x14ac:dyDescent="0.25">
      <c r="A836" t="s">
        <v>2952</v>
      </c>
      <c r="B836" t="s">
        <v>2953</v>
      </c>
      <c r="C836" t="s">
        <v>121</v>
      </c>
      <c r="D836" t="s">
        <v>2954</v>
      </c>
      <c r="E836" t="s">
        <v>654</v>
      </c>
      <c r="F836" t="s">
        <v>334</v>
      </c>
      <c r="G836" t="s">
        <v>2955</v>
      </c>
      <c r="H836" t="str">
        <f>HYPERLINK("https://baanknet.com/view-property/277164/7FEC85FBD01D44291D9C2A100F0C7D884B89447D084DDBF123BC931C5BA15C89", "https://baanknet.com/view-property/277164/7FEC85FBD01D44291D9C2A100F0C7D884B89447D084DDBF123BC931C5BA15C89")</f>
        <v>https://baanknet.com/view-property/277164/7FEC85FBD01D44291D9C2A100F0C7D884B89447D084DDBF123BC931C5BA15C89</v>
      </c>
      <c r="I836" t="str">
        <f>HYPERLINK("https://baanknet.com/view-property/277164/7FEC85FBD01D44291D9C2A100F0C7D884B89447D084DDBF123BC931C5BA15C89", "Open")</f>
        <v>Open</v>
      </c>
      <c r="J836" t="s">
        <v>20</v>
      </c>
      <c r="K836" t="s">
        <v>21</v>
      </c>
      <c r="L836">
        <v>2069000</v>
      </c>
      <c r="M836">
        <v>206900</v>
      </c>
    </row>
    <row r="837" spans="1:13" x14ac:dyDescent="0.25">
      <c r="A837" t="s">
        <v>2956</v>
      </c>
      <c r="B837" t="s">
        <v>2957</v>
      </c>
      <c r="C837" t="s">
        <v>121</v>
      </c>
      <c r="D837" t="s">
        <v>2958</v>
      </c>
      <c r="E837" t="s">
        <v>654</v>
      </c>
      <c r="F837" t="s">
        <v>334</v>
      </c>
      <c r="G837" t="s">
        <v>2959</v>
      </c>
      <c r="H837" t="str">
        <f>HYPERLINK("https://baanknet.com/view-property/276033/1C66C4872008D57F0B3F70FEE78210CEFBFA4EF26DE31B20AF8FA8DE3216850C", "https://baanknet.com/view-property/276033/1C66C4872008D57F0B3F70FEE78210CEFBFA4EF26DE31B20AF8FA8DE3216850C")</f>
        <v>https://baanknet.com/view-property/276033/1C66C4872008D57F0B3F70FEE78210CEFBFA4EF26DE31B20AF8FA8DE3216850C</v>
      </c>
      <c r="I837" t="str">
        <f>HYPERLINK("https://baanknet.com/view-property/276033/1C66C4872008D57F0B3F70FEE78210CEFBFA4EF26DE31B20AF8FA8DE3216850C", "Open")</f>
        <v>Open</v>
      </c>
      <c r="J837" t="s">
        <v>20</v>
      </c>
      <c r="K837" t="s">
        <v>21</v>
      </c>
      <c r="L837">
        <v>1798600</v>
      </c>
      <c r="M837">
        <v>179860</v>
      </c>
    </row>
    <row r="838" spans="1:13" x14ac:dyDescent="0.25">
      <c r="A838" t="s">
        <v>2960</v>
      </c>
      <c r="B838" t="s">
        <v>2961</v>
      </c>
      <c r="C838" t="s">
        <v>121</v>
      </c>
      <c r="D838" t="s">
        <v>995</v>
      </c>
      <c r="E838" t="s">
        <v>654</v>
      </c>
      <c r="F838" t="s">
        <v>334</v>
      </c>
      <c r="G838" t="s">
        <v>2962</v>
      </c>
      <c r="H838" t="str">
        <f>HYPERLINK("https://baanknet.com/view-property/176877/5D60152F7406C48843CD583E24B6D2A515073B43D591212A5DC0F6AC0EB54BAA", "https://baanknet.com/view-property/176877/5D60152F7406C48843CD583E24B6D2A515073B43D591212A5DC0F6AC0EB54BAA")</f>
        <v>https://baanknet.com/view-property/176877/5D60152F7406C48843CD583E24B6D2A515073B43D591212A5DC0F6AC0EB54BAA</v>
      </c>
      <c r="I838" t="str">
        <f>HYPERLINK("https://baanknet.com/view-property/176877/5D60152F7406C48843CD583E24B6D2A515073B43D591212A5DC0F6AC0EB54BAA", "Open")</f>
        <v>Open</v>
      </c>
      <c r="J838" t="s">
        <v>20</v>
      </c>
      <c r="K838" t="s">
        <v>21</v>
      </c>
      <c r="L838">
        <v>1437300</v>
      </c>
      <c r="M838">
        <v>143730</v>
      </c>
    </row>
    <row r="839" spans="1:13" x14ac:dyDescent="0.25">
      <c r="A839" t="s">
        <v>2963</v>
      </c>
      <c r="B839" t="s">
        <v>2964</v>
      </c>
      <c r="C839" t="s">
        <v>121</v>
      </c>
      <c r="D839" t="s">
        <v>2965</v>
      </c>
      <c r="E839" t="s">
        <v>654</v>
      </c>
      <c r="F839" t="s">
        <v>334</v>
      </c>
      <c r="G839" t="s">
        <v>2966</v>
      </c>
      <c r="H839" t="str">
        <f>HYPERLINK("https://baanknet.com/view-property/213046/E414F2852CC0989B30C13D9031E37AF8063CE26E5B5C06A719313130EB94E5A2", "https://baanknet.com/view-property/213046/E414F2852CC0989B30C13D9031E37AF8063CE26E5B5C06A719313130EB94E5A2")</f>
        <v>https://baanknet.com/view-property/213046/E414F2852CC0989B30C13D9031E37AF8063CE26E5B5C06A719313130EB94E5A2</v>
      </c>
      <c r="I839" t="str">
        <f>HYPERLINK("https://baanknet.com/view-property/213046/E414F2852CC0989B30C13D9031E37AF8063CE26E5B5C06A719313130EB94E5A2", "Open")</f>
        <v>Open</v>
      </c>
      <c r="J839" t="s">
        <v>20</v>
      </c>
      <c r="K839" t="s">
        <v>21</v>
      </c>
      <c r="L839">
        <v>3673000</v>
      </c>
      <c r="M839">
        <v>367300</v>
      </c>
    </row>
    <row r="840" spans="1:13" x14ac:dyDescent="0.25">
      <c r="A840" t="s">
        <v>2967</v>
      </c>
      <c r="B840" t="s">
        <v>2968</v>
      </c>
      <c r="C840" t="s">
        <v>121</v>
      </c>
      <c r="D840" t="s">
        <v>2954</v>
      </c>
      <c r="E840" t="s">
        <v>654</v>
      </c>
      <c r="F840" t="s">
        <v>334</v>
      </c>
      <c r="G840" t="s">
        <v>2969</v>
      </c>
      <c r="H840" t="str">
        <f>HYPERLINK("https://baanknet.com/view-property/212821/7F64DE3B8F5CE3C384F81364232DC5A0CE82D3F3315B1464B94F2293013298FB", "https://baanknet.com/view-property/212821/7F64DE3B8F5CE3C384F81364232DC5A0CE82D3F3315B1464B94F2293013298FB")</f>
        <v>https://baanknet.com/view-property/212821/7F64DE3B8F5CE3C384F81364232DC5A0CE82D3F3315B1464B94F2293013298FB</v>
      </c>
      <c r="I840" t="str">
        <f>HYPERLINK("https://baanknet.com/view-property/212821/7F64DE3B8F5CE3C384F81364232DC5A0CE82D3F3315B1464B94F2293013298FB", "Open")</f>
        <v>Open</v>
      </c>
      <c r="J840" t="s">
        <v>20</v>
      </c>
      <c r="K840" t="s">
        <v>21</v>
      </c>
      <c r="L840">
        <v>3060000</v>
      </c>
      <c r="M840">
        <v>306000</v>
      </c>
    </row>
    <row r="841" spans="1:13" x14ac:dyDescent="0.25">
      <c r="A841" t="s">
        <v>2970</v>
      </c>
      <c r="B841" t="s">
        <v>2971</v>
      </c>
      <c r="C841" t="s">
        <v>121</v>
      </c>
      <c r="D841" t="s">
        <v>2972</v>
      </c>
      <c r="E841" t="s">
        <v>654</v>
      </c>
      <c r="F841" t="s">
        <v>334</v>
      </c>
      <c r="G841" t="s">
        <v>2973</v>
      </c>
      <c r="H841" t="str">
        <f>HYPERLINK("https://baanknet.com/view-property/177750/D76F7BF62B4B4249C30A9CD4204B82784BDD315CD35A2CA587DD86D894023ED7", "https://baanknet.com/view-property/177750/D76F7BF62B4B4249C30A9CD4204B82784BDD315CD35A2CA587DD86D894023ED7")</f>
        <v>https://baanknet.com/view-property/177750/D76F7BF62B4B4249C30A9CD4204B82784BDD315CD35A2CA587DD86D894023ED7</v>
      </c>
      <c r="I841" t="str">
        <f>HYPERLINK("https://baanknet.com/view-property/177750/D76F7BF62B4B4249C30A9CD4204B82784BDD315CD35A2CA587DD86D894023ED7", "Open")</f>
        <v>Open</v>
      </c>
      <c r="J841" t="s">
        <v>20</v>
      </c>
      <c r="K841" t="s">
        <v>21</v>
      </c>
      <c r="L841">
        <v>518000</v>
      </c>
      <c r="M841">
        <v>51800</v>
      </c>
    </row>
    <row r="842" spans="1:13" x14ac:dyDescent="0.25">
      <c r="A842" t="s">
        <v>2974</v>
      </c>
      <c r="B842" t="s">
        <v>2975</v>
      </c>
      <c r="C842" t="s">
        <v>121</v>
      </c>
      <c r="D842" t="s">
        <v>2976</v>
      </c>
      <c r="E842" t="s">
        <v>654</v>
      </c>
      <c r="F842" t="s">
        <v>334</v>
      </c>
      <c r="G842" t="s">
        <v>2977</v>
      </c>
      <c r="H842" t="str">
        <f>HYPERLINK("https://baanknet.com/view-property/183357/02CEA9040CCBB6B04BEA65D2201B06CB9D7B2A22864FF641A7117BD22113D059", "https://baanknet.com/view-property/183357/02CEA9040CCBB6B04BEA65D2201B06CB9D7B2A22864FF641A7117BD22113D059")</f>
        <v>https://baanknet.com/view-property/183357/02CEA9040CCBB6B04BEA65D2201B06CB9D7B2A22864FF641A7117BD22113D059</v>
      </c>
      <c r="I842" t="str">
        <f>HYPERLINK("https://baanknet.com/view-property/183357/02CEA9040CCBB6B04BEA65D2201B06CB9D7B2A22864FF641A7117BD22113D059", "Open")</f>
        <v>Open</v>
      </c>
      <c r="J842" t="s">
        <v>20</v>
      </c>
      <c r="K842" t="s">
        <v>21</v>
      </c>
      <c r="L842">
        <v>3012000</v>
      </c>
      <c r="M842">
        <v>301200</v>
      </c>
    </row>
    <row r="843" spans="1:13" x14ac:dyDescent="0.25">
      <c r="A843" t="s">
        <v>2978</v>
      </c>
      <c r="B843" t="s">
        <v>2979</v>
      </c>
      <c r="C843" t="s">
        <v>121</v>
      </c>
      <c r="D843" t="s">
        <v>2980</v>
      </c>
      <c r="E843" t="s">
        <v>654</v>
      </c>
      <c r="F843" t="s">
        <v>334</v>
      </c>
      <c r="G843" t="s">
        <v>2981</v>
      </c>
      <c r="H843" t="str">
        <f>HYPERLINK("https://baanknet.com/view-property/253358/C2C190844498DDB78840379C6AA8C6893F6714C56B254729B8879A3333BE31A1", "https://baanknet.com/view-property/253358/C2C190844498DDB78840379C6AA8C6893F6714C56B254729B8879A3333BE31A1")</f>
        <v>https://baanknet.com/view-property/253358/C2C190844498DDB78840379C6AA8C6893F6714C56B254729B8879A3333BE31A1</v>
      </c>
      <c r="I843" t="str">
        <f>HYPERLINK("https://baanknet.com/view-property/253358/C2C190844498DDB78840379C6AA8C6893F6714C56B254729B8879A3333BE31A1", "Open")</f>
        <v>Open</v>
      </c>
      <c r="J843" t="s">
        <v>20</v>
      </c>
      <c r="K843" t="s">
        <v>21</v>
      </c>
      <c r="L843">
        <v>2586000</v>
      </c>
      <c r="M843">
        <v>258600</v>
      </c>
    </row>
    <row r="844" spans="1:13" x14ac:dyDescent="0.25">
      <c r="A844" t="s">
        <v>2982</v>
      </c>
      <c r="B844" t="s">
        <v>2983</v>
      </c>
      <c r="C844" t="s">
        <v>121</v>
      </c>
      <c r="D844" t="s">
        <v>2984</v>
      </c>
      <c r="E844" t="s">
        <v>654</v>
      </c>
      <c r="F844" t="s">
        <v>334</v>
      </c>
      <c r="G844" t="s">
        <v>2985</v>
      </c>
      <c r="H844" t="str">
        <f>HYPERLINK("https://baanknet.com/view-property/183186/3D49F417C8C1292FADD50E2963415E292E4759DE604726379839AA0CB98C0FF5", "https://baanknet.com/view-property/183186/3D49F417C8C1292FADD50E2963415E292E4759DE604726379839AA0CB98C0FF5")</f>
        <v>https://baanknet.com/view-property/183186/3D49F417C8C1292FADD50E2963415E292E4759DE604726379839AA0CB98C0FF5</v>
      </c>
      <c r="I844" t="str">
        <f>HYPERLINK("https://baanknet.com/view-property/183186/3D49F417C8C1292FADD50E2963415E292E4759DE604726379839AA0CB98C0FF5", "Open")</f>
        <v>Open</v>
      </c>
      <c r="J844" t="s">
        <v>20</v>
      </c>
      <c r="K844" t="s">
        <v>21</v>
      </c>
      <c r="L844">
        <v>1368000</v>
      </c>
      <c r="M844">
        <v>136800</v>
      </c>
    </row>
    <row r="845" spans="1:13" x14ac:dyDescent="0.25">
      <c r="A845" t="s">
        <v>2986</v>
      </c>
      <c r="B845" t="s">
        <v>2987</v>
      </c>
      <c r="C845" t="s">
        <v>121</v>
      </c>
      <c r="D845" t="s">
        <v>2988</v>
      </c>
      <c r="E845" t="s">
        <v>654</v>
      </c>
      <c r="F845" t="s">
        <v>334</v>
      </c>
      <c r="G845" t="s">
        <v>2989</v>
      </c>
      <c r="H845" t="str">
        <f>HYPERLINK("https://baanknet.com/view-property/183436/6C56BD83F64415C6C53C7FB79EC3E5BF1AB9EC4D192FA70BFE9034E4BD7256FD", "https://baanknet.com/view-property/183436/6C56BD83F64415C6C53C7FB79EC3E5BF1AB9EC4D192FA70BFE9034E4BD7256FD")</f>
        <v>https://baanknet.com/view-property/183436/6C56BD83F64415C6C53C7FB79EC3E5BF1AB9EC4D192FA70BFE9034E4BD7256FD</v>
      </c>
      <c r="I845" t="str">
        <f>HYPERLINK("https://baanknet.com/view-property/183436/6C56BD83F64415C6C53C7FB79EC3E5BF1AB9EC4D192FA70BFE9034E4BD7256FD", "Open")</f>
        <v>Open</v>
      </c>
      <c r="J845" t="s">
        <v>20</v>
      </c>
      <c r="K845" t="s">
        <v>21</v>
      </c>
      <c r="L845">
        <v>1098000</v>
      </c>
      <c r="M845">
        <v>109800</v>
      </c>
    </row>
    <row r="846" spans="1:13" x14ac:dyDescent="0.25">
      <c r="A846" t="s">
        <v>2990</v>
      </c>
      <c r="B846" t="s">
        <v>2991</v>
      </c>
      <c r="C846" t="s">
        <v>121</v>
      </c>
      <c r="D846" t="s">
        <v>2976</v>
      </c>
      <c r="E846" t="s">
        <v>654</v>
      </c>
      <c r="F846" t="s">
        <v>334</v>
      </c>
      <c r="G846" t="s">
        <v>2992</v>
      </c>
      <c r="H846" t="str">
        <f>HYPERLINK("https://baanknet.com/view-property/181542/20B55412DBA4CE889C5AC1EC8CA94BB04B24C189A3C3F2CA5EF1DDD9434FBB56", "https://baanknet.com/view-property/181542/20B55412DBA4CE889C5AC1EC8CA94BB04B24C189A3C3F2CA5EF1DDD9434FBB56")</f>
        <v>https://baanknet.com/view-property/181542/20B55412DBA4CE889C5AC1EC8CA94BB04B24C189A3C3F2CA5EF1DDD9434FBB56</v>
      </c>
      <c r="I846" t="str">
        <f>HYPERLINK("https://baanknet.com/view-property/181542/20B55412DBA4CE889C5AC1EC8CA94BB04B24C189A3C3F2CA5EF1DDD9434FBB56", "Open")</f>
        <v>Open</v>
      </c>
      <c r="J846" t="s">
        <v>20</v>
      </c>
      <c r="K846" t="s">
        <v>21</v>
      </c>
      <c r="L846">
        <v>1652000</v>
      </c>
      <c r="M846">
        <v>165200</v>
      </c>
    </row>
    <row r="847" spans="1:13" x14ac:dyDescent="0.25">
      <c r="A847" t="s">
        <v>2993</v>
      </c>
      <c r="B847" t="s">
        <v>2994</v>
      </c>
      <c r="C847" t="s">
        <v>121</v>
      </c>
      <c r="D847" t="s">
        <v>2984</v>
      </c>
      <c r="E847" t="s">
        <v>654</v>
      </c>
      <c r="F847" t="s">
        <v>334</v>
      </c>
      <c r="G847" t="s">
        <v>2995</v>
      </c>
      <c r="H847" t="str">
        <f>HYPERLINK("https://baanknet.com/view-property/183553/11075F50B2293BAAEDDD27EC49D2FB0CE382F07612541C1DE58747215211CCA1", "https://baanknet.com/view-property/183553/11075F50B2293BAAEDDD27EC49D2FB0CE382F07612541C1DE58747215211CCA1")</f>
        <v>https://baanknet.com/view-property/183553/11075F50B2293BAAEDDD27EC49D2FB0CE382F07612541C1DE58747215211CCA1</v>
      </c>
      <c r="I847" t="str">
        <f>HYPERLINK("https://baanknet.com/view-property/183553/11075F50B2293BAAEDDD27EC49D2FB0CE382F07612541C1DE58747215211CCA1", "Open")</f>
        <v>Open</v>
      </c>
      <c r="J847" t="s">
        <v>20</v>
      </c>
      <c r="K847" t="s">
        <v>21</v>
      </c>
      <c r="L847">
        <v>2165000</v>
      </c>
      <c r="M847">
        <v>216500</v>
      </c>
    </row>
    <row r="848" spans="1:13" x14ac:dyDescent="0.25">
      <c r="A848" t="s">
        <v>2996</v>
      </c>
      <c r="B848" t="s">
        <v>2997</v>
      </c>
      <c r="C848" t="s">
        <v>121</v>
      </c>
      <c r="D848" t="s">
        <v>149</v>
      </c>
      <c r="E848" t="s">
        <v>654</v>
      </c>
      <c r="F848" t="s">
        <v>334</v>
      </c>
      <c r="G848" t="s">
        <v>2998</v>
      </c>
      <c r="H848" t="str">
        <f>HYPERLINK("https://baanknet.com/view-property/287775/A4AA26067A2527A9157B242857F9A783E6B32B50D6A2962410160D994E81D0D9", "https://baanknet.com/view-property/287775/A4AA26067A2527A9157B242857F9A783E6B32B50D6A2962410160D994E81D0D9")</f>
        <v>https://baanknet.com/view-property/287775/A4AA26067A2527A9157B242857F9A783E6B32B50D6A2962410160D994E81D0D9</v>
      </c>
      <c r="I848" t="str">
        <f>HYPERLINK("https://baanknet.com/view-property/287775/A4AA26067A2527A9157B242857F9A783E6B32B50D6A2962410160D994E81D0D9", "Open")</f>
        <v>Open</v>
      </c>
      <c r="J848" t="s">
        <v>20</v>
      </c>
      <c r="K848" t="s">
        <v>21</v>
      </c>
      <c r="L848">
        <v>2237000</v>
      </c>
      <c r="M848">
        <v>223700</v>
      </c>
    </row>
    <row r="849" spans="1:13" x14ac:dyDescent="0.25">
      <c r="A849" t="s">
        <v>2999</v>
      </c>
      <c r="B849" t="s">
        <v>3000</v>
      </c>
      <c r="C849" t="s">
        <v>121</v>
      </c>
      <c r="D849" t="s">
        <v>3001</v>
      </c>
      <c r="E849" t="s">
        <v>654</v>
      </c>
      <c r="F849" t="s">
        <v>334</v>
      </c>
      <c r="G849" t="s">
        <v>3002</v>
      </c>
      <c r="H849" t="str">
        <f>HYPERLINK("https://baanknet.com/view-property/185803/DFF4857679EA5732871DFD4CB6947997BC71C8B3030A46EA0BCF0B68EC748FA8", "https://baanknet.com/view-property/185803/DFF4857679EA5732871DFD4CB6947997BC71C8B3030A46EA0BCF0B68EC748FA8")</f>
        <v>https://baanknet.com/view-property/185803/DFF4857679EA5732871DFD4CB6947997BC71C8B3030A46EA0BCF0B68EC748FA8</v>
      </c>
      <c r="I849" t="str">
        <f>HYPERLINK("https://baanknet.com/view-property/185803/DFF4857679EA5732871DFD4CB6947997BC71C8B3030A46EA0BCF0B68EC748FA8", "Open")</f>
        <v>Open</v>
      </c>
      <c r="J849" t="s">
        <v>20</v>
      </c>
      <c r="K849" t="s">
        <v>21</v>
      </c>
      <c r="L849">
        <v>2047000</v>
      </c>
      <c r="M849">
        <v>204700</v>
      </c>
    </row>
    <row r="850" spans="1:13" x14ac:dyDescent="0.25">
      <c r="A850" t="s">
        <v>3003</v>
      </c>
      <c r="B850" t="s">
        <v>3004</v>
      </c>
      <c r="C850" t="s">
        <v>121</v>
      </c>
      <c r="D850" t="s">
        <v>1679</v>
      </c>
      <c r="E850" t="s">
        <v>654</v>
      </c>
      <c r="F850" t="s">
        <v>334</v>
      </c>
      <c r="G850" t="s">
        <v>3005</v>
      </c>
      <c r="H850" t="str">
        <f>HYPERLINK("https://baanknet.com/view-property/246428/589E3C53243289147BABD69EEFD079E550BF19C90E394B36B2630B55DBE53935", "https://baanknet.com/view-property/246428/589E3C53243289147BABD69EEFD079E550BF19C90E394B36B2630B55DBE53935")</f>
        <v>https://baanknet.com/view-property/246428/589E3C53243289147BABD69EEFD079E550BF19C90E394B36B2630B55DBE53935</v>
      </c>
      <c r="I850" t="str">
        <f>HYPERLINK("https://baanknet.com/view-property/246428/589E3C53243289147BABD69EEFD079E550BF19C90E394B36B2630B55DBE53935", "Open")</f>
        <v>Open</v>
      </c>
      <c r="J850" t="s">
        <v>20</v>
      </c>
      <c r="K850" t="s">
        <v>21</v>
      </c>
      <c r="L850">
        <v>2042000</v>
      </c>
      <c r="M850">
        <v>204200</v>
      </c>
    </row>
    <row r="851" spans="1:13" x14ac:dyDescent="0.25">
      <c r="A851" t="s">
        <v>3006</v>
      </c>
      <c r="B851" t="s">
        <v>3007</v>
      </c>
      <c r="C851" t="s">
        <v>121</v>
      </c>
      <c r="D851" t="s">
        <v>3008</v>
      </c>
      <c r="E851" t="s">
        <v>654</v>
      </c>
      <c r="F851" t="s">
        <v>334</v>
      </c>
      <c r="G851" t="s">
        <v>3009</v>
      </c>
      <c r="H851" t="str">
        <f>HYPERLINK("https://baanknet.com/view-property/186176/54959DF2F99E23CAFF6D2E7EB390B7FEB314BAEB7C93B4849969C1E0306A0F3F", "https://baanknet.com/view-property/186176/54959DF2F99E23CAFF6D2E7EB390B7FEB314BAEB7C93B4849969C1E0306A0F3F")</f>
        <v>https://baanknet.com/view-property/186176/54959DF2F99E23CAFF6D2E7EB390B7FEB314BAEB7C93B4849969C1E0306A0F3F</v>
      </c>
      <c r="I851" t="str">
        <f>HYPERLINK("https://baanknet.com/view-property/186176/54959DF2F99E23CAFF6D2E7EB390B7FEB314BAEB7C93B4849969C1E0306A0F3F", "Open")</f>
        <v>Open</v>
      </c>
      <c r="J851" t="s">
        <v>20</v>
      </c>
      <c r="K851" t="s">
        <v>21</v>
      </c>
      <c r="L851">
        <v>9545000</v>
      </c>
      <c r="M851">
        <v>954500</v>
      </c>
    </row>
    <row r="852" spans="1:13" x14ac:dyDescent="0.25">
      <c r="A852" t="s">
        <v>3010</v>
      </c>
      <c r="B852" t="s">
        <v>3011</v>
      </c>
      <c r="C852" t="s">
        <v>121</v>
      </c>
      <c r="D852" t="s">
        <v>1909</v>
      </c>
      <c r="E852" t="s">
        <v>654</v>
      </c>
      <c r="F852" t="s">
        <v>334</v>
      </c>
      <c r="G852" t="s">
        <v>3012</v>
      </c>
      <c r="H852" t="str">
        <f>HYPERLINK("https://baanknet.com/view-property/271887/8624260B89EC3B7CFF6755610624A32BEFAFE4C8C1259985EAA14BFB805E0185", "https://baanknet.com/view-property/271887/8624260B89EC3B7CFF6755610624A32BEFAFE4C8C1259985EAA14BFB805E0185")</f>
        <v>https://baanknet.com/view-property/271887/8624260B89EC3B7CFF6755610624A32BEFAFE4C8C1259985EAA14BFB805E0185</v>
      </c>
      <c r="I852" t="str">
        <f>HYPERLINK("https://baanknet.com/view-property/271887/8624260B89EC3B7CFF6755610624A32BEFAFE4C8C1259985EAA14BFB805E0185", "Open")</f>
        <v>Open</v>
      </c>
      <c r="J852" t="s">
        <v>20</v>
      </c>
      <c r="K852" t="s">
        <v>21</v>
      </c>
      <c r="L852">
        <v>23293000</v>
      </c>
      <c r="M852">
        <v>2329300</v>
      </c>
    </row>
    <row r="853" spans="1:13" x14ac:dyDescent="0.25">
      <c r="A853" t="s">
        <v>3013</v>
      </c>
      <c r="B853" t="s">
        <v>3014</v>
      </c>
      <c r="C853" t="s">
        <v>121</v>
      </c>
      <c r="D853" t="s">
        <v>2976</v>
      </c>
      <c r="E853" t="s">
        <v>654</v>
      </c>
      <c r="F853" t="s">
        <v>334</v>
      </c>
      <c r="G853" t="s">
        <v>3015</v>
      </c>
      <c r="H853" t="str">
        <f>HYPERLINK("https://baanknet.com/view-property/181835/3A4A6B08EFA66EA6586D5C7460CC64F42231A2CEE9F3A08734540AEED0510A10", "https://baanknet.com/view-property/181835/3A4A6B08EFA66EA6586D5C7460CC64F42231A2CEE9F3A08734540AEED0510A10")</f>
        <v>https://baanknet.com/view-property/181835/3A4A6B08EFA66EA6586D5C7460CC64F42231A2CEE9F3A08734540AEED0510A10</v>
      </c>
      <c r="I853" t="str">
        <f>HYPERLINK("https://baanknet.com/view-property/181835/3A4A6B08EFA66EA6586D5C7460CC64F42231A2CEE9F3A08734540AEED0510A10", "Open")</f>
        <v>Open</v>
      </c>
      <c r="J853" t="s">
        <v>20</v>
      </c>
      <c r="K853" t="s">
        <v>21</v>
      </c>
      <c r="L853">
        <v>889000</v>
      </c>
      <c r="M853">
        <v>88900</v>
      </c>
    </row>
    <row r="854" spans="1:13" x14ac:dyDescent="0.25">
      <c r="A854" t="s">
        <v>3016</v>
      </c>
      <c r="B854" t="s">
        <v>3017</v>
      </c>
      <c r="C854" t="s">
        <v>121</v>
      </c>
      <c r="D854" t="s">
        <v>2124</v>
      </c>
      <c r="E854" t="s">
        <v>654</v>
      </c>
      <c r="F854" t="s">
        <v>334</v>
      </c>
      <c r="G854" t="s">
        <v>3018</v>
      </c>
      <c r="H854" t="str">
        <f>HYPERLINK("https://baanknet.com/view-property/287569/D83220B7E2563DA490B69926FE1E4A7C4C7D178D77CBA26E04A96509CA5A8B8F", "https://baanknet.com/view-property/287569/D83220B7E2563DA490B69926FE1E4A7C4C7D178D77CBA26E04A96509CA5A8B8F")</f>
        <v>https://baanknet.com/view-property/287569/D83220B7E2563DA490B69926FE1E4A7C4C7D178D77CBA26E04A96509CA5A8B8F</v>
      </c>
      <c r="I854" t="str">
        <f>HYPERLINK("https://baanknet.com/view-property/287569/D83220B7E2563DA490B69926FE1E4A7C4C7D178D77CBA26E04A96509CA5A8B8F", "Open")</f>
        <v>Open</v>
      </c>
      <c r="J854" t="s">
        <v>20</v>
      </c>
      <c r="K854" t="s">
        <v>21</v>
      </c>
      <c r="L854">
        <v>6919000</v>
      </c>
      <c r="M854">
        <v>691900</v>
      </c>
    </row>
    <row r="855" spans="1:13" x14ac:dyDescent="0.25">
      <c r="A855" t="s">
        <v>3019</v>
      </c>
      <c r="B855" t="s">
        <v>3020</v>
      </c>
      <c r="C855" t="s">
        <v>121</v>
      </c>
      <c r="D855" t="s">
        <v>3008</v>
      </c>
      <c r="E855" t="s">
        <v>654</v>
      </c>
      <c r="F855" t="s">
        <v>334</v>
      </c>
      <c r="G855" t="s">
        <v>3021</v>
      </c>
      <c r="H855" t="str">
        <f>HYPERLINK("https://baanknet.com/view-property/186198/724E94D56DC572A73C9B6A88F8856F5E82B1714006A4808D1753A2B982621DCC", "https://baanknet.com/view-property/186198/724E94D56DC572A73C9B6A88F8856F5E82B1714006A4808D1753A2B982621DCC")</f>
        <v>https://baanknet.com/view-property/186198/724E94D56DC572A73C9B6A88F8856F5E82B1714006A4808D1753A2B982621DCC</v>
      </c>
      <c r="I855" t="str">
        <f>HYPERLINK("https://baanknet.com/view-property/186198/724E94D56DC572A73C9B6A88F8856F5E82B1714006A4808D1753A2B982621DCC", "Open")</f>
        <v>Open</v>
      </c>
      <c r="J855" t="s">
        <v>20</v>
      </c>
      <c r="K855" t="s">
        <v>21</v>
      </c>
      <c r="L855">
        <v>2177000</v>
      </c>
      <c r="M855">
        <v>217700</v>
      </c>
    </row>
    <row r="856" spans="1:13" x14ac:dyDescent="0.25">
      <c r="A856" t="s">
        <v>3022</v>
      </c>
      <c r="B856" t="s">
        <v>3023</v>
      </c>
      <c r="C856" t="s">
        <v>121</v>
      </c>
      <c r="D856" t="s">
        <v>3024</v>
      </c>
      <c r="E856" t="s">
        <v>654</v>
      </c>
      <c r="F856" t="s">
        <v>334</v>
      </c>
      <c r="G856" t="s">
        <v>3025</v>
      </c>
      <c r="H856" t="str">
        <f>HYPERLINK("https://baanknet.com/view-property/177120/B6F52CF39FCDD748874778A6819548CC06856CDAA7B28ECA01B6642A6029D7C7", "https://baanknet.com/view-property/177120/B6F52CF39FCDD748874778A6819548CC06856CDAA7B28ECA01B6642A6029D7C7")</f>
        <v>https://baanknet.com/view-property/177120/B6F52CF39FCDD748874778A6819548CC06856CDAA7B28ECA01B6642A6029D7C7</v>
      </c>
      <c r="I856" t="str">
        <f>HYPERLINK("https://baanknet.com/view-property/177120/B6F52CF39FCDD748874778A6819548CC06856CDAA7B28ECA01B6642A6029D7C7", "Open")</f>
        <v>Open</v>
      </c>
      <c r="J856" t="s">
        <v>20</v>
      </c>
      <c r="K856" t="s">
        <v>21</v>
      </c>
      <c r="L856">
        <v>1268000</v>
      </c>
      <c r="M856">
        <v>126800</v>
      </c>
    </row>
    <row r="857" spans="1:13" x14ac:dyDescent="0.25">
      <c r="A857" t="s">
        <v>3026</v>
      </c>
      <c r="B857" t="s">
        <v>3027</v>
      </c>
      <c r="C857" t="s">
        <v>121</v>
      </c>
      <c r="D857" t="s">
        <v>3028</v>
      </c>
      <c r="E857" t="s">
        <v>654</v>
      </c>
      <c r="F857" t="s">
        <v>334</v>
      </c>
      <c r="G857" t="s">
        <v>3029</v>
      </c>
      <c r="H857" t="str">
        <f>HYPERLINK("https://baanknet.com/view-property/182204/23835A22FB14191C22583297A91C1B88131F1D04DB83F702D60A6C06D737E607", "https://baanknet.com/view-property/182204/23835A22FB14191C22583297A91C1B88131F1D04DB83F702D60A6C06D737E607")</f>
        <v>https://baanknet.com/view-property/182204/23835A22FB14191C22583297A91C1B88131F1D04DB83F702D60A6C06D737E607</v>
      </c>
      <c r="I857" t="str">
        <f>HYPERLINK("https://baanknet.com/view-property/182204/23835A22FB14191C22583297A91C1B88131F1D04DB83F702D60A6C06D737E607", "Open")</f>
        <v>Open</v>
      </c>
      <c r="J857" t="s">
        <v>20</v>
      </c>
      <c r="K857" t="s">
        <v>21</v>
      </c>
      <c r="L857">
        <v>2192000</v>
      </c>
      <c r="M857">
        <v>219200</v>
      </c>
    </row>
    <row r="858" spans="1:13" x14ac:dyDescent="0.25">
      <c r="A858" t="s">
        <v>3030</v>
      </c>
      <c r="B858" t="s">
        <v>3031</v>
      </c>
      <c r="C858" t="s">
        <v>121</v>
      </c>
      <c r="D858" t="s">
        <v>3032</v>
      </c>
      <c r="E858" t="s">
        <v>654</v>
      </c>
      <c r="F858" t="s">
        <v>334</v>
      </c>
      <c r="G858" t="s">
        <v>3033</v>
      </c>
      <c r="H858" t="str">
        <f>HYPERLINK("https://baanknet.com/view-property/173556/54C1EA4CFECAC387DF21BA559F987FCE16A1B9C9F5C9DD279E59F92E5CB4261A", "https://baanknet.com/view-property/173556/54C1EA4CFECAC387DF21BA559F987FCE16A1B9C9F5C9DD279E59F92E5CB4261A")</f>
        <v>https://baanknet.com/view-property/173556/54C1EA4CFECAC387DF21BA559F987FCE16A1B9C9F5C9DD279E59F92E5CB4261A</v>
      </c>
      <c r="I858" t="str">
        <f>HYPERLINK("https://baanknet.com/view-property/173556/54C1EA4CFECAC387DF21BA559F987FCE16A1B9C9F5C9DD279E59F92E5CB4261A", "Open")</f>
        <v>Open</v>
      </c>
      <c r="J858" t="s">
        <v>20</v>
      </c>
      <c r="K858" t="s">
        <v>21</v>
      </c>
      <c r="L858">
        <v>12969000</v>
      </c>
      <c r="M858">
        <v>1296900</v>
      </c>
    </row>
    <row r="859" spans="1:13" x14ac:dyDescent="0.25">
      <c r="A859" t="s">
        <v>3034</v>
      </c>
      <c r="B859" t="s">
        <v>3035</v>
      </c>
      <c r="C859" t="s">
        <v>121</v>
      </c>
      <c r="D859" t="s">
        <v>995</v>
      </c>
      <c r="E859" t="s">
        <v>654</v>
      </c>
      <c r="F859" t="s">
        <v>334</v>
      </c>
      <c r="G859" t="s">
        <v>3036</v>
      </c>
      <c r="H859" t="str">
        <f>HYPERLINK("https://baanknet.com/view-property/175893/AB1C75268ADEBCA65F83A316D8F28880DF14C77F8EEA78F694404305624F6E92", "https://baanknet.com/view-property/175893/AB1C75268ADEBCA65F83A316D8F28880DF14C77F8EEA78F694404305624F6E92")</f>
        <v>https://baanknet.com/view-property/175893/AB1C75268ADEBCA65F83A316D8F28880DF14C77F8EEA78F694404305624F6E92</v>
      </c>
      <c r="I859" t="str">
        <f>HYPERLINK("https://baanknet.com/view-property/175893/AB1C75268ADEBCA65F83A316D8F28880DF14C77F8EEA78F694404305624F6E92", "Open")</f>
        <v>Open</v>
      </c>
      <c r="J859" t="s">
        <v>20</v>
      </c>
      <c r="K859" t="s">
        <v>21</v>
      </c>
      <c r="L859">
        <v>3903000</v>
      </c>
      <c r="M859">
        <v>390300</v>
      </c>
    </row>
    <row r="860" spans="1:13" x14ac:dyDescent="0.25">
      <c r="A860" t="s">
        <v>3037</v>
      </c>
      <c r="B860" t="s">
        <v>3038</v>
      </c>
      <c r="C860" t="s">
        <v>121</v>
      </c>
      <c r="D860" t="s">
        <v>3039</v>
      </c>
      <c r="E860" t="s">
        <v>654</v>
      </c>
      <c r="F860" t="s">
        <v>334</v>
      </c>
      <c r="G860" t="s">
        <v>3040</v>
      </c>
      <c r="H860" t="str">
        <f>HYPERLINK("https://baanknet.com/view-property/183484/8A6113AEC98E97098CB5A2AD1D8938B53AD94B9906B096358FB83EE9DD6E3113", "https://baanknet.com/view-property/183484/8A6113AEC98E97098CB5A2AD1D8938B53AD94B9906B096358FB83EE9DD6E3113")</f>
        <v>https://baanknet.com/view-property/183484/8A6113AEC98E97098CB5A2AD1D8938B53AD94B9906B096358FB83EE9DD6E3113</v>
      </c>
      <c r="I860" t="str">
        <f>HYPERLINK("https://baanknet.com/view-property/183484/8A6113AEC98E97098CB5A2AD1D8938B53AD94B9906B096358FB83EE9DD6E3113", "Open")</f>
        <v>Open</v>
      </c>
      <c r="J860" t="s">
        <v>20</v>
      </c>
      <c r="K860" t="s">
        <v>21</v>
      </c>
      <c r="L860">
        <v>2021000</v>
      </c>
      <c r="M860">
        <v>202100</v>
      </c>
    </row>
    <row r="861" spans="1:13" x14ac:dyDescent="0.25">
      <c r="A861" t="s">
        <v>3041</v>
      </c>
      <c r="B861" t="s">
        <v>3042</v>
      </c>
      <c r="C861" t="s">
        <v>121</v>
      </c>
      <c r="D861" t="s">
        <v>3001</v>
      </c>
      <c r="E861" t="s">
        <v>654</v>
      </c>
      <c r="F861" t="s">
        <v>334</v>
      </c>
      <c r="G861" t="s">
        <v>3043</v>
      </c>
      <c r="H861" t="str">
        <f>HYPERLINK("https://baanknet.com/view-property/183328/A034C12E426D16A00CEBF51838C9CC9DB343B5912BCC91EA2FBE1A7C3E602564", "https://baanknet.com/view-property/183328/A034C12E426D16A00CEBF51838C9CC9DB343B5912BCC91EA2FBE1A7C3E602564")</f>
        <v>https://baanknet.com/view-property/183328/A034C12E426D16A00CEBF51838C9CC9DB343B5912BCC91EA2FBE1A7C3E602564</v>
      </c>
      <c r="I861" t="str">
        <f>HYPERLINK("https://baanknet.com/view-property/183328/A034C12E426D16A00CEBF51838C9CC9DB343B5912BCC91EA2FBE1A7C3E602564", "Open")</f>
        <v>Open</v>
      </c>
      <c r="J861" t="s">
        <v>20</v>
      </c>
      <c r="K861" t="s">
        <v>21</v>
      </c>
      <c r="L861">
        <v>2132000</v>
      </c>
      <c r="M861">
        <v>213200</v>
      </c>
    </row>
    <row r="862" spans="1:13" x14ac:dyDescent="0.25">
      <c r="A862" t="s">
        <v>3044</v>
      </c>
      <c r="B862" t="s">
        <v>3045</v>
      </c>
      <c r="C862" t="s">
        <v>121</v>
      </c>
      <c r="D862" t="s">
        <v>3046</v>
      </c>
      <c r="E862" t="s">
        <v>654</v>
      </c>
      <c r="F862" t="s">
        <v>334</v>
      </c>
      <c r="G862" t="s">
        <v>3047</v>
      </c>
      <c r="H862" t="str">
        <f>HYPERLINK("https://baanknet.com/view-property/179968/146CFA5943E3EF1BAD673D9694725B4CED07B456C3F93F5AD2B5153C01182862", "https://baanknet.com/view-property/179968/146CFA5943E3EF1BAD673D9694725B4CED07B456C3F93F5AD2B5153C01182862")</f>
        <v>https://baanknet.com/view-property/179968/146CFA5943E3EF1BAD673D9694725B4CED07B456C3F93F5AD2B5153C01182862</v>
      </c>
      <c r="I862" t="str">
        <f>HYPERLINK("https://baanknet.com/view-property/179968/146CFA5943E3EF1BAD673D9694725B4CED07B456C3F93F5AD2B5153C01182862", "Open")</f>
        <v>Open</v>
      </c>
      <c r="J862" t="s">
        <v>20</v>
      </c>
      <c r="K862" t="s">
        <v>21</v>
      </c>
      <c r="L862">
        <v>1520000</v>
      </c>
      <c r="M862">
        <v>152000</v>
      </c>
    </row>
    <row r="863" spans="1:13" x14ac:dyDescent="0.25">
      <c r="A863" t="s">
        <v>3048</v>
      </c>
      <c r="B863" t="s">
        <v>3049</v>
      </c>
      <c r="C863" t="s">
        <v>121</v>
      </c>
      <c r="D863" t="s">
        <v>3050</v>
      </c>
      <c r="E863" t="s">
        <v>654</v>
      </c>
      <c r="F863" t="s">
        <v>334</v>
      </c>
      <c r="G863" t="s">
        <v>3051</v>
      </c>
      <c r="H863" t="str">
        <f>HYPERLINK("https://baanknet.com/view-property/263474/8FE9B01C90BAC94975A5151F5AB395916357F71C8193EE0BFE9AB9E4B064C9EF", "https://baanknet.com/view-property/263474/8FE9B01C90BAC94975A5151F5AB395916357F71C8193EE0BFE9AB9E4B064C9EF")</f>
        <v>https://baanknet.com/view-property/263474/8FE9B01C90BAC94975A5151F5AB395916357F71C8193EE0BFE9AB9E4B064C9EF</v>
      </c>
      <c r="I863" t="str">
        <f>HYPERLINK("https://baanknet.com/view-property/263474/8FE9B01C90BAC94975A5151F5AB395916357F71C8193EE0BFE9AB9E4B064C9EF", "Open")</f>
        <v>Open</v>
      </c>
      <c r="J863" t="s">
        <v>20</v>
      </c>
      <c r="K863" t="s">
        <v>21</v>
      </c>
      <c r="L863">
        <v>1067000</v>
      </c>
      <c r="M863">
        <v>106700</v>
      </c>
    </row>
    <row r="864" spans="1:13" x14ac:dyDescent="0.25">
      <c r="A864" t="s">
        <v>3052</v>
      </c>
      <c r="B864" t="s">
        <v>3053</v>
      </c>
      <c r="C864" t="s">
        <v>121</v>
      </c>
      <c r="D864" t="s">
        <v>3046</v>
      </c>
      <c r="E864" t="s">
        <v>654</v>
      </c>
      <c r="F864" t="s">
        <v>334</v>
      </c>
      <c r="G864" t="s">
        <v>3054</v>
      </c>
      <c r="H864" t="str">
        <f>HYPERLINK("https://baanknet.com/view-property/183455/E28CCE3DEB7BF931852E7394D5A4A8C16251410B96766D77103C016C4795790E", "https://baanknet.com/view-property/183455/E28CCE3DEB7BF931852E7394D5A4A8C16251410B96766D77103C016C4795790E")</f>
        <v>https://baanknet.com/view-property/183455/E28CCE3DEB7BF931852E7394D5A4A8C16251410B96766D77103C016C4795790E</v>
      </c>
      <c r="I864" t="str">
        <f>HYPERLINK("https://baanknet.com/view-property/183455/E28CCE3DEB7BF931852E7394D5A4A8C16251410B96766D77103C016C4795790E", "Open")</f>
        <v>Open</v>
      </c>
      <c r="J864" t="s">
        <v>20</v>
      </c>
      <c r="K864" t="s">
        <v>21</v>
      </c>
      <c r="L864">
        <v>2265000</v>
      </c>
      <c r="M864">
        <v>226500</v>
      </c>
    </row>
    <row r="865" spans="1:13" x14ac:dyDescent="0.25">
      <c r="A865" t="s">
        <v>3055</v>
      </c>
      <c r="B865" t="s">
        <v>3056</v>
      </c>
      <c r="C865" t="s">
        <v>121</v>
      </c>
      <c r="D865" t="s">
        <v>3057</v>
      </c>
      <c r="E865" t="s">
        <v>654</v>
      </c>
      <c r="F865" t="s">
        <v>334</v>
      </c>
      <c r="G865" t="s">
        <v>3058</v>
      </c>
      <c r="H865" t="str">
        <f>HYPERLINK("https://baanknet.com/view-property/232643/5AFD202E1DB815F5B816055F8338A20CC4EABD6A7BB9617C54FBB7B6A04996F9", "https://baanknet.com/view-property/232643/5AFD202E1DB815F5B816055F8338A20CC4EABD6A7BB9617C54FBB7B6A04996F9")</f>
        <v>https://baanknet.com/view-property/232643/5AFD202E1DB815F5B816055F8338A20CC4EABD6A7BB9617C54FBB7B6A04996F9</v>
      </c>
      <c r="I865" t="str">
        <f>HYPERLINK("https://baanknet.com/view-property/232643/5AFD202E1DB815F5B816055F8338A20CC4EABD6A7BB9617C54FBB7B6A04996F9", "Open")</f>
        <v>Open</v>
      </c>
      <c r="J865" t="s">
        <v>20</v>
      </c>
      <c r="K865" t="s">
        <v>21</v>
      </c>
      <c r="L865">
        <v>919000</v>
      </c>
      <c r="M865">
        <v>91900</v>
      </c>
    </row>
    <row r="866" spans="1:13" x14ac:dyDescent="0.25">
      <c r="A866" t="s">
        <v>3059</v>
      </c>
      <c r="B866" t="s">
        <v>3060</v>
      </c>
      <c r="C866" t="s">
        <v>121</v>
      </c>
      <c r="D866" t="s">
        <v>3061</v>
      </c>
      <c r="E866" t="s">
        <v>654</v>
      </c>
      <c r="F866" t="s">
        <v>334</v>
      </c>
      <c r="G866" t="s">
        <v>3062</v>
      </c>
      <c r="H866" t="str">
        <f>HYPERLINK("https://baanknet.com/view-property/186855/9147021CCC18D3BD1CA8F46749B30EB9233A82A08D8A312CC07FD509772A2B33", "https://baanknet.com/view-property/186855/9147021CCC18D3BD1CA8F46749B30EB9233A82A08D8A312CC07FD509772A2B33")</f>
        <v>https://baanknet.com/view-property/186855/9147021CCC18D3BD1CA8F46749B30EB9233A82A08D8A312CC07FD509772A2B33</v>
      </c>
      <c r="I866" t="str">
        <f>HYPERLINK("https://baanknet.com/view-property/186855/9147021CCC18D3BD1CA8F46749B30EB9233A82A08D8A312CC07FD509772A2B33", "Open")</f>
        <v>Open</v>
      </c>
      <c r="J866" t="s">
        <v>20</v>
      </c>
      <c r="K866" t="s">
        <v>21</v>
      </c>
      <c r="L866">
        <v>878000</v>
      </c>
      <c r="M866">
        <v>87800</v>
      </c>
    </row>
    <row r="867" spans="1:13" x14ac:dyDescent="0.25">
      <c r="A867" t="s">
        <v>3063</v>
      </c>
      <c r="B867" t="s">
        <v>3064</v>
      </c>
      <c r="C867" t="s">
        <v>121</v>
      </c>
      <c r="D867" t="s">
        <v>3065</v>
      </c>
      <c r="E867" t="s">
        <v>654</v>
      </c>
      <c r="F867" t="s">
        <v>334</v>
      </c>
      <c r="G867" t="s">
        <v>3066</v>
      </c>
      <c r="H867" t="str">
        <f>HYPERLINK("https://baanknet.com/view-property/181738/BC9D74B0900B10B83D21ED90A33686C720C0FB0C2E2F99352D52D73A4160D205", "https://baanknet.com/view-property/181738/BC9D74B0900B10B83D21ED90A33686C720C0FB0C2E2F99352D52D73A4160D205")</f>
        <v>https://baanknet.com/view-property/181738/BC9D74B0900B10B83D21ED90A33686C720C0FB0C2E2F99352D52D73A4160D205</v>
      </c>
      <c r="I867" t="str">
        <f>HYPERLINK("https://baanknet.com/view-property/181738/BC9D74B0900B10B83D21ED90A33686C720C0FB0C2E2F99352D52D73A4160D205", "Open")</f>
        <v>Open</v>
      </c>
      <c r="J867" t="s">
        <v>20</v>
      </c>
      <c r="K867" t="s">
        <v>21</v>
      </c>
      <c r="L867">
        <v>1740000</v>
      </c>
      <c r="M867">
        <v>174000</v>
      </c>
    </row>
    <row r="868" spans="1:13" x14ac:dyDescent="0.25">
      <c r="A868" t="s">
        <v>3067</v>
      </c>
      <c r="B868" t="s">
        <v>3068</v>
      </c>
      <c r="C868" t="s">
        <v>121</v>
      </c>
      <c r="D868" t="s">
        <v>3069</v>
      </c>
      <c r="E868" t="s">
        <v>654</v>
      </c>
      <c r="F868" t="s">
        <v>334</v>
      </c>
      <c r="G868" t="s">
        <v>3070</v>
      </c>
      <c r="H868" t="str">
        <f>HYPERLINK("https://baanknet.com/view-property/226541/1B5B150DC808097876B429D088A615BAD3BCB9BBFBCB25A40F01AF2BB2C06F91", "https://baanknet.com/view-property/226541/1B5B150DC808097876B429D088A615BAD3BCB9BBFBCB25A40F01AF2BB2C06F91")</f>
        <v>https://baanknet.com/view-property/226541/1B5B150DC808097876B429D088A615BAD3BCB9BBFBCB25A40F01AF2BB2C06F91</v>
      </c>
      <c r="I868" t="str">
        <f>HYPERLINK("https://baanknet.com/view-property/226541/1B5B150DC808097876B429D088A615BAD3BCB9BBFBCB25A40F01AF2BB2C06F91", "Open")</f>
        <v>Open</v>
      </c>
      <c r="J868" t="s">
        <v>20</v>
      </c>
      <c r="K868" t="s">
        <v>21</v>
      </c>
      <c r="L868">
        <v>2301000</v>
      </c>
      <c r="M868">
        <v>230100</v>
      </c>
    </row>
    <row r="869" spans="1:13" x14ac:dyDescent="0.25">
      <c r="A869" t="s">
        <v>3071</v>
      </c>
      <c r="B869" t="s">
        <v>3072</v>
      </c>
      <c r="C869" t="s">
        <v>121</v>
      </c>
      <c r="D869" t="s">
        <v>3039</v>
      </c>
      <c r="E869" t="s">
        <v>654</v>
      </c>
      <c r="F869" t="s">
        <v>334</v>
      </c>
      <c r="G869" t="s">
        <v>3073</v>
      </c>
      <c r="H869" t="str">
        <f>HYPERLINK("https://baanknet.com/view-property/263480/7597A01564CFD3D9517725E6F6006A8CC7055BEC12FC6823D88A9FCA50E9F5B4", "https://baanknet.com/view-property/263480/7597A01564CFD3D9517725E6F6006A8CC7055BEC12FC6823D88A9FCA50E9F5B4")</f>
        <v>https://baanknet.com/view-property/263480/7597A01564CFD3D9517725E6F6006A8CC7055BEC12FC6823D88A9FCA50E9F5B4</v>
      </c>
      <c r="I869" t="str">
        <f>HYPERLINK("https://baanknet.com/view-property/263480/7597A01564CFD3D9517725E6F6006A8CC7055BEC12FC6823D88A9FCA50E9F5B4", "Open")</f>
        <v>Open</v>
      </c>
      <c r="J869" t="s">
        <v>20</v>
      </c>
      <c r="K869" t="s">
        <v>21</v>
      </c>
      <c r="L869">
        <v>1098000</v>
      </c>
      <c r="M869">
        <v>109800</v>
      </c>
    </row>
    <row r="870" spans="1:13" x14ac:dyDescent="0.25">
      <c r="A870" t="s">
        <v>3074</v>
      </c>
      <c r="B870" t="s">
        <v>3075</v>
      </c>
      <c r="C870" t="s">
        <v>121</v>
      </c>
      <c r="D870" t="s">
        <v>2976</v>
      </c>
      <c r="E870" t="s">
        <v>654</v>
      </c>
      <c r="F870" t="s">
        <v>334</v>
      </c>
      <c r="G870" t="s">
        <v>3076</v>
      </c>
      <c r="H870" t="str">
        <f>HYPERLINK("https://baanknet.com/view-property/263484/15274FAE6DF46207037A7B87B9810F2E9C9BDC4994D050C94ACC3AB9F0C03CA9", "https://baanknet.com/view-property/263484/15274FAE6DF46207037A7B87B9810F2E9C9BDC4994D050C94ACC3AB9F0C03CA9")</f>
        <v>https://baanknet.com/view-property/263484/15274FAE6DF46207037A7B87B9810F2E9C9BDC4994D050C94ACC3AB9F0C03CA9</v>
      </c>
      <c r="I870" t="str">
        <f>HYPERLINK("https://baanknet.com/view-property/263484/15274FAE6DF46207037A7B87B9810F2E9C9BDC4994D050C94ACC3AB9F0C03CA9", "Open")</f>
        <v>Open</v>
      </c>
      <c r="J870" t="s">
        <v>20</v>
      </c>
      <c r="K870" t="s">
        <v>21</v>
      </c>
      <c r="L870">
        <v>2378000</v>
      </c>
      <c r="M870">
        <v>237800</v>
      </c>
    </row>
    <row r="871" spans="1:13" x14ac:dyDescent="0.25">
      <c r="A871" t="s">
        <v>3077</v>
      </c>
      <c r="B871" t="s">
        <v>3078</v>
      </c>
      <c r="C871" t="s">
        <v>121</v>
      </c>
      <c r="D871" t="s">
        <v>3057</v>
      </c>
      <c r="E871" t="s">
        <v>654</v>
      </c>
      <c r="F871" t="s">
        <v>334</v>
      </c>
      <c r="G871" t="s">
        <v>3079</v>
      </c>
      <c r="H871" t="str">
        <f>HYPERLINK("https://baanknet.com/view-property/180309/D255610C0D31E0FDA38C300EB1E11202532B59F229CEE07C7CAEDA063322EFA1", "https://baanknet.com/view-property/180309/D255610C0D31E0FDA38C300EB1E11202532B59F229CEE07C7CAEDA063322EFA1")</f>
        <v>https://baanknet.com/view-property/180309/D255610C0D31E0FDA38C300EB1E11202532B59F229CEE07C7CAEDA063322EFA1</v>
      </c>
      <c r="I871" t="str">
        <f>HYPERLINK("https://baanknet.com/view-property/180309/D255610C0D31E0FDA38C300EB1E11202532B59F229CEE07C7CAEDA063322EFA1", "Open")</f>
        <v>Open</v>
      </c>
      <c r="J871" t="s">
        <v>20</v>
      </c>
      <c r="K871" t="s">
        <v>21</v>
      </c>
      <c r="L871">
        <v>2040000</v>
      </c>
      <c r="M871">
        <v>204000</v>
      </c>
    </row>
    <row r="872" spans="1:13" x14ac:dyDescent="0.25">
      <c r="A872" t="s">
        <v>3080</v>
      </c>
      <c r="B872" t="s">
        <v>3081</v>
      </c>
      <c r="C872" t="s">
        <v>121</v>
      </c>
      <c r="D872" t="s">
        <v>3046</v>
      </c>
      <c r="E872" t="s">
        <v>654</v>
      </c>
      <c r="F872" t="s">
        <v>334</v>
      </c>
      <c r="G872" t="s">
        <v>3082</v>
      </c>
      <c r="H872" t="str">
        <f>HYPERLINK("https://baanknet.com/view-property/183366/0F26B55234B06D391559CD8459FEFBEBE28E7F8D1096ADFDA409F85C83D5EBEC", "https://baanknet.com/view-property/183366/0F26B55234B06D391559CD8459FEFBEBE28E7F8D1096ADFDA409F85C83D5EBEC")</f>
        <v>https://baanknet.com/view-property/183366/0F26B55234B06D391559CD8459FEFBEBE28E7F8D1096ADFDA409F85C83D5EBEC</v>
      </c>
      <c r="I872" t="str">
        <f>HYPERLINK("https://baanknet.com/view-property/183366/0F26B55234B06D391559CD8459FEFBEBE28E7F8D1096ADFDA409F85C83D5EBEC", "Open")</f>
        <v>Open</v>
      </c>
      <c r="J872" t="s">
        <v>20</v>
      </c>
      <c r="K872" t="s">
        <v>21</v>
      </c>
      <c r="L872">
        <v>5055000</v>
      </c>
      <c r="M872">
        <v>505500</v>
      </c>
    </row>
    <row r="873" spans="1:13" x14ac:dyDescent="0.25">
      <c r="A873" t="s">
        <v>3083</v>
      </c>
      <c r="B873" t="s">
        <v>3084</v>
      </c>
      <c r="C873" t="s">
        <v>121</v>
      </c>
      <c r="D873" t="s">
        <v>3065</v>
      </c>
      <c r="E873" t="s">
        <v>654</v>
      </c>
      <c r="F873" t="s">
        <v>334</v>
      </c>
      <c r="G873" t="s">
        <v>3085</v>
      </c>
      <c r="H873" t="str">
        <f>HYPERLINK("https://baanknet.com/view-property/215879/8F088DE11E8286589BDB4D7C0625ADE1DBC54029053D79E61C539E5DB6B33F70", "https://baanknet.com/view-property/215879/8F088DE11E8286589BDB4D7C0625ADE1DBC54029053D79E61C539E5DB6B33F70")</f>
        <v>https://baanknet.com/view-property/215879/8F088DE11E8286589BDB4D7C0625ADE1DBC54029053D79E61C539E5DB6B33F70</v>
      </c>
      <c r="I873" t="str">
        <f>HYPERLINK("https://baanknet.com/view-property/215879/8F088DE11E8286589BDB4D7C0625ADE1DBC54029053D79E61C539E5DB6B33F70", "Open")</f>
        <v>Open</v>
      </c>
      <c r="J873" t="s">
        <v>20</v>
      </c>
      <c r="K873" t="s">
        <v>21</v>
      </c>
      <c r="L873">
        <v>2200000</v>
      </c>
      <c r="M873">
        <v>220000</v>
      </c>
    </row>
    <row r="874" spans="1:13" x14ac:dyDescent="0.25">
      <c r="A874" t="s">
        <v>3086</v>
      </c>
      <c r="B874" t="s">
        <v>3087</v>
      </c>
      <c r="C874" t="s">
        <v>121</v>
      </c>
      <c r="D874" t="s">
        <v>2988</v>
      </c>
      <c r="E874" t="s">
        <v>654</v>
      </c>
      <c r="F874" t="s">
        <v>334</v>
      </c>
      <c r="G874" t="s">
        <v>3088</v>
      </c>
      <c r="H874" t="str">
        <f>HYPERLINK("https://baanknet.com/view-property/182122/AB721AB4E9AD64489CB7EC799DD0A1D37E56B65237C59B0ECD1214E9D2FFFF45", "https://baanknet.com/view-property/182122/AB721AB4E9AD64489CB7EC799DD0A1D37E56B65237C59B0ECD1214E9D2FFFF45")</f>
        <v>https://baanknet.com/view-property/182122/AB721AB4E9AD64489CB7EC799DD0A1D37E56B65237C59B0ECD1214E9D2FFFF45</v>
      </c>
      <c r="I874" t="str">
        <f>HYPERLINK("https://baanknet.com/view-property/182122/AB721AB4E9AD64489CB7EC799DD0A1D37E56B65237C59B0ECD1214E9D2FFFF45", "Open")</f>
        <v>Open</v>
      </c>
      <c r="J874" t="s">
        <v>20</v>
      </c>
      <c r="K874" t="s">
        <v>21</v>
      </c>
      <c r="L874">
        <v>1913000</v>
      </c>
      <c r="M874">
        <v>191300</v>
      </c>
    </row>
    <row r="875" spans="1:13" x14ac:dyDescent="0.25">
      <c r="A875" t="s">
        <v>3089</v>
      </c>
      <c r="B875" t="s">
        <v>3090</v>
      </c>
      <c r="C875" t="s">
        <v>121</v>
      </c>
      <c r="D875" t="s">
        <v>2976</v>
      </c>
      <c r="E875" t="s">
        <v>654</v>
      </c>
      <c r="F875" t="s">
        <v>334</v>
      </c>
      <c r="G875" t="s">
        <v>3091</v>
      </c>
      <c r="H875" t="str">
        <f>HYPERLINK("https://baanknet.com/view-property/182523/1D308A0FDB57BB86138974BCEA0579EE0C48400C57A22FB027AB89F6C003E8D3", "https://baanknet.com/view-property/182523/1D308A0FDB57BB86138974BCEA0579EE0C48400C57A22FB027AB89F6C003E8D3")</f>
        <v>https://baanknet.com/view-property/182523/1D308A0FDB57BB86138974BCEA0579EE0C48400C57A22FB027AB89F6C003E8D3</v>
      </c>
      <c r="I875" t="str">
        <f>HYPERLINK("https://baanknet.com/view-property/182523/1D308A0FDB57BB86138974BCEA0579EE0C48400C57A22FB027AB89F6C003E8D3", "Open")</f>
        <v>Open</v>
      </c>
      <c r="J875" t="s">
        <v>20</v>
      </c>
      <c r="K875" t="s">
        <v>21</v>
      </c>
      <c r="L875">
        <v>1625000</v>
      </c>
      <c r="M875">
        <v>162500</v>
      </c>
    </row>
    <row r="876" spans="1:13" x14ac:dyDescent="0.25">
      <c r="A876" t="s">
        <v>3092</v>
      </c>
      <c r="B876" t="s">
        <v>3093</v>
      </c>
      <c r="C876" t="s">
        <v>121</v>
      </c>
      <c r="D876" t="s">
        <v>2976</v>
      </c>
      <c r="E876" t="s">
        <v>654</v>
      </c>
      <c r="F876" t="s">
        <v>334</v>
      </c>
      <c r="G876" t="s">
        <v>3094</v>
      </c>
      <c r="H876" t="str">
        <f>HYPERLINK("https://baanknet.com/view-property/279375/0B768C800E6EE50F54879E7C4583EC23109D4287E0D29AA47D88301C7A8BB03E", "https://baanknet.com/view-property/279375/0B768C800E6EE50F54879E7C4583EC23109D4287E0D29AA47D88301C7A8BB03E")</f>
        <v>https://baanknet.com/view-property/279375/0B768C800E6EE50F54879E7C4583EC23109D4287E0D29AA47D88301C7A8BB03E</v>
      </c>
      <c r="I876" t="str">
        <f>HYPERLINK("https://baanknet.com/view-property/279375/0B768C800E6EE50F54879E7C4583EC23109D4287E0D29AA47D88301C7A8BB03E", "Open")</f>
        <v>Open</v>
      </c>
      <c r="J876" t="s">
        <v>20</v>
      </c>
      <c r="K876" t="s">
        <v>21</v>
      </c>
      <c r="L876">
        <v>1519000</v>
      </c>
      <c r="M876">
        <v>151900</v>
      </c>
    </row>
    <row r="877" spans="1:13" x14ac:dyDescent="0.25">
      <c r="A877" t="s">
        <v>3095</v>
      </c>
      <c r="B877" t="s">
        <v>3096</v>
      </c>
      <c r="C877" t="s">
        <v>121</v>
      </c>
      <c r="D877" t="s">
        <v>3039</v>
      </c>
      <c r="E877" t="s">
        <v>654</v>
      </c>
      <c r="F877" t="s">
        <v>334</v>
      </c>
      <c r="G877" t="s">
        <v>3097</v>
      </c>
      <c r="H877" t="str">
        <f>HYPERLINK("https://baanknet.com/view-property/263492/59080A7F79FD80EB684C9EEE3DCF7D7AC99933A316526531CED8426AA463F480", "https://baanknet.com/view-property/263492/59080A7F79FD80EB684C9EEE3DCF7D7AC99933A316526531CED8426AA463F480")</f>
        <v>https://baanknet.com/view-property/263492/59080A7F79FD80EB684C9EEE3DCF7D7AC99933A316526531CED8426AA463F480</v>
      </c>
      <c r="I877" t="str">
        <f>HYPERLINK("https://baanknet.com/view-property/263492/59080A7F79FD80EB684C9EEE3DCF7D7AC99933A316526531CED8426AA463F480", "Open")</f>
        <v>Open</v>
      </c>
      <c r="J877" t="s">
        <v>20</v>
      </c>
      <c r="K877" t="s">
        <v>21</v>
      </c>
      <c r="L877">
        <v>1561000</v>
      </c>
      <c r="M877">
        <v>156100</v>
      </c>
    </row>
    <row r="878" spans="1:13" x14ac:dyDescent="0.25">
      <c r="A878" t="s">
        <v>3098</v>
      </c>
      <c r="B878" t="s">
        <v>3099</v>
      </c>
      <c r="C878" t="s">
        <v>121</v>
      </c>
      <c r="D878" t="s">
        <v>3050</v>
      </c>
      <c r="E878" t="s">
        <v>654</v>
      </c>
      <c r="F878" t="s">
        <v>334</v>
      </c>
      <c r="G878" t="s">
        <v>3100</v>
      </c>
      <c r="H878" t="str">
        <f>HYPERLINK("https://baanknet.com/view-property/182106/4FFEAAE1991595B81022B9F2103EB7067DB2AD7DA70386EC117E2A3CA6E52BD1", "https://baanknet.com/view-property/182106/4FFEAAE1991595B81022B9F2103EB7067DB2AD7DA70386EC117E2A3CA6E52BD1")</f>
        <v>https://baanknet.com/view-property/182106/4FFEAAE1991595B81022B9F2103EB7067DB2AD7DA70386EC117E2A3CA6E52BD1</v>
      </c>
      <c r="I878" t="str">
        <f>HYPERLINK("https://baanknet.com/view-property/182106/4FFEAAE1991595B81022B9F2103EB7067DB2AD7DA70386EC117E2A3CA6E52BD1", "Open")</f>
        <v>Open</v>
      </c>
      <c r="J878" t="s">
        <v>20</v>
      </c>
      <c r="K878" t="s">
        <v>21</v>
      </c>
      <c r="L878">
        <v>1605000</v>
      </c>
      <c r="M878">
        <v>160500</v>
      </c>
    </row>
    <row r="879" spans="1:13" x14ac:dyDescent="0.25">
      <c r="A879" t="s">
        <v>3101</v>
      </c>
      <c r="B879" t="s">
        <v>3102</v>
      </c>
      <c r="C879" t="s">
        <v>121</v>
      </c>
      <c r="D879" t="s">
        <v>3103</v>
      </c>
      <c r="E879" t="s">
        <v>654</v>
      </c>
      <c r="F879" t="s">
        <v>334</v>
      </c>
      <c r="G879" t="s">
        <v>3104</v>
      </c>
      <c r="H879" t="str">
        <f>HYPERLINK("https://baanknet.com/view-property/268492/C87C23229375CE8F20674734DD2EFF52B4F09A6AAE73D3E856985730D356507D", "https://baanknet.com/view-property/268492/C87C23229375CE8F20674734DD2EFF52B4F09A6AAE73D3E856985730D356507D")</f>
        <v>https://baanknet.com/view-property/268492/C87C23229375CE8F20674734DD2EFF52B4F09A6AAE73D3E856985730D356507D</v>
      </c>
      <c r="I879" t="str">
        <f>HYPERLINK("https://baanknet.com/view-property/268492/C87C23229375CE8F20674734DD2EFF52B4F09A6AAE73D3E856985730D356507D", "Open")</f>
        <v>Open</v>
      </c>
      <c r="J879" t="s">
        <v>20</v>
      </c>
      <c r="K879" t="s">
        <v>21</v>
      </c>
      <c r="L879">
        <v>762000</v>
      </c>
      <c r="M879">
        <v>76200</v>
      </c>
    </row>
    <row r="880" spans="1:13" x14ac:dyDescent="0.25">
      <c r="A880" t="s">
        <v>3105</v>
      </c>
      <c r="B880" t="s">
        <v>3106</v>
      </c>
      <c r="C880" t="s">
        <v>121</v>
      </c>
      <c r="D880" t="s">
        <v>2976</v>
      </c>
      <c r="E880" t="s">
        <v>654</v>
      </c>
      <c r="F880" t="s">
        <v>334</v>
      </c>
      <c r="G880" t="s">
        <v>3107</v>
      </c>
      <c r="H880" t="str">
        <f>HYPERLINK("https://baanknet.com/view-property/263485/B6E91F3592C50E812AB5764D858B2662BC9DBE60C1AA21F06F171EB2CC874B97", "https://baanknet.com/view-property/263485/B6E91F3592C50E812AB5764D858B2662BC9DBE60C1AA21F06F171EB2CC874B97")</f>
        <v>https://baanknet.com/view-property/263485/B6E91F3592C50E812AB5764D858B2662BC9DBE60C1AA21F06F171EB2CC874B97</v>
      </c>
      <c r="I880" t="str">
        <f>HYPERLINK("https://baanknet.com/view-property/263485/B6E91F3592C50E812AB5764D858B2662BC9DBE60C1AA21F06F171EB2CC874B97", "Open")</f>
        <v>Open</v>
      </c>
      <c r="J880" t="s">
        <v>20</v>
      </c>
      <c r="K880" t="s">
        <v>21</v>
      </c>
      <c r="L880">
        <v>2160000</v>
      </c>
      <c r="M880">
        <v>216000</v>
      </c>
    </row>
    <row r="881" spans="1:13" x14ac:dyDescent="0.25">
      <c r="A881" t="s">
        <v>3108</v>
      </c>
      <c r="B881" t="s">
        <v>3109</v>
      </c>
      <c r="C881" t="s">
        <v>121</v>
      </c>
      <c r="D881" t="s">
        <v>3110</v>
      </c>
      <c r="E881" t="s">
        <v>654</v>
      </c>
      <c r="F881" t="s">
        <v>334</v>
      </c>
      <c r="G881" t="s">
        <v>3111</v>
      </c>
      <c r="H881" t="str">
        <f>HYPERLINK("https://baanknet.com/view-property/219997/E7B41DFF4EEFC005C6CD76D3FFE195196B2013DAC455C13E10B13AC23274E3B5", "https://baanknet.com/view-property/219997/E7B41DFF4EEFC005C6CD76D3FFE195196B2013DAC455C13E10B13AC23274E3B5")</f>
        <v>https://baanknet.com/view-property/219997/E7B41DFF4EEFC005C6CD76D3FFE195196B2013DAC455C13E10B13AC23274E3B5</v>
      </c>
      <c r="I881" t="str">
        <f>HYPERLINK("https://baanknet.com/view-property/219997/E7B41DFF4EEFC005C6CD76D3FFE195196B2013DAC455C13E10B13AC23274E3B5", "Open")</f>
        <v>Open</v>
      </c>
      <c r="J881" t="s">
        <v>20</v>
      </c>
      <c r="K881" t="s">
        <v>21</v>
      </c>
      <c r="L881">
        <v>2010000</v>
      </c>
      <c r="M881">
        <v>201000</v>
      </c>
    </row>
    <row r="882" spans="1:13" x14ac:dyDescent="0.25">
      <c r="A882" t="s">
        <v>3112</v>
      </c>
      <c r="B882" t="s">
        <v>3113</v>
      </c>
      <c r="C882" t="s">
        <v>121</v>
      </c>
      <c r="D882" t="s">
        <v>2976</v>
      </c>
      <c r="E882" t="s">
        <v>654</v>
      </c>
      <c r="F882" t="s">
        <v>334</v>
      </c>
      <c r="G882" t="s">
        <v>3114</v>
      </c>
      <c r="H882" t="str">
        <f>HYPERLINK("https://baanknet.com/view-property/254891/F704CF14F8AC6F0D78939479D7455D0E73F94845D0101F56C67D4A8F5B0CBE08", "https://baanknet.com/view-property/254891/F704CF14F8AC6F0D78939479D7455D0E73F94845D0101F56C67D4A8F5B0CBE08")</f>
        <v>https://baanknet.com/view-property/254891/F704CF14F8AC6F0D78939479D7455D0E73F94845D0101F56C67D4A8F5B0CBE08</v>
      </c>
      <c r="I882" t="str">
        <f>HYPERLINK("https://baanknet.com/view-property/254891/F704CF14F8AC6F0D78939479D7455D0E73F94845D0101F56C67D4A8F5B0CBE08", "Open")</f>
        <v>Open</v>
      </c>
      <c r="J882" t="s">
        <v>20</v>
      </c>
      <c r="K882" t="s">
        <v>21</v>
      </c>
      <c r="L882">
        <v>1648000</v>
      </c>
      <c r="M882">
        <v>164800</v>
      </c>
    </row>
    <row r="883" spans="1:13" x14ac:dyDescent="0.25">
      <c r="A883" t="s">
        <v>3115</v>
      </c>
      <c r="B883" t="s">
        <v>3116</v>
      </c>
      <c r="C883" t="s">
        <v>121</v>
      </c>
      <c r="D883" t="s">
        <v>3039</v>
      </c>
      <c r="E883" t="s">
        <v>654</v>
      </c>
      <c r="F883" t="s">
        <v>334</v>
      </c>
      <c r="G883" t="s">
        <v>3117</v>
      </c>
      <c r="H883" t="str">
        <f>HYPERLINK("https://baanknet.com/view-property/246400/A658C43A16352006249D55C03B07F52118542D6B76086297E0911653FD41ECF2", "https://baanknet.com/view-property/246400/A658C43A16352006249D55C03B07F52118542D6B76086297E0911653FD41ECF2")</f>
        <v>https://baanknet.com/view-property/246400/A658C43A16352006249D55C03B07F52118542D6B76086297E0911653FD41ECF2</v>
      </c>
      <c r="I883" t="str">
        <f>HYPERLINK("https://baanknet.com/view-property/246400/A658C43A16352006249D55C03B07F52118542D6B76086297E0911653FD41ECF2", "Open")</f>
        <v>Open</v>
      </c>
      <c r="J883" t="s">
        <v>20</v>
      </c>
      <c r="K883" t="s">
        <v>21</v>
      </c>
      <c r="L883">
        <v>1275000</v>
      </c>
      <c r="M883">
        <v>127500</v>
      </c>
    </row>
    <row r="884" spans="1:13" x14ac:dyDescent="0.25">
      <c r="A884" t="s">
        <v>3118</v>
      </c>
      <c r="B884" t="s">
        <v>3119</v>
      </c>
      <c r="C884" t="s">
        <v>121</v>
      </c>
      <c r="D884" t="s">
        <v>3120</v>
      </c>
      <c r="E884" t="s">
        <v>654</v>
      </c>
      <c r="F884" t="s">
        <v>334</v>
      </c>
      <c r="G884" t="s">
        <v>3121</v>
      </c>
      <c r="H884" t="str">
        <f>HYPERLINK("https://baanknet.com/view-property/268487/5F56F4D8B0BF368AA09D92D2361B447056C48C0378C4E0EE4E6DC58B3D1AB0FD", "https://baanknet.com/view-property/268487/5F56F4D8B0BF368AA09D92D2361B447056C48C0378C4E0EE4E6DC58B3D1AB0FD")</f>
        <v>https://baanknet.com/view-property/268487/5F56F4D8B0BF368AA09D92D2361B447056C48C0378C4E0EE4E6DC58B3D1AB0FD</v>
      </c>
      <c r="I884" t="str">
        <f>HYPERLINK("https://baanknet.com/view-property/268487/5F56F4D8B0BF368AA09D92D2361B447056C48C0378C4E0EE4E6DC58B3D1AB0FD", "Open")</f>
        <v>Open</v>
      </c>
      <c r="J884" t="s">
        <v>20</v>
      </c>
      <c r="K884" t="s">
        <v>21</v>
      </c>
      <c r="L884">
        <v>588000</v>
      </c>
      <c r="M884">
        <v>58800</v>
      </c>
    </row>
    <row r="885" spans="1:13" x14ac:dyDescent="0.25">
      <c r="A885" t="s">
        <v>3122</v>
      </c>
      <c r="B885" t="s">
        <v>3123</v>
      </c>
      <c r="C885" t="s">
        <v>121</v>
      </c>
      <c r="D885" t="s">
        <v>2976</v>
      </c>
      <c r="E885" t="s">
        <v>654</v>
      </c>
      <c r="F885" t="s">
        <v>334</v>
      </c>
      <c r="G885" t="s">
        <v>3124</v>
      </c>
      <c r="H885" t="str">
        <f>HYPERLINK("https://baanknet.com/view-property/268510/B3CA04D91A9BFF3049E4D4B3BE453FC2B95AC2C1E0B1CD48FE8AF7B3FEE7D8AD", "https://baanknet.com/view-property/268510/B3CA04D91A9BFF3049E4D4B3BE453FC2B95AC2C1E0B1CD48FE8AF7B3FEE7D8AD")</f>
        <v>https://baanknet.com/view-property/268510/B3CA04D91A9BFF3049E4D4B3BE453FC2B95AC2C1E0B1CD48FE8AF7B3FEE7D8AD</v>
      </c>
      <c r="I885" t="str">
        <f>HYPERLINK("https://baanknet.com/view-property/268510/B3CA04D91A9BFF3049E4D4B3BE453FC2B95AC2C1E0B1CD48FE8AF7B3FEE7D8AD", "Open")</f>
        <v>Open</v>
      </c>
      <c r="J885" t="s">
        <v>20</v>
      </c>
      <c r="K885" t="s">
        <v>21</v>
      </c>
      <c r="L885">
        <v>633000</v>
      </c>
      <c r="M885">
        <v>63300</v>
      </c>
    </row>
    <row r="886" spans="1:13" x14ac:dyDescent="0.25">
      <c r="A886" t="s">
        <v>3125</v>
      </c>
      <c r="B886" t="s">
        <v>3126</v>
      </c>
      <c r="C886" t="s">
        <v>121</v>
      </c>
      <c r="D886" t="s">
        <v>3127</v>
      </c>
      <c r="E886" t="s">
        <v>654</v>
      </c>
      <c r="F886" t="s">
        <v>334</v>
      </c>
      <c r="G886" t="s">
        <v>3128</v>
      </c>
      <c r="H886" t="str">
        <f>HYPERLINK("https://baanknet.com/view-property/179393/C0DE903590B94D3652B25BDADEC9587917937EA456C806C554B2A18CDA28875B", "https://baanknet.com/view-property/179393/C0DE903590B94D3652B25BDADEC9587917937EA456C806C554B2A18CDA28875B")</f>
        <v>https://baanknet.com/view-property/179393/C0DE903590B94D3652B25BDADEC9587917937EA456C806C554B2A18CDA28875B</v>
      </c>
      <c r="I886" t="str">
        <f>HYPERLINK("https://baanknet.com/view-property/179393/C0DE903590B94D3652B25BDADEC9587917937EA456C806C554B2A18CDA28875B", "Open")</f>
        <v>Open</v>
      </c>
      <c r="J886" t="s">
        <v>20</v>
      </c>
      <c r="K886" t="s">
        <v>21</v>
      </c>
      <c r="L886">
        <v>2551700</v>
      </c>
      <c r="M886">
        <v>255170</v>
      </c>
    </row>
    <row r="887" spans="1:13" x14ac:dyDescent="0.25">
      <c r="A887" t="s">
        <v>3129</v>
      </c>
      <c r="B887" t="s">
        <v>3130</v>
      </c>
      <c r="C887" t="s">
        <v>121</v>
      </c>
      <c r="D887" t="s">
        <v>3131</v>
      </c>
      <c r="E887" t="s">
        <v>654</v>
      </c>
      <c r="F887" t="s">
        <v>334</v>
      </c>
      <c r="G887" t="s">
        <v>3132</v>
      </c>
      <c r="H887" t="str">
        <f>HYPERLINK("https://baanknet.com/view-property/179414/E78D47453515C2920D1898EC2B2D044168729EDDA4FA427474A0F6F518228614", "https://baanknet.com/view-property/179414/E78D47453515C2920D1898EC2B2D044168729EDDA4FA427474A0F6F518228614")</f>
        <v>https://baanknet.com/view-property/179414/E78D47453515C2920D1898EC2B2D044168729EDDA4FA427474A0F6F518228614</v>
      </c>
      <c r="I887" t="str">
        <f>HYPERLINK("https://baanknet.com/view-property/179414/E78D47453515C2920D1898EC2B2D044168729EDDA4FA427474A0F6F518228614", "Open")</f>
        <v>Open</v>
      </c>
      <c r="J887" t="s">
        <v>20</v>
      </c>
      <c r="K887" t="s">
        <v>21</v>
      </c>
      <c r="L887">
        <v>9452000</v>
      </c>
      <c r="M887">
        <v>945200</v>
      </c>
    </row>
    <row r="888" spans="1:13" x14ac:dyDescent="0.25">
      <c r="A888" t="s">
        <v>3133</v>
      </c>
      <c r="B888" t="s">
        <v>3134</v>
      </c>
      <c r="C888" t="s">
        <v>121</v>
      </c>
      <c r="D888" t="s">
        <v>2932</v>
      </c>
      <c r="E888" t="s">
        <v>654</v>
      </c>
      <c r="F888" t="s">
        <v>334</v>
      </c>
      <c r="G888" t="s">
        <v>3135</v>
      </c>
      <c r="H888" t="str">
        <f>HYPERLINK("https://baanknet.com/view-property/175511/DC69E3352CF5F9CD47575A1F54C79EDA74548D0E710BDC03EEAF854C38B34ACE", "https://baanknet.com/view-property/175511/DC69E3352CF5F9CD47575A1F54C79EDA74548D0E710BDC03EEAF854C38B34ACE")</f>
        <v>https://baanknet.com/view-property/175511/DC69E3352CF5F9CD47575A1F54C79EDA74548D0E710BDC03EEAF854C38B34ACE</v>
      </c>
      <c r="I888" t="str">
        <f>HYPERLINK("https://baanknet.com/view-property/175511/DC69E3352CF5F9CD47575A1F54C79EDA74548D0E710BDC03EEAF854C38B34ACE", "Open")</f>
        <v>Open</v>
      </c>
      <c r="J888" t="s">
        <v>20</v>
      </c>
      <c r="K888" t="s">
        <v>21</v>
      </c>
      <c r="L888">
        <v>4374000</v>
      </c>
      <c r="M888">
        <v>437400</v>
      </c>
    </row>
    <row r="889" spans="1:13" x14ac:dyDescent="0.25">
      <c r="A889" t="s">
        <v>3136</v>
      </c>
      <c r="B889" t="s">
        <v>3137</v>
      </c>
      <c r="C889" t="s">
        <v>121</v>
      </c>
      <c r="D889" t="s">
        <v>2936</v>
      </c>
      <c r="E889" t="s">
        <v>654</v>
      </c>
      <c r="F889" t="s">
        <v>334</v>
      </c>
      <c r="G889" t="s">
        <v>3138</v>
      </c>
      <c r="H889" t="str">
        <f>HYPERLINK("https://baanknet.com/view-property/176400/CF430710D21551DC2BD1324E3774254D3295796B1AD994B384A8832C8E4195D8", "https://baanknet.com/view-property/176400/CF430710D21551DC2BD1324E3774254D3295796B1AD994B384A8832C8E4195D8")</f>
        <v>https://baanknet.com/view-property/176400/CF430710D21551DC2BD1324E3774254D3295796B1AD994B384A8832C8E4195D8</v>
      </c>
      <c r="I889" t="str">
        <f>HYPERLINK("https://baanknet.com/view-property/176400/CF430710D21551DC2BD1324E3774254D3295796B1AD994B384A8832C8E4195D8", "Open")</f>
        <v>Open</v>
      </c>
      <c r="J889" t="s">
        <v>20</v>
      </c>
      <c r="K889" t="s">
        <v>21</v>
      </c>
      <c r="L889">
        <v>11625000</v>
      </c>
      <c r="M889">
        <v>1162500</v>
      </c>
    </row>
    <row r="890" spans="1:13" x14ac:dyDescent="0.25">
      <c r="A890" t="s">
        <v>3139</v>
      </c>
      <c r="B890" t="s">
        <v>3140</v>
      </c>
      <c r="C890" t="s">
        <v>121</v>
      </c>
      <c r="D890" t="s">
        <v>3141</v>
      </c>
      <c r="E890" t="s">
        <v>654</v>
      </c>
      <c r="F890" t="s">
        <v>334</v>
      </c>
      <c r="G890" t="s">
        <v>3142</v>
      </c>
      <c r="H890" t="str">
        <f>HYPERLINK("https://baanknet.com/view-property/233097/21E92A51EA37B6C38AEC669A868063831F498C09F4A9407ACFC1002643CEF02A", "https://baanknet.com/view-property/233097/21E92A51EA37B6C38AEC669A868063831F498C09F4A9407ACFC1002643CEF02A")</f>
        <v>https://baanknet.com/view-property/233097/21E92A51EA37B6C38AEC669A868063831F498C09F4A9407ACFC1002643CEF02A</v>
      </c>
      <c r="I890" t="str">
        <f>HYPERLINK("https://baanknet.com/view-property/233097/21E92A51EA37B6C38AEC669A868063831F498C09F4A9407ACFC1002643CEF02A", "Open")</f>
        <v>Open</v>
      </c>
      <c r="J890" t="s">
        <v>20</v>
      </c>
      <c r="K890" t="s">
        <v>21</v>
      </c>
      <c r="L890">
        <v>3685000</v>
      </c>
      <c r="M890">
        <v>368500</v>
      </c>
    </row>
    <row r="891" spans="1:13" x14ac:dyDescent="0.25">
      <c r="A891" t="s">
        <v>3143</v>
      </c>
      <c r="B891" t="s">
        <v>3144</v>
      </c>
      <c r="C891" t="s">
        <v>121</v>
      </c>
      <c r="D891" t="s">
        <v>3145</v>
      </c>
      <c r="E891" t="s">
        <v>654</v>
      </c>
      <c r="F891" t="s">
        <v>334</v>
      </c>
      <c r="G891" t="s">
        <v>3146</v>
      </c>
      <c r="H891" t="str">
        <f>HYPERLINK("https://baanknet.com/view-property/185556/08CECD855E41502975F0F257BB9EFFD8423FB908E7C18F8DA8059F7F3511D078", "https://baanknet.com/view-property/185556/08CECD855E41502975F0F257BB9EFFD8423FB908E7C18F8DA8059F7F3511D078")</f>
        <v>https://baanknet.com/view-property/185556/08CECD855E41502975F0F257BB9EFFD8423FB908E7C18F8DA8059F7F3511D078</v>
      </c>
      <c r="I891" t="str">
        <f>HYPERLINK("https://baanknet.com/view-property/185556/08CECD855E41502975F0F257BB9EFFD8423FB908E7C18F8DA8059F7F3511D078", "Open")</f>
        <v>Open</v>
      </c>
      <c r="J891" t="s">
        <v>20</v>
      </c>
      <c r="K891" t="s">
        <v>21</v>
      </c>
      <c r="L891">
        <v>2899820</v>
      </c>
      <c r="M891">
        <v>289982</v>
      </c>
    </row>
    <row r="892" spans="1:13" x14ac:dyDescent="0.25">
      <c r="A892" t="s">
        <v>3147</v>
      </c>
      <c r="B892" t="s">
        <v>3148</v>
      </c>
      <c r="C892" t="s">
        <v>121</v>
      </c>
      <c r="D892" t="s">
        <v>3149</v>
      </c>
      <c r="E892" t="s">
        <v>654</v>
      </c>
      <c r="F892" t="s">
        <v>334</v>
      </c>
      <c r="G892" t="s">
        <v>3150</v>
      </c>
      <c r="H892" t="str">
        <f>HYPERLINK("https://baanknet.com/view-property/255196/9E9BD6A8CF3FB16390CBF37D2EB7CE4F4682F059CD6DCA809A80B624D266B350", "https://baanknet.com/view-property/255196/9E9BD6A8CF3FB16390CBF37D2EB7CE4F4682F059CD6DCA809A80B624D266B350")</f>
        <v>https://baanknet.com/view-property/255196/9E9BD6A8CF3FB16390CBF37D2EB7CE4F4682F059CD6DCA809A80B624D266B350</v>
      </c>
      <c r="I892" t="str">
        <f>HYPERLINK("https://baanknet.com/view-property/255196/9E9BD6A8CF3FB16390CBF37D2EB7CE4F4682F059CD6DCA809A80B624D266B350", "Open")</f>
        <v>Open</v>
      </c>
      <c r="J892" t="s">
        <v>20</v>
      </c>
      <c r="K892" t="s">
        <v>21</v>
      </c>
      <c r="L892">
        <v>4966000</v>
      </c>
      <c r="M892">
        <v>496600</v>
      </c>
    </row>
    <row r="893" spans="1:13" x14ac:dyDescent="0.25">
      <c r="A893" t="s">
        <v>3151</v>
      </c>
      <c r="B893" t="s">
        <v>3152</v>
      </c>
      <c r="C893" t="s">
        <v>121</v>
      </c>
      <c r="D893" t="s">
        <v>436</v>
      </c>
      <c r="E893" t="s">
        <v>654</v>
      </c>
      <c r="F893" t="s">
        <v>334</v>
      </c>
      <c r="G893" t="s">
        <v>3153</v>
      </c>
      <c r="H893" t="str">
        <f>HYPERLINK("https://baanknet.com/view-property/186042/CFE1EEF7186071EA487FB2DF53FE3E6A1CAAED3B2DC4D9A9BD7B9BE5DF018E50", "https://baanknet.com/view-property/186042/CFE1EEF7186071EA487FB2DF53FE3E6A1CAAED3B2DC4D9A9BD7B9BE5DF018E50")</f>
        <v>https://baanknet.com/view-property/186042/CFE1EEF7186071EA487FB2DF53FE3E6A1CAAED3B2DC4D9A9BD7B9BE5DF018E50</v>
      </c>
      <c r="I893" t="str">
        <f>HYPERLINK("https://baanknet.com/view-property/186042/CFE1EEF7186071EA487FB2DF53FE3E6A1CAAED3B2DC4D9A9BD7B9BE5DF018E50", "Open")</f>
        <v>Open</v>
      </c>
      <c r="J893" t="s">
        <v>20</v>
      </c>
      <c r="K893" t="s">
        <v>21</v>
      </c>
      <c r="L893">
        <v>6030000</v>
      </c>
      <c r="M893">
        <v>603000</v>
      </c>
    </row>
    <row r="894" spans="1:13" x14ac:dyDescent="0.25">
      <c r="A894" t="s">
        <v>3154</v>
      </c>
      <c r="B894" t="s">
        <v>3155</v>
      </c>
      <c r="C894" t="s">
        <v>121</v>
      </c>
      <c r="D894" t="s">
        <v>2813</v>
      </c>
      <c r="E894" t="s">
        <v>654</v>
      </c>
      <c r="F894" t="s">
        <v>334</v>
      </c>
      <c r="G894" t="s">
        <v>3156</v>
      </c>
      <c r="H894" t="str">
        <f>HYPERLINK("https://baanknet.com/view-property/284380/896DF23818B717D2EFC38E21B2A88878312D87DA4D25F15D785E25FAABB7B13A", "https://baanknet.com/view-property/284380/896DF23818B717D2EFC38E21B2A88878312D87DA4D25F15D785E25FAABB7B13A")</f>
        <v>https://baanknet.com/view-property/284380/896DF23818B717D2EFC38E21B2A88878312D87DA4D25F15D785E25FAABB7B13A</v>
      </c>
      <c r="I894" t="str">
        <f>HYPERLINK("https://baanknet.com/view-property/284380/896DF23818B717D2EFC38E21B2A88878312D87DA4D25F15D785E25FAABB7B13A", "Open")</f>
        <v>Open</v>
      </c>
      <c r="J894" t="s">
        <v>20</v>
      </c>
      <c r="K894" t="s">
        <v>21</v>
      </c>
      <c r="L894">
        <v>2953000</v>
      </c>
      <c r="M894">
        <v>295300</v>
      </c>
    </row>
    <row r="895" spans="1:13" x14ac:dyDescent="0.25">
      <c r="A895" t="s">
        <v>3157</v>
      </c>
      <c r="B895" t="s">
        <v>3158</v>
      </c>
      <c r="C895" t="s">
        <v>121</v>
      </c>
      <c r="D895" t="s">
        <v>324</v>
      </c>
      <c r="E895" t="s">
        <v>654</v>
      </c>
      <c r="F895" t="s">
        <v>334</v>
      </c>
      <c r="G895" t="s">
        <v>3159</v>
      </c>
      <c r="H895" t="str">
        <f>HYPERLINK("https://baanknet.com/view-property/211980/2BA8F37D38B00F8240EAACE520F2F3E1D229ECBDE55301E2642D2B605F7D562E", "https://baanknet.com/view-property/211980/2BA8F37D38B00F8240EAACE520F2F3E1D229ECBDE55301E2642D2B605F7D562E")</f>
        <v>https://baanknet.com/view-property/211980/2BA8F37D38B00F8240EAACE520F2F3E1D229ECBDE55301E2642D2B605F7D562E</v>
      </c>
      <c r="I895" t="str">
        <f>HYPERLINK("https://baanknet.com/view-property/211980/2BA8F37D38B00F8240EAACE520F2F3E1D229ECBDE55301E2642D2B605F7D562E", "Open")</f>
        <v>Open</v>
      </c>
      <c r="J895" t="s">
        <v>20</v>
      </c>
      <c r="K895" t="s">
        <v>21</v>
      </c>
      <c r="L895">
        <v>2200000</v>
      </c>
      <c r="M895">
        <v>220000</v>
      </c>
    </row>
    <row r="896" spans="1:13" x14ac:dyDescent="0.25">
      <c r="A896" t="s">
        <v>3160</v>
      </c>
      <c r="B896" t="s">
        <v>3161</v>
      </c>
      <c r="C896" t="s">
        <v>121</v>
      </c>
      <c r="D896" t="s">
        <v>324</v>
      </c>
      <c r="E896" t="s">
        <v>654</v>
      </c>
      <c r="F896" t="s">
        <v>334</v>
      </c>
      <c r="G896" t="s">
        <v>3162</v>
      </c>
      <c r="H896" t="str">
        <f>HYPERLINK("https://baanknet.com/view-property/258758/B7A5D4A2B5FB5B8D2A5D2669489DA1E37672E73153709D1B9EA1A12D715936D9", "https://baanknet.com/view-property/258758/B7A5D4A2B5FB5B8D2A5D2669489DA1E37672E73153709D1B9EA1A12D715936D9")</f>
        <v>https://baanknet.com/view-property/258758/B7A5D4A2B5FB5B8D2A5D2669489DA1E37672E73153709D1B9EA1A12D715936D9</v>
      </c>
      <c r="I896" t="str">
        <f>HYPERLINK("https://baanknet.com/view-property/258758/B7A5D4A2B5FB5B8D2A5D2669489DA1E37672E73153709D1B9EA1A12D715936D9", "Open")</f>
        <v>Open</v>
      </c>
      <c r="J896" t="s">
        <v>20</v>
      </c>
      <c r="K896" t="s">
        <v>21</v>
      </c>
      <c r="L896">
        <v>2246000</v>
      </c>
      <c r="M896">
        <v>224600</v>
      </c>
    </row>
    <row r="897" spans="1:13" x14ac:dyDescent="0.25">
      <c r="A897" t="s">
        <v>3163</v>
      </c>
      <c r="B897" t="s">
        <v>3164</v>
      </c>
      <c r="C897" t="s">
        <v>121</v>
      </c>
      <c r="D897" t="s">
        <v>3165</v>
      </c>
      <c r="E897" t="s">
        <v>654</v>
      </c>
      <c r="F897" t="s">
        <v>334</v>
      </c>
      <c r="G897" t="s">
        <v>3166</v>
      </c>
      <c r="H897" t="str">
        <f>HYPERLINK("https://baanknet.com/view-property/263986/FE186903491ABBB19A83CF91C328AAEE71A0B70060D04CA9483AAFDB6BA04C53", "https://baanknet.com/view-property/263986/FE186903491ABBB19A83CF91C328AAEE71A0B70060D04CA9483AAFDB6BA04C53")</f>
        <v>https://baanknet.com/view-property/263986/FE186903491ABBB19A83CF91C328AAEE71A0B70060D04CA9483AAFDB6BA04C53</v>
      </c>
      <c r="I897" t="str">
        <f>HYPERLINK("https://baanknet.com/view-property/263986/FE186903491ABBB19A83CF91C328AAEE71A0B70060D04CA9483AAFDB6BA04C53", "Open")</f>
        <v>Open</v>
      </c>
      <c r="J897" t="s">
        <v>20</v>
      </c>
      <c r="K897" t="s">
        <v>21</v>
      </c>
      <c r="L897">
        <v>4338000</v>
      </c>
      <c r="M897">
        <v>433800</v>
      </c>
    </row>
    <row r="898" spans="1:13" x14ac:dyDescent="0.25">
      <c r="A898" t="s">
        <v>3167</v>
      </c>
      <c r="B898" t="s">
        <v>3168</v>
      </c>
      <c r="C898" t="s">
        <v>121</v>
      </c>
      <c r="D898" t="s">
        <v>324</v>
      </c>
      <c r="E898" t="s">
        <v>654</v>
      </c>
      <c r="F898" t="s">
        <v>334</v>
      </c>
      <c r="G898" t="s">
        <v>3169</v>
      </c>
      <c r="H898" t="str">
        <f>HYPERLINK("https://baanknet.com/view-property/251224/BC32F517E6436AADA16AE90F65ECAEDA7603EDDC7B024BD9FE534AC1D160D63D", "https://baanknet.com/view-property/251224/BC32F517E6436AADA16AE90F65ECAEDA7603EDDC7B024BD9FE534AC1D160D63D")</f>
        <v>https://baanknet.com/view-property/251224/BC32F517E6436AADA16AE90F65ECAEDA7603EDDC7B024BD9FE534AC1D160D63D</v>
      </c>
      <c r="I898" t="str">
        <f>HYPERLINK("https://baanknet.com/view-property/251224/BC32F517E6436AADA16AE90F65ECAEDA7603EDDC7B024BD9FE534AC1D160D63D", "Open")</f>
        <v>Open</v>
      </c>
      <c r="J898" t="s">
        <v>20</v>
      </c>
      <c r="K898" t="s">
        <v>21</v>
      </c>
      <c r="L898">
        <v>1581000</v>
      </c>
      <c r="M898">
        <v>158100</v>
      </c>
    </row>
    <row r="899" spans="1:13" x14ac:dyDescent="0.25">
      <c r="A899" t="s">
        <v>3170</v>
      </c>
      <c r="B899" t="s">
        <v>3171</v>
      </c>
      <c r="C899" t="s">
        <v>121</v>
      </c>
      <c r="D899" t="s">
        <v>3172</v>
      </c>
      <c r="E899" t="s">
        <v>654</v>
      </c>
      <c r="F899" t="s">
        <v>334</v>
      </c>
      <c r="G899" t="s">
        <v>3173</v>
      </c>
      <c r="H899" t="str">
        <f>HYPERLINK("https://baanknet.com/view-property/271700/81C6CC0D881BEC3F667F6D2258291A6264C78E24AC5C447FBEAF9F4158BAE4C2", "https://baanknet.com/view-property/271700/81C6CC0D881BEC3F667F6D2258291A6264C78E24AC5C447FBEAF9F4158BAE4C2")</f>
        <v>https://baanknet.com/view-property/271700/81C6CC0D881BEC3F667F6D2258291A6264C78E24AC5C447FBEAF9F4158BAE4C2</v>
      </c>
      <c r="I899" t="str">
        <f>HYPERLINK("https://baanknet.com/view-property/271700/81C6CC0D881BEC3F667F6D2258291A6264C78E24AC5C447FBEAF9F4158BAE4C2", "Open")</f>
        <v>Open</v>
      </c>
      <c r="J899" t="s">
        <v>20</v>
      </c>
      <c r="K899" t="s">
        <v>21</v>
      </c>
      <c r="L899">
        <v>1512000</v>
      </c>
      <c r="M899">
        <v>151200</v>
      </c>
    </row>
    <row r="900" spans="1:13" x14ac:dyDescent="0.25">
      <c r="A900" t="s">
        <v>3174</v>
      </c>
      <c r="B900" t="s">
        <v>3175</v>
      </c>
      <c r="C900" t="s">
        <v>121</v>
      </c>
      <c r="D900" t="s">
        <v>324</v>
      </c>
      <c r="E900" t="s">
        <v>654</v>
      </c>
      <c r="F900" t="s">
        <v>334</v>
      </c>
      <c r="G900" t="s">
        <v>3176</v>
      </c>
      <c r="H900" t="str">
        <f>HYPERLINK("https://baanknet.com/view-property/264200/5B0FE1A7DF0D25FBC4E789AEE43ADAB53590D565DAAA5D802CD8F755AA5C6594", "https://baanknet.com/view-property/264200/5B0FE1A7DF0D25FBC4E789AEE43ADAB53590D565DAAA5D802CD8F755AA5C6594")</f>
        <v>https://baanknet.com/view-property/264200/5B0FE1A7DF0D25FBC4E789AEE43ADAB53590D565DAAA5D802CD8F755AA5C6594</v>
      </c>
      <c r="I900" t="str">
        <f>HYPERLINK("https://baanknet.com/view-property/264200/5B0FE1A7DF0D25FBC4E789AEE43ADAB53590D565DAAA5D802CD8F755AA5C6594", "Open")</f>
        <v>Open</v>
      </c>
      <c r="J900" t="s">
        <v>20</v>
      </c>
      <c r="K900" t="s">
        <v>21</v>
      </c>
      <c r="L900">
        <v>1151000</v>
      </c>
      <c r="M900">
        <v>115100</v>
      </c>
    </row>
    <row r="901" spans="1:13" x14ac:dyDescent="0.25">
      <c r="A901" t="s">
        <v>3177</v>
      </c>
      <c r="B901" t="s">
        <v>3178</v>
      </c>
      <c r="C901" t="s">
        <v>121</v>
      </c>
      <c r="D901" t="s">
        <v>3179</v>
      </c>
      <c r="E901" t="s">
        <v>654</v>
      </c>
      <c r="F901" t="s">
        <v>334</v>
      </c>
      <c r="G901" t="s">
        <v>3180</v>
      </c>
      <c r="H901" t="str">
        <f>HYPERLINK("https://baanknet.com/view-property/183939/8FF3E6E8A1E6F9F30220A3AA8C7B064E4BF287595C06AE68CBC3E1FAFDF9CC1B", "https://baanknet.com/view-property/183939/8FF3E6E8A1E6F9F30220A3AA8C7B064E4BF287595C06AE68CBC3E1FAFDF9CC1B")</f>
        <v>https://baanknet.com/view-property/183939/8FF3E6E8A1E6F9F30220A3AA8C7B064E4BF287595C06AE68CBC3E1FAFDF9CC1B</v>
      </c>
      <c r="I901" t="str">
        <f>HYPERLINK("https://baanknet.com/view-property/183939/8FF3E6E8A1E6F9F30220A3AA8C7B064E4BF287595C06AE68CBC3E1FAFDF9CC1B", "Open")</f>
        <v>Open</v>
      </c>
      <c r="J901" t="s">
        <v>20</v>
      </c>
      <c r="K901" t="s">
        <v>21</v>
      </c>
      <c r="L901">
        <v>17066000</v>
      </c>
      <c r="M901">
        <v>1706600</v>
      </c>
    </row>
    <row r="902" spans="1:13" x14ac:dyDescent="0.25">
      <c r="A902" t="s">
        <v>3181</v>
      </c>
      <c r="B902" t="s">
        <v>3182</v>
      </c>
      <c r="C902" t="s">
        <v>121</v>
      </c>
      <c r="D902" t="s">
        <v>3183</v>
      </c>
      <c r="E902" t="s">
        <v>654</v>
      </c>
      <c r="F902" t="s">
        <v>334</v>
      </c>
      <c r="G902" t="s">
        <v>3184</v>
      </c>
      <c r="H902" t="str">
        <f>HYPERLINK("https://baanknet.com/view-property/185899/67675E0DAC2F803BA6FB357C9D902AA3E502BB229202A6AD6FE82646558359DE", "https://baanknet.com/view-property/185899/67675E0DAC2F803BA6FB357C9D902AA3E502BB229202A6AD6FE82646558359DE")</f>
        <v>https://baanknet.com/view-property/185899/67675E0DAC2F803BA6FB357C9D902AA3E502BB229202A6AD6FE82646558359DE</v>
      </c>
      <c r="I902" t="str">
        <f>HYPERLINK("https://baanknet.com/view-property/185899/67675E0DAC2F803BA6FB357C9D902AA3E502BB229202A6AD6FE82646558359DE", "Open")</f>
        <v>Open</v>
      </c>
      <c r="J902" t="s">
        <v>20</v>
      </c>
      <c r="K902" t="s">
        <v>21</v>
      </c>
      <c r="L902">
        <v>3370000</v>
      </c>
      <c r="M902">
        <v>337000</v>
      </c>
    </row>
    <row r="903" spans="1:13" x14ac:dyDescent="0.25">
      <c r="A903" t="s">
        <v>3185</v>
      </c>
      <c r="B903" t="s">
        <v>3186</v>
      </c>
      <c r="C903" t="s">
        <v>121</v>
      </c>
      <c r="D903" t="s">
        <v>3187</v>
      </c>
      <c r="E903" t="s">
        <v>654</v>
      </c>
      <c r="F903" t="s">
        <v>334</v>
      </c>
      <c r="G903" t="s">
        <v>3188</v>
      </c>
      <c r="H903" t="str">
        <f>HYPERLINK("https://baanknet.com/view-property/257857/0A0862ECFD02A455C26AE06F59DE0287337B68A91775A01F2BA8FDC5C1FE12A0", "https://baanknet.com/view-property/257857/0A0862ECFD02A455C26AE06F59DE0287337B68A91775A01F2BA8FDC5C1FE12A0")</f>
        <v>https://baanknet.com/view-property/257857/0A0862ECFD02A455C26AE06F59DE0287337B68A91775A01F2BA8FDC5C1FE12A0</v>
      </c>
      <c r="I903" t="str">
        <f>HYPERLINK("https://baanknet.com/view-property/257857/0A0862ECFD02A455C26AE06F59DE0287337B68A91775A01F2BA8FDC5C1FE12A0", "Open")</f>
        <v>Open</v>
      </c>
      <c r="J903" t="s">
        <v>20</v>
      </c>
      <c r="K903" t="s">
        <v>21</v>
      </c>
      <c r="L903">
        <v>1429000</v>
      </c>
      <c r="M903">
        <v>142900</v>
      </c>
    </row>
    <row r="904" spans="1:13" x14ac:dyDescent="0.25">
      <c r="A904" t="s">
        <v>3189</v>
      </c>
      <c r="B904" t="s">
        <v>3190</v>
      </c>
      <c r="C904" t="s">
        <v>121</v>
      </c>
      <c r="D904" t="s">
        <v>3191</v>
      </c>
      <c r="E904" t="s">
        <v>654</v>
      </c>
      <c r="F904" t="s">
        <v>334</v>
      </c>
      <c r="G904" t="s">
        <v>3192</v>
      </c>
      <c r="H904" t="str">
        <f>HYPERLINK("https://baanknet.com/view-property/266892/BAF413C6D3B8FCA437EF3DDB7D6DB743BBA478E766A56F5AF7F583C3363C29E9", "https://baanknet.com/view-property/266892/BAF413C6D3B8FCA437EF3DDB7D6DB743BBA478E766A56F5AF7F583C3363C29E9")</f>
        <v>https://baanknet.com/view-property/266892/BAF413C6D3B8FCA437EF3DDB7D6DB743BBA478E766A56F5AF7F583C3363C29E9</v>
      </c>
      <c r="I904" t="str">
        <f>HYPERLINK("https://baanknet.com/view-property/266892/BAF413C6D3B8FCA437EF3DDB7D6DB743BBA478E766A56F5AF7F583C3363C29E9", "Open")</f>
        <v>Open</v>
      </c>
      <c r="J904" t="s">
        <v>20</v>
      </c>
      <c r="K904" t="s">
        <v>21</v>
      </c>
      <c r="L904">
        <v>1513800</v>
      </c>
      <c r="M904">
        <v>151380</v>
      </c>
    </row>
    <row r="905" spans="1:13" x14ac:dyDescent="0.25">
      <c r="A905" t="s">
        <v>3193</v>
      </c>
      <c r="B905" t="s">
        <v>3194</v>
      </c>
      <c r="C905" t="s">
        <v>121</v>
      </c>
      <c r="D905" t="s">
        <v>1839</v>
      </c>
      <c r="E905" t="s">
        <v>654</v>
      </c>
      <c r="F905" t="s">
        <v>334</v>
      </c>
      <c r="G905" t="s">
        <v>3195</v>
      </c>
      <c r="H905" t="str">
        <f>HYPERLINK("https://baanknet.com/view-property/261401/5236C127E4EDC6BF2D6A59973DD1487584D97C513840DE3E564907A3BD8B7E50", "https://baanknet.com/view-property/261401/5236C127E4EDC6BF2D6A59973DD1487584D97C513840DE3E564907A3BD8B7E50")</f>
        <v>https://baanknet.com/view-property/261401/5236C127E4EDC6BF2D6A59973DD1487584D97C513840DE3E564907A3BD8B7E50</v>
      </c>
      <c r="I905" t="str">
        <f>HYPERLINK("https://baanknet.com/view-property/261401/5236C127E4EDC6BF2D6A59973DD1487584D97C513840DE3E564907A3BD8B7E50", "Open")</f>
        <v>Open</v>
      </c>
      <c r="J905" t="s">
        <v>20</v>
      </c>
      <c r="K905" t="s">
        <v>21</v>
      </c>
      <c r="L905">
        <v>671500</v>
      </c>
      <c r="M905">
        <v>67150</v>
      </c>
    </row>
    <row r="906" spans="1:13" x14ac:dyDescent="0.25">
      <c r="A906" t="s">
        <v>3196</v>
      </c>
      <c r="B906" t="s">
        <v>3197</v>
      </c>
      <c r="C906" t="s">
        <v>121</v>
      </c>
      <c r="D906" t="s">
        <v>526</v>
      </c>
      <c r="E906" t="s">
        <v>654</v>
      </c>
      <c r="F906" t="s">
        <v>334</v>
      </c>
      <c r="G906" t="s">
        <v>3198</v>
      </c>
      <c r="H906" t="str">
        <f>HYPERLINK("https://baanknet.com/view-property/191092/66DC1AA4312F53C2A3A6614B23C3581745201FE5B0538D7D045D5637A5A8DE95", "https://baanknet.com/view-property/191092/66DC1AA4312F53C2A3A6614B23C3581745201FE5B0538D7D045D5637A5A8DE95")</f>
        <v>https://baanknet.com/view-property/191092/66DC1AA4312F53C2A3A6614B23C3581745201FE5B0538D7D045D5637A5A8DE95</v>
      </c>
      <c r="I906" t="str">
        <f>HYPERLINK("https://baanknet.com/view-property/191092/66DC1AA4312F53C2A3A6614B23C3581745201FE5B0538D7D045D5637A5A8DE95", "Open")</f>
        <v>Open</v>
      </c>
      <c r="J906" t="s">
        <v>20</v>
      </c>
      <c r="K906" t="s">
        <v>21</v>
      </c>
      <c r="L906">
        <v>1224000</v>
      </c>
      <c r="M906">
        <v>122400</v>
      </c>
    </row>
    <row r="907" spans="1:13" x14ac:dyDescent="0.25">
      <c r="A907" t="s">
        <v>3199</v>
      </c>
      <c r="B907" t="s">
        <v>3200</v>
      </c>
      <c r="C907" t="s">
        <v>121</v>
      </c>
      <c r="D907" t="s">
        <v>3201</v>
      </c>
      <c r="E907" t="s">
        <v>654</v>
      </c>
      <c r="F907" t="s">
        <v>334</v>
      </c>
      <c r="G907" t="s">
        <v>3202</v>
      </c>
      <c r="H907" t="str">
        <f>HYPERLINK("https://baanknet.com/view-property/288180/E83EF883FA8BC9812138D3971C4CA58EBD327637E9E9F253B44392BFD3F3F759", "https://baanknet.com/view-property/288180/E83EF883FA8BC9812138D3971C4CA58EBD327637E9E9F253B44392BFD3F3F759")</f>
        <v>https://baanknet.com/view-property/288180/E83EF883FA8BC9812138D3971C4CA58EBD327637E9E9F253B44392BFD3F3F759</v>
      </c>
      <c r="I907" t="str">
        <f>HYPERLINK("https://baanknet.com/view-property/288180/E83EF883FA8BC9812138D3971C4CA58EBD327637E9E9F253B44392BFD3F3F759", "Open")</f>
        <v>Open</v>
      </c>
      <c r="J907" t="s">
        <v>20</v>
      </c>
      <c r="K907" t="s">
        <v>21</v>
      </c>
      <c r="L907">
        <v>1700000</v>
      </c>
      <c r="M907">
        <v>170000</v>
      </c>
    </row>
    <row r="908" spans="1:13" x14ac:dyDescent="0.25">
      <c r="A908" t="s">
        <v>3203</v>
      </c>
      <c r="B908" t="s">
        <v>3204</v>
      </c>
      <c r="C908" t="s">
        <v>121</v>
      </c>
      <c r="D908" t="s">
        <v>3205</v>
      </c>
      <c r="E908" t="s">
        <v>654</v>
      </c>
      <c r="F908" t="s">
        <v>334</v>
      </c>
      <c r="G908" t="s">
        <v>3206</v>
      </c>
      <c r="H908" t="str">
        <f>HYPERLINK("https://baanknet.com/view-property/179591/2D4BEB043ED29C9DED637EC8D77FB3E48FFB8F364AC82A7D9370F7419A8F7DCF", "https://baanknet.com/view-property/179591/2D4BEB043ED29C9DED637EC8D77FB3E48FFB8F364AC82A7D9370F7419A8F7DCF")</f>
        <v>https://baanknet.com/view-property/179591/2D4BEB043ED29C9DED637EC8D77FB3E48FFB8F364AC82A7D9370F7419A8F7DCF</v>
      </c>
      <c r="I908" t="str">
        <f>HYPERLINK("https://baanknet.com/view-property/179591/2D4BEB043ED29C9DED637EC8D77FB3E48FFB8F364AC82A7D9370F7419A8F7DCF", "Open")</f>
        <v>Open</v>
      </c>
      <c r="J908" t="s">
        <v>20</v>
      </c>
      <c r="K908" t="s">
        <v>21</v>
      </c>
      <c r="L908">
        <v>3315000</v>
      </c>
      <c r="M908">
        <v>331500</v>
      </c>
    </row>
    <row r="909" spans="1:13" x14ac:dyDescent="0.25">
      <c r="A909" t="s">
        <v>3207</v>
      </c>
      <c r="B909" t="s">
        <v>3208</v>
      </c>
      <c r="C909" t="s">
        <v>121</v>
      </c>
      <c r="D909" t="s">
        <v>3209</v>
      </c>
      <c r="E909" t="s">
        <v>654</v>
      </c>
      <c r="F909" t="s">
        <v>538</v>
      </c>
      <c r="G909" t="s">
        <v>3210</v>
      </c>
      <c r="H909" t="str">
        <f>HYPERLINK("https://baanknet.com/view-property/269914/F1F42F80940E2318125D35BBEA82BC60D5AF0936FF7C70B768AB72F6A37DE226", "https://baanknet.com/view-property/269914/F1F42F80940E2318125D35BBEA82BC60D5AF0936FF7C70B768AB72F6A37DE226")</f>
        <v>https://baanknet.com/view-property/269914/F1F42F80940E2318125D35BBEA82BC60D5AF0936FF7C70B768AB72F6A37DE226</v>
      </c>
      <c r="I909" t="str">
        <f>HYPERLINK("https://baanknet.com/view-property/269914/F1F42F80940E2318125D35BBEA82BC60D5AF0936FF7C70B768AB72F6A37DE226", "Open")</f>
        <v>Open</v>
      </c>
      <c r="J909" t="s">
        <v>20</v>
      </c>
      <c r="K909" t="s">
        <v>21</v>
      </c>
      <c r="L909">
        <v>3388000</v>
      </c>
      <c r="M909">
        <v>338800</v>
      </c>
    </row>
    <row r="910" spans="1:13" x14ac:dyDescent="0.25">
      <c r="A910" t="s">
        <v>3211</v>
      </c>
      <c r="B910" t="s">
        <v>3212</v>
      </c>
      <c r="C910" t="s">
        <v>121</v>
      </c>
      <c r="D910" t="s">
        <v>3213</v>
      </c>
      <c r="E910" t="s">
        <v>654</v>
      </c>
      <c r="F910" t="s">
        <v>538</v>
      </c>
      <c r="G910" t="s">
        <v>3214</v>
      </c>
      <c r="H910" t="str">
        <f>HYPERLINK("https://baanknet.com/view-property/260980/AEEC487E8977F149EE05A7CE0063A0B0E42E16D1C53F0056C4BAFBF956E7529F", "https://baanknet.com/view-property/260980/AEEC487E8977F149EE05A7CE0063A0B0E42E16D1C53F0056C4BAFBF956E7529F")</f>
        <v>https://baanknet.com/view-property/260980/AEEC487E8977F149EE05A7CE0063A0B0E42E16D1C53F0056C4BAFBF956E7529F</v>
      </c>
      <c r="I910" t="str">
        <f>HYPERLINK("https://baanknet.com/view-property/260980/AEEC487E8977F149EE05A7CE0063A0B0E42E16D1C53F0056C4BAFBF956E7529F", "Open")</f>
        <v>Open</v>
      </c>
      <c r="J910" t="s">
        <v>20</v>
      </c>
      <c r="K910" t="s">
        <v>21</v>
      </c>
      <c r="L910">
        <v>12300000</v>
      </c>
      <c r="M910">
        <v>1230000</v>
      </c>
    </row>
    <row r="911" spans="1:13" x14ac:dyDescent="0.25">
      <c r="A911" t="s">
        <v>3215</v>
      </c>
      <c r="B911" t="s">
        <v>3216</v>
      </c>
      <c r="C911" t="s">
        <v>121</v>
      </c>
      <c r="D911" t="s">
        <v>3217</v>
      </c>
      <c r="E911" t="s">
        <v>654</v>
      </c>
      <c r="F911" t="s">
        <v>538</v>
      </c>
      <c r="G911" t="s">
        <v>3218</v>
      </c>
      <c r="H911" t="str">
        <f>HYPERLINK("https://baanknet.com/view-property/176432/3E89E29501CE592ECA4315CEA5759B32A2755A923C13571222D772FBFF6E15F4", "https://baanknet.com/view-property/176432/3E89E29501CE592ECA4315CEA5759B32A2755A923C13571222D772FBFF6E15F4")</f>
        <v>https://baanknet.com/view-property/176432/3E89E29501CE592ECA4315CEA5759B32A2755A923C13571222D772FBFF6E15F4</v>
      </c>
      <c r="I911" t="str">
        <f>HYPERLINK("https://baanknet.com/view-property/176432/3E89E29501CE592ECA4315CEA5759B32A2755A923C13571222D772FBFF6E15F4", "Open")</f>
        <v>Open</v>
      </c>
      <c r="J911" t="s">
        <v>20</v>
      </c>
      <c r="K911" t="s">
        <v>21</v>
      </c>
      <c r="L911">
        <v>4992000</v>
      </c>
      <c r="M911">
        <v>499200</v>
      </c>
    </row>
    <row r="912" spans="1:13" x14ac:dyDescent="0.25">
      <c r="A912" t="s">
        <v>3219</v>
      </c>
      <c r="B912" t="s">
        <v>3220</v>
      </c>
      <c r="C912" t="s">
        <v>121</v>
      </c>
      <c r="D912" t="s">
        <v>3221</v>
      </c>
      <c r="E912" t="s">
        <v>654</v>
      </c>
      <c r="F912" t="s">
        <v>538</v>
      </c>
      <c r="G912" t="s">
        <v>3222</v>
      </c>
      <c r="H912" t="str">
        <f>HYPERLINK("https://baanknet.com/view-property/178490/EF279367DB7DE30545F2FD00E4B1C95DAACA1740E54A55D631BD363A1A850D93", "https://baanknet.com/view-property/178490/EF279367DB7DE30545F2FD00E4B1C95DAACA1740E54A55D631BD363A1A850D93")</f>
        <v>https://baanknet.com/view-property/178490/EF279367DB7DE30545F2FD00E4B1C95DAACA1740E54A55D631BD363A1A850D93</v>
      </c>
      <c r="I912" t="str">
        <f>HYPERLINK("https://baanknet.com/view-property/178490/EF279367DB7DE30545F2FD00E4B1C95DAACA1740E54A55D631BD363A1A850D93", "Open")</f>
        <v>Open</v>
      </c>
      <c r="J912" t="s">
        <v>20</v>
      </c>
      <c r="K912" t="s">
        <v>21</v>
      </c>
      <c r="L912">
        <v>3865000</v>
      </c>
      <c r="M912">
        <v>386500</v>
      </c>
    </row>
    <row r="913" spans="1:13" x14ac:dyDescent="0.25">
      <c r="A913" t="s">
        <v>3223</v>
      </c>
      <c r="B913" t="s">
        <v>3224</v>
      </c>
      <c r="C913" t="s">
        <v>121</v>
      </c>
      <c r="D913" t="s">
        <v>3225</v>
      </c>
      <c r="E913" t="s">
        <v>654</v>
      </c>
      <c r="F913" t="s">
        <v>538</v>
      </c>
      <c r="G913" t="s">
        <v>3226</v>
      </c>
      <c r="H913" t="str">
        <f>HYPERLINK("https://baanknet.com/view-property/200259/B8C7D3440E261982F96F7A3267CA1D2BDCE40E11044D2063CCAEB7B822DE2F74", "https://baanknet.com/view-property/200259/B8C7D3440E261982F96F7A3267CA1D2BDCE40E11044D2063CCAEB7B822DE2F74")</f>
        <v>https://baanknet.com/view-property/200259/B8C7D3440E261982F96F7A3267CA1D2BDCE40E11044D2063CCAEB7B822DE2F74</v>
      </c>
      <c r="I913" t="str">
        <f>HYPERLINK("https://baanknet.com/view-property/200259/B8C7D3440E261982F96F7A3267CA1D2BDCE40E11044D2063CCAEB7B822DE2F74", "Open")</f>
        <v>Open</v>
      </c>
      <c r="J913" t="s">
        <v>20</v>
      </c>
      <c r="K913" t="s">
        <v>21</v>
      </c>
      <c r="L913">
        <v>4330000</v>
      </c>
      <c r="M913">
        <v>433000</v>
      </c>
    </row>
    <row r="914" spans="1:13" x14ac:dyDescent="0.25">
      <c r="A914" t="s">
        <v>3227</v>
      </c>
      <c r="B914" t="s">
        <v>3228</v>
      </c>
      <c r="C914" t="s">
        <v>121</v>
      </c>
      <c r="D914" t="s">
        <v>3225</v>
      </c>
      <c r="E914" t="s">
        <v>654</v>
      </c>
      <c r="F914" t="s">
        <v>538</v>
      </c>
      <c r="G914" t="s">
        <v>3229</v>
      </c>
      <c r="H914" t="str">
        <f>HYPERLINK("https://baanknet.com/view-property/178385/DF5C9B01C6D6B3E4797494ABEFD16423F63708380E149DDD2B6CE11DCE0FFB25", "https://baanknet.com/view-property/178385/DF5C9B01C6D6B3E4797494ABEFD16423F63708380E149DDD2B6CE11DCE0FFB25")</f>
        <v>https://baanknet.com/view-property/178385/DF5C9B01C6D6B3E4797494ABEFD16423F63708380E149DDD2B6CE11DCE0FFB25</v>
      </c>
      <c r="I914" t="str">
        <f>HYPERLINK("https://baanknet.com/view-property/178385/DF5C9B01C6D6B3E4797494ABEFD16423F63708380E149DDD2B6CE11DCE0FFB25", "Open")</f>
        <v>Open</v>
      </c>
      <c r="J914" t="s">
        <v>20</v>
      </c>
      <c r="K914" t="s">
        <v>21</v>
      </c>
      <c r="L914">
        <v>5810000</v>
      </c>
      <c r="M914">
        <v>581000</v>
      </c>
    </row>
    <row r="915" spans="1:13" x14ac:dyDescent="0.25">
      <c r="A915" t="s">
        <v>3230</v>
      </c>
      <c r="B915" t="s">
        <v>3231</v>
      </c>
      <c r="C915" t="s">
        <v>121</v>
      </c>
      <c r="D915" t="s">
        <v>3232</v>
      </c>
      <c r="E915" t="s">
        <v>654</v>
      </c>
      <c r="F915" t="s">
        <v>538</v>
      </c>
      <c r="G915" t="s">
        <v>3233</v>
      </c>
      <c r="H915" t="str">
        <f>HYPERLINK("https://baanknet.com/view-property/178406/BBF1A36A4A791867F2AAF25FCD69C0FB548FF4BDBCF6F1A1C6BBFCAC85E6CFAE", "https://baanknet.com/view-property/178406/BBF1A36A4A791867F2AAF25FCD69C0FB548FF4BDBCF6F1A1C6BBFCAC85E6CFAE")</f>
        <v>https://baanknet.com/view-property/178406/BBF1A36A4A791867F2AAF25FCD69C0FB548FF4BDBCF6F1A1C6BBFCAC85E6CFAE</v>
      </c>
      <c r="I915" t="str">
        <f>HYPERLINK("https://baanknet.com/view-property/178406/BBF1A36A4A791867F2AAF25FCD69C0FB548FF4BDBCF6F1A1C6BBFCAC85E6CFAE", "Open")</f>
        <v>Open</v>
      </c>
      <c r="J915" t="s">
        <v>20</v>
      </c>
      <c r="K915" t="s">
        <v>21</v>
      </c>
      <c r="L915">
        <v>50720000</v>
      </c>
      <c r="M915">
        <v>5072000</v>
      </c>
    </row>
    <row r="916" spans="1:13" x14ac:dyDescent="0.25">
      <c r="A916" t="s">
        <v>3234</v>
      </c>
      <c r="B916" t="s">
        <v>3235</v>
      </c>
      <c r="C916" t="s">
        <v>121</v>
      </c>
      <c r="D916" t="s">
        <v>3236</v>
      </c>
      <c r="E916" t="s">
        <v>654</v>
      </c>
      <c r="F916" t="s">
        <v>538</v>
      </c>
      <c r="G916" t="s">
        <v>3237</v>
      </c>
      <c r="H916" t="str">
        <f>HYPERLINK("https://baanknet.com/view-property/178330/9B0CCD6CD2532474F69AE4E4803BFA64BB52FCD3AC4187B19AE60408626AA635", "https://baanknet.com/view-property/178330/9B0CCD6CD2532474F69AE4E4803BFA64BB52FCD3AC4187B19AE60408626AA635")</f>
        <v>https://baanknet.com/view-property/178330/9B0CCD6CD2532474F69AE4E4803BFA64BB52FCD3AC4187B19AE60408626AA635</v>
      </c>
      <c r="I916" t="str">
        <f>HYPERLINK("https://baanknet.com/view-property/178330/9B0CCD6CD2532474F69AE4E4803BFA64BB52FCD3AC4187B19AE60408626AA635", "Open")</f>
        <v>Open</v>
      </c>
      <c r="J916" t="s">
        <v>20</v>
      </c>
      <c r="K916" t="s">
        <v>21</v>
      </c>
      <c r="L916">
        <v>2600000</v>
      </c>
      <c r="M916">
        <v>260000</v>
      </c>
    </row>
    <row r="917" spans="1:13" x14ac:dyDescent="0.25">
      <c r="A917" t="s">
        <v>3238</v>
      </c>
      <c r="B917" t="s">
        <v>3239</v>
      </c>
      <c r="C917" t="s">
        <v>121</v>
      </c>
      <c r="D917" t="s">
        <v>157</v>
      </c>
      <c r="E917" t="s">
        <v>654</v>
      </c>
      <c r="F917" t="s">
        <v>538</v>
      </c>
      <c r="G917" t="s">
        <v>3240</v>
      </c>
      <c r="H917" t="str">
        <f>HYPERLINK("https://baanknet.com/view-property/256907/8D0725C09337F55161B3D1E3806A8BDE5D5537B53A81430C685BDD6DB4868A2A", "https://baanknet.com/view-property/256907/8D0725C09337F55161B3D1E3806A8BDE5D5537B53A81430C685BDD6DB4868A2A")</f>
        <v>https://baanknet.com/view-property/256907/8D0725C09337F55161B3D1E3806A8BDE5D5537B53A81430C685BDD6DB4868A2A</v>
      </c>
      <c r="I917" t="str">
        <f>HYPERLINK("https://baanknet.com/view-property/256907/8D0725C09337F55161B3D1E3806A8BDE5D5537B53A81430C685BDD6DB4868A2A", "Open")</f>
        <v>Open</v>
      </c>
      <c r="J917" t="s">
        <v>20</v>
      </c>
      <c r="K917" t="s">
        <v>21</v>
      </c>
      <c r="L917">
        <v>11167000</v>
      </c>
      <c r="M917">
        <v>1116700</v>
      </c>
    </row>
    <row r="918" spans="1:13" x14ac:dyDescent="0.25">
      <c r="A918" t="s">
        <v>3241</v>
      </c>
      <c r="B918" t="s">
        <v>3242</v>
      </c>
      <c r="C918" t="s">
        <v>121</v>
      </c>
      <c r="D918" t="s">
        <v>3243</v>
      </c>
      <c r="E918" t="s">
        <v>654</v>
      </c>
      <c r="F918" t="s">
        <v>538</v>
      </c>
      <c r="G918" t="s">
        <v>3244</v>
      </c>
      <c r="H918" t="str">
        <f>HYPERLINK("https://baanknet.com/view-property/178387/CDB6E371D17B09EB5B730C30C0D307F478E55E4A430FBFEDC535714A667205C0", "https://baanknet.com/view-property/178387/CDB6E371D17B09EB5B730C30C0D307F478E55E4A430FBFEDC535714A667205C0")</f>
        <v>https://baanknet.com/view-property/178387/CDB6E371D17B09EB5B730C30C0D307F478E55E4A430FBFEDC535714A667205C0</v>
      </c>
      <c r="I918" t="str">
        <f>HYPERLINK("https://baanknet.com/view-property/178387/CDB6E371D17B09EB5B730C30C0D307F478E55E4A430FBFEDC535714A667205C0", "Open")</f>
        <v>Open</v>
      </c>
      <c r="J918" t="s">
        <v>20</v>
      </c>
      <c r="K918" t="s">
        <v>21</v>
      </c>
      <c r="L918">
        <v>3000000</v>
      </c>
      <c r="M918">
        <v>300000</v>
      </c>
    </row>
    <row r="919" spans="1:13" x14ac:dyDescent="0.25">
      <c r="A919" t="s">
        <v>3245</v>
      </c>
      <c r="B919" t="s">
        <v>3246</v>
      </c>
      <c r="C919" t="s">
        <v>121</v>
      </c>
      <c r="D919" t="s">
        <v>3243</v>
      </c>
      <c r="E919" t="s">
        <v>654</v>
      </c>
      <c r="F919" t="s">
        <v>538</v>
      </c>
      <c r="G919" t="s">
        <v>3247</v>
      </c>
      <c r="H919" t="str">
        <f>HYPERLINK("https://baanknet.com/view-property/213557/00B9CB8447104194511AB7F8525EB880CA9E27EB7ACFD476BFD362468EE80146", "https://baanknet.com/view-property/213557/00B9CB8447104194511AB7F8525EB880CA9E27EB7ACFD476BFD362468EE80146")</f>
        <v>https://baanknet.com/view-property/213557/00B9CB8447104194511AB7F8525EB880CA9E27EB7ACFD476BFD362468EE80146</v>
      </c>
      <c r="I919" t="str">
        <f>HYPERLINK("https://baanknet.com/view-property/213557/00B9CB8447104194511AB7F8525EB880CA9E27EB7ACFD476BFD362468EE80146", "Open")</f>
        <v>Open</v>
      </c>
      <c r="J919" t="s">
        <v>20</v>
      </c>
      <c r="K919" t="s">
        <v>21</v>
      </c>
      <c r="L919">
        <v>1955000</v>
      </c>
      <c r="M919">
        <v>195500</v>
      </c>
    </row>
    <row r="920" spans="1:13" x14ac:dyDescent="0.25">
      <c r="A920" t="s">
        <v>3248</v>
      </c>
      <c r="B920" t="s">
        <v>3249</v>
      </c>
      <c r="C920" t="s">
        <v>121</v>
      </c>
      <c r="D920" t="s">
        <v>3250</v>
      </c>
      <c r="E920" t="s">
        <v>654</v>
      </c>
      <c r="F920" t="s">
        <v>538</v>
      </c>
      <c r="G920" t="s">
        <v>3251</v>
      </c>
      <c r="H920" t="str">
        <f>HYPERLINK("https://baanknet.com/view-property/229646/F212061EB5D9A940B3A6E71E0F7569F753AF3091F2FCA2B58B207DC50AE68619", "https://baanknet.com/view-property/229646/F212061EB5D9A940B3A6E71E0F7569F753AF3091F2FCA2B58B207DC50AE68619")</f>
        <v>https://baanknet.com/view-property/229646/F212061EB5D9A940B3A6E71E0F7569F753AF3091F2FCA2B58B207DC50AE68619</v>
      </c>
      <c r="I920" t="str">
        <f>HYPERLINK("https://baanknet.com/view-property/229646/F212061EB5D9A940B3A6E71E0F7569F753AF3091F2FCA2B58B207DC50AE68619", "Open")</f>
        <v>Open</v>
      </c>
      <c r="J920" t="s">
        <v>20</v>
      </c>
      <c r="K920" t="s">
        <v>21</v>
      </c>
      <c r="L920">
        <v>4500000</v>
      </c>
      <c r="M920">
        <v>450000</v>
      </c>
    </row>
    <row r="921" spans="1:13" x14ac:dyDescent="0.25">
      <c r="A921" t="s">
        <v>3252</v>
      </c>
      <c r="B921" t="s">
        <v>3253</v>
      </c>
      <c r="C921" t="s">
        <v>121</v>
      </c>
      <c r="D921" t="s">
        <v>3250</v>
      </c>
      <c r="E921" t="s">
        <v>654</v>
      </c>
      <c r="F921" t="s">
        <v>538</v>
      </c>
      <c r="G921" t="s">
        <v>3254</v>
      </c>
      <c r="H921" t="str">
        <f>HYPERLINK("https://baanknet.com/view-property/229657/9EC0AC3C8D34F41F4000231A16DCF22E6264DE92EC7D3C9B922854413430E74C", "https://baanknet.com/view-property/229657/9EC0AC3C8D34F41F4000231A16DCF22E6264DE92EC7D3C9B922854413430E74C")</f>
        <v>https://baanknet.com/view-property/229657/9EC0AC3C8D34F41F4000231A16DCF22E6264DE92EC7D3C9B922854413430E74C</v>
      </c>
      <c r="I921" t="str">
        <f>HYPERLINK("https://baanknet.com/view-property/229657/9EC0AC3C8D34F41F4000231A16DCF22E6264DE92EC7D3C9B922854413430E74C", "Open")</f>
        <v>Open</v>
      </c>
      <c r="J921" t="s">
        <v>20</v>
      </c>
      <c r="K921" t="s">
        <v>21</v>
      </c>
      <c r="L921">
        <v>7690000</v>
      </c>
      <c r="M921">
        <v>769000</v>
      </c>
    </row>
    <row r="922" spans="1:13" x14ac:dyDescent="0.25">
      <c r="A922" t="s">
        <v>3255</v>
      </c>
      <c r="B922" t="s">
        <v>3256</v>
      </c>
      <c r="C922" t="s">
        <v>121</v>
      </c>
      <c r="D922" t="s">
        <v>102</v>
      </c>
      <c r="E922" t="s">
        <v>654</v>
      </c>
      <c r="F922" t="s">
        <v>538</v>
      </c>
      <c r="G922" t="s">
        <v>3257</v>
      </c>
      <c r="H922" t="str">
        <f>HYPERLINK("https://baanknet.com/view-property/173756/FAA8778C5E1A64A41FB075DB792DAD66F6CEDF02A85EFDAEA2E29924A8255EF9", "https://baanknet.com/view-property/173756/FAA8778C5E1A64A41FB075DB792DAD66F6CEDF02A85EFDAEA2E29924A8255EF9")</f>
        <v>https://baanknet.com/view-property/173756/FAA8778C5E1A64A41FB075DB792DAD66F6CEDF02A85EFDAEA2E29924A8255EF9</v>
      </c>
      <c r="I922" t="str">
        <f>HYPERLINK("https://baanknet.com/view-property/173756/FAA8778C5E1A64A41FB075DB792DAD66F6CEDF02A85EFDAEA2E29924A8255EF9", "Open")</f>
        <v>Open</v>
      </c>
      <c r="J922" t="s">
        <v>20</v>
      </c>
      <c r="K922" t="s">
        <v>21</v>
      </c>
      <c r="L922">
        <v>1100000</v>
      </c>
      <c r="M922">
        <v>110000</v>
      </c>
    </row>
    <row r="923" spans="1:13" x14ac:dyDescent="0.25">
      <c r="A923" t="s">
        <v>3258</v>
      </c>
      <c r="B923" t="s">
        <v>3259</v>
      </c>
      <c r="C923" t="s">
        <v>121</v>
      </c>
      <c r="D923" t="s">
        <v>653</v>
      </c>
      <c r="E923" t="s">
        <v>654</v>
      </c>
      <c r="F923" t="s">
        <v>538</v>
      </c>
      <c r="G923" t="s">
        <v>3260</v>
      </c>
      <c r="H923" t="str">
        <f>HYPERLINK("https://baanknet.com/view-property/178346/C33963539F742E1A9E68CB202AFF00BB92FCC4EEE6F3B1EE06193B922BB2385E", "https://baanknet.com/view-property/178346/C33963539F742E1A9E68CB202AFF00BB92FCC4EEE6F3B1EE06193B922BB2385E")</f>
        <v>https://baanknet.com/view-property/178346/C33963539F742E1A9E68CB202AFF00BB92FCC4EEE6F3B1EE06193B922BB2385E</v>
      </c>
      <c r="I923" t="str">
        <f>HYPERLINK("https://baanknet.com/view-property/178346/C33963539F742E1A9E68CB202AFF00BB92FCC4EEE6F3B1EE06193B922BB2385E", "Open")</f>
        <v>Open</v>
      </c>
      <c r="J923" t="s">
        <v>20</v>
      </c>
      <c r="K923" t="s">
        <v>21</v>
      </c>
      <c r="L923">
        <v>7650000</v>
      </c>
      <c r="M923">
        <v>765000</v>
      </c>
    </row>
    <row r="924" spans="1:13" x14ac:dyDescent="0.25">
      <c r="A924" t="s">
        <v>3261</v>
      </c>
      <c r="B924" t="s">
        <v>3262</v>
      </c>
      <c r="C924" t="s">
        <v>121</v>
      </c>
      <c r="D924" t="s">
        <v>662</v>
      </c>
      <c r="E924" t="s">
        <v>654</v>
      </c>
      <c r="F924" t="s">
        <v>538</v>
      </c>
      <c r="G924" t="s">
        <v>3263</v>
      </c>
      <c r="H924" t="str">
        <f>HYPERLINK("https://baanknet.com/view-property/254667/5E918982A511AC97D7388DE35FCC01E544962570EDF3DF94C7BE4F5182D0868B", "https://baanknet.com/view-property/254667/5E918982A511AC97D7388DE35FCC01E544962570EDF3DF94C7BE4F5182D0868B")</f>
        <v>https://baanknet.com/view-property/254667/5E918982A511AC97D7388DE35FCC01E544962570EDF3DF94C7BE4F5182D0868B</v>
      </c>
      <c r="I924" t="str">
        <f>HYPERLINK("https://baanknet.com/view-property/254667/5E918982A511AC97D7388DE35FCC01E544962570EDF3DF94C7BE4F5182D0868B", "Open")</f>
        <v>Open</v>
      </c>
      <c r="J924" t="s">
        <v>20</v>
      </c>
      <c r="K924" t="s">
        <v>21</v>
      </c>
      <c r="L924">
        <v>3592000</v>
      </c>
      <c r="M924">
        <v>359200</v>
      </c>
    </row>
    <row r="925" spans="1:13" x14ac:dyDescent="0.25">
      <c r="A925" t="s">
        <v>3264</v>
      </c>
      <c r="B925" t="s">
        <v>3265</v>
      </c>
      <c r="C925" t="s">
        <v>121</v>
      </c>
      <c r="D925" t="s">
        <v>3266</v>
      </c>
      <c r="E925" t="s">
        <v>654</v>
      </c>
      <c r="F925" t="s">
        <v>538</v>
      </c>
      <c r="G925" t="s">
        <v>3267</v>
      </c>
      <c r="H925" t="str">
        <f>HYPERLINK("https://baanknet.com/view-property/282452/9DCCCE41D83225F16918581084C99403E195910D51DD233B659D52F36CEFF572", "https://baanknet.com/view-property/282452/9DCCCE41D83225F16918581084C99403E195910D51DD233B659D52F36CEFF572")</f>
        <v>https://baanknet.com/view-property/282452/9DCCCE41D83225F16918581084C99403E195910D51DD233B659D52F36CEFF572</v>
      </c>
      <c r="I925" t="str">
        <f>HYPERLINK("https://baanknet.com/view-property/282452/9DCCCE41D83225F16918581084C99403E195910D51DD233B659D52F36CEFF572", "Open")</f>
        <v>Open</v>
      </c>
      <c r="J925" t="s">
        <v>20</v>
      </c>
      <c r="K925" t="s">
        <v>21</v>
      </c>
      <c r="L925">
        <v>862000</v>
      </c>
      <c r="M925">
        <v>86200</v>
      </c>
    </row>
    <row r="926" spans="1:13" x14ac:dyDescent="0.25">
      <c r="A926" t="s">
        <v>3268</v>
      </c>
      <c r="B926" t="s">
        <v>3269</v>
      </c>
      <c r="C926" t="s">
        <v>121</v>
      </c>
      <c r="D926" t="s">
        <v>3270</v>
      </c>
      <c r="E926" t="s">
        <v>654</v>
      </c>
      <c r="F926" t="s">
        <v>538</v>
      </c>
      <c r="G926" t="s">
        <v>3271</v>
      </c>
      <c r="H926" t="str">
        <f>HYPERLINK("https://baanknet.com/view-property/174535/0D138C6A134D4A1505DFAF5B34FD8AE2D2CC9522CFDDA252BDFA5020977E02AF", "https://baanknet.com/view-property/174535/0D138C6A134D4A1505DFAF5B34FD8AE2D2CC9522CFDDA252BDFA5020977E02AF")</f>
        <v>https://baanknet.com/view-property/174535/0D138C6A134D4A1505DFAF5B34FD8AE2D2CC9522CFDDA252BDFA5020977E02AF</v>
      </c>
      <c r="I926" t="str">
        <f>HYPERLINK("https://baanknet.com/view-property/174535/0D138C6A134D4A1505DFAF5B34FD8AE2D2CC9522CFDDA252BDFA5020977E02AF", "Open")</f>
        <v>Open</v>
      </c>
      <c r="J926" t="s">
        <v>20</v>
      </c>
      <c r="K926" t="s">
        <v>21</v>
      </c>
      <c r="L926">
        <v>1551000</v>
      </c>
      <c r="M926">
        <v>155100</v>
      </c>
    </row>
    <row r="927" spans="1:13" x14ac:dyDescent="0.25">
      <c r="A927" t="s">
        <v>3272</v>
      </c>
      <c r="B927" t="s">
        <v>3273</v>
      </c>
      <c r="C927" t="s">
        <v>121</v>
      </c>
      <c r="D927" t="s">
        <v>3274</v>
      </c>
      <c r="E927" t="s">
        <v>654</v>
      </c>
      <c r="F927" t="s">
        <v>538</v>
      </c>
      <c r="G927" t="s">
        <v>3275</v>
      </c>
      <c r="H927" t="str">
        <f>HYPERLINK("https://baanknet.com/view-property/272746/06D4B5AB148BDEEC740C26D81644148D5FE846B2B4027CDF982A9CEF1C92223C", "https://baanknet.com/view-property/272746/06D4B5AB148BDEEC740C26D81644148D5FE846B2B4027CDF982A9CEF1C92223C")</f>
        <v>https://baanknet.com/view-property/272746/06D4B5AB148BDEEC740C26D81644148D5FE846B2B4027CDF982A9CEF1C92223C</v>
      </c>
      <c r="I927" t="str">
        <f>HYPERLINK("https://baanknet.com/view-property/272746/06D4B5AB148BDEEC740C26D81644148D5FE846B2B4027CDF982A9CEF1C92223C", "Open")</f>
        <v>Open</v>
      </c>
      <c r="J927" t="s">
        <v>20</v>
      </c>
      <c r="K927" t="s">
        <v>21</v>
      </c>
      <c r="L927">
        <v>2200000</v>
      </c>
      <c r="M927">
        <v>220000</v>
      </c>
    </row>
    <row r="928" spans="1:13" x14ac:dyDescent="0.25">
      <c r="A928" t="s">
        <v>3276</v>
      </c>
      <c r="B928" t="s">
        <v>3277</v>
      </c>
      <c r="C928" t="s">
        <v>121</v>
      </c>
      <c r="D928" t="s">
        <v>3278</v>
      </c>
      <c r="E928" t="s">
        <v>654</v>
      </c>
      <c r="F928" t="s">
        <v>538</v>
      </c>
      <c r="G928" t="s">
        <v>3279</v>
      </c>
      <c r="H928" t="str">
        <f>HYPERLINK("https://baanknet.com/view-property/178353/989A52A918FC5EF1250EDDDFF65FFA48056A54B1323867736194040ACF96B0DA", "https://baanknet.com/view-property/178353/989A52A918FC5EF1250EDDDFF65FFA48056A54B1323867736194040ACF96B0DA")</f>
        <v>https://baanknet.com/view-property/178353/989A52A918FC5EF1250EDDDFF65FFA48056A54B1323867736194040ACF96B0DA</v>
      </c>
      <c r="I928" t="str">
        <f>HYPERLINK("https://baanknet.com/view-property/178353/989A52A918FC5EF1250EDDDFF65FFA48056A54B1323867736194040ACF96B0DA", "Open")</f>
        <v>Open</v>
      </c>
      <c r="J928" t="s">
        <v>20</v>
      </c>
      <c r="K928" t="s">
        <v>21</v>
      </c>
      <c r="L928">
        <v>1980000</v>
      </c>
      <c r="M928">
        <v>198000</v>
      </c>
    </row>
    <row r="929" spans="1:13" x14ac:dyDescent="0.25">
      <c r="A929" t="s">
        <v>3280</v>
      </c>
      <c r="B929" t="s">
        <v>3281</v>
      </c>
      <c r="C929" t="s">
        <v>121</v>
      </c>
      <c r="D929" t="s">
        <v>102</v>
      </c>
      <c r="E929" t="s">
        <v>654</v>
      </c>
      <c r="F929" t="s">
        <v>538</v>
      </c>
      <c r="G929" t="s">
        <v>3282</v>
      </c>
      <c r="H929" t="str">
        <f>HYPERLINK("https://baanknet.com/view-property/176775/9953DC5123532B843E69A793AEEC93BD37E48DBD03BE166CB46D57936FC99A7F", "https://baanknet.com/view-property/176775/9953DC5123532B843E69A793AEEC93BD37E48DBD03BE166CB46D57936FC99A7F")</f>
        <v>https://baanknet.com/view-property/176775/9953DC5123532B843E69A793AEEC93BD37E48DBD03BE166CB46D57936FC99A7F</v>
      </c>
      <c r="I929" t="str">
        <f>HYPERLINK("https://baanknet.com/view-property/176775/9953DC5123532B843E69A793AEEC93BD37E48DBD03BE166CB46D57936FC99A7F", "Open")</f>
        <v>Open</v>
      </c>
      <c r="J929" t="s">
        <v>20</v>
      </c>
      <c r="K929" t="s">
        <v>21</v>
      </c>
      <c r="L929">
        <v>2182000</v>
      </c>
      <c r="M929">
        <v>218200</v>
      </c>
    </row>
    <row r="930" spans="1:13" x14ac:dyDescent="0.25">
      <c r="A930" t="s">
        <v>3283</v>
      </c>
      <c r="B930" t="s">
        <v>3284</v>
      </c>
      <c r="C930" t="s">
        <v>121</v>
      </c>
      <c r="D930" t="s">
        <v>3285</v>
      </c>
      <c r="E930" t="s">
        <v>654</v>
      </c>
      <c r="F930" t="s">
        <v>538</v>
      </c>
      <c r="G930" t="s">
        <v>3286</v>
      </c>
      <c r="H930" t="str">
        <f>HYPERLINK("https://baanknet.com/view-property/189780/5818AFE2D985CD9FBC04CAE2D6EE84BC955A697A64ADF951408E7E87D36BBA79", "https://baanknet.com/view-property/189780/5818AFE2D985CD9FBC04CAE2D6EE84BC955A697A64ADF951408E7E87D36BBA79")</f>
        <v>https://baanknet.com/view-property/189780/5818AFE2D985CD9FBC04CAE2D6EE84BC955A697A64ADF951408E7E87D36BBA79</v>
      </c>
      <c r="I930" t="str">
        <f>HYPERLINK("https://baanknet.com/view-property/189780/5818AFE2D985CD9FBC04CAE2D6EE84BC955A697A64ADF951408E7E87D36BBA79", "Open")</f>
        <v>Open</v>
      </c>
      <c r="J930" t="s">
        <v>20</v>
      </c>
      <c r="K930" t="s">
        <v>21</v>
      </c>
      <c r="L930">
        <v>8014000</v>
      </c>
      <c r="M930">
        <v>801400</v>
      </c>
    </row>
    <row r="931" spans="1:13" x14ac:dyDescent="0.25">
      <c r="A931" t="s">
        <v>3287</v>
      </c>
      <c r="B931" t="s">
        <v>3288</v>
      </c>
      <c r="C931" t="s">
        <v>121</v>
      </c>
      <c r="D931" t="s">
        <v>3289</v>
      </c>
      <c r="E931" t="s">
        <v>654</v>
      </c>
      <c r="F931" t="s">
        <v>538</v>
      </c>
      <c r="G931" t="s">
        <v>3290</v>
      </c>
      <c r="H931" t="str">
        <f>HYPERLINK("https://baanknet.com/view-property/186978/348E1795202E8D61BE7F6C88F8BE4488BACA90C317425EC14D1FFF77A7BAFF51", "https://baanknet.com/view-property/186978/348E1795202E8D61BE7F6C88F8BE4488BACA90C317425EC14D1FFF77A7BAFF51")</f>
        <v>https://baanknet.com/view-property/186978/348E1795202E8D61BE7F6C88F8BE4488BACA90C317425EC14D1FFF77A7BAFF51</v>
      </c>
      <c r="I931" t="str">
        <f>HYPERLINK("https://baanknet.com/view-property/186978/348E1795202E8D61BE7F6C88F8BE4488BACA90C317425EC14D1FFF77A7BAFF51", "Open")</f>
        <v>Open</v>
      </c>
      <c r="J931" t="s">
        <v>20</v>
      </c>
      <c r="K931" t="s">
        <v>21</v>
      </c>
      <c r="L931">
        <v>5800000</v>
      </c>
      <c r="M931">
        <v>580000</v>
      </c>
    </row>
    <row r="932" spans="1:13" x14ac:dyDescent="0.25">
      <c r="A932" t="s">
        <v>3291</v>
      </c>
      <c r="B932" t="s">
        <v>3292</v>
      </c>
      <c r="C932" t="s">
        <v>121</v>
      </c>
      <c r="D932" t="s">
        <v>608</v>
      </c>
      <c r="E932" t="s">
        <v>654</v>
      </c>
      <c r="F932" t="s">
        <v>538</v>
      </c>
      <c r="G932" t="s">
        <v>3293</v>
      </c>
      <c r="H932" t="str">
        <f>HYPERLINK("https://baanknet.com/view-property/179447/075A4B8FDE7638B6F8AD1C350CA60E208986BEE88C7284251A3215C61598C535", "https://baanknet.com/view-property/179447/075A4B8FDE7638B6F8AD1C350CA60E208986BEE88C7284251A3215C61598C535")</f>
        <v>https://baanknet.com/view-property/179447/075A4B8FDE7638B6F8AD1C350CA60E208986BEE88C7284251A3215C61598C535</v>
      </c>
      <c r="I932" t="str">
        <f>HYPERLINK("https://baanknet.com/view-property/179447/075A4B8FDE7638B6F8AD1C350CA60E208986BEE88C7284251A3215C61598C535", "Open")</f>
        <v>Open</v>
      </c>
      <c r="J932" t="s">
        <v>20</v>
      </c>
      <c r="K932" t="s">
        <v>21</v>
      </c>
      <c r="L932">
        <v>14321000</v>
      </c>
      <c r="M932">
        <v>1432100</v>
      </c>
    </row>
    <row r="933" spans="1:13" x14ac:dyDescent="0.25">
      <c r="A933" t="s">
        <v>3294</v>
      </c>
      <c r="B933" t="s">
        <v>3295</v>
      </c>
      <c r="C933" t="s">
        <v>121</v>
      </c>
      <c r="D933" t="s">
        <v>608</v>
      </c>
      <c r="E933" t="s">
        <v>654</v>
      </c>
      <c r="F933" t="s">
        <v>538</v>
      </c>
      <c r="G933" t="s">
        <v>3296</v>
      </c>
      <c r="H933" t="str">
        <f>HYPERLINK("https://baanknet.com/view-property/251286/1B31FEA9C90466967053F67B526505B782ADECCDE000C72592ACBE339A1787C1", "https://baanknet.com/view-property/251286/1B31FEA9C90466967053F67B526505B782ADECCDE000C72592ACBE339A1787C1")</f>
        <v>https://baanknet.com/view-property/251286/1B31FEA9C90466967053F67B526505B782ADECCDE000C72592ACBE339A1787C1</v>
      </c>
      <c r="I933" t="str">
        <f>HYPERLINK("https://baanknet.com/view-property/251286/1B31FEA9C90466967053F67B526505B782ADECCDE000C72592ACBE339A1787C1", "Open")</f>
        <v>Open</v>
      </c>
      <c r="J933" t="s">
        <v>20</v>
      </c>
      <c r="K933" t="s">
        <v>21</v>
      </c>
      <c r="L933">
        <v>1837000</v>
      </c>
      <c r="M933">
        <v>183700</v>
      </c>
    </row>
    <row r="934" spans="1:13" x14ac:dyDescent="0.25">
      <c r="A934" t="s">
        <v>3297</v>
      </c>
      <c r="B934" t="s">
        <v>3298</v>
      </c>
      <c r="C934" t="s">
        <v>121</v>
      </c>
      <c r="D934" t="s">
        <v>3299</v>
      </c>
      <c r="E934" t="s">
        <v>654</v>
      </c>
      <c r="F934" t="s">
        <v>538</v>
      </c>
      <c r="G934" t="s">
        <v>3300</v>
      </c>
      <c r="H934" t="str">
        <f>HYPERLINK("https://baanknet.com/view-property/177345/DDEC372BBD77DA1CD73EF6AC6A58A524A7876B2183C3F055A3ED37A136D7787F", "https://baanknet.com/view-property/177345/DDEC372BBD77DA1CD73EF6AC6A58A524A7876B2183C3F055A3ED37A136D7787F")</f>
        <v>https://baanknet.com/view-property/177345/DDEC372BBD77DA1CD73EF6AC6A58A524A7876B2183C3F055A3ED37A136D7787F</v>
      </c>
      <c r="I934" t="str">
        <f>HYPERLINK("https://baanknet.com/view-property/177345/DDEC372BBD77DA1CD73EF6AC6A58A524A7876B2183C3F055A3ED37A136D7787F", "Open")</f>
        <v>Open</v>
      </c>
      <c r="J934" t="s">
        <v>20</v>
      </c>
      <c r="K934" t="s">
        <v>21</v>
      </c>
      <c r="L934">
        <v>750870</v>
      </c>
      <c r="M934">
        <v>75087</v>
      </c>
    </row>
    <row r="935" spans="1:13" x14ac:dyDescent="0.25">
      <c r="A935" t="s">
        <v>3301</v>
      </c>
      <c r="B935" t="s">
        <v>3302</v>
      </c>
      <c r="C935" t="s">
        <v>832</v>
      </c>
      <c r="D935" t="s">
        <v>3303</v>
      </c>
      <c r="E935" t="s">
        <v>654</v>
      </c>
      <c r="F935" t="s">
        <v>538</v>
      </c>
      <c r="G935" t="s">
        <v>3304</v>
      </c>
      <c r="H935" t="str">
        <f>HYPERLINK("https://baanknet.com/view-property/171151/FCCA64E9C077C942ADE41ED2AE63DC88EFFC2D6927BBC1C73137625A1281DC5B", "https://baanknet.com/view-property/171151/FCCA64E9C077C942ADE41ED2AE63DC88EFFC2D6927BBC1C73137625A1281DC5B")</f>
        <v>https://baanknet.com/view-property/171151/FCCA64E9C077C942ADE41ED2AE63DC88EFFC2D6927BBC1C73137625A1281DC5B</v>
      </c>
      <c r="I935" t="str">
        <f>HYPERLINK("https://baanknet.com/view-property/171151/FCCA64E9C077C942ADE41ED2AE63DC88EFFC2D6927BBC1C73137625A1281DC5B", "Open")</f>
        <v>Open</v>
      </c>
      <c r="J935" t="s">
        <v>20</v>
      </c>
      <c r="K935" t="s">
        <v>21</v>
      </c>
      <c r="L935">
        <v>700000</v>
      </c>
      <c r="M935">
        <v>70000</v>
      </c>
    </row>
    <row r="936" spans="1:13" x14ac:dyDescent="0.25">
      <c r="A936" t="s">
        <v>3305</v>
      </c>
      <c r="B936" t="s">
        <v>3306</v>
      </c>
      <c r="C936" t="s">
        <v>121</v>
      </c>
      <c r="D936" t="s">
        <v>309</v>
      </c>
      <c r="E936" t="s">
        <v>654</v>
      </c>
      <c r="F936" t="s">
        <v>538</v>
      </c>
      <c r="G936" t="s">
        <v>3307</v>
      </c>
      <c r="H936" t="str">
        <f>HYPERLINK("https://baanknet.com/view-property/271021/303CA4B4282F55828286D118E7821815F379AF76ABCBF99074714F83297E70CB", "https://baanknet.com/view-property/271021/303CA4B4282F55828286D118E7821815F379AF76ABCBF99074714F83297E70CB")</f>
        <v>https://baanknet.com/view-property/271021/303CA4B4282F55828286D118E7821815F379AF76ABCBF99074714F83297E70CB</v>
      </c>
      <c r="I936" t="str">
        <f>HYPERLINK("https://baanknet.com/view-property/271021/303CA4B4282F55828286D118E7821815F379AF76ABCBF99074714F83297E70CB", "Open")</f>
        <v>Open</v>
      </c>
      <c r="J936" t="s">
        <v>20</v>
      </c>
      <c r="K936" t="s">
        <v>21</v>
      </c>
      <c r="L936">
        <v>977113.36</v>
      </c>
      <c r="M936">
        <v>97711.34</v>
      </c>
    </row>
    <row r="937" spans="1:13" x14ac:dyDescent="0.25">
      <c r="A937" t="s">
        <v>3308</v>
      </c>
      <c r="B937" t="s">
        <v>3309</v>
      </c>
      <c r="C937" t="s">
        <v>832</v>
      </c>
      <c r="D937" t="s">
        <v>3303</v>
      </c>
      <c r="E937" t="s">
        <v>654</v>
      </c>
      <c r="F937" t="s">
        <v>538</v>
      </c>
      <c r="G937" t="s">
        <v>3310</v>
      </c>
      <c r="H937" t="str">
        <f>HYPERLINK("https://baanknet.com/view-property/171152/82F9346CF5C2328AC90BD4E804394083B21E5FEDEFF8C31A39E2FED8129EA0C1", "https://baanknet.com/view-property/171152/82F9346CF5C2328AC90BD4E804394083B21E5FEDEFF8C31A39E2FED8129EA0C1")</f>
        <v>https://baanknet.com/view-property/171152/82F9346CF5C2328AC90BD4E804394083B21E5FEDEFF8C31A39E2FED8129EA0C1</v>
      </c>
      <c r="I937" t="str">
        <f>HYPERLINK("https://baanknet.com/view-property/171152/82F9346CF5C2328AC90BD4E804394083B21E5FEDEFF8C31A39E2FED8129EA0C1", "Open")</f>
        <v>Open</v>
      </c>
      <c r="J937" t="s">
        <v>20</v>
      </c>
      <c r="K937" t="s">
        <v>21</v>
      </c>
      <c r="L937">
        <v>1260000</v>
      </c>
      <c r="M937">
        <v>126000</v>
      </c>
    </row>
    <row r="938" spans="1:13" x14ac:dyDescent="0.25">
      <c r="A938" t="s">
        <v>3311</v>
      </c>
      <c r="B938" t="s">
        <v>3312</v>
      </c>
      <c r="C938" t="s">
        <v>121</v>
      </c>
      <c r="D938" t="s">
        <v>3313</v>
      </c>
      <c r="E938" t="s">
        <v>654</v>
      </c>
      <c r="F938" t="s">
        <v>538</v>
      </c>
      <c r="G938" t="s">
        <v>3314</v>
      </c>
      <c r="H938" t="str">
        <f>HYPERLINK("https://baanknet.com/view-property/186691/2188BD72030082761984A7AEC3073FB0E252D5E8A94AF6B5ED376C26576DA003", "https://baanknet.com/view-property/186691/2188BD72030082761984A7AEC3073FB0E252D5E8A94AF6B5ED376C26576DA003")</f>
        <v>https://baanknet.com/view-property/186691/2188BD72030082761984A7AEC3073FB0E252D5E8A94AF6B5ED376C26576DA003</v>
      </c>
      <c r="I938" t="str">
        <f>HYPERLINK("https://baanknet.com/view-property/186691/2188BD72030082761984A7AEC3073FB0E252D5E8A94AF6B5ED376C26576DA003", "Open")</f>
        <v>Open</v>
      </c>
      <c r="J938" t="s">
        <v>20</v>
      </c>
      <c r="K938" t="s">
        <v>21</v>
      </c>
      <c r="L938">
        <v>2250000</v>
      </c>
      <c r="M938">
        <v>225000</v>
      </c>
    </row>
    <row r="939" spans="1:13" x14ac:dyDescent="0.25">
      <c r="A939" t="s">
        <v>3315</v>
      </c>
      <c r="B939" t="s">
        <v>3316</v>
      </c>
      <c r="C939" t="s">
        <v>121</v>
      </c>
      <c r="D939" t="s">
        <v>3317</v>
      </c>
      <c r="E939" t="s">
        <v>654</v>
      </c>
      <c r="F939" t="s">
        <v>538</v>
      </c>
      <c r="G939" t="s">
        <v>3318</v>
      </c>
      <c r="H939" t="str">
        <f>HYPERLINK("https://baanknet.com/view-property/235527/5DE4891AA0C98CD344620C012AADB8752A0C04157AAF9A66C35675B8CA68603C", "https://baanknet.com/view-property/235527/5DE4891AA0C98CD344620C012AADB8752A0C04157AAF9A66C35675B8CA68603C")</f>
        <v>https://baanknet.com/view-property/235527/5DE4891AA0C98CD344620C012AADB8752A0C04157AAF9A66C35675B8CA68603C</v>
      </c>
      <c r="I939" t="str">
        <f>HYPERLINK("https://baanknet.com/view-property/235527/5DE4891AA0C98CD344620C012AADB8752A0C04157AAF9A66C35675B8CA68603C", "Open")</f>
        <v>Open</v>
      </c>
      <c r="J939" t="s">
        <v>20</v>
      </c>
      <c r="K939" t="s">
        <v>21</v>
      </c>
      <c r="L939">
        <v>1195000</v>
      </c>
      <c r="M939">
        <v>119500</v>
      </c>
    </row>
    <row r="940" spans="1:13" x14ac:dyDescent="0.25">
      <c r="A940" t="s">
        <v>3319</v>
      </c>
      <c r="B940" t="s">
        <v>3320</v>
      </c>
      <c r="C940" t="s">
        <v>121</v>
      </c>
      <c r="D940" t="s">
        <v>3321</v>
      </c>
      <c r="E940" t="s">
        <v>654</v>
      </c>
      <c r="F940" t="s">
        <v>538</v>
      </c>
      <c r="G940" t="s">
        <v>3322</v>
      </c>
      <c r="H940" t="str">
        <f>HYPERLINK("https://baanknet.com/view-property/234085/BD242AF5AC69A9C3D049C23717D5BCC5C38B12059030A510407F3F208AE20029", "https://baanknet.com/view-property/234085/BD242AF5AC69A9C3D049C23717D5BCC5C38B12059030A510407F3F208AE20029")</f>
        <v>https://baanknet.com/view-property/234085/BD242AF5AC69A9C3D049C23717D5BCC5C38B12059030A510407F3F208AE20029</v>
      </c>
      <c r="I940" t="str">
        <f>HYPERLINK("https://baanknet.com/view-property/234085/BD242AF5AC69A9C3D049C23717D5BCC5C38B12059030A510407F3F208AE20029", "Open")</f>
        <v>Open</v>
      </c>
      <c r="J940" t="s">
        <v>20</v>
      </c>
      <c r="K940" t="s">
        <v>21</v>
      </c>
      <c r="L940">
        <v>1322000</v>
      </c>
      <c r="M940">
        <v>132200</v>
      </c>
    </row>
    <row r="941" spans="1:13" x14ac:dyDescent="0.25">
      <c r="A941" t="s">
        <v>3323</v>
      </c>
      <c r="B941" t="s">
        <v>3324</v>
      </c>
      <c r="C941" t="s">
        <v>121</v>
      </c>
      <c r="D941" t="s">
        <v>3325</v>
      </c>
      <c r="E941" t="s">
        <v>654</v>
      </c>
      <c r="F941" t="s">
        <v>538</v>
      </c>
      <c r="G941" t="s">
        <v>3326</v>
      </c>
      <c r="H941" t="str">
        <f>HYPERLINK("https://baanknet.com/view-property/176001/CD2105ED02F68F631A52B3E7F8B84AF5B6F006BA32ABF4B8D166373EF6CF89EC", "https://baanknet.com/view-property/176001/CD2105ED02F68F631A52B3E7F8B84AF5B6F006BA32ABF4B8D166373EF6CF89EC")</f>
        <v>https://baanknet.com/view-property/176001/CD2105ED02F68F631A52B3E7F8B84AF5B6F006BA32ABF4B8D166373EF6CF89EC</v>
      </c>
      <c r="I941" t="str">
        <f>HYPERLINK("https://baanknet.com/view-property/176001/CD2105ED02F68F631A52B3E7F8B84AF5B6F006BA32ABF4B8D166373EF6CF89EC", "Open")</f>
        <v>Open</v>
      </c>
      <c r="J941" t="s">
        <v>20</v>
      </c>
      <c r="K941" t="s">
        <v>21</v>
      </c>
      <c r="L941">
        <v>1949000</v>
      </c>
      <c r="M941">
        <v>194900</v>
      </c>
    </row>
    <row r="942" spans="1:13" x14ac:dyDescent="0.25">
      <c r="A942" t="s">
        <v>3327</v>
      </c>
      <c r="B942" t="s">
        <v>3328</v>
      </c>
      <c r="C942" t="s">
        <v>832</v>
      </c>
      <c r="D942" t="s">
        <v>3329</v>
      </c>
      <c r="E942" t="s">
        <v>654</v>
      </c>
      <c r="F942" t="s">
        <v>538</v>
      </c>
      <c r="G942" t="s">
        <v>3330</v>
      </c>
      <c r="H942" t="str">
        <f>HYPERLINK("https://baanknet.com/view-property/286882/C359260D49B91CE929B05F583CAF2BDAA0260D0C834986649A82453D05E05E42", "https://baanknet.com/view-property/286882/C359260D49B91CE929B05F583CAF2BDAA0260D0C834986649A82453D05E05E42")</f>
        <v>https://baanknet.com/view-property/286882/C359260D49B91CE929B05F583CAF2BDAA0260D0C834986649A82453D05E05E42</v>
      </c>
      <c r="I942" t="str">
        <f>HYPERLINK("https://baanknet.com/view-property/286882/C359260D49B91CE929B05F583CAF2BDAA0260D0C834986649A82453D05E05E42", "Open")</f>
        <v>Open</v>
      </c>
      <c r="J942" t="s">
        <v>20</v>
      </c>
      <c r="K942" t="s">
        <v>21</v>
      </c>
      <c r="L942">
        <v>2060000</v>
      </c>
      <c r="M942">
        <v>206000</v>
      </c>
    </row>
    <row r="943" spans="1:13" x14ac:dyDescent="0.25">
      <c r="A943" t="s">
        <v>3331</v>
      </c>
      <c r="B943" t="s">
        <v>3332</v>
      </c>
      <c r="C943" t="s">
        <v>121</v>
      </c>
      <c r="D943" t="s">
        <v>3333</v>
      </c>
      <c r="E943" t="s">
        <v>654</v>
      </c>
      <c r="F943" t="s">
        <v>538</v>
      </c>
      <c r="G943" t="s">
        <v>3334</v>
      </c>
      <c r="H943" t="str">
        <f>HYPERLINK("https://baanknet.com/view-property/237176/01A0A379FA6499D66CB7D88472442CA246505D73F9B6B390CA8F140A5DBBF49C", "https://baanknet.com/view-property/237176/01A0A379FA6499D66CB7D88472442CA246505D73F9B6B390CA8F140A5DBBF49C")</f>
        <v>https://baanknet.com/view-property/237176/01A0A379FA6499D66CB7D88472442CA246505D73F9B6B390CA8F140A5DBBF49C</v>
      </c>
      <c r="I943" t="str">
        <f>HYPERLINK("https://baanknet.com/view-property/237176/01A0A379FA6499D66CB7D88472442CA246505D73F9B6B390CA8F140A5DBBF49C", "Open")</f>
        <v>Open</v>
      </c>
      <c r="J943" t="s">
        <v>20</v>
      </c>
      <c r="K943" t="s">
        <v>21</v>
      </c>
      <c r="L943">
        <v>1248000</v>
      </c>
      <c r="M943">
        <v>124800</v>
      </c>
    </row>
    <row r="944" spans="1:13" x14ac:dyDescent="0.25">
      <c r="A944" t="s">
        <v>3335</v>
      </c>
      <c r="B944" t="s">
        <v>3336</v>
      </c>
      <c r="C944" t="s">
        <v>121</v>
      </c>
      <c r="D944" t="s">
        <v>653</v>
      </c>
      <c r="E944" t="s">
        <v>654</v>
      </c>
      <c r="F944" t="s">
        <v>538</v>
      </c>
      <c r="G944" t="s">
        <v>3337</v>
      </c>
      <c r="H944" t="str">
        <f>HYPERLINK("https://baanknet.com/view-property/178359/E663408B95D9ED814039CD890FD36FBB847CC0FF7AB87CCA93795D21DD90E16D", "https://baanknet.com/view-property/178359/E663408B95D9ED814039CD890FD36FBB847CC0FF7AB87CCA93795D21DD90E16D")</f>
        <v>https://baanknet.com/view-property/178359/E663408B95D9ED814039CD890FD36FBB847CC0FF7AB87CCA93795D21DD90E16D</v>
      </c>
      <c r="I944" t="str">
        <f>HYPERLINK("https://baanknet.com/view-property/178359/E663408B95D9ED814039CD890FD36FBB847CC0FF7AB87CCA93795D21DD90E16D", "Open")</f>
        <v>Open</v>
      </c>
      <c r="J944" t="s">
        <v>20</v>
      </c>
      <c r="K944" t="s">
        <v>21</v>
      </c>
      <c r="L944">
        <v>2955000</v>
      </c>
      <c r="M944">
        <v>295500</v>
      </c>
    </row>
    <row r="945" spans="1:13" x14ac:dyDescent="0.25">
      <c r="A945" t="s">
        <v>3338</v>
      </c>
      <c r="B945" t="s">
        <v>3339</v>
      </c>
      <c r="C945" t="s">
        <v>121</v>
      </c>
      <c r="D945" t="s">
        <v>3340</v>
      </c>
      <c r="E945" t="s">
        <v>654</v>
      </c>
      <c r="F945" t="s">
        <v>538</v>
      </c>
      <c r="G945" t="s">
        <v>3341</v>
      </c>
      <c r="H945" t="str">
        <f>HYPERLINK("https://baanknet.com/view-property/178438/833F1197251B7FCA97A47CC460400326365FE1A2099597E64F977088C31DC619", "https://baanknet.com/view-property/178438/833F1197251B7FCA97A47CC460400326365FE1A2099597E64F977088C31DC619")</f>
        <v>https://baanknet.com/view-property/178438/833F1197251B7FCA97A47CC460400326365FE1A2099597E64F977088C31DC619</v>
      </c>
      <c r="I945" t="str">
        <f>HYPERLINK("https://baanknet.com/view-property/178438/833F1197251B7FCA97A47CC460400326365FE1A2099597E64F977088C31DC619", "Open")</f>
        <v>Open</v>
      </c>
      <c r="J945" t="s">
        <v>20</v>
      </c>
      <c r="K945" t="s">
        <v>21</v>
      </c>
      <c r="L945">
        <v>2579000</v>
      </c>
      <c r="M945">
        <v>257900</v>
      </c>
    </row>
    <row r="946" spans="1:13" x14ac:dyDescent="0.25">
      <c r="A946" t="s">
        <v>3342</v>
      </c>
      <c r="B946" t="s">
        <v>3343</v>
      </c>
      <c r="C946" t="s">
        <v>121</v>
      </c>
      <c r="D946" t="s">
        <v>3344</v>
      </c>
      <c r="E946" t="s">
        <v>654</v>
      </c>
      <c r="F946" t="s">
        <v>538</v>
      </c>
      <c r="G946" t="s">
        <v>3345</v>
      </c>
      <c r="H946" t="str">
        <f>HYPERLINK("https://baanknet.com/view-property/266371/305FC138A5F5800E9DAC07D041E145CCEF3D84FAF0AAA3344AAAD8C76A0F440B", "https://baanknet.com/view-property/266371/305FC138A5F5800E9DAC07D041E145CCEF3D84FAF0AAA3344AAAD8C76A0F440B")</f>
        <v>https://baanknet.com/view-property/266371/305FC138A5F5800E9DAC07D041E145CCEF3D84FAF0AAA3344AAAD8C76A0F440B</v>
      </c>
      <c r="I946" t="str">
        <f>HYPERLINK("https://baanknet.com/view-property/266371/305FC138A5F5800E9DAC07D041E145CCEF3D84FAF0AAA3344AAAD8C76A0F440B", "Open")</f>
        <v>Open</v>
      </c>
      <c r="J946" t="s">
        <v>20</v>
      </c>
      <c r="K946" t="s">
        <v>21</v>
      </c>
      <c r="L946">
        <v>2506000</v>
      </c>
      <c r="M946">
        <v>250600</v>
      </c>
    </row>
    <row r="947" spans="1:13" x14ac:dyDescent="0.25">
      <c r="A947" t="s">
        <v>3346</v>
      </c>
      <c r="B947" t="s">
        <v>3347</v>
      </c>
      <c r="C947" t="s">
        <v>387</v>
      </c>
      <c r="D947" t="s">
        <v>950</v>
      </c>
      <c r="E947" t="s">
        <v>654</v>
      </c>
      <c r="F947" t="s">
        <v>389</v>
      </c>
      <c r="G947" t="s">
        <v>3348</v>
      </c>
      <c r="H947" t="str">
        <f>HYPERLINK("https://baanknet.com/view-property/149161/61BF5A7BD26E9B3D3F635C536B9A213D7BB31B06B51A18D947AA9AC8FDD6EAD9", "https://baanknet.com/view-property/149161/61BF5A7BD26E9B3D3F635C536B9A213D7BB31B06B51A18D947AA9AC8FDD6EAD9")</f>
        <v>https://baanknet.com/view-property/149161/61BF5A7BD26E9B3D3F635C536B9A213D7BB31B06B51A18D947AA9AC8FDD6EAD9</v>
      </c>
      <c r="I947" t="str">
        <f>HYPERLINK("https://baanknet.com/view-property/149161/61BF5A7BD26E9B3D3F635C536B9A213D7BB31B06B51A18D947AA9AC8FDD6EAD9", "Open")</f>
        <v>Open</v>
      </c>
      <c r="J947" t="s">
        <v>20</v>
      </c>
      <c r="K947" t="s">
        <v>21</v>
      </c>
      <c r="L947">
        <v>2276500</v>
      </c>
      <c r="M947">
        <v>227650</v>
      </c>
    </row>
    <row r="948" spans="1:13" x14ac:dyDescent="0.25">
      <c r="A948" t="s">
        <v>3349</v>
      </c>
      <c r="B948" t="s">
        <v>3350</v>
      </c>
      <c r="C948" t="s">
        <v>387</v>
      </c>
      <c r="D948" t="s">
        <v>3351</v>
      </c>
      <c r="E948" t="s">
        <v>654</v>
      </c>
      <c r="F948" t="s">
        <v>389</v>
      </c>
      <c r="G948" t="s">
        <v>3352</v>
      </c>
      <c r="H948" t="str">
        <f>HYPERLINK("https://baanknet.com/view-property/284523/B37C2FCFA39D7259F7B89119FACCFC3771EFE53CA2FDEC6AA693EE9290F0D97B", "https://baanknet.com/view-property/284523/B37C2FCFA39D7259F7B89119FACCFC3771EFE53CA2FDEC6AA693EE9290F0D97B")</f>
        <v>https://baanknet.com/view-property/284523/B37C2FCFA39D7259F7B89119FACCFC3771EFE53CA2FDEC6AA693EE9290F0D97B</v>
      </c>
      <c r="I948" t="str">
        <f>HYPERLINK("https://baanknet.com/view-property/284523/B37C2FCFA39D7259F7B89119FACCFC3771EFE53CA2FDEC6AA693EE9290F0D97B", "Open")</f>
        <v>Open</v>
      </c>
      <c r="J948" t="s">
        <v>20</v>
      </c>
      <c r="K948" t="s">
        <v>21</v>
      </c>
      <c r="L948">
        <v>7155000</v>
      </c>
      <c r="M948">
        <v>715500</v>
      </c>
    </row>
    <row r="949" spans="1:13" x14ac:dyDescent="0.25">
      <c r="A949" t="s">
        <v>3353</v>
      </c>
      <c r="B949" t="s">
        <v>3354</v>
      </c>
      <c r="C949" t="s">
        <v>121</v>
      </c>
      <c r="D949" t="s">
        <v>2334</v>
      </c>
      <c r="E949" t="s">
        <v>654</v>
      </c>
      <c r="F949" t="s">
        <v>389</v>
      </c>
      <c r="G949" t="s">
        <v>3355</v>
      </c>
      <c r="H949" t="str">
        <f>HYPERLINK("https://baanknet.com/view-property/191389/3885EC02C402A48AF777FE72F28D389DF164FE14038FF30FBF5E53EF33E5A188", "https://baanknet.com/view-property/191389/3885EC02C402A48AF777FE72F28D389DF164FE14038FF30FBF5E53EF33E5A188")</f>
        <v>https://baanknet.com/view-property/191389/3885EC02C402A48AF777FE72F28D389DF164FE14038FF30FBF5E53EF33E5A188</v>
      </c>
      <c r="I949" t="str">
        <f>HYPERLINK("https://baanknet.com/view-property/191389/3885EC02C402A48AF777FE72F28D389DF164FE14038FF30FBF5E53EF33E5A188", "Open")</f>
        <v>Open</v>
      </c>
      <c r="J949" t="s">
        <v>20</v>
      </c>
      <c r="K949" t="s">
        <v>21</v>
      </c>
      <c r="L949">
        <v>2040000</v>
      </c>
      <c r="M949">
        <v>204000</v>
      </c>
    </row>
    <row r="950" spans="1:13" x14ac:dyDescent="0.25">
      <c r="A950" t="s">
        <v>3356</v>
      </c>
      <c r="B950" t="s">
        <v>3357</v>
      </c>
      <c r="C950" t="s">
        <v>387</v>
      </c>
      <c r="D950" t="s">
        <v>937</v>
      </c>
      <c r="E950" t="s">
        <v>654</v>
      </c>
      <c r="F950" t="s">
        <v>389</v>
      </c>
      <c r="G950" t="s">
        <v>3358</v>
      </c>
      <c r="H950" t="str">
        <f>HYPERLINK("https://baanknet.com/view-property/245304/660C0B79E72947B47BFABE4BBDF3C194F6023BA2FCB895030E4A894AB5D4EA30", "https://baanknet.com/view-property/245304/660C0B79E72947B47BFABE4BBDF3C194F6023BA2FCB895030E4A894AB5D4EA30")</f>
        <v>https://baanknet.com/view-property/245304/660C0B79E72947B47BFABE4BBDF3C194F6023BA2FCB895030E4A894AB5D4EA30</v>
      </c>
      <c r="I950" t="str">
        <f>HYPERLINK("https://baanknet.com/view-property/245304/660C0B79E72947B47BFABE4BBDF3C194F6023BA2FCB895030E4A894AB5D4EA30", "Open")</f>
        <v>Open</v>
      </c>
      <c r="J950" t="s">
        <v>20</v>
      </c>
      <c r="K950" t="s">
        <v>21</v>
      </c>
      <c r="L950">
        <v>3069000</v>
      </c>
      <c r="M950">
        <v>306900</v>
      </c>
    </row>
    <row r="951" spans="1:13" x14ac:dyDescent="0.25">
      <c r="A951" t="s">
        <v>3359</v>
      </c>
      <c r="B951" t="s">
        <v>3360</v>
      </c>
      <c r="C951" t="s">
        <v>387</v>
      </c>
      <c r="D951" t="s">
        <v>937</v>
      </c>
      <c r="E951" t="s">
        <v>654</v>
      </c>
      <c r="F951" t="s">
        <v>389</v>
      </c>
      <c r="G951" t="s">
        <v>3361</v>
      </c>
      <c r="H951" t="str">
        <f>HYPERLINK("https://baanknet.com/view-property/245290/0B8421F0BB24401A96ACBCF494145F5F08C195DC6DCB0677D9367C7EA3892AE8", "https://baanknet.com/view-property/245290/0B8421F0BB24401A96ACBCF494145F5F08C195DC6DCB0677D9367C7EA3892AE8")</f>
        <v>https://baanknet.com/view-property/245290/0B8421F0BB24401A96ACBCF494145F5F08C195DC6DCB0677D9367C7EA3892AE8</v>
      </c>
      <c r="I951" t="str">
        <f>HYPERLINK("https://baanknet.com/view-property/245290/0B8421F0BB24401A96ACBCF494145F5F08C195DC6DCB0677D9367C7EA3892AE8", "Open")</f>
        <v>Open</v>
      </c>
      <c r="J951" t="s">
        <v>20</v>
      </c>
      <c r="K951" t="s">
        <v>21</v>
      </c>
      <c r="L951">
        <v>2602000</v>
      </c>
      <c r="M951">
        <v>260200</v>
      </c>
    </row>
    <row r="952" spans="1:13" x14ac:dyDescent="0.25">
      <c r="A952" t="s">
        <v>3362</v>
      </c>
      <c r="B952" t="s">
        <v>3363</v>
      </c>
      <c r="C952" t="s">
        <v>387</v>
      </c>
      <c r="D952" t="s">
        <v>3364</v>
      </c>
      <c r="E952" t="s">
        <v>654</v>
      </c>
      <c r="F952" t="s">
        <v>389</v>
      </c>
      <c r="G952" t="s">
        <v>3365</v>
      </c>
      <c r="H952" t="str">
        <f>HYPERLINK("https://baanknet.com/view-property/190429/974341F02E17C288FE0C676481CEFE2A7B59C595E47E7D63181DE2A611BA21C9", "https://baanknet.com/view-property/190429/974341F02E17C288FE0C676481CEFE2A7B59C595E47E7D63181DE2A611BA21C9")</f>
        <v>https://baanknet.com/view-property/190429/974341F02E17C288FE0C676481CEFE2A7B59C595E47E7D63181DE2A611BA21C9</v>
      </c>
      <c r="I952" t="str">
        <f>HYPERLINK("https://baanknet.com/view-property/190429/974341F02E17C288FE0C676481CEFE2A7B59C595E47E7D63181DE2A611BA21C9", "Open")</f>
        <v>Open</v>
      </c>
      <c r="J952" t="s">
        <v>20</v>
      </c>
      <c r="K952" t="s">
        <v>21</v>
      </c>
      <c r="L952">
        <v>1300500</v>
      </c>
      <c r="M952">
        <v>130050</v>
      </c>
    </row>
    <row r="953" spans="1:13" x14ac:dyDescent="0.25">
      <c r="A953" t="s">
        <v>3366</v>
      </c>
      <c r="B953" t="s">
        <v>3367</v>
      </c>
      <c r="C953" t="s">
        <v>387</v>
      </c>
      <c r="D953" t="s">
        <v>3368</v>
      </c>
      <c r="E953" t="s">
        <v>654</v>
      </c>
      <c r="F953" t="s">
        <v>389</v>
      </c>
      <c r="G953" t="s">
        <v>3369</v>
      </c>
      <c r="H953" t="str">
        <f>HYPERLINK("https://baanknet.com/view-property/190411/3507473D867AE39A97B72E54ECF25EB5410311625B6351F0CA64276568CACDD9", "https://baanknet.com/view-property/190411/3507473D867AE39A97B72E54ECF25EB5410311625B6351F0CA64276568CACDD9")</f>
        <v>https://baanknet.com/view-property/190411/3507473D867AE39A97B72E54ECF25EB5410311625B6351F0CA64276568CACDD9</v>
      </c>
      <c r="I953" t="str">
        <f>HYPERLINK("https://baanknet.com/view-property/190411/3507473D867AE39A97B72E54ECF25EB5410311625B6351F0CA64276568CACDD9", "Open")</f>
        <v>Open</v>
      </c>
      <c r="J953" t="s">
        <v>20</v>
      </c>
      <c r="K953" t="s">
        <v>21</v>
      </c>
      <c r="L953">
        <v>873000</v>
      </c>
      <c r="M953">
        <v>87300</v>
      </c>
    </row>
    <row r="954" spans="1:13" x14ac:dyDescent="0.25">
      <c r="A954" t="s">
        <v>3370</v>
      </c>
      <c r="B954" t="s">
        <v>3371</v>
      </c>
      <c r="C954" t="s">
        <v>387</v>
      </c>
      <c r="D954" t="s">
        <v>937</v>
      </c>
      <c r="E954" t="s">
        <v>654</v>
      </c>
      <c r="F954" t="s">
        <v>389</v>
      </c>
      <c r="G954" t="s">
        <v>3372</v>
      </c>
      <c r="H954" t="str">
        <f>HYPERLINK("https://baanknet.com/view-property/188269/1B0E9026B58412A8799C0FB3FA140E035E74C921CAD466081CB8255B52F326A8", "https://baanknet.com/view-property/188269/1B0E9026B58412A8799C0FB3FA140E035E74C921CAD466081CB8255B52F326A8")</f>
        <v>https://baanknet.com/view-property/188269/1B0E9026B58412A8799C0FB3FA140E035E74C921CAD466081CB8255B52F326A8</v>
      </c>
      <c r="I954" t="str">
        <f>HYPERLINK("https://baanknet.com/view-property/188269/1B0E9026B58412A8799C0FB3FA140E035E74C921CAD466081CB8255B52F326A8", "Open")</f>
        <v>Open</v>
      </c>
      <c r="J954" t="s">
        <v>20</v>
      </c>
      <c r="K954" t="s">
        <v>21</v>
      </c>
      <c r="L954">
        <v>893000</v>
      </c>
      <c r="M954">
        <v>89300</v>
      </c>
    </row>
    <row r="955" spans="1:13" x14ac:dyDescent="0.25">
      <c r="A955" t="s">
        <v>3373</v>
      </c>
      <c r="B955" t="s">
        <v>3374</v>
      </c>
      <c r="C955" t="s">
        <v>121</v>
      </c>
      <c r="D955" t="s">
        <v>813</v>
      </c>
      <c r="E955" t="s">
        <v>654</v>
      </c>
      <c r="F955" t="s">
        <v>334</v>
      </c>
      <c r="G955" t="s">
        <v>3375</v>
      </c>
      <c r="H955" t="str">
        <f>HYPERLINK("https://baanknet.com/view-property/237443/EEF59FB3F207C4749D45317BBD70307CC2A8A8B18D17E6EAFB0BB15652DFF35D", "https://baanknet.com/view-property/237443/EEF59FB3F207C4749D45317BBD70307CC2A8A8B18D17E6EAFB0BB15652DFF35D")</f>
        <v>https://baanknet.com/view-property/237443/EEF59FB3F207C4749D45317BBD70307CC2A8A8B18D17E6EAFB0BB15652DFF35D</v>
      </c>
      <c r="I955" t="str">
        <f>HYPERLINK("https://baanknet.com/view-property/237443/EEF59FB3F207C4749D45317BBD70307CC2A8A8B18D17E6EAFB0BB15652DFF35D", "Open")</f>
        <v>Open</v>
      </c>
      <c r="J955" t="s">
        <v>20</v>
      </c>
      <c r="K955" t="s">
        <v>21</v>
      </c>
      <c r="L955">
        <v>1170000</v>
      </c>
      <c r="M955">
        <v>117000</v>
      </c>
    </row>
    <row r="956" spans="1:13" x14ac:dyDescent="0.25">
      <c r="A956" t="s">
        <v>3376</v>
      </c>
      <c r="B956" t="s">
        <v>3377</v>
      </c>
      <c r="C956" t="s">
        <v>121</v>
      </c>
      <c r="D956" t="s">
        <v>813</v>
      </c>
      <c r="E956" t="s">
        <v>654</v>
      </c>
      <c r="F956" t="s">
        <v>334</v>
      </c>
      <c r="G956" t="s">
        <v>3378</v>
      </c>
      <c r="H956" t="str">
        <f>HYPERLINK("https://baanknet.com/view-property/252186/A7861CD0C62AE830E975435620E780A76C2449F4FFBB5513D66FC1D7257624A6", "https://baanknet.com/view-property/252186/A7861CD0C62AE830E975435620E780A76C2449F4FFBB5513D66FC1D7257624A6")</f>
        <v>https://baanknet.com/view-property/252186/A7861CD0C62AE830E975435620E780A76C2449F4FFBB5513D66FC1D7257624A6</v>
      </c>
      <c r="I956" t="str">
        <f>HYPERLINK("https://baanknet.com/view-property/252186/A7861CD0C62AE830E975435620E780A76C2449F4FFBB5513D66FC1D7257624A6", "Open")</f>
        <v>Open</v>
      </c>
      <c r="J956" t="s">
        <v>20</v>
      </c>
      <c r="K956" t="s">
        <v>21</v>
      </c>
      <c r="L956">
        <v>990000</v>
      </c>
      <c r="M956">
        <v>99000</v>
      </c>
    </row>
    <row r="957" spans="1:13" x14ac:dyDescent="0.25">
      <c r="A957" t="s">
        <v>3379</v>
      </c>
      <c r="B957" t="s">
        <v>3380</v>
      </c>
      <c r="C957" t="s">
        <v>121</v>
      </c>
      <c r="D957" t="s">
        <v>3381</v>
      </c>
      <c r="E957" t="s">
        <v>841</v>
      </c>
      <c r="F957" t="s">
        <v>334</v>
      </c>
      <c r="G957" t="s">
        <v>3382</v>
      </c>
      <c r="H957" t="str">
        <f>HYPERLINK("https://baanknet.com/view-property/284587/0247A98039906BF608C7E6D1C86060004929016B7CC5183C7A1286436AE17C3E", "https://baanknet.com/view-property/284587/0247A98039906BF608C7E6D1C86060004929016B7CC5183C7A1286436AE17C3E")</f>
        <v>https://baanknet.com/view-property/284587/0247A98039906BF608C7E6D1C86060004929016B7CC5183C7A1286436AE17C3E</v>
      </c>
      <c r="I957" t="str">
        <f>HYPERLINK("https://baanknet.com/view-property/284587/0247A98039906BF608C7E6D1C86060004929016B7CC5183C7A1286436AE17C3E", "Open")</f>
        <v>Open</v>
      </c>
      <c r="J957" t="s">
        <v>20</v>
      </c>
      <c r="K957" t="s">
        <v>21</v>
      </c>
      <c r="L957">
        <v>1679000</v>
      </c>
      <c r="M957">
        <v>167900</v>
      </c>
    </row>
    <row r="958" spans="1:13" x14ac:dyDescent="0.25">
      <c r="A958" t="s">
        <v>3383</v>
      </c>
      <c r="B958" t="s">
        <v>3384</v>
      </c>
      <c r="C958" t="s">
        <v>571</v>
      </c>
      <c r="D958" t="s">
        <v>3061</v>
      </c>
      <c r="E958" t="s">
        <v>841</v>
      </c>
      <c r="F958" t="s">
        <v>334</v>
      </c>
      <c r="G958" t="s">
        <v>3385</v>
      </c>
      <c r="H958" t="str">
        <f>HYPERLINK("https://baanknet.com/view-property/223869/682D59A73AD52F735833885AD20CE109C0E9158360CDB320379A216AEE1A1E9A", "https://baanknet.com/view-property/223869/682D59A73AD52F735833885AD20CE109C0E9158360CDB320379A216AEE1A1E9A")</f>
        <v>https://baanknet.com/view-property/223869/682D59A73AD52F735833885AD20CE109C0E9158360CDB320379A216AEE1A1E9A</v>
      </c>
      <c r="I958" t="str">
        <f>HYPERLINK("https://baanknet.com/view-property/223869/682D59A73AD52F735833885AD20CE109C0E9158360CDB320379A216AEE1A1E9A", "Open")</f>
        <v>Open</v>
      </c>
      <c r="J958" t="s">
        <v>20</v>
      </c>
      <c r="K958" t="s">
        <v>21</v>
      </c>
      <c r="L958">
        <v>1100000</v>
      </c>
      <c r="M958">
        <v>110000</v>
      </c>
    </row>
    <row r="959" spans="1:13" x14ac:dyDescent="0.25">
      <c r="A959" t="s">
        <v>3386</v>
      </c>
      <c r="B959" t="s">
        <v>3387</v>
      </c>
      <c r="C959" t="s">
        <v>121</v>
      </c>
      <c r="D959" t="s">
        <v>2163</v>
      </c>
      <c r="E959" t="s">
        <v>841</v>
      </c>
      <c r="F959" t="s">
        <v>334</v>
      </c>
      <c r="G959" t="s">
        <v>3388</v>
      </c>
      <c r="H959" t="str">
        <f>HYPERLINK("https://baanknet.com/view-property/261821/AD0EB94F1ABF4E2E55BDA50CB6C9C8F008706CF575FE0B3BAE29CCA265487552", "https://baanknet.com/view-property/261821/AD0EB94F1ABF4E2E55BDA50CB6C9C8F008706CF575FE0B3BAE29CCA265487552")</f>
        <v>https://baanknet.com/view-property/261821/AD0EB94F1ABF4E2E55BDA50CB6C9C8F008706CF575FE0B3BAE29CCA265487552</v>
      </c>
      <c r="I959" t="str">
        <f>HYPERLINK("https://baanknet.com/view-property/261821/AD0EB94F1ABF4E2E55BDA50CB6C9C8F008706CF575FE0B3BAE29CCA265487552", "Open")</f>
        <v>Open</v>
      </c>
      <c r="J959" t="s">
        <v>20</v>
      </c>
      <c r="K959" t="s">
        <v>21</v>
      </c>
      <c r="L959">
        <v>1710000</v>
      </c>
      <c r="M959">
        <v>171000</v>
      </c>
    </row>
    <row r="960" spans="1:13" x14ac:dyDescent="0.25">
      <c r="A960" t="s">
        <v>3389</v>
      </c>
      <c r="B960" t="s">
        <v>3390</v>
      </c>
      <c r="C960" t="s">
        <v>121</v>
      </c>
      <c r="D960" t="s">
        <v>1300</v>
      </c>
      <c r="E960" t="s">
        <v>841</v>
      </c>
      <c r="F960" t="s">
        <v>334</v>
      </c>
      <c r="G960" t="s">
        <v>3391</v>
      </c>
      <c r="H960" t="str">
        <f>HYPERLINK("https://baanknet.com/view-property/203091/9D21869E6BA6E4B203D474754992CD7E19CDBAE5E5B66B00F013A55AF9899214", "https://baanknet.com/view-property/203091/9D21869E6BA6E4B203D474754992CD7E19CDBAE5E5B66B00F013A55AF9899214")</f>
        <v>https://baanknet.com/view-property/203091/9D21869E6BA6E4B203D474754992CD7E19CDBAE5E5B66B00F013A55AF9899214</v>
      </c>
      <c r="I960" t="str">
        <f>HYPERLINK("https://baanknet.com/view-property/203091/9D21869E6BA6E4B203D474754992CD7E19CDBAE5E5B66B00F013A55AF9899214", "Open")</f>
        <v>Open</v>
      </c>
      <c r="J960" t="s">
        <v>20</v>
      </c>
      <c r="K960" t="s">
        <v>21</v>
      </c>
      <c r="L960">
        <v>1670000</v>
      </c>
      <c r="M960">
        <v>167000</v>
      </c>
    </row>
    <row r="961" spans="1:13" x14ac:dyDescent="0.25">
      <c r="A961" t="s">
        <v>3392</v>
      </c>
      <c r="B961" t="s">
        <v>3393</v>
      </c>
      <c r="C961" t="s">
        <v>121</v>
      </c>
      <c r="D961" t="s">
        <v>1277</v>
      </c>
      <c r="E961" t="s">
        <v>841</v>
      </c>
      <c r="F961" t="s">
        <v>334</v>
      </c>
      <c r="G961" t="s">
        <v>3394</v>
      </c>
      <c r="H961" t="str">
        <f>HYPERLINK("https://baanknet.com/view-property/264557/7A25C4BE4E0081EF6C466FE32D247FBC4D2D4101C11D5FA70EC1BFE2432EA285", "https://baanknet.com/view-property/264557/7A25C4BE4E0081EF6C466FE32D247FBC4D2D4101C11D5FA70EC1BFE2432EA285")</f>
        <v>https://baanknet.com/view-property/264557/7A25C4BE4E0081EF6C466FE32D247FBC4D2D4101C11D5FA70EC1BFE2432EA285</v>
      </c>
      <c r="I961" t="str">
        <f>HYPERLINK("https://baanknet.com/view-property/264557/7A25C4BE4E0081EF6C466FE32D247FBC4D2D4101C11D5FA70EC1BFE2432EA285", "Open")</f>
        <v>Open</v>
      </c>
      <c r="J961" t="s">
        <v>20</v>
      </c>
      <c r="K961" t="s">
        <v>21</v>
      </c>
      <c r="L961">
        <v>3900000</v>
      </c>
      <c r="M961">
        <v>390000</v>
      </c>
    </row>
    <row r="962" spans="1:13" x14ac:dyDescent="0.25">
      <c r="A962" t="s">
        <v>3395</v>
      </c>
      <c r="B962" t="s">
        <v>3396</v>
      </c>
      <c r="C962" t="s">
        <v>121</v>
      </c>
      <c r="D962" t="s">
        <v>1300</v>
      </c>
      <c r="E962" t="s">
        <v>841</v>
      </c>
      <c r="F962" t="s">
        <v>334</v>
      </c>
      <c r="G962" t="s">
        <v>3397</v>
      </c>
      <c r="H962" t="str">
        <f>HYPERLINK("https://baanknet.com/view-property/271958/5C5995C13EC466FFFE3EEB9EA1EFB26318E55A034E87480782B65579613D0090", "https://baanknet.com/view-property/271958/5C5995C13EC466FFFE3EEB9EA1EFB26318E55A034E87480782B65579613D0090")</f>
        <v>https://baanknet.com/view-property/271958/5C5995C13EC466FFFE3EEB9EA1EFB26318E55A034E87480782B65579613D0090</v>
      </c>
      <c r="I962" t="str">
        <f>HYPERLINK("https://baanknet.com/view-property/271958/5C5995C13EC466FFFE3EEB9EA1EFB26318E55A034E87480782B65579613D0090", "Open")</f>
        <v>Open</v>
      </c>
      <c r="J962" t="s">
        <v>20</v>
      </c>
      <c r="K962" t="s">
        <v>21</v>
      </c>
      <c r="L962">
        <v>1620000</v>
      </c>
      <c r="M962">
        <v>162000</v>
      </c>
    </row>
    <row r="963" spans="1:13" x14ac:dyDescent="0.25">
      <c r="A963" t="s">
        <v>3398</v>
      </c>
      <c r="B963" t="s">
        <v>3399</v>
      </c>
      <c r="C963" t="s">
        <v>121</v>
      </c>
      <c r="D963" t="s">
        <v>706</v>
      </c>
      <c r="E963" t="s">
        <v>841</v>
      </c>
      <c r="F963" t="s">
        <v>334</v>
      </c>
      <c r="G963" t="s">
        <v>3400</v>
      </c>
      <c r="H963" t="str">
        <f>HYPERLINK("https://baanknet.com/view-property/185262/97924BA1DA32B4AF7FFDA8AE0BC91594C59B5123C28804FBCE85D3CEC7037241", "https://baanknet.com/view-property/185262/97924BA1DA32B4AF7FFDA8AE0BC91594C59B5123C28804FBCE85D3CEC7037241")</f>
        <v>https://baanknet.com/view-property/185262/97924BA1DA32B4AF7FFDA8AE0BC91594C59B5123C28804FBCE85D3CEC7037241</v>
      </c>
      <c r="I963" t="str">
        <f>HYPERLINK("https://baanknet.com/view-property/185262/97924BA1DA32B4AF7FFDA8AE0BC91594C59B5123C28804FBCE85D3CEC7037241", "Open")</f>
        <v>Open</v>
      </c>
      <c r="J963" t="s">
        <v>20</v>
      </c>
      <c r="K963" t="s">
        <v>21</v>
      </c>
      <c r="L963">
        <v>1430000</v>
      </c>
      <c r="M963">
        <v>143000</v>
      </c>
    </row>
    <row r="964" spans="1:13" x14ac:dyDescent="0.25">
      <c r="A964" t="s">
        <v>3401</v>
      </c>
      <c r="B964" t="s">
        <v>3402</v>
      </c>
      <c r="C964" t="s">
        <v>121</v>
      </c>
      <c r="D964" t="s">
        <v>1481</v>
      </c>
      <c r="E964" t="s">
        <v>841</v>
      </c>
      <c r="F964" t="s">
        <v>334</v>
      </c>
      <c r="G964" t="s">
        <v>3403</v>
      </c>
      <c r="H964" t="str">
        <f>HYPERLINK("https://baanknet.com/view-property/178232/3C38A2F58AE83B6768E27B300BEF8D400BAE4AD7387E409C16A01B14C5FA341D", "https://baanknet.com/view-property/178232/3C38A2F58AE83B6768E27B300BEF8D400BAE4AD7387E409C16A01B14C5FA341D")</f>
        <v>https://baanknet.com/view-property/178232/3C38A2F58AE83B6768E27B300BEF8D400BAE4AD7387E409C16A01B14C5FA341D</v>
      </c>
      <c r="I964" t="str">
        <f>HYPERLINK("https://baanknet.com/view-property/178232/3C38A2F58AE83B6768E27B300BEF8D400BAE4AD7387E409C16A01B14C5FA341D", "Open")</f>
        <v>Open</v>
      </c>
      <c r="J964" t="s">
        <v>20</v>
      </c>
      <c r="K964" t="s">
        <v>21</v>
      </c>
      <c r="L964">
        <v>2310000</v>
      </c>
      <c r="M964">
        <v>231000</v>
      </c>
    </row>
    <row r="965" spans="1:13" x14ac:dyDescent="0.25">
      <c r="A965" t="s">
        <v>3404</v>
      </c>
      <c r="B965" t="s">
        <v>3405</v>
      </c>
      <c r="C965" t="s">
        <v>121</v>
      </c>
      <c r="D965" t="s">
        <v>1300</v>
      </c>
      <c r="E965" t="s">
        <v>841</v>
      </c>
      <c r="F965" t="s">
        <v>334</v>
      </c>
      <c r="G965" t="s">
        <v>3406</v>
      </c>
      <c r="H965" t="str">
        <f>HYPERLINK("https://baanknet.com/view-property/279246/BEFBBEBBEB1F1CDB9384376CEBEDCE4243F256374C6A23F1AE9C13AF15D651A1", "https://baanknet.com/view-property/279246/BEFBBEBBEB1F1CDB9384376CEBEDCE4243F256374C6A23F1AE9C13AF15D651A1")</f>
        <v>https://baanknet.com/view-property/279246/BEFBBEBBEB1F1CDB9384376CEBEDCE4243F256374C6A23F1AE9C13AF15D651A1</v>
      </c>
      <c r="I965" t="str">
        <f>HYPERLINK("https://baanknet.com/view-property/279246/BEFBBEBBEB1F1CDB9384376CEBEDCE4243F256374C6A23F1AE9C13AF15D651A1", "Open")</f>
        <v>Open</v>
      </c>
      <c r="J965" t="s">
        <v>20</v>
      </c>
      <c r="K965" t="s">
        <v>21</v>
      </c>
      <c r="L965">
        <v>2500000</v>
      </c>
      <c r="M965">
        <v>250000</v>
      </c>
    </row>
    <row r="966" spans="1:13" x14ac:dyDescent="0.25">
      <c r="A966" t="s">
        <v>3407</v>
      </c>
      <c r="B966" t="s">
        <v>3408</v>
      </c>
      <c r="C966" t="s">
        <v>121</v>
      </c>
      <c r="D966" t="s">
        <v>1293</v>
      </c>
      <c r="E966" t="s">
        <v>841</v>
      </c>
      <c r="F966" t="s">
        <v>334</v>
      </c>
      <c r="G966" t="s">
        <v>3409</v>
      </c>
      <c r="H966" t="str">
        <f>HYPERLINK("https://baanknet.com/view-property/214507/22BE6E15D87CB9375BC87A59DDC06EA2AC5433CAC928DFECEAC0A86FCA35671E", "https://baanknet.com/view-property/214507/22BE6E15D87CB9375BC87A59DDC06EA2AC5433CAC928DFECEAC0A86FCA35671E")</f>
        <v>https://baanknet.com/view-property/214507/22BE6E15D87CB9375BC87A59DDC06EA2AC5433CAC928DFECEAC0A86FCA35671E</v>
      </c>
      <c r="I966" t="str">
        <f>HYPERLINK("https://baanknet.com/view-property/214507/22BE6E15D87CB9375BC87A59DDC06EA2AC5433CAC928DFECEAC0A86FCA35671E", "Open")</f>
        <v>Open</v>
      </c>
      <c r="J966" t="s">
        <v>20</v>
      </c>
      <c r="K966" t="s">
        <v>21</v>
      </c>
      <c r="L966">
        <v>1370000</v>
      </c>
      <c r="M966">
        <v>137000</v>
      </c>
    </row>
    <row r="967" spans="1:13" x14ac:dyDescent="0.25">
      <c r="A967" t="s">
        <v>3410</v>
      </c>
      <c r="B967" t="s">
        <v>3411</v>
      </c>
      <c r="C967" t="s">
        <v>121</v>
      </c>
      <c r="D967" t="s">
        <v>1310</v>
      </c>
      <c r="E967" t="s">
        <v>841</v>
      </c>
      <c r="F967" t="s">
        <v>334</v>
      </c>
      <c r="G967" t="s">
        <v>3412</v>
      </c>
      <c r="H967" t="str">
        <f>HYPERLINK("https://baanknet.com/view-property/182255/76B098265C8E474DC55628F153E1CA353D3E9E4A45578CDA7D27D1B1646D2954", "https://baanknet.com/view-property/182255/76B098265C8E474DC55628F153E1CA353D3E9E4A45578CDA7D27D1B1646D2954")</f>
        <v>https://baanknet.com/view-property/182255/76B098265C8E474DC55628F153E1CA353D3E9E4A45578CDA7D27D1B1646D2954</v>
      </c>
      <c r="I967" t="str">
        <f>HYPERLINK("https://baanknet.com/view-property/182255/76B098265C8E474DC55628F153E1CA353D3E9E4A45578CDA7D27D1B1646D2954", "Open")</f>
        <v>Open</v>
      </c>
      <c r="J967" t="s">
        <v>20</v>
      </c>
      <c r="K967" t="s">
        <v>21</v>
      </c>
      <c r="L967">
        <v>4860000</v>
      </c>
      <c r="M967">
        <v>486000</v>
      </c>
    </row>
    <row r="968" spans="1:13" x14ac:dyDescent="0.25">
      <c r="A968" t="s">
        <v>3413</v>
      </c>
      <c r="B968" t="s">
        <v>3414</v>
      </c>
      <c r="C968" t="s">
        <v>121</v>
      </c>
      <c r="D968" t="s">
        <v>1293</v>
      </c>
      <c r="E968" t="s">
        <v>841</v>
      </c>
      <c r="F968" t="s">
        <v>334</v>
      </c>
      <c r="G968" t="s">
        <v>3415</v>
      </c>
      <c r="H968" t="str">
        <f>HYPERLINK("https://baanknet.com/view-property/278819/DFE4157E365D8DA174D7E564696D7A9C6825C2E32E41E0CF29BD4C5B4F9401A3", "https://baanknet.com/view-property/278819/DFE4157E365D8DA174D7E564696D7A9C6825C2E32E41E0CF29BD4C5B4F9401A3")</f>
        <v>https://baanknet.com/view-property/278819/DFE4157E365D8DA174D7E564696D7A9C6825C2E32E41E0CF29BD4C5B4F9401A3</v>
      </c>
      <c r="I968" t="str">
        <f>HYPERLINK("https://baanknet.com/view-property/278819/DFE4157E365D8DA174D7E564696D7A9C6825C2E32E41E0CF29BD4C5B4F9401A3", "Open")</f>
        <v>Open</v>
      </c>
      <c r="J968" t="s">
        <v>20</v>
      </c>
      <c r="K968" t="s">
        <v>21</v>
      </c>
      <c r="L968">
        <v>1640000</v>
      </c>
      <c r="M968">
        <v>164000</v>
      </c>
    </row>
    <row r="969" spans="1:13" x14ac:dyDescent="0.25">
      <c r="A969" t="s">
        <v>3416</v>
      </c>
      <c r="B969" t="s">
        <v>3417</v>
      </c>
      <c r="C969" t="s">
        <v>121</v>
      </c>
      <c r="D969" t="s">
        <v>845</v>
      </c>
      <c r="E969" t="s">
        <v>841</v>
      </c>
      <c r="F969" t="s">
        <v>334</v>
      </c>
      <c r="G969" t="s">
        <v>3418</v>
      </c>
      <c r="H969" t="str">
        <f>HYPERLINK("https://baanknet.com/view-property/280037/5032D77E430A6C409C358A7868019C2BCE549D44CDD455617A51A11560F637DE", "https://baanknet.com/view-property/280037/5032D77E430A6C409C358A7868019C2BCE549D44CDD455617A51A11560F637DE")</f>
        <v>https://baanknet.com/view-property/280037/5032D77E430A6C409C358A7868019C2BCE549D44CDD455617A51A11560F637DE</v>
      </c>
      <c r="I969" t="str">
        <f>HYPERLINK("https://baanknet.com/view-property/280037/5032D77E430A6C409C358A7868019C2BCE549D44CDD455617A51A11560F637DE", "Open")</f>
        <v>Open</v>
      </c>
      <c r="J969" t="s">
        <v>20</v>
      </c>
      <c r="K969" t="s">
        <v>21</v>
      </c>
      <c r="L969">
        <v>1734000</v>
      </c>
      <c r="M969">
        <v>173400</v>
      </c>
    </row>
    <row r="970" spans="1:13" x14ac:dyDescent="0.25">
      <c r="A970" t="s">
        <v>3419</v>
      </c>
      <c r="B970" t="s">
        <v>3420</v>
      </c>
      <c r="C970" t="s">
        <v>121</v>
      </c>
      <c r="D970" t="s">
        <v>1481</v>
      </c>
      <c r="E970" t="s">
        <v>841</v>
      </c>
      <c r="F970" t="s">
        <v>334</v>
      </c>
      <c r="G970" t="s">
        <v>3421</v>
      </c>
      <c r="H970" t="str">
        <f>HYPERLINK("https://baanknet.com/view-property/179555/4EF2EF6FF966C58D45D66B1A73D3698FF7A4EB05336F364F7064AEC744088656", "https://baanknet.com/view-property/179555/4EF2EF6FF966C58D45D66B1A73D3698FF7A4EB05336F364F7064AEC744088656")</f>
        <v>https://baanknet.com/view-property/179555/4EF2EF6FF966C58D45D66B1A73D3698FF7A4EB05336F364F7064AEC744088656</v>
      </c>
      <c r="I970" t="str">
        <f>HYPERLINK("https://baanknet.com/view-property/179555/4EF2EF6FF966C58D45D66B1A73D3698FF7A4EB05336F364F7064AEC744088656", "Open")</f>
        <v>Open</v>
      </c>
      <c r="J970" t="s">
        <v>20</v>
      </c>
      <c r="K970" t="s">
        <v>21</v>
      </c>
      <c r="L970">
        <v>2050000</v>
      </c>
      <c r="M970">
        <v>205000</v>
      </c>
    </row>
    <row r="971" spans="1:13" x14ac:dyDescent="0.25">
      <c r="A971" t="s">
        <v>3422</v>
      </c>
      <c r="B971" t="s">
        <v>3423</v>
      </c>
      <c r="C971" t="s">
        <v>121</v>
      </c>
      <c r="D971" t="s">
        <v>2163</v>
      </c>
      <c r="E971" t="s">
        <v>841</v>
      </c>
      <c r="F971" t="s">
        <v>334</v>
      </c>
      <c r="G971" t="s">
        <v>3424</v>
      </c>
      <c r="H971" t="str">
        <f>HYPERLINK("https://baanknet.com/view-property/286502/01F71C45D380DEA2BDDAD9F21792564CD412D35B6A66CFC133BF3CA300D822BE", "https://baanknet.com/view-property/286502/01F71C45D380DEA2BDDAD9F21792564CD412D35B6A66CFC133BF3CA300D822BE")</f>
        <v>https://baanknet.com/view-property/286502/01F71C45D380DEA2BDDAD9F21792564CD412D35B6A66CFC133BF3CA300D822BE</v>
      </c>
      <c r="I971" t="str">
        <f>HYPERLINK("https://baanknet.com/view-property/286502/01F71C45D380DEA2BDDAD9F21792564CD412D35B6A66CFC133BF3CA300D822BE", "Open")</f>
        <v>Open</v>
      </c>
      <c r="J971" t="s">
        <v>20</v>
      </c>
      <c r="K971" t="s">
        <v>21</v>
      </c>
      <c r="L971">
        <v>3178000</v>
      </c>
      <c r="M971">
        <v>317800</v>
      </c>
    </row>
    <row r="972" spans="1:13" x14ac:dyDescent="0.25">
      <c r="A972" t="s">
        <v>3425</v>
      </c>
      <c r="B972" t="s">
        <v>3426</v>
      </c>
      <c r="C972" t="s">
        <v>121</v>
      </c>
      <c r="D972" t="s">
        <v>1277</v>
      </c>
      <c r="E972" t="s">
        <v>841</v>
      </c>
      <c r="F972" t="s">
        <v>334</v>
      </c>
      <c r="G972" t="s">
        <v>3427</v>
      </c>
      <c r="H972" t="str">
        <f>HYPERLINK("https://baanknet.com/view-property/286507/8ACC8E229E5A442AD2415BE9915885A8040C41613CD93931A631633C771A3BA5", "https://baanknet.com/view-property/286507/8ACC8E229E5A442AD2415BE9915885A8040C41613CD93931A631633C771A3BA5")</f>
        <v>https://baanknet.com/view-property/286507/8ACC8E229E5A442AD2415BE9915885A8040C41613CD93931A631633C771A3BA5</v>
      </c>
      <c r="I972" t="str">
        <f>HYPERLINK("https://baanknet.com/view-property/286507/8ACC8E229E5A442AD2415BE9915885A8040C41613CD93931A631633C771A3BA5", "Open")</f>
        <v>Open</v>
      </c>
      <c r="J972" t="s">
        <v>20</v>
      </c>
      <c r="K972" t="s">
        <v>21</v>
      </c>
      <c r="L972">
        <v>2000000</v>
      </c>
      <c r="M972">
        <v>200000</v>
      </c>
    </row>
    <row r="973" spans="1:13" x14ac:dyDescent="0.25">
      <c r="A973" t="s">
        <v>3428</v>
      </c>
      <c r="B973" t="s">
        <v>3429</v>
      </c>
      <c r="C973" t="s">
        <v>121</v>
      </c>
      <c r="D973" t="s">
        <v>706</v>
      </c>
      <c r="E973" t="s">
        <v>841</v>
      </c>
      <c r="F973" t="s">
        <v>334</v>
      </c>
      <c r="G973" t="s">
        <v>3430</v>
      </c>
      <c r="H973" t="str">
        <f>HYPERLINK("https://baanknet.com/view-property/286520/1347D5F2162355C3244A85D86AEFF5A5E5A0041019AFEF3F1DAA8ECC62393554", "https://baanknet.com/view-property/286520/1347D5F2162355C3244A85D86AEFF5A5E5A0041019AFEF3F1DAA8ECC62393554")</f>
        <v>https://baanknet.com/view-property/286520/1347D5F2162355C3244A85D86AEFF5A5E5A0041019AFEF3F1DAA8ECC62393554</v>
      </c>
      <c r="I973" t="str">
        <f>HYPERLINK("https://baanknet.com/view-property/286520/1347D5F2162355C3244A85D86AEFF5A5E5A0041019AFEF3F1DAA8ECC62393554", "Open")</f>
        <v>Open</v>
      </c>
      <c r="J973" t="s">
        <v>20</v>
      </c>
      <c r="K973" t="s">
        <v>21</v>
      </c>
      <c r="L973">
        <v>3600000</v>
      </c>
      <c r="M973">
        <v>360000</v>
      </c>
    </row>
    <row r="974" spans="1:13" x14ac:dyDescent="0.25">
      <c r="A974" t="s">
        <v>3431</v>
      </c>
      <c r="B974" t="s">
        <v>3432</v>
      </c>
      <c r="C974" t="s">
        <v>121</v>
      </c>
      <c r="D974" t="s">
        <v>1300</v>
      </c>
      <c r="E974" t="s">
        <v>841</v>
      </c>
      <c r="F974" t="s">
        <v>334</v>
      </c>
      <c r="G974" t="s">
        <v>3433</v>
      </c>
      <c r="H974" t="str">
        <f>HYPERLINK("https://baanknet.com/view-property/286529/3427BF5A75EC5A4298339424A3051A221FF77E0997F95CE27F3CAB0CE504D094", "https://baanknet.com/view-property/286529/3427BF5A75EC5A4298339424A3051A221FF77E0997F95CE27F3CAB0CE504D094")</f>
        <v>https://baanknet.com/view-property/286529/3427BF5A75EC5A4298339424A3051A221FF77E0997F95CE27F3CAB0CE504D094</v>
      </c>
      <c r="I974" t="str">
        <f>HYPERLINK("https://baanknet.com/view-property/286529/3427BF5A75EC5A4298339424A3051A221FF77E0997F95CE27F3CAB0CE504D094", "Open")</f>
        <v>Open</v>
      </c>
      <c r="J974" t="s">
        <v>20</v>
      </c>
      <c r="K974" t="s">
        <v>21</v>
      </c>
      <c r="L974">
        <v>1065000</v>
      </c>
      <c r="M974">
        <v>106500</v>
      </c>
    </row>
    <row r="975" spans="1:13" x14ac:dyDescent="0.25">
      <c r="A975" t="s">
        <v>3434</v>
      </c>
      <c r="B975" t="s">
        <v>3435</v>
      </c>
      <c r="C975" t="s">
        <v>121</v>
      </c>
      <c r="D975" t="s">
        <v>1807</v>
      </c>
      <c r="E975" t="s">
        <v>841</v>
      </c>
      <c r="F975" t="s">
        <v>334</v>
      </c>
      <c r="G975" t="s">
        <v>3436</v>
      </c>
      <c r="H975" t="str">
        <f>HYPERLINK("https://baanknet.com/view-property/246423/E12461B3572F93E63195CAE3752FCE0E56C3B71915762F3DBDFB872F3BB32FB8", "https://baanknet.com/view-property/246423/E12461B3572F93E63195CAE3752FCE0E56C3B71915762F3DBDFB872F3BB32FB8")</f>
        <v>https://baanknet.com/view-property/246423/E12461B3572F93E63195CAE3752FCE0E56C3B71915762F3DBDFB872F3BB32FB8</v>
      </c>
      <c r="I975" t="str">
        <f>HYPERLINK("https://baanknet.com/view-property/246423/E12461B3572F93E63195CAE3752FCE0E56C3B71915762F3DBDFB872F3BB32FB8", "Open")</f>
        <v>Open</v>
      </c>
      <c r="J975" t="s">
        <v>20</v>
      </c>
      <c r="K975" t="s">
        <v>21</v>
      </c>
      <c r="L975">
        <v>834000</v>
      </c>
      <c r="M975">
        <v>83400</v>
      </c>
    </row>
    <row r="976" spans="1:13" x14ac:dyDescent="0.25">
      <c r="A976" t="s">
        <v>3437</v>
      </c>
      <c r="B976" t="s">
        <v>3438</v>
      </c>
      <c r="C976" t="s">
        <v>121</v>
      </c>
      <c r="D976" t="s">
        <v>3439</v>
      </c>
      <c r="E976" t="s">
        <v>841</v>
      </c>
      <c r="F976" t="s">
        <v>334</v>
      </c>
      <c r="G976" t="s">
        <v>3440</v>
      </c>
      <c r="H976" t="str">
        <f>HYPERLINK("https://baanknet.com/view-property/175520/86867C725A2EC7A5C280A2C46314E319CC2B2D3CCF823CB2E8B70C4A292EDEED", "https://baanknet.com/view-property/175520/86867C725A2EC7A5C280A2C46314E319CC2B2D3CCF823CB2E8B70C4A292EDEED")</f>
        <v>https://baanknet.com/view-property/175520/86867C725A2EC7A5C280A2C46314E319CC2B2D3CCF823CB2E8B70C4A292EDEED</v>
      </c>
      <c r="I976" t="str">
        <f>HYPERLINK("https://baanknet.com/view-property/175520/86867C725A2EC7A5C280A2C46314E319CC2B2D3CCF823CB2E8B70C4A292EDEED", "Open")</f>
        <v>Open</v>
      </c>
      <c r="J976" t="s">
        <v>20</v>
      </c>
      <c r="K976" t="s">
        <v>21</v>
      </c>
      <c r="L976">
        <v>2176000</v>
      </c>
      <c r="M976">
        <v>217600</v>
      </c>
    </row>
    <row r="977" spans="1:13" x14ac:dyDescent="0.25">
      <c r="A977" t="s">
        <v>3441</v>
      </c>
      <c r="B977" t="s">
        <v>3442</v>
      </c>
      <c r="C977" t="s">
        <v>121</v>
      </c>
      <c r="D977" t="s">
        <v>3443</v>
      </c>
      <c r="E977" t="s">
        <v>841</v>
      </c>
      <c r="F977" t="s">
        <v>334</v>
      </c>
      <c r="G977" t="s">
        <v>3444</v>
      </c>
      <c r="H977" t="str">
        <f>HYPERLINK("https://baanknet.com/view-property/175541/FB2B9A6E969A63E8E5CE0B6CC486BE0BA701AEBEB7CFED4908B9992B060351A5", "https://baanknet.com/view-property/175541/FB2B9A6E969A63E8E5CE0B6CC486BE0BA701AEBEB7CFED4908B9992B060351A5")</f>
        <v>https://baanknet.com/view-property/175541/FB2B9A6E969A63E8E5CE0B6CC486BE0BA701AEBEB7CFED4908B9992B060351A5</v>
      </c>
      <c r="I977" t="str">
        <f>HYPERLINK("https://baanknet.com/view-property/175541/FB2B9A6E969A63E8E5CE0B6CC486BE0BA701AEBEB7CFED4908B9992B060351A5", "Open")</f>
        <v>Open</v>
      </c>
      <c r="J977" t="s">
        <v>20</v>
      </c>
      <c r="K977" t="s">
        <v>21</v>
      </c>
      <c r="L977">
        <v>1227000</v>
      </c>
      <c r="M977">
        <v>122700</v>
      </c>
    </row>
    <row r="978" spans="1:13" x14ac:dyDescent="0.25">
      <c r="A978" t="s">
        <v>3445</v>
      </c>
      <c r="B978" t="s">
        <v>3446</v>
      </c>
      <c r="C978" t="s">
        <v>121</v>
      </c>
      <c r="D978" t="s">
        <v>1807</v>
      </c>
      <c r="E978" t="s">
        <v>841</v>
      </c>
      <c r="F978" t="s">
        <v>334</v>
      </c>
      <c r="G978" t="s">
        <v>3447</v>
      </c>
      <c r="H978" t="str">
        <f>HYPERLINK("https://baanknet.com/view-property/254818/9ADD4E3DDBD65E999636459E23517A9B015C104812E8C53085D5715CAD6885F9", "https://baanknet.com/view-property/254818/9ADD4E3DDBD65E999636459E23517A9B015C104812E8C53085D5715CAD6885F9")</f>
        <v>https://baanknet.com/view-property/254818/9ADD4E3DDBD65E999636459E23517A9B015C104812E8C53085D5715CAD6885F9</v>
      </c>
      <c r="I978" t="str">
        <f>HYPERLINK("https://baanknet.com/view-property/254818/9ADD4E3DDBD65E999636459E23517A9B015C104812E8C53085D5715CAD6885F9", "Open")</f>
        <v>Open</v>
      </c>
      <c r="J978" t="s">
        <v>20</v>
      </c>
      <c r="K978" t="s">
        <v>21</v>
      </c>
      <c r="L978">
        <v>2020000</v>
      </c>
      <c r="M978">
        <v>202000</v>
      </c>
    </row>
    <row r="979" spans="1:13" x14ac:dyDescent="0.25">
      <c r="A979" t="s">
        <v>3448</v>
      </c>
      <c r="B979" t="s">
        <v>3449</v>
      </c>
      <c r="C979" t="s">
        <v>121</v>
      </c>
      <c r="D979" t="s">
        <v>1839</v>
      </c>
      <c r="E979" t="s">
        <v>841</v>
      </c>
      <c r="F979" t="s">
        <v>334</v>
      </c>
      <c r="G979" t="s">
        <v>3450</v>
      </c>
      <c r="H979" t="str">
        <f>HYPERLINK("https://baanknet.com/view-property/264982/909FB79A65CC2681FABDEF1E77B7A28872B05D1CCD5930EE6C1E758A870189CF", "https://baanknet.com/view-property/264982/909FB79A65CC2681FABDEF1E77B7A28872B05D1CCD5930EE6C1E758A870189CF")</f>
        <v>https://baanknet.com/view-property/264982/909FB79A65CC2681FABDEF1E77B7A28872B05D1CCD5930EE6C1E758A870189CF</v>
      </c>
      <c r="I979" t="str">
        <f>HYPERLINK("https://baanknet.com/view-property/264982/909FB79A65CC2681FABDEF1E77B7A28872B05D1CCD5930EE6C1E758A870189CF", "Open")</f>
        <v>Open</v>
      </c>
      <c r="J979" t="s">
        <v>20</v>
      </c>
      <c r="K979" t="s">
        <v>21</v>
      </c>
      <c r="L979">
        <v>5900000</v>
      </c>
      <c r="M979">
        <v>590000</v>
      </c>
    </row>
    <row r="980" spans="1:13" x14ac:dyDescent="0.25">
      <c r="A980" t="s">
        <v>3451</v>
      </c>
      <c r="B980" t="s">
        <v>3452</v>
      </c>
      <c r="C980" t="s">
        <v>121</v>
      </c>
      <c r="D980" t="s">
        <v>3453</v>
      </c>
      <c r="E980" t="s">
        <v>841</v>
      </c>
      <c r="F980" t="s">
        <v>334</v>
      </c>
      <c r="G980" t="s">
        <v>3454</v>
      </c>
      <c r="H980" t="str">
        <f>HYPERLINK("https://baanknet.com/view-property/198253/94666F9F949AA3A33C760D5789F7ED805CEE41BA1C873F7556D662BD402A08A3", "https://baanknet.com/view-property/198253/94666F9F949AA3A33C760D5789F7ED805CEE41BA1C873F7556D662BD402A08A3")</f>
        <v>https://baanknet.com/view-property/198253/94666F9F949AA3A33C760D5789F7ED805CEE41BA1C873F7556D662BD402A08A3</v>
      </c>
      <c r="I980" t="str">
        <f>HYPERLINK("https://baanknet.com/view-property/198253/94666F9F949AA3A33C760D5789F7ED805CEE41BA1C873F7556D662BD402A08A3", "Open")</f>
        <v>Open</v>
      </c>
      <c r="J980" t="s">
        <v>20</v>
      </c>
      <c r="K980" t="s">
        <v>21</v>
      </c>
      <c r="L980">
        <v>5215000</v>
      </c>
      <c r="M980">
        <v>521500</v>
      </c>
    </row>
    <row r="981" spans="1:13" x14ac:dyDescent="0.25">
      <c r="A981" t="s">
        <v>3455</v>
      </c>
      <c r="B981" t="s">
        <v>3456</v>
      </c>
      <c r="C981" t="s">
        <v>121</v>
      </c>
      <c r="D981" t="s">
        <v>393</v>
      </c>
      <c r="E981" t="s">
        <v>841</v>
      </c>
      <c r="F981" t="s">
        <v>334</v>
      </c>
      <c r="G981" t="s">
        <v>3457</v>
      </c>
      <c r="H981" t="str">
        <f>HYPERLINK("https://baanknet.com/view-property/174962/70C9C4606B3E40D9055639083026A80870F661D125F6E349C6A69895BE483D61", "https://baanknet.com/view-property/174962/70C9C4606B3E40D9055639083026A80870F661D125F6E349C6A69895BE483D61")</f>
        <v>https://baanknet.com/view-property/174962/70C9C4606B3E40D9055639083026A80870F661D125F6E349C6A69895BE483D61</v>
      </c>
      <c r="I981" t="str">
        <f>HYPERLINK("https://baanknet.com/view-property/174962/70C9C4606B3E40D9055639083026A80870F661D125F6E349C6A69895BE483D61", "Open")</f>
        <v>Open</v>
      </c>
      <c r="J981" t="s">
        <v>20</v>
      </c>
      <c r="K981" t="s">
        <v>21</v>
      </c>
      <c r="L981">
        <v>1890000</v>
      </c>
      <c r="M981">
        <v>189000</v>
      </c>
    </row>
    <row r="982" spans="1:13" x14ac:dyDescent="0.25">
      <c r="A982" t="s">
        <v>3458</v>
      </c>
      <c r="B982" t="s">
        <v>3459</v>
      </c>
      <c r="C982" t="s">
        <v>121</v>
      </c>
      <c r="D982" t="s">
        <v>3460</v>
      </c>
      <c r="E982" t="s">
        <v>841</v>
      </c>
      <c r="F982" t="s">
        <v>334</v>
      </c>
      <c r="G982" t="s">
        <v>3461</v>
      </c>
      <c r="H982" t="str">
        <f>HYPERLINK("https://baanknet.com/view-property/278514/7184F54A01E41B19E4BF27C6E0F12DC49FBDA06D4CF3FB3E97DA8D1DFEED6AD8", "https://baanknet.com/view-property/278514/7184F54A01E41B19E4BF27C6E0F12DC49FBDA06D4CF3FB3E97DA8D1DFEED6AD8")</f>
        <v>https://baanknet.com/view-property/278514/7184F54A01E41B19E4BF27C6E0F12DC49FBDA06D4CF3FB3E97DA8D1DFEED6AD8</v>
      </c>
      <c r="I982" t="str">
        <f>HYPERLINK("https://baanknet.com/view-property/278514/7184F54A01E41B19E4BF27C6E0F12DC49FBDA06D4CF3FB3E97DA8D1DFEED6AD8", "Open")</f>
        <v>Open</v>
      </c>
      <c r="J982" t="s">
        <v>20</v>
      </c>
      <c r="K982" t="s">
        <v>21</v>
      </c>
      <c r="L982">
        <v>6311000</v>
      </c>
      <c r="M982">
        <v>631100</v>
      </c>
    </row>
    <row r="983" spans="1:13" x14ac:dyDescent="0.25">
      <c r="A983" t="s">
        <v>3462</v>
      </c>
      <c r="B983" t="s">
        <v>3463</v>
      </c>
      <c r="C983" t="s">
        <v>121</v>
      </c>
      <c r="D983" t="s">
        <v>3460</v>
      </c>
      <c r="E983" t="s">
        <v>841</v>
      </c>
      <c r="F983" t="s">
        <v>334</v>
      </c>
      <c r="G983" t="s">
        <v>3464</v>
      </c>
      <c r="H983" t="str">
        <f>HYPERLINK("https://baanknet.com/view-property/231920/5940466E930A1DAA87AC7E91B9D27380D537166EDD03E78129C8D54BBECCE920", "https://baanknet.com/view-property/231920/5940466E930A1DAA87AC7E91B9D27380D537166EDD03E78129C8D54BBECCE920")</f>
        <v>https://baanknet.com/view-property/231920/5940466E930A1DAA87AC7E91B9D27380D537166EDD03E78129C8D54BBECCE920</v>
      </c>
      <c r="I983" t="str">
        <f>HYPERLINK("https://baanknet.com/view-property/231920/5940466E930A1DAA87AC7E91B9D27380D537166EDD03E78129C8D54BBECCE920", "Open")</f>
        <v>Open</v>
      </c>
      <c r="J983" t="s">
        <v>20</v>
      </c>
      <c r="K983" t="s">
        <v>21</v>
      </c>
      <c r="L983">
        <v>2898000</v>
      </c>
      <c r="M983">
        <v>289800</v>
      </c>
    </row>
    <row r="984" spans="1:13" x14ac:dyDescent="0.25">
      <c r="A984" t="s">
        <v>3465</v>
      </c>
      <c r="B984" t="s">
        <v>3466</v>
      </c>
      <c r="C984" t="s">
        <v>121</v>
      </c>
      <c r="D984" t="s">
        <v>3460</v>
      </c>
      <c r="E984" t="s">
        <v>841</v>
      </c>
      <c r="F984" t="s">
        <v>334</v>
      </c>
      <c r="G984" t="s">
        <v>3467</v>
      </c>
      <c r="H984" t="str">
        <f>HYPERLINK("https://baanknet.com/view-property/220478/CC08F2289CB377815C2F9F418136CBDD4C4D60BAC434DB33F1713C7F2737A4B7", "https://baanknet.com/view-property/220478/CC08F2289CB377815C2F9F418136CBDD4C4D60BAC434DB33F1713C7F2737A4B7")</f>
        <v>https://baanknet.com/view-property/220478/CC08F2289CB377815C2F9F418136CBDD4C4D60BAC434DB33F1713C7F2737A4B7</v>
      </c>
      <c r="I984" t="str">
        <f>HYPERLINK("https://baanknet.com/view-property/220478/CC08F2289CB377815C2F9F418136CBDD4C4D60BAC434DB33F1713C7F2737A4B7", "Open")</f>
        <v>Open</v>
      </c>
      <c r="J984" t="s">
        <v>20</v>
      </c>
      <c r="K984" t="s">
        <v>21</v>
      </c>
      <c r="L984">
        <v>2508000</v>
      </c>
      <c r="M984">
        <v>250800</v>
      </c>
    </row>
    <row r="985" spans="1:13" x14ac:dyDescent="0.25">
      <c r="A985" t="s">
        <v>3468</v>
      </c>
      <c r="B985" t="s">
        <v>3469</v>
      </c>
      <c r="C985" t="s">
        <v>121</v>
      </c>
      <c r="D985" t="s">
        <v>750</v>
      </c>
      <c r="E985" t="s">
        <v>841</v>
      </c>
      <c r="F985" t="s">
        <v>334</v>
      </c>
      <c r="G985" t="s">
        <v>3470</v>
      </c>
      <c r="H985" t="str">
        <f>HYPERLINK("https://baanknet.com/view-property/231921/14C9E2D0937A5D1FFB4FEC423C798DB9874AE571871AFD4456862FED45D22FB7", "https://baanknet.com/view-property/231921/14C9E2D0937A5D1FFB4FEC423C798DB9874AE571871AFD4456862FED45D22FB7")</f>
        <v>https://baanknet.com/view-property/231921/14C9E2D0937A5D1FFB4FEC423C798DB9874AE571871AFD4456862FED45D22FB7</v>
      </c>
      <c r="I985" t="str">
        <f>HYPERLINK("https://baanknet.com/view-property/231921/14C9E2D0937A5D1FFB4FEC423C798DB9874AE571871AFD4456862FED45D22FB7", "Open")</f>
        <v>Open</v>
      </c>
      <c r="J985" t="s">
        <v>20</v>
      </c>
      <c r="K985" t="s">
        <v>21</v>
      </c>
      <c r="L985">
        <v>4449000</v>
      </c>
      <c r="M985">
        <v>444900</v>
      </c>
    </row>
    <row r="986" spans="1:13" x14ac:dyDescent="0.25">
      <c r="A986" t="s">
        <v>3471</v>
      </c>
      <c r="B986" t="s">
        <v>3472</v>
      </c>
      <c r="C986" t="s">
        <v>121</v>
      </c>
      <c r="D986" t="s">
        <v>3473</v>
      </c>
      <c r="E986" t="s">
        <v>841</v>
      </c>
      <c r="F986" t="s">
        <v>334</v>
      </c>
      <c r="G986" t="s">
        <v>3474</v>
      </c>
      <c r="H986" t="str">
        <f>HYPERLINK("https://baanknet.com/view-property/188856/CD73E48D430E7E78C3006921DC057ED19089CF587D0EC0CC41413D3411527147", "https://baanknet.com/view-property/188856/CD73E48D430E7E78C3006921DC057ED19089CF587D0EC0CC41413D3411527147")</f>
        <v>https://baanknet.com/view-property/188856/CD73E48D430E7E78C3006921DC057ED19089CF587D0EC0CC41413D3411527147</v>
      </c>
      <c r="I986" t="str">
        <f>HYPERLINK("https://baanknet.com/view-property/188856/CD73E48D430E7E78C3006921DC057ED19089CF587D0EC0CC41413D3411527147", "Open")</f>
        <v>Open</v>
      </c>
      <c r="J986" t="s">
        <v>20</v>
      </c>
      <c r="K986" t="s">
        <v>21</v>
      </c>
      <c r="L986">
        <v>688500</v>
      </c>
      <c r="M986">
        <v>68500</v>
      </c>
    </row>
    <row r="987" spans="1:13" x14ac:dyDescent="0.25">
      <c r="A987" t="s">
        <v>3475</v>
      </c>
      <c r="B987" t="s">
        <v>3476</v>
      </c>
      <c r="C987" t="s">
        <v>121</v>
      </c>
      <c r="D987" t="s">
        <v>3460</v>
      </c>
      <c r="E987" t="s">
        <v>841</v>
      </c>
      <c r="F987" t="s">
        <v>334</v>
      </c>
      <c r="G987" t="s">
        <v>3477</v>
      </c>
      <c r="H987" t="str">
        <f>HYPERLINK("https://baanknet.com/view-property/231916/785B9906512C39497C25928140451AF3395EB45805860AA4FD9EC8412F5A6526", "https://baanknet.com/view-property/231916/785B9906512C39497C25928140451AF3395EB45805860AA4FD9EC8412F5A6526")</f>
        <v>https://baanknet.com/view-property/231916/785B9906512C39497C25928140451AF3395EB45805860AA4FD9EC8412F5A6526</v>
      </c>
      <c r="I987" t="str">
        <f>HYPERLINK("https://baanknet.com/view-property/231916/785B9906512C39497C25928140451AF3395EB45805860AA4FD9EC8412F5A6526", "Open")</f>
        <v>Open</v>
      </c>
      <c r="J987" t="s">
        <v>20</v>
      </c>
      <c r="K987" t="s">
        <v>21</v>
      </c>
      <c r="L987">
        <v>7600000</v>
      </c>
      <c r="M987">
        <v>760000</v>
      </c>
    </row>
    <row r="988" spans="1:13" x14ac:dyDescent="0.25">
      <c r="A988" t="s">
        <v>3478</v>
      </c>
      <c r="B988" t="s">
        <v>3479</v>
      </c>
      <c r="C988" t="s">
        <v>121</v>
      </c>
      <c r="D988" t="s">
        <v>3460</v>
      </c>
      <c r="E988" t="s">
        <v>841</v>
      </c>
      <c r="F988" t="s">
        <v>334</v>
      </c>
      <c r="G988" t="s">
        <v>3480</v>
      </c>
      <c r="H988" t="str">
        <f>HYPERLINK("https://baanknet.com/view-property/231877/B3B3F591E4091D2C015CCBCA31D8BCECAF080DBD3F84CDE93A4CCD041C140CD8", "https://baanknet.com/view-property/231877/B3B3F591E4091D2C015CCBCA31D8BCECAF080DBD3F84CDE93A4CCD041C140CD8")</f>
        <v>https://baanknet.com/view-property/231877/B3B3F591E4091D2C015CCBCA31D8BCECAF080DBD3F84CDE93A4CCD041C140CD8</v>
      </c>
      <c r="I988" t="str">
        <f>HYPERLINK("https://baanknet.com/view-property/231877/B3B3F591E4091D2C015CCBCA31D8BCECAF080DBD3F84CDE93A4CCD041C140CD8", "Open")</f>
        <v>Open</v>
      </c>
      <c r="J988" t="s">
        <v>20</v>
      </c>
      <c r="K988" t="s">
        <v>21</v>
      </c>
      <c r="L988">
        <v>4950000</v>
      </c>
      <c r="M988">
        <v>495000</v>
      </c>
    </row>
    <row r="989" spans="1:13" x14ac:dyDescent="0.25">
      <c r="A989" t="s">
        <v>3481</v>
      </c>
      <c r="B989" t="s">
        <v>3482</v>
      </c>
      <c r="C989" t="s">
        <v>121</v>
      </c>
      <c r="D989" t="s">
        <v>3483</v>
      </c>
      <c r="E989" t="s">
        <v>841</v>
      </c>
      <c r="F989" t="s">
        <v>334</v>
      </c>
      <c r="G989" t="s">
        <v>3484</v>
      </c>
      <c r="H989" t="str">
        <f>HYPERLINK("https://baanknet.com/view-property/231917/52BF2AD7798F614A8E4CB3C1F505BD7C143D6AE1F71F20A969F98E6F49865C2D", "https://baanknet.com/view-property/231917/52BF2AD7798F614A8E4CB3C1F505BD7C143D6AE1F71F20A969F98E6F49865C2D")</f>
        <v>https://baanknet.com/view-property/231917/52BF2AD7798F614A8E4CB3C1F505BD7C143D6AE1F71F20A969F98E6F49865C2D</v>
      </c>
      <c r="I989" t="str">
        <f>HYPERLINK("https://baanknet.com/view-property/231917/52BF2AD7798F614A8E4CB3C1F505BD7C143D6AE1F71F20A969F98E6F49865C2D", "Open")</f>
        <v>Open</v>
      </c>
      <c r="J989" t="s">
        <v>20</v>
      </c>
      <c r="K989" t="s">
        <v>21</v>
      </c>
      <c r="L989">
        <v>4250000</v>
      </c>
      <c r="M989">
        <v>425000</v>
      </c>
    </row>
    <row r="990" spans="1:13" x14ac:dyDescent="0.25">
      <c r="A990" t="s">
        <v>3485</v>
      </c>
      <c r="B990" t="s">
        <v>3486</v>
      </c>
      <c r="C990" t="s">
        <v>121</v>
      </c>
      <c r="D990" t="s">
        <v>1007</v>
      </c>
      <c r="E990" t="s">
        <v>841</v>
      </c>
      <c r="F990" t="s">
        <v>334</v>
      </c>
      <c r="G990" t="s">
        <v>3487</v>
      </c>
      <c r="H990" t="str">
        <f>HYPERLINK("https://baanknet.com/view-property/231918/F7609A1927E1EBE92369C52EC3D44F23C4A278F333B538C87A5532CB71DDCAFD", "https://baanknet.com/view-property/231918/F7609A1927E1EBE92369C52EC3D44F23C4A278F333B538C87A5532CB71DDCAFD")</f>
        <v>https://baanknet.com/view-property/231918/F7609A1927E1EBE92369C52EC3D44F23C4A278F333B538C87A5532CB71DDCAFD</v>
      </c>
      <c r="I990" t="str">
        <f>HYPERLINK("https://baanknet.com/view-property/231918/F7609A1927E1EBE92369C52EC3D44F23C4A278F333B538C87A5532CB71DDCAFD", "Open")</f>
        <v>Open</v>
      </c>
      <c r="J990" t="s">
        <v>20</v>
      </c>
      <c r="K990" t="s">
        <v>21</v>
      </c>
      <c r="L990">
        <v>1710000</v>
      </c>
      <c r="M990">
        <v>171000</v>
      </c>
    </row>
    <row r="991" spans="1:13" x14ac:dyDescent="0.25">
      <c r="A991" t="s">
        <v>3488</v>
      </c>
      <c r="B991" t="s">
        <v>3489</v>
      </c>
      <c r="C991" t="s">
        <v>121</v>
      </c>
      <c r="D991" t="s">
        <v>3460</v>
      </c>
      <c r="E991" t="s">
        <v>841</v>
      </c>
      <c r="F991" t="s">
        <v>334</v>
      </c>
      <c r="G991" t="s">
        <v>3490</v>
      </c>
      <c r="H991" t="str">
        <f>HYPERLINK("https://baanknet.com/view-property/212599/F8ACC443F6072073FC489974E884038DACADE07382D628DA42EDDED1B60E54E8", "https://baanknet.com/view-property/212599/F8ACC443F6072073FC489974E884038DACADE07382D628DA42EDDED1B60E54E8")</f>
        <v>https://baanknet.com/view-property/212599/F8ACC443F6072073FC489974E884038DACADE07382D628DA42EDDED1B60E54E8</v>
      </c>
      <c r="I991" t="str">
        <f>HYPERLINK("https://baanknet.com/view-property/212599/F8ACC443F6072073FC489974E884038DACADE07382D628DA42EDDED1B60E54E8", "Open")</f>
        <v>Open</v>
      </c>
      <c r="J991" t="s">
        <v>20</v>
      </c>
      <c r="K991" t="s">
        <v>21</v>
      </c>
      <c r="L991">
        <v>25300000</v>
      </c>
      <c r="M991">
        <v>2530000</v>
      </c>
    </row>
    <row r="992" spans="1:13" x14ac:dyDescent="0.25">
      <c r="A992" t="s">
        <v>3491</v>
      </c>
      <c r="B992" t="s">
        <v>3492</v>
      </c>
      <c r="C992" t="s">
        <v>121</v>
      </c>
      <c r="D992" t="s">
        <v>1310</v>
      </c>
      <c r="E992" t="s">
        <v>841</v>
      </c>
      <c r="F992" t="s">
        <v>334</v>
      </c>
      <c r="G992" t="s">
        <v>3493</v>
      </c>
      <c r="H992" t="str">
        <f>HYPERLINK("https://baanknet.com/view-property/286475/743D6CE50136BC386CC3AB63A717EFE1A5BBF0DA745EC57C996BFF79F0931CE9", "https://baanknet.com/view-property/286475/743D6CE50136BC386CC3AB63A717EFE1A5BBF0DA745EC57C996BFF79F0931CE9")</f>
        <v>https://baanknet.com/view-property/286475/743D6CE50136BC386CC3AB63A717EFE1A5BBF0DA745EC57C996BFF79F0931CE9</v>
      </c>
      <c r="I992" t="str">
        <f>HYPERLINK("https://baanknet.com/view-property/286475/743D6CE50136BC386CC3AB63A717EFE1A5BBF0DA745EC57C996BFF79F0931CE9", "Open")</f>
        <v>Open</v>
      </c>
      <c r="J992" t="s">
        <v>20</v>
      </c>
      <c r="K992" t="s">
        <v>21</v>
      </c>
      <c r="L992">
        <v>2640000</v>
      </c>
      <c r="M992">
        <v>264000</v>
      </c>
    </row>
    <row r="993" spans="1:13" x14ac:dyDescent="0.25">
      <c r="A993" t="s">
        <v>3494</v>
      </c>
      <c r="B993" t="s">
        <v>3495</v>
      </c>
      <c r="C993" t="s">
        <v>121</v>
      </c>
      <c r="D993" t="s">
        <v>3496</v>
      </c>
      <c r="E993" t="s">
        <v>841</v>
      </c>
      <c r="F993" t="s">
        <v>334</v>
      </c>
      <c r="G993" t="s">
        <v>3497</v>
      </c>
      <c r="H993" t="str">
        <f>HYPERLINK("https://baanknet.com/view-property/287135/459031F778E785A5D21673E94ADB163CC672ED8B174A4EF0B3354EA0F4661233", "https://baanknet.com/view-property/287135/459031F778E785A5D21673E94ADB163CC672ED8B174A4EF0B3354EA0F4661233")</f>
        <v>https://baanknet.com/view-property/287135/459031F778E785A5D21673E94ADB163CC672ED8B174A4EF0B3354EA0F4661233</v>
      </c>
      <c r="I993" t="str">
        <f>HYPERLINK("https://baanknet.com/view-property/287135/459031F778E785A5D21673E94ADB163CC672ED8B174A4EF0B3354EA0F4661233", "Open")</f>
        <v>Open</v>
      </c>
      <c r="J993" t="s">
        <v>20</v>
      </c>
      <c r="K993" t="s">
        <v>21</v>
      </c>
      <c r="L993">
        <v>1700000</v>
      </c>
      <c r="M993">
        <v>170000</v>
      </c>
    </row>
    <row r="994" spans="1:13" x14ac:dyDescent="0.25">
      <c r="A994" t="s">
        <v>3498</v>
      </c>
      <c r="B994" t="s">
        <v>3499</v>
      </c>
      <c r="C994" t="s">
        <v>121</v>
      </c>
      <c r="D994" t="s">
        <v>3483</v>
      </c>
      <c r="E994" t="s">
        <v>841</v>
      </c>
      <c r="F994" t="s">
        <v>334</v>
      </c>
      <c r="G994" t="s">
        <v>3500</v>
      </c>
      <c r="H994" t="str">
        <f>HYPERLINK("https://baanknet.com/view-property/287160/1DAA9DBB356B87B9C82A00084527087673B39055A2B95BE4973AF87B0722263D", "https://baanknet.com/view-property/287160/1DAA9DBB356B87B9C82A00084527087673B39055A2B95BE4973AF87B0722263D")</f>
        <v>https://baanknet.com/view-property/287160/1DAA9DBB356B87B9C82A00084527087673B39055A2B95BE4973AF87B0722263D</v>
      </c>
      <c r="I994" t="str">
        <f>HYPERLINK("https://baanknet.com/view-property/287160/1DAA9DBB356B87B9C82A00084527087673B39055A2B95BE4973AF87B0722263D", "Open")</f>
        <v>Open</v>
      </c>
      <c r="J994" t="s">
        <v>20</v>
      </c>
      <c r="K994" t="s">
        <v>21</v>
      </c>
      <c r="L994">
        <v>1800000</v>
      </c>
      <c r="M994">
        <v>180000</v>
      </c>
    </row>
    <row r="995" spans="1:13" x14ac:dyDescent="0.25">
      <c r="A995" t="s">
        <v>3501</v>
      </c>
      <c r="B995" t="s">
        <v>3502</v>
      </c>
      <c r="C995" t="s">
        <v>121</v>
      </c>
      <c r="D995" t="s">
        <v>1007</v>
      </c>
      <c r="E995" t="s">
        <v>841</v>
      </c>
      <c r="F995" t="s">
        <v>334</v>
      </c>
      <c r="G995" t="s">
        <v>3503</v>
      </c>
      <c r="H995" t="str">
        <f>HYPERLINK("https://baanknet.com/view-property/174691/EF5C9088C21E5A681A18903C64F86877E1D3FC7B30F0DAF403331C76EA95AF91", "https://baanknet.com/view-property/174691/EF5C9088C21E5A681A18903C64F86877E1D3FC7B30F0DAF403331C76EA95AF91")</f>
        <v>https://baanknet.com/view-property/174691/EF5C9088C21E5A681A18903C64F86877E1D3FC7B30F0DAF403331C76EA95AF91</v>
      </c>
      <c r="I995" t="str">
        <f>HYPERLINK("https://baanknet.com/view-property/174691/EF5C9088C21E5A681A18903C64F86877E1D3FC7B30F0DAF403331C76EA95AF91", "Open")</f>
        <v>Open</v>
      </c>
      <c r="J995" t="s">
        <v>20</v>
      </c>
      <c r="K995" t="s">
        <v>21</v>
      </c>
      <c r="L995">
        <v>571000</v>
      </c>
      <c r="M995">
        <v>57100</v>
      </c>
    </row>
    <row r="996" spans="1:13" x14ac:dyDescent="0.25">
      <c r="A996" t="s">
        <v>3504</v>
      </c>
      <c r="B996" t="s">
        <v>3505</v>
      </c>
      <c r="C996" t="s">
        <v>121</v>
      </c>
      <c r="D996" t="s">
        <v>1007</v>
      </c>
      <c r="E996" t="s">
        <v>841</v>
      </c>
      <c r="F996" t="s">
        <v>334</v>
      </c>
      <c r="G996" t="s">
        <v>3506</v>
      </c>
      <c r="H996" t="str">
        <f>HYPERLINK("https://baanknet.com/view-property/174992/4F499018EE5F855F398BD4CC8BE9C24B01E05D5EC08C3E41DA879045BD2CAE07", "https://baanknet.com/view-property/174992/4F499018EE5F855F398BD4CC8BE9C24B01E05D5EC08C3E41DA879045BD2CAE07")</f>
        <v>https://baanknet.com/view-property/174992/4F499018EE5F855F398BD4CC8BE9C24B01E05D5EC08C3E41DA879045BD2CAE07</v>
      </c>
      <c r="I996" t="str">
        <f>HYPERLINK("https://baanknet.com/view-property/174992/4F499018EE5F855F398BD4CC8BE9C24B01E05D5EC08C3E41DA879045BD2CAE07", "Open")</f>
        <v>Open</v>
      </c>
      <c r="J996" t="s">
        <v>20</v>
      </c>
      <c r="K996" t="s">
        <v>21</v>
      </c>
      <c r="L996">
        <v>1247000</v>
      </c>
      <c r="M996">
        <v>124700</v>
      </c>
    </row>
    <row r="997" spans="1:13" x14ac:dyDescent="0.25">
      <c r="A997" t="s">
        <v>3507</v>
      </c>
      <c r="B997" t="s">
        <v>3508</v>
      </c>
      <c r="C997" t="s">
        <v>121</v>
      </c>
      <c r="D997" t="s">
        <v>2798</v>
      </c>
      <c r="E997" t="s">
        <v>841</v>
      </c>
      <c r="F997" t="s">
        <v>334</v>
      </c>
      <c r="G997" t="s">
        <v>3509</v>
      </c>
      <c r="H997" t="str">
        <f>HYPERLINK("https://baanknet.com/view-property/270675/2E0BC1FF4661E15D06E679A9CACCCB0E70F4BFDCE263377AD71CC5A9C8889087", "https://baanknet.com/view-property/270675/2E0BC1FF4661E15D06E679A9CACCCB0E70F4BFDCE263377AD71CC5A9C8889087")</f>
        <v>https://baanknet.com/view-property/270675/2E0BC1FF4661E15D06E679A9CACCCB0E70F4BFDCE263377AD71CC5A9C8889087</v>
      </c>
      <c r="I997" t="str">
        <f>HYPERLINK("https://baanknet.com/view-property/270675/2E0BC1FF4661E15D06E679A9CACCCB0E70F4BFDCE263377AD71CC5A9C8889087", "Open")</f>
        <v>Open</v>
      </c>
      <c r="J997" t="s">
        <v>20</v>
      </c>
      <c r="K997" t="s">
        <v>21</v>
      </c>
      <c r="L997">
        <v>5959000</v>
      </c>
      <c r="M997">
        <v>595900</v>
      </c>
    </row>
    <row r="998" spans="1:13" x14ac:dyDescent="0.25">
      <c r="A998" t="s">
        <v>3510</v>
      </c>
      <c r="B998" t="s">
        <v>3511</v>
      </c>
      <c r="C998" t="s">
        <v>121</v>
      </c>
      <c r="D998" t="s">
        <v>2824</v>
      </c>
      <c r="E998" t="s">
        <v>841</v>
      </c>
      <c r="F998" t="s">
        <v>334</v>
      </c>
      <c r="G998" t="s">
        <v>3512</v>
      </c>
      <c r="H998" t="str">
        <f>HYPERLINK("https://baanknet.com/view-property/185090/649B99DF7D8FB17D08D97547B16A0B0C0348734145EA57B14F4C38209E862E5B", "https://baanknet.com/view-property/185090/649B99DF7D8FB17D08D97547B16A0B0C0348734145EA57B14F4C38209E862E5B")</f>
        <v>https://baanknet.com/view-property/185090/649B99DF7D8FB17D08D97547B16A0B0C0348734145EA57B14F4C38209E862E5B</v>
      </c>
      <c r="I998" t="str">
        <f>HYPERLINK("https://baanknet.com/view-property/185090/649B99DF7D8FB17D08D97547B16A0B0C0348734145EA57B14F4C38209E862E5B", "Open")</f>
        <v>Open</v>
      </c>
      <c r="J998" t="s">
        <v>20</v>
      </c>
      <c r="K998" t="s">
        <v>21</v>
      </c>
      <c r="L998">
        <v>1444000</v>
      </c>
      <c r="M998">
        <v>144400</v>
      </c>
    </row>
    <row r="999" spans="1:13" x14ac:dyDescent="0.25">
      <c r="A999" t="s">
        <v>3513</v>
      </c>
      <c r="B999" t="s">
        <v>3514</v>
      </c>
      <c r="C999" t="s">
        <v>15</v>
      </c>
      <c r="D999" t="s">
        <v>3515</v>
      </c>
      <c r="E999" t="s">
        <v>3516</v>
      </c>
      <c r="F999" t="s">
        <v>17</v>
      </c>
      <c r="G999" t="s">
        <v>3517</v>
      </c>
      <c r="H999" t="str">
        <f>HYPERLINK("https://baanknet.com/view-property/279154/C97867A2B99A34F5243079E77A81CBEBDE458F5AC7291C2684351A287699FEBE", "https://baanknet.com/view-property/279154/C97867A2B99A34F5243079E77A81CBEBDE458F5AC7291C2684351A287699FEBE")</f>
        <v>https://baanknet.com/view-property/279154/C97867A2B99A34F5243079E77A81CBEBDE458F5AC7291C2684351A287699FEBE</v>
      </c>
      <c r="I999" t="str">
        <f>HYPERLINK("https://baanknet.com/view-property/279154/C97867A2B99A34F5243079E77A81CBEBDE458F5AC7291C2684351A287699FEBE", "Open")</f>
        <v>Open</v>
      </c>
      <c r="J999" t="s">
        <v>20</v>
      </c>
      <c r="K999" t="s">
        <v>21</v>
      </c>
      <c r="L999">
        <v>4600000</v>
      </c>
      <c r="M999">
        <v>460000</v>
      </c>
    </row>
    <row r="1000" spans="1:13" x14ac:dyDescent="0.25">
      <c r="A1000" t="s">
        <v>3518</v>
      </c>
      <c r="B1000" t="s">
        <v>3519</v>
      </c>
      <c r="C1000" t="s">
        <v>15</v>
      </c>
      <c r="D1000" t="s">
        <v>3520</v>
      </c>
      <c r="E1000" t="s">
        <v>3516</v>
      </c>
      <c r="F1000" t="s">
        <v>17</v>
      </c>
      <c r="G1000" t="s">
        <v>3521</v>
      </c>
      <c r="H1000" t="str">
        <f>HYPERLINK("https://baanknet.com/view-property/251826/0CC0BE0E5248232595C2A04F00BEF42EC0BC09C8F997CAA9A6F859DF4B1ACB11", "https://baanknet.com/view-property/251826/0CC0BE0E5248232595C2A04F00BEF42EC0BC09C8F997CAA9A6F859DF4B1ACB11")</f>
        <v>https://baanknet.com/view-property/251826/0CC0BE0E5248232595C2A04F00BEF42EC0BC09C8F997CAA9A6F859DF4B1ACB11</v>
      </c>
      <c r="I1000" t="str">
        <f>HYPERLINK("https://baanknet.com/view-property/251826/0CC0BE0E5248232595C2A04F00BEF42EC0BC09C8F997CAA9A6F859DF4B1ACB11", "Open")</f>
        <v>Open</v>
      </c>
      <c r="J1000" t="s">
        <v>20</v>
      </c>
      <c r="K1000" t="s">
        <v>21</v>
      </c>
      <c r="L1000">
        <v>8000000</v>
      </c>
      <c r="M1000">
        <v>800000</v>
      </c>
    </row>
    <row r="1001" spans="1:13" x14ac:dyDescent="0.25">
      <c r="A1001" t="s">
        <v>3522</v>
      </c>
      <c r="B1001" t="s">
        <v>3523</v>
      </c>
      <c r="C1001" t="s">
        <v>15</v>
      </c>
      <c r="D1001" t="s">
        <v>3524</v>
      </c>
      <c r="E1001" t="s">
        <v>3516</v>
      </c>
      <c r="F1001" t="s">
        <v>17</v>
      </c>
      <c r="G1001" t="s">
        <v>3525</v>
      </c>
      <c r="H1001" t="str">
        <f>HYPERLINK("https://baanknet.com/view-property/270017/68E7BCCAC6B9B77FF4866E79AF3011A30313409DFA39AF65B2C6F8A2735A2EAD", "https://baanknet.com/view-property/270017/68E7BCCAC6B9B77FF4866E79AF3011A30313409DFA39AF65B2C6F8A2735A2EAD")</f>
        <v>https://baanknet.com/view-property/270017/68E7BCCAC6B9B77FF4866E79AF3011A30313409DFA39AF65B2C6F8A2735A2EAD</v>
      </c>
      <c r="I1001" t="str">
        <f>HYPERLINK("https://baanknet.com/view-property/270017/68E7BCCAC6B9B77FF4866E79AF3011A30313409DFA39AF65B2C6F8A2735A2EAD", "Open")</f>
        <v>Open</v>
      </c>
      <c r="J1001" t="s">
        <v>20</v>
      </c>
      <c r="K1001" t="s">
        <v>21</v>
      </c>
      <c r="L1001">
        <v>1725000</v>
      </c>
      <c r="M1001">
        <v>172500</v>
      </c>
    </row>
    <row r="1002" spans="1:13" x14ac:dyDescent="0.25">
      <c r="A1002" t="s">
        <v>3526</v>
      </c>
      <c r="B1002" t="s">
        <v>3527</v>
      </c>
      <c r="C1002" t="s">
        <v>15</v>
      </c>
      <c r="D1002" t="s">
        <v>608</v>
      </c>
      <c r="E1002" t="s">
        <v>3516</v>
      </c>
      <c r="F1002" t="s">
        <v>17</v>
      </c>
      <c r="G1002" t="s">
        <v>3528</v>
      </c>
      <c r="H1002" t="str">
        <f>HYPERLINK("https://baanknet.com/view-property/239570/9A2CCBBE06020CAAAB6D8B099FFFAE0F11C1364459C44347B619FB9A692C0979", "https://baanknet.com/view-property/239570/9A2CCBBE06020CAAAB6D8B099FFFAE0F11C1364459C44347B619FB9A692C0979")</f>
        <v>https://baanknet.com/view-property/239570/9A2CCBBE06020CAAAB6D8B099FFFAE0F11C1364459C44347B619FB9A692C0979</v>
      </c>
      <c r="I1002" t="str">
        <f>HYPERLINK("https://baanknet.com/view-property/239570/9A2CCBBE06020CAAAB6D8B099FFFAE0F11C1364459C44347B619FB9A692C0979", "Open")</f>
        <v>Open</v>
      </c>
      <c r="J1002" t="s">
        <v>20</v>
      </c>
      <c r="K1002" t="s">
        <v>21</v>
      </c>
      <c r="L1002">
        <v>4400000</v>
      </c>
      <c r="M1002">
        <v>440000</v>
      </c>
    </row>
    <row r="1003" spans="1:13" x14ac:dyDescent="0.25">
      <c r="A1003" t="s">
        <v>3529</v>
      </c>
      <c r="B1003" t="s">
        <v>3530</v>
      </c>
      <c r="C1003" t="s">
        <v>15</v>
      </c>
      <c r="D1003" t="s">
        <v>718</v>
      </c>
      <c r="E1003" t="s">
        <v>3516</v>
      </c>
      <c r="F1003" t="s">
        <v>17</v>
      </c>
      <c r="G1003" t="s">
        <v>3531</v>
      </c>
      <c r="H1003" t="str">
        <f>HYPERLINK("https://baanknet.com/view-property/264990/B29BB4B383CEDD099355134FF43267F2CEE40DBBB4603BF838412FC37271DF8C", "https://baanknet.com/view-property/264990/B29BB4B383CEDD099355134FF43267F2CEE40DBBB4603BF838412FC37271DF8C")</f>
        <v>https://baanknet.com/view-property/264990/B29BB4B383CEDD099355134FF43267F2CEE40DBBB4603BF838412FC37271DF8C</v>
      </c>
      <c r="I1003" t="str">
        <f>HYPERLINK("https://baanknet.com/view-property/264990/B29BB4B383CEDD099355134FF43267F2CEE40DBBB4603BF838412FC37271DF8C", "Open")</f>
        <v>Open</v>
      </c>
      <c r="J1003" t="s">
        <v>20</v>
      </c>
      <c r="K1003" t="s">
        <v>21</v>
      </c>
      <c r="L1003">
        <v>5981000</v>
      </c>
      <c r="M1003">
        <v>598100</v>
      </c>
    </row>
    <row r="1004" spans="1:13" x14ac:dyDescent="0.25">
      <c r="A1004" t="s">
        <v>3532</v>
      </c>
      <c r="B1004" t="s">
        <v>3533</v>
      </c>
      <c r="C1004" t="s">
        <v>15</v>
      </c>
      <c r="D1004" t="s">
        <v>673</v>
      </c>
      <c r="E1004" t="s">
        <v>3516</v>
      </c>
      <c r="F1004" t="s">
        <v>17</v>
      </c>
      <c r="G1004" t="s">
        <v>3534</v>
      </c>
      <c r="H1004" t="str">
        <f>HYPERLINK("https://baanknet.com/view-property/204222/520BF11A0CFC03C39CA36B5888A4CE147609F36AC94D1CA8FD0475D9F20593D5", "https://baanknet.com/view-property/204222/520BF11A0CFC03C39CA36B5888A4CE147609F36AC94D1CA8FD0475D9F20593D5")</f>
        <v>https://baanknet.com/view-property/204222/520BF11A0CFC03C39CA36B5888A4CE147609F36AC94D1CA8FD0475D9F20593D5</v>
      </c>
      <c r="I1004" t="str">
        <f>HYPERLINK("https://baanknet.com/view-property/204222/520BF11A0CFC03C39CA36B5888A4CE147609F36AC94D1CA8FD0475D9F20593D5", "Open")</f>
        <v>Open</v>
      </c>
      <c r="J1004" t="s">
        <v>20</v>
      </c>
      <c r="K1004" t="s">
        <v>21</v>
      </c>
      <c r="L1004">
        <v>931500</v>
      </c>
      <c r="M1004">
        <v>93150</v>
      </c>
    </row>
    <row r="1005" spans="1:13" x14ac:dyDescent="0.25">
      <c r="A1005" t="s">
        <v>3535</v>
      </c>
      <c r="B1005" t="s">
        <v>3536</v>
      </c>
      <c r="C1005" t="s">
        <v>15</v>
      </c>
      <c r="D1005" t="s">
        <v>3537</v>
      </c>
      <c r="E1005" t="s">
        <v>3516</v>
      </c>
      <c r="F1005" t="s">
        <v>17</v>
      </c>
      <c r="G1005" t="s">
        <v>3538</v>
      </c>
      <c r="H1005" t="str">
        <f>HYPERLINK("https://baanknet.com/view-property/203369/0941A73F18249EBA476C1C675BBBD3B2FE2859FAF8B2CB3C0C0AB0E633344D47", "https://baanknet.com/view-property/203369/0941A73F18249EBA476C1C675BBBD3B2FE2859FAF8B2CB3C0C0AB0E633344D47")</f>
        <v>https://baanknet.com/view-property/203369/0941A73F18249EBA476C1C675BBBD3B2FE2859FAF8B2CB3C0C0AB0E633344D47</v>
      </c>
      <c r="I1005" t="str">
        <f>HYPERLINK("https://baanknet.com/view-property/203369/0941A73F18249EBA476C1C675BBBD3B2FE2859FAF8B2CB3C0C0AB0E633344D47", "Open")</f>
        <v>Open</v>
      </c>
      <c r="J1005" t="s">
        <v>20</v>
      </c>
      <c r="K1005" t="s">
        <v>21</v>
      </c>
      <c r="L1005">
        <v>950000</v>
      </c>
      <c r="M1005">
        <v>95000</v>
      </c>
    </row>
    <row r="1006" spans="1:13" x14ac:dyDescent="0.25">
      <c r="A1006" t="s">
        <v>3539</v>
      </c>
      <c r="B1006" t="s">
        <v>3540</v>
      </c>
      <c r="C1006" t="s">
        <v>15</v>
      </c>
      <c r="D1006" t="s">
        <v>3541</v>
      </c>
      <c r="E1006" t="s">
        <v>3516</v>
      </c>
      <c r="F1006" t="s">
        <v>17</v>
      </c>
      <c r="G1006" t="s">
        <v>3542</v>
      </c>
      <c r="H1006" t="str">
        <f>HYPERLINK("https://baanknet.com/view-property/257909/334C648CE674651570E8C02732E67514224108B462FFE37A0E9A5084F09EDAC2", "https://baanknet.com/view-property/257909/334C648CE674651570E8C02732E67514224108B462FFE37A0E9A5084F09EDAC2")</f>
        <v>https://baanknet.com/view-property/257909/334C648CE674651570E8C02732E67514224108B462FFE37A0E9A5084F09EDAC2</v>
      </c>
      <c r="I1006" t="str">
        <f>HYPERLINK("https://baanknet.com/view-property/257909/334C648CE674651570E8C02732E67514224108B462FFE37A0E9A5084F09EDAC2", "Open")</f>
        <v>Open</v>
      </c>
      <c r="J1006" t="s">
        <v>20</v>
      </c>
      <c r="K1006" t="s">
        <v>21</v>
      </c>
      <c r="L1006">
        <v>567000</v>
      </c>
      <c r="M1006">
        <v>56700</v>
      </c>
    </row>
    <row r="1007" spans="1:13" x14ac:dyDescent="0.25">
      <c r="A1007" t="s">
        <v>3543</v>
      </c>
      <c r="B1007" t="s">
        <v>3544</v>
      </c>
      <c r="C1007" t="s">
        <v>15</v>
      </c>
      <c r="D1007" t="s">
        <v>673</v>
      </c>
      <c r="E1007" t="s">
        <v>3516</v>
      </c>
      <c r="F1007" t="s">
        <v>17</v>
      </c>
      <c r="G1007" t="s">
        <v>3545</v>
      </c>
      <c r="H1007" t="str">
        <f>HYPERLINK("https://baanknet.com/view-property/218798/177C77D90A87631E2C898784436C8C03C0BF4137B1772A903769FC957DE6327D", "https://baanknet.com/view-property/218798/177C77D90A87631E2C898784436C8C03C0BF4137B1772A903769FC957DE6327D")</f>
        <v>https://baanknet.com/view-property/218798/177C77D90A87631E2C898784436C8C03C0BF4137B1772A903769FC957DE6327D</v>
      </c>
      <c r="I1007" t="str">
        <f>HYPERLINK("https://baanknet.com/view-property/218798/177C77D90A87631E2C898784436C8C03C0BF4137B1772A903769FC957DE6327D", "Open")</f>
        <v>Open</v>
      </c>
      <c r="J1007" t="s">
        <v>20</v>
      </c>
      <c r="K1007" t="s">
        <v>21</v>
      </c>
      <c r="L1007">
        <v>977500</v>
      </c>
      <c r="M1007">
        <v>97750</v>
      </c>
    </row>
    <row r="1008" spans="1:13" x14ac:dyDescent="0.25">
      <c r="A1008" t="s">
        <v>3546</v>
      </c>
      <c r="B1008" t="s">
        <v>3547</v>
      </c>
      <c r="C1008" t="s">
        <v>15</v>
      </c>
      <c r="D1008" t="s">
        <v>608</v>
      </c>
      <c r="E1008" t="s">
        <v>3516</v>
      </c>
      <c r="F1008" t="s">
        <v>17</v>
      </c>
      <c r="G1008" t="s">
        <v>3548</v>
      </c>
      <c r="H1008" t="str">
        <f>HYPERLINK("https://baanknet.com/view-property/267738/620AC98D3C8B0829EA52E58FFA19CCC77A0F9BFACF5957557608DBC255F41345", "https://baanknet.com/view-property/267738/620AC98D3C8B0829EA52E58FFA19CCC77A0F9BFACF5957557608DBC255F41345")</f>
        <v>https://baanknet.com/view-property/267738/620AC98D3C8B0829EA52E58FFA19CCC77A0F9BFACF5957557608DBC255F41345</v>
      </c>
      <c r="I1008" t="str">
        <f>HYPERLINK("https://baanknet.com/view-property/267738/620AC98D3C8B0829EA52E58FFA19CCC77A0F9BFACF5957557608DBC255F41345", "Open")</f>
        <v>Open</v>
      </c>
      <c r="J1008" t="s">
        <v>20</v>
      </c>
      <c r="K1008" t="s">
        <v>21</v>
      </c>
      <c r="L1008">
        <v>4000000</v>
      </c>
      <c r="M1008">
        <v>400000</v>
      </c>
    </row>
    <row r="1009" spans="1:13" x14ac:dyDescent="0.25">
      <c r="A1009" t="s">
        <v>3549</v>
      </c>
      <c r="B1009" t="s">
        <v>3550</v>
      </c>
      <c r="C1009" t="s">
        <v>15</v>
      </c>
      <c r="D1009" t="s">
        <v>3340</v>
      </c>
      <c r="E1009" t="s">
        <v>3516</v>
      </c>
      <c r="F1009" t="s">
        <v>17</v>
      </c>
      <c r="G1009" t="s">
        <v>3551</v>
      </c>
      <c r="H1009" t="str">
        <f>HYPERLINK("https://baanknet.com/view-property/247626/D328054B27B5467A583EAA3F0E99F0543D92CADF1AAC39124B3C16972288C914", "https://baanknet.com/view-property/247626/D328054B27B5467A583EAA3F0E99F0543D92CADF1AAC39124B3C16972288C914")</f>
        <v>https://baanknet.com/view-property/247626/D328054B27B5467A583EAA3F0E99F0543D92CADF1AAC39124B3C16972288C914</v>
      </c>
      <c r="I1009" t="str">
        <f>HYPERLINK("https://baanknet.com/view-property/247626/D328054B27B5467A583EAA3F0E99F0543D92CADF1AAC39124B3C16972288C914", "Open")</f>
        <v>Open</v>
      </c>
      <c r="J1009" t="s">
        <v>20</v>
      </c>
      <c r="K1009" t="s">
        <v>21</v>
      </c>
      <c r="L1009">
        <v>11700000</v>
      </c>
      <c r="M1009">
        <v>1170000</v>
      </c>
    </row>
    <row r="1010" spans="1:13" x14ac:dyDescent="0.25">
      <c r="A1010" t="s">
        <v>3552</v>
      </c>
      <c r="B1010" t="s">
        <v>3553</v>
      </c>
      <c r="C1010" t="s">
        <v>15</v>
      </c>
      <c r="D1010" t="s">
        <v>3554</v>
      </c>
      <c r="E1010" t="s">
        <v>3516</v>
      </c>
      <c r="F1010" t="s">
        <v>17</v>
      </c>
      <c r="G1010" t="s">
        <v>3555</v>
      </c>
      <c r="H1010" t="str">
        <f>HYPERLINK("https://baanknet.com/view-property/207517/4ED7F647114DACD3EC20774803F8A4F62C18DACF456A57231DCF3B6A8AA7F434", "https://baanknet.com/view-property/207517/4ED7F647114DACD3EC20774803F8A4F62C18DACF456A57231DCF3B6A8AA7F434")</f>
        <v>https://baanknet.com/view-property/207517/4ED7F647114DACD3EC20774803F8A4F62C18DACF456A57231DCF3B6A8AA7F434</v>
      </c>
      <c r="I1010" t="str">
        <f>HYPERLINK("https://baanknet.com/view-property/207517/4ED7F647114DACD3EC20774803F8A4F62C18DACF456A57231DCF3B6A8AA7F434", "Open")</f>
        <v>Open</v>
      </c>
      <c r="J1010" t="s">
        <v>20</v>
      </c>
      <c r="K1010" t="s">
        <v>21</v>
      </c>
      <c r="L1010">
        <v>32400000</v>
      </c>
      <c r="M1010">
        <v>3240000</v>
      </c>
    </row>
    <row r="1011" spans="1:13" x14ac:dyDescent="0.25">
      <c r="A1011" t="s">
        <v>3556</v>
      </c>
      <c r="B1011" t="s">
        <v>3557</v>
      </c>
      <c r="C1011" t="s">
        <v>15</v>
      </c>
      <c r="D1011" t="s">
        <v>3558</v>
      </c>
      <c r="E1011" t="s">
        <v>3516</v>
      </c>
      <c r="F1011" t="s">
        <v>17</v>
      </c>
      <c r="G1011" t="s">
        <v>3559</v>
      </c>
      <c r="H1011" t="str">
        <f>HYPERLINK("https://baanknet.com/view-property/279536/445428FA2ECEE94B2265ABD407D66FD21B2A8042B9E4D1B9619D34B4BB767EBB", "https://baanknet.com/view-property/279536/445428FA2ECEE94B2265ABD407D66FD21B2A8042B9E4D1B9619D34B4BB767EBB")</f>
        <v>https://baanknet.com/view-property/279536/445428FA2ECEE94B2265ABD407D66FD21B2A8042B9E4D1B9619D34B4BB767EBB</v>
      </c>
      <c r="I1011" t="str">
        <f>HYPERLINK("https://baanknet.com/view-property/279536/445428FA2ECEE94B2265ABD407D66FD21B2A8042B9E4D1B9619D34B4BB767EBB", "Open")</f>
        <v>Open</v>
      </c>
      <c r="J1011" t="s">
        <v>20</v>
      </c>
      <c r="K1011" t="s">
        <v>21</v>
      </c>
      <c r="L1011">
        <v>345000</v>
      </c>
      <c r="M1011">
        <v>34500</v>
      </c>
    </row>
    <row r="1012" spans="1:13" x14ac:dyDescent="0.25">
      <c r="A1012" t="s">
        <v>3560</v>
      </c>
      <c r="B1012" t="s">
        <v>3561</v>
      </c>
      <c r="C1012" t="s">
        <v>15</v>
      </c>
      <c r="D1012" t="s">
        <v>3558</v>
      </c>
      <c r="E1012" t="s">
        <v>3516</v>
      </c>
      <c r="F1012" t="s">
        <v>17</v>
      </c>
      <c r="G1012" t="s">
        <v>3562</v>
      </c>
      <c r="H1012" t="str">
        <f>HYPERLINK("https://baanknet.com/view-property/254545/0F60FEDD66520203FA87882AF07364555AF9DF006F421DDF0A4DE4F5ED171E56", "https://baanknet.com/view-property/254545/0F60FEDD66520203FA87882AF07364555AF9DF006F421DDF0A4DE4F5ED171E56")</f>
        <v>https://baanknet.com/view-property/254545/0F60FEDD66520203FA87882AF07364555AF9DF006F421DDF0A4DE4F5ED171E56</v>
      </c>
      <c r="I1012" t="str">
        <f>HYPERLINK("https://baanknet.com/view-property/254545/0F60FEDD66520203FA87882AF07364555AF9DF006F421DDF0A4DE4F5ED171E56", "Open")</f>
        <v>Open</v>
      </c>
      <c r="J1012" t="s">
        <v>20</v>
      </c>
      <c r="K1012" t="s">
        <v>21</v>
      </c>
      <c r="L1012">
        <v>1250000</v>
      </c>
      <c r="M1012">
        <v>125000</v>
      </c>
    </row>
    <row r="1013" spans="1:13" x14ac:dyDescent="0.25">
      <c r="A1013" t="s">
        <v>3563</v>
      </c>
      <c r="B1013" t="s">
        <v>3564</v>
      </c>
      <c r="C1013" t="s">
        <v>15</v>
      </c>
      <c r="D1013" t="s">
        <v>3565</v>
      </c>
      <c r="E1013" t="s">
        <v>3516</v>
      </c>
      <c r="F1013" t="s">
        <v>17</v>
      </c>
      <c r="G1013" t="s">
        <v>3566</v>
      </c>
      <c r="H1013" t="str">
        <f>HYPERLINK("https://baanknet.com/view-property/214764/6C5C1A647528D5C03EA1BC419B823DC758A24310F7118282EF6C4461FF3141A6", "https://baanknet.com/view-property/214764/6C5C1A647528D5C03EA1BC419B823DC758A24310F7118282EF6C4461FF3141A6")</f>
        <v>https://baanknet.com/view-property/214764/6C5C1A647528D5C03EA1BC419B823DC758A24310F7118282EF6C4461FF3141A6</v>
      </c>
      <c r="I1013" t="str">
        <f>HYPERLINK("https://baanknet.com/view-property/214764/6C5C1A647528D5C03EA1BC419B823DC758A24310F7118282EF6C4461FF3141A6", "Open")</f>
        <v>Open</v>
      </c>
      <c r="J1013" t="s">
        <v>20</v>
      </c>
      <c r="K1013" t="s">
        <v>21</v>
      </c>
      <c r="L1013">
        <v>1200000</v>
      </c>
      <c r="M1013">
        <v>120000</v>
      </c>
    </row>
    <row r="1014" spans="1:13" x14ac:dyDescent="0.25">
      <c r="A1014" t="s">
        <v>3567</v>
      </c>
      <c r="B1014" t="s">
        <v>3568</v>
      </c>
      <c r="C1014" t="s">
        <v>15</v>
      </c>
      <c r="D1014" t="s">
        <v>3565</v>
      </c>
      <c r="E1014" t="s">
        <v>3516</v>
      </c>
      <c r="F1014" t="s">
        <v>17</v>
      </c>
      <c r="G1014" t="s">
        <v>3569</v>
      </c>
      <c r="H1014" t="str">
        <f>HYPERLINK("https://baanknet.com/view-property/260609/9489184DB9E4B900A4789E2E4F4BE8A490CED3AD794CCCBFFC20BDE4C1FD3007", "https://baanknet.com/view-property/260609/9489184DB9E4B900A4789E2E4F4BE8A490CED3AD794CCCBFFC20BDE4C1FD3007")</f>
        <v>https://baanknet.com/view-property/260609/9489184DB9E4B900A4789E2E4F4BE8A490CED3AD794CCCBFFC20BDE4C1FD3007</v>
      </c>
      <c r="I1014" t="str">
        <f>HYPERLINK("https://baanknet.com/view-property/260609/9489184DB9E4B900A4789E2E4F4BE8A490CED3AD794CCCBFFC20BDE4C1FD3007", "Open")</f>
        <v>Open</v>
      </c>
      <c r="J1014" t="s">
        <v>20</v>
      </c>
      <c r="K1014" t="s">
        <v>21</v>
      </c>
      <c r="L1014">
        <v>1950000</v>
      </c>
      <c r="M1014">
        <v>195000</v>
      </c>
    </row>
    <row r="1015" spans="1:13" x14ac:dyDescent="0.25">
      <c r="A1015" t="s">
        <v>3570</v>
      </c>
      <c r="B1015" t="s">
        <v>3571</v>
      </c>
      <c r="C1015" t="s">
        <v>15</v>
      </c>
      <c r="D1015" t="s">
        <v>3572</v>
      </c>
      <c r="E1015" t="s">
        <v>3516</v>
      </c>
      <c r="F1015" t="s">
        <v>17</v>
      </c>
      <c r="G1015" t="s">
        <v>3573</v>
      </c>
      <c r="H1015" t="str">
        <f>HYPERLINK("https://baanknet.com/view-property/214778/93D300A46A79943A1B2458364D1F7DC6B6103A5B06B07E68351B946165AE5D4B", "https://baanknet.com/view-property/214778/93D300A46A79943A1B2458364D1F7DC6B6103A5B06B07E68351B946165AE5D4B")</f>
        <v>https://baanknet.com/view-property/214778/93D300A46A79943A1B2458364D1F7DC6B6103A5B06B07E68351B946165AE5D4B</v>
      </c>
      <c r="I1015" t="str">
        <f>HYPERLINK("https://baanknet.com/view-property/214778/93D300A46A79943A1B2458364D1F7DC6B6103A5B06B07E68351B946165AE5D4B", "Open")</f>
        <v>Open</v>
      </c>
      <c r="J1015" t="s">
        <v>20</v>
      </c>
      <c r="K1015" t="s">
        <v>21</v>
      </c>
      <c r="L1015">
        <v>800000</v>
      </c>
      <c r="M1015">
        <v>80000</v>
      </c>
    </row>
    <row r="1016" spans="1:13" x14ac:dyDescent="0.25">
      <c r="A1016" t="s">
        <v>3574</v>
      </c>
      <c r="B1016" t="s">
        <v>3575</v>
      </c>
      <c r="C1016" t="s">
        <v>15</v>
      </c>
      <c r="D1016" t="s">
        <v>3576</v>
      </c>
      <c r="E1016" t="s">
        <v>3516</v>
      </c>
      <c r="F1016" t="s">
        <v>17</v>
      </c>
      <c r="G1016" t="s">
        <v>3577</v>
      </c>
      <c r="H1016" t="str">
        <f>HYPERLINK("https://baanknet.com/view-property/256524/07BABC80ACFB938D315B2F163322EADFB901C6131BC50BA2912F7D522426F70E", "https://baanknet.com/view-property/256524/07BABC80ACFB938D315B2F163322EADFB901C6131BC50BA2912F7D522426F70E")</f>
        <v>https://baanknet.com/view-property/256524/07BABC80ACFB938D315B2F163322EADFB901C6131BC50BA2912F7D522426F70E</v>
      </c>
      <c r="I1016" t="str">
        <f>HYPERLINK("https://baanknet.com/view-property/256524/07BABC80ACFB938D315B2F163322EADFB901C6131BC50BA2912F7D522426F70E", "Open")</f>
        <v>Open</v>
      </c>
      <c r="J1016" t="s">
        <v>20</v>
      </c>
      <c r="K1016" t="s">
        <v>21</v>
      </c>
      <c r="L1016">
        <v>1450000</v>
      </c>
      <c r="M1016">
        <v>145000</v>
      </c>
    </row>
    <row r="1017" spans="1:13" x14ac:dyDescent="0.25">
      <c r="A1017" t="s">
        <v>3578</v>
      </c>
      <c r="B1017" t="s">
        <v>3579</v>
      </c>
      <c r="C1017" t="s">
        <v>15</v>
      </c>
      <c r="D1017" t="s">
        <v>3580</v>
      </c>
      <c r="E1017" t="s">
        <v>3516</v>
      </c>
      <c r="F1017" t="s">
        <v>17</v>
      </c>
      <c r="G1017" t="s">
        <v>3581</v>
      </c>
      <c r="H1017" t="str">
        <f>HYPERLINK("https://baanknet.com/view-property/248635/CB51766B7B545123FB1A956D8E175DFF91E64B0E4F44598604761B54B47323C0", "https://baanknet.com/view-property/248635/CB51766B7B545123FB1A956D8E175DFF91E64B0E4F44598604761B54B47323C0")</f>
        <v>https://baanknet.com/view-property/248635/CB51766B7B545123FB1A956D8E175DFF91E64B0E4F44598604761B54B47323C0</v>
      </c>
      <c r="I1017" t="str">
        <f>HYPERLINK("https://baanknet.com/view-property/248635/CB51766B7B545123FB1A956D8E175DFF91E64B0E4F44598604761B54B47323C0", "Open")</f>
        <v>Open</v>
      </c>
      <c r="J1017" t="s">
        <v>20</v>
      </c>
      <c r="K1017" t="s">
        <v>21</v>
      </c>
      <c r="L1017">
        <v>3350000</v>
      </c>
      <c r="M1017">
        <v>335000</v>
      </c>
    </row>
    <row r="1018" spans="1:13" x14ac:dyDescent="0.25">
      <c r="A1018" t="s">
        <v>3582</v>
      </c>
      <c r="B1018" t="s">
        <v>3583</v>
      </c>
      <c r="C1018" t="s">
        <v>15</v>
      </c>
      <c r="D1018" t="s">
        <v>3584</v>
      </c>
      <c r="E1018" t="s">
        <v>3516</v>
      </c>
      <c r="F1018" t="s">
        <v>17</v>
      </c>
      <c r="G1018" t="s">
        <v>3585</v>
      </c>
      <c r="H1018" t="str">
        <f>HYPERLINK("https://baanknet.com/view-property/279163/025B535B1510A4F377BF7A078B5394FD2EDC5E162BC5C9C9BB8D1F20B2A289D0", "https://baanknet.com/view-property/279163/025B535B1510A4F377BF7A078B5394FD2EDC5E162BC5C9C9BB8D1F20B2A289D0")</f>
        <v>https://baanknet.com/view-property/279163/025B535B1510A4F377BF7A078B5394FD2EDC5E162BC5C9C9BB8D1F20B2A289D0</v>
      </c>
      <c r="I1018" t="str">
        <f>HYPERLINK("https://baanknet.com/view-property/279163/025B535B1510A4F377BF7A078B5394FD2EDC5E162BC5C9C9BB8D1F20B2A289D0", "Open")</f>
        <v>Open</v>
      </c>
      <c r="J1018" t="s">
        <v>20</v>
      </c>
      <c r="K1018" t="s">
        <v>21</v>
      </c>
      <c r="L1018">
        <v>1580000</v>
      </c>
      <c r="M1018">
        <v>158000</v>
      </c>
    </row>
    <row r="1019" spans="1:13" x14ac:dyDescent="0.25">
      <c r="A1019" t="s">
        <v>3586</v>
      </c>
      <c r="B1019" t="s">
        <v>3587</v>
      </c>
      <c r="C1019" t="s">
        <v>15</v>
      </c>
      <c r="D1019" t="s">
        <v>3588</v>
      </c>
      <c r="E1019" t="s">
        <v>3516</v>
      </c>
      <c r="F1019" t="s">
        <v>17</v>
      </c>
      <c r="G1019" t="s">
        <v>3589</v>
      </c>
      <c r="H1019" t="str">
        <f>HYPERLINK("https://baanknet.com/view-property/277501/3EC8752296A6FD691A15C743CA0FF809C5045EDA0F42CC6A4969C36F6ECCE4DF", "https://baanknet.com/view-property/277501/3EC8752296A6FD691A15C743CA0FF809C5045EDA0F42CC6A4969C36F6ECCE4DF")</f>
        <v>https://baanknet.com/view-property/277501/3EC8752296A6FD691A15C743CA0FF809C5045EDA0F42CC6A4969C36F6ECCE4DF</v>
      </c>
      <c r="I1019" t="str">
        <f>HYPERLINK("https://baanknet.com/view-property/277501/3EC8752296A6FD691A15C743CA0FF809C5045EDA0F42CC6A4969C36F6ECCE4DF", "Open")</f>
        <v>Open</v>
      </c>
      <c r="J1019" t="s">
        <v>20</v>
      </c>
      <c r="K1019" t="s">
        <v>21</v>
      </c>
      <c r="L1019">
        <v>2590000</v>
      </c>
      <c r="M1019">
        <v>259000</v>
      </c>
    </row>
    <row r="1020" spans="1:13" x14ac:dyDescent="0.25">
      <c r="A1020" t="s">
        <v>3590</v>
      </c>
      <c r="B1020" t="s">
        <v>3591</v>
      </c>
      <c r="C1020" t="s">
        <v>15</v>
      </c>
      <c r="D1020" t="s">
        <v>3592</v>
      </c>
      <c r="E1020" t="s">
        <v>3516</v>
      </c>
      <c r="F1020" t="s">
        <v>17</v>
      </c>
      <c r="G1020" t="s">
        <v>3593</v>
      </c>
      <c r="H1020" t="str">
        <f>HYPERLINK("https://baanknet.com/view-property/256612/67279135D7C54B99E2ACC297826E9B692E1F39EA360CC13E13431C1FAE84DAAD", "https://baanknet.com/view-property/256612/67279135D7C54B99E2ACC297826E9B692E1F39EA360CC13E13431C1FAE84DAAD")</f>
        <v>https://baanknet.com/view-property/256612/67279135D7C54B99E2ACC297826E9B692E1F39EA360CC13E13431C1FAE84DAAD</v>
      </c>
      <c r="I1020" t="str">
        <f>HYPERLINK("https://baanknet.com/view-property/256612/67279135D7C54B99E2ACC297826E9B692E1F39EA360CC13E13431C1FAE84DAAD", "Open")</f>
        <v>Open</v>
      </c>
      <c r="J1020" t="s">
        <v>20</v>
      </c>
      <c r="K1020" t="s">
        <v>21</v>
      </c>
      <c r="L1020">
        <v>2250000</v>
      </c>
      <c r="M1020">
        <v>225000</v>
      </c>
    </row>
    <row r="1021" spans="1:13" x14ac:dyDescent="0.25">
      <c r="A1021" t="s">
        <v>3594</v>
      </c>
      <c r="B1021" t="s">
        <v>3595</v>
      </c>
      <c r="C1021" t="s">
        <v>15</v>
      </c>
      <c r="D1021" t="s">
        <v>3596</v>
      </c>
      <c r="E1021" t="s">
        <v>3516</v>
      </c>
      <c r="F1021" t="s">
        <v>17</v>
      </c>
      <c r="G1021" t="s">
        <v>3597</v>
      </c>
      <c r="H1021" t="str">
        <f>HYPERLINK("https://baanknet.com/view-property/248775/64306079CE31E182D9D31122166A95A39DA656E0937E46BF79405FD689C0FD1C", "https://baanknet.com/view-property/248775/64306079CE31E182D9D31122166A95A39DA656E0937E46BF79405FD689C0FD1C")</f>
        <v>https://baanknet.com/view-property/248775/64306079CE31E182D9D31122166A95A39DA656E0937E46BF79405FD689C0FD1C</v>
      </c>
      <c r="I1021" t="str">
        <f>HYPERLINK("https://baanknet.com/view-property/248775/64306079CE31E182D9D31122166A95A39DA656E0937E46BF79405FD689C0FD1C", "Open")</f>
        <v>Open</v>
      </c>
      <c r="J1021" t="s">
        <v>20</v>
      </c>
      <c r="K1021" t="s">
        <v>21</v>
      </c>
      <c r="L1021">
        <v>3200000</v>
      </c>
      <c r="M1021">
        <v>320000</v>
      </c>
    </row>
    <row r="1022" spans="1:13" x14ac:dyDescent="0.25">
      <c r="A1022" t="s">
        <v>3598</v>
      </c>
      <c r="B1022" t="s">
        <v>3599</v>
      </c>
      <c r="C1022" t="s">
        <v>15</v>
      </c>
      <c r="D1022" t="s">
        <v>3600</v>
      </c>
      <c r="E1022" t="s">
        <v>3516</v>
      </c>
      <c r="F1022" t="s">
        <v>17</v>
      </c>
      <c r="G1022" t="s">
        <v>3601</v>
      </c>
      <c r="H1022" t="str">
        <f>HYPERLINK("https://baanknet.com/view-property/204758/F4EB697C05912F233AA7D863EA41F229274B7E141DD6997EF674B327E60780B0", "https://baanknet.com/view-property/204758/F4EB697C05912F233AA7D863EA41F229274B7E141DD6997EF674B327E60780B0")</f>
        <v>https://baanknet.com/view-property/204758/F4EB697C05912F233AA7D863EA41F229274B7E141DD6997EF674B327E60780B0</v>
      </c>
      <c r="I1022" t="str">
        <f>HYPERLINK("https://baanknet.com/view-property/204758/F4EB697C05912F233AA7D863EA41F229274B7E141DD6997EF674B327E60780B0", "Open")</f>
        <v>Open</v>
      </c>
      <c r="J1022" t="s">
        <v>20</v>
      </c>
      <c r="K1022" t="s">
        <v>21</v>
      </c>
      <c r="L1022">
        <v>2500000</v>
      </c>
      <c r="M1022">
        <v>250000</v>
      </c>
    </row>
    <row r="1023" spans="1:13" x14ac:dyDescent="0.25">
      <c r="A1023" t="s">
        <v>3602</v>
      </c>
      <c r="B1023" t="s">
        <v>3603</v>
      </c>
      <c r="C1023" t="s">
        <v>15</v>
      </c>
      <c r="D1023" t="s">
        <v>3600</v>
      </c>
      <c r="E1023" t="s">
        <v>3516</v>
      </c>
      <c r="F1023" t="s">
        <v>17</v>
      </c>
      <c r="G1023" t="s">
        <v>3604</v>
      </c>
      <c r="H1023" t="str">
        <f>HYPERLINK("https://baanknet.com/view-property/239983/3139F4BD83584FF1CAD67A1CA783B79E334158331798E616388DE8D594CC944B", "https://baanknet.com/view-property/239983/3139F4BD83584FF1CAD67A1CA783B79E334158331798E616388DE8D594CC944B")</f>
        <v>https://baanknet.com/view-property/239983/3139F4BD83584FF1CAD67A1CA783B79E334158331798E616388DE8D594CC944B</v>
      </c>
      <c r="I1023" t="str">
        <f>HYPERLINK("https://baanknet.com/view-property/239983/3139F4BD83584FF1CAD67A1CA783B79E334158331798E616388DE8D594CC944B", "Open")</f>
        <v>Open</v>
      </c>
      <c r="J1023" t="s">
        <v>20</v>
      </c>
      <c r="K1023" t="s">
        <v>21</v>
      </c>
      <c r="L1023">
        <v>1200000</v>
      </c>
      <c r="M1023">
        <v>120000</v>
      </c>
    </row>
    <row r="1024" spans="1:13" x14ac:dyDescent="0.25">
      <c r="A1024" t="s">
        <v>3605</v>
      </c>
      <c r="B1024" t="s">
        <v>3606</v>
      </c>
      <c r="C1024" t="s">
        <v>15</v>
      </c>
      <c r="D1024" t="s">
        <v>3607</v>
      </c>
      <c r="E1024" t="s">
        <v>3516</v>
      </c>
      <c r="F1024" t="s">
        <v>17</v>
      </c>
      <c r="G1024" t="s">
        <v>3608</v>
      </c>
      <c r="H1024" t="str">
        <f>HYPERLINK("https://baanknet.com/view-property/259255/3C185FC6B6510F17329521254713D872F1933EA8D4A7AAF5D228879309583D5A", "https://baanknet.com/view-property/259255/3C185FC6B6510F17329521254713D872F1933EA8D4A7AAF5D228879309583D5A")</f>
        <v>https://baanknet.com/view-property/259255/3C185FC6B6510F17329521254713D872F1933EA8D4A7AAF5D228879309583D5A</v>
      </c>
      <c r="I1024" t="str">
        <f>HYPERLINK("https://baanknet.com/view-property/259255/3C185FC6B6510F17329521254713D872F1933EA8D4A7AAF5D228879309583D5A", "Open")</f>
        <v>Open</v>
      </c>
      <c r="J1024" t="s">
        <v>20</v>
      </c>
      <c r="K1024" t="s">
        <v>21</v>
      </c>
      <c r="L1024">
        <v>1500000</v>
      </c>
      <c r="M1024">
        <v>150000</v>
      </c>
    </row>
    <row r="1025" spans="1:13" x14ac:dyDescent="0.25">
      <c r="A1025" t="s">
        <v>3609</v>
      </c>
      <c r="B1025" t="s">
        <v>3610</v>
      </c>
      <c r="C1025" t="s">
        <v>15</v>
      </c>
      <c r="D1025" t="s">
        <v>109</v>
      </c>
      <c r="E1025" t="s">
        <v>3516</v>
      </c>
      <c r="F1025" t="s">
        <v>17</v>
      </c>
      <c r="G1025" t="s">
        <v>3611</v>
      </c>
      <c r="H1025" t="str">
        <f>HYPERLINK("https://baanknet.com/view-property/248515/8C9F7CD3A169E88413AE98144E6572E1FEB38D3C9219BA6CEE44C5341771C418", "https://baanknet.com/view-property/248515/8C9F7CD3A169E88413AE98144E6572E1FEB38D3C9219BA6CEE44C5341771C418")</f>
        <v>https://baanknet.com/view-property/248515/8C9F7CD3A169E88413AE98144E6572E1FEB38D3C9219BA6CEE44C5341771C418</v>
      </c>
      <c r="I1025" t="str">
        <f>HYPERLINK("https://baanknet.com/view-property/248515/8C9F7CD3A169E88413AE98144E6572E1FEB38D3C9219BA6CEE44C5341771C418", "Open")</f>
        <v>Open</v>
      </c>
      <c r="J1025" t="s">
        <v>20</v>
      </c>
      <c r="K1025" t="s">
        <v>21</v>
      </c>
      <c r="L1025">
        <v>5500000</v>
      </c>
      <c r="M1025">
        <v>550000</v>
      </c>
    </row>
    <row r="1026" spans="1:13" x14ac:dyDescent="0.25">
      <c r="A1026" t="s">
        <v>3612</v>
      </c>
      <c r="B1026" t="s">
        <v>3613</v>
      </c>
      <c r="C1026" t="s">
        <v>15</v>
      </c>
      <c r="D1026" t="s">
        <v>3614</v>
      </c>
      <c r="E1026" t="s">
        <v>3516</v>
      </c>
      <c r="F1026" t="s">
        <v>17</v>
      </c>
      <c r="G1026" t="s">
        <v>3615</v>
      </c>
      <c r="H1026" t="str">
        <f>HYPERLINK("https://baanknet.com/view-property/275250/505B0E01D55A1703439A4C164FB278EF8AD4BFBE56E558D472EEE956C6894B43", "https://baanknet.com/view-property/275250/505B0E01D55A1703439A4C164FB278EF8AD4BFBE56E558D472EEE956C6894B43")</f>
        <v>https://baanknet.com/view-property/275250/505B0E01D55A1703439A4C164FB278EF8AD4BFBE56E558D472EEE956C6894B43</v>
      </c>
      <c r="I1026" t="str">
        <f>HYPERLINK("https://baanknet.com/view-property/275250/505B0E01D55A1703439A4C164FB278EF8AD4BFBE56E558D472EEE956C6894B43", "Open")</f>
        <v>Open</v>
      </c>
      <c r="J1026" t="s">
        <v>20</v>
      </c>
      <c r="K1026" t="s">
        <v>21</v>
      </c>
      <c r="L1026">
        <v>5760000</v>
      </c>
      <c r="M1026">
        <v>576000</v>
      </c>
    </row>
    <row r="1027" spans="1:13" x14ac:dyDescent="0.25">
      <c r="A1027" t="s">
        <v>3616</v>
      </c>
      <c r="B1027" t="s">
        <v>3617</v>
      </c>
      <c r="C1027" t="s">
        <v>15</v>
      </c>
      <c r="D1027" t="s">
        <v>3243</v>
      </c>
      <c r="E1027" t="s">
        <v>3516</v>
      </c>
      <c r="F1027" t="s">
        <v>17</v>
      </c>
      <c r="G1027" t="s">
        <v>3618</v>
      </c>
      <c r="H1027" t="str">
        <f>HYPERLINK("https://baanknet.com/view-property/275254/ABFC35AE242C1D63DD77B823AE6FC2D51F3D4FEEB829DB463C819C4617E28265", "https://baanknet.com/view-property/275254/ABFC35AE242C1D63DD77B823AE6FC2D51F3D4FEEB829DB463C819C4617E28265")</f>
        <v>https://baanknet.com/view-property/275254/ABFC35AE242C1D63DD77B823AE6FC2D51F3D4FEEB829DB463C819C4617E28265</v>
      </c>
      <c r="I1027" t="str">
        <f>HYPERLINK("https://baanknet.com/view-property/275254/ABFC35AE242C1D63DD77B823AE6FC2D51F3D4FEEB829DB463C819C4617E28265", "Open")</f>
        <v>Open</v>
      </c>
      <c r="J1027" t="s">
        <v>20</v>
      </c>
      <c r="K1027" t="s">
        <v>21</v>
      </c>
      <c r="L1027">
        <v>4050000</v>
      </c>
      <c r="M1027">
        <v>405000</v>
      </c>
    </row>
    <row r="1028" spans="1:13" x14ac:dyDescent="0.25">
      <c r="A1028" t="s">
        <v>3619</v>
      </c>
      <c r="B1028" t="s">
        <v>3620</v>
      </c>
      <c r="C1028" t="s">
        <v>15</v>
      </c>
      <c r="D1028" t="s">
        <v>3621</v>
      </c>
      <c r="E1028" t="s">
        <v>3516</v>
      </c>
      <c r="F1028" t="s">
        <v>17</v>
      </c>
      <c r="G1028" t="s">
        <v>3622</v>
      </c>
      <c r="H1028" t="str">
        <f>HYPERLINK("https://baanknet.com/view-property/248774/D3D1969764231BA6F3F3C8598C77B54B56F41D15908643704D4864C132CA1758", "https://baanknet.com/view-property/248774/D3D1969764231BA6F3F3C8598C77B54B56F41D15908643704D4864C132CA1758")</f>
        <v>https://baanknet.com/view-property/248774/D3D1969764231BA6F3F3C8598C77B54B56F41D15908643704D4864C132CA1758</v>
      </c>
      <c r="I1028" t="str">
        <f>HYPERLINK("https://baanknet.com/view-property/248774/D3D1969764231BA6F3F3C8598C77B54B56F41D15908643704D4864C132CA1758", "Open")</f>
        <v>Open</v>
      </c>
      <c r="J1028" t="s">
        <v>20</v>
      </c>
      <c r="K1028" t="s">
        <v>21</v>
      </c>
      <c r="L1028">
        <v>12770000</v>
      </c>
      <c r="M1028">
        <v>1277000</v>
      </c>
    </row>
    <row r="1029" spans="1:13" x14ac:dyDescent="0.25">
      <c r="A1029" t="s">
        <v>3623</v>
      </c>
      <c r="B1029" t="s">
        <v>3624</v>
      </c>
      <c r="C1029" t="s">
        <v>15</v>
      </c>
      <c r="D1029" t="s">
        <v>3625</v>
      </c>
      <c r="E1029" t="s">
        <v>3516</v>
      </c>
      <c r="F1029" t="s">
        <v>17</v>
      </c>
      <c r="G1029" t="s">
        <v>3626</v>
      </c>
      <c r="H1029" t="str">
        <f>HYPERLINK("https://baanknet.com/view-property/206247/C9B895FAE081B54902F13B8CF269D84C255B1AB237D56DF7C902FEA2EE14379F", "https://baanknet.com/view-property/206247/C9B895FAE081B54902F13B8CF269D84C255B1AB237D56DF7C902FEA2EE14379F")</f>
        <v>https://baanknet.com/view-property/206247/C9B895FAE081B54902F13B8CF269D84C255B1AB237D56DF7C902FEA2EE14379F</v>
      </c>
      <c r="I1029" t="str">
        <f>HYPERLINK("https://baanknet.com/view-property/206247/C9B895FAE081B54902F13B8CF269D84C255B1AB237D56DF7C902FEA2EE14379F", "Open")</f>
        <v>Open</v>
      </c>
      <c r="J1029" t="s">
        <v>20</v>
      </c>
      <c r="K1029" t="s">
        <v>21</v>
      </c>
      <c r="L1029">
        <v>4500000</v>
      </c>
      <c r="M1029">
        <v>450000</v>
      </c>
    </row>
    <row r="1030" spans="1:13" x14ac:dyDescent="0.25">
      <c r="A1030" t="s">
        <v>3627</v>
      </c>
      <c r="B1030" t="s">
        <v>3628</v>
      </c>
      <c r="C1030" t="s">
        <v>15</v>
      </c>
      <c r="D1030" t="s">
        <v>3225</v>
      </c>
      <c r="E1030" t="s">
        <v>3516</v>
      </c>
      <c r="F1030" t="s">
        <v>17</v>
      </c>
      <c r="G1030" t="s">
        <v>3629</v>
      </c>
      <c r="H1030" t="str">
        <f>HYPERLINK("https://baanknet.com/view-property/205464/EDC4EFC178C9FA72EBCEA185262A800765FA064FAAE4E9A7FE443251AD479599", "https://baanknet.com/view-property/205464/EDC4EFC178C9FA72EBCEA185262A800765FA064FAAE4E9A7FE443251AD479599")</f>
        <v>https://baanknet.com/view-property/205464/EDC4EFC178C9FA72EBCEA185262A800765FA064FAAE4E9A7FE443251AD479599</v>
      </c>
      <c r="I1030" t="str">
        <f>HYPERLINK("https://baanknet.com/view-property/205464/EDC4EFC178C9FA72EBCEA185262A800765FA064FAAE4E9A7FE443251AD479599", "Open")</f>
        <v>Open</v>
      </c>
      <c r="J1030" t="s">
        <v>20</v>
      </c>
      <c r="K1030" t="s">
        <v>21</v>
      </c>
      <c r="L1030">
        <v>2340000</v>
      </c>
      <c r="M1030">
        <v>234000</v>
      </c>
    </row>
    <row r="1031" spans="1:13" x14ac:dyDescent="0.25">
      <c r="A1031" t="s">
        <v>3630</v>
      </c>
      <c r="B1031" t="s">
        <v>3631</v>
      </c>
      <c r="C1031" t="s">
        <v>15</v>
      </c>
      <c r="D1031" t="s">
        <v>3632</v>
      </c>
      <c r="E1031" t="s">
        <v>3516</v>
      </c>
      <c r="F1031" t="s">
        <v>17</v>
      </c>
      <c r="G1031" t="s">
        <v>3633</v>
      </c>
      <c r="H1031" t="str">
        <f>HYPERLINK("https://baanknet.com/view-property/263738/72C4F7D62F6B6A14082024B18784342A59FC201F7B8BEF98C756EE7565B8A97E", "https://baanknet.com/view-property/263738/72C4F7D62F6B6A14082024B18784342A59FC201F7B8BEF98C756EE7565B8A97E")</f>
        <v>https://baanknet.com/view-property/263738/72C4F7D62F6B6A14082024B18784342A59FC201F7B8BEF98C756EE7565B8A97E</v>
      </c>
      <c r="I1031" t="str">
        <f>HYPERLINK("https://baanknet.com/view-property/263738/72C4F7D62F6B6A14082024B18784342A59FC201F7B8BEF98C756EE7565B8A97E", "Open")</f>
        <v>Open</v>
      </c>
      <c r="J1031" t="s">
        <v>20</v>
      </c>
      <c r="K1031" t="s">
        <v>21</v>
      </c>
      <c r="L1031">
        <v>2410000</v>
      </c>
      <c r="M1031">
        <v>241000</v>
      </c>
    </row>
    <row r="1032" spans="1:13" x14ac:dyDescent="0.25">
      <c r="A1032" t="s">
        <v>3634</v>
      </c>
      <c r="B1032" t="s">
        <v>3635</v>
      </c>
      <c r="C1032" t="s">
        <v>15</v>
      </c>
      <c r="D1032" t="s">
        <v>3344</v>
      </c>
      <c r="E1032" t="s">
        <v>3516</v>
      </c>
      <c r="F1032" t="s">
        <v>17</v>
      </c>
      <c r="G1032" t="s">
        <v>3636</v>
      </c>
      <c r="H1032" t="str">
        <f>HYPERLINK("https://baanknet.com/view-property/197980/A0274157ADEB39EF6E6BDD253D78A9BA3D9E7AD702F5901D4CAD6F986721F54C", "https://baanknet.com/view-property/197980/A0274157ADEB39EF6E6BDD253D78A9BA3D9E7AD702F5901D4CAD6F986721F54C")</f>
        <v>https://baanknet.com/view-property/197980/A0274157ADEB39EF6E6BDD253D78A9BA3D9E7AD702F5901D4CAD6F986721F54C</v>
      </c>
      <c r="I1032" t="str">
        <f>HYPERLINK("https://baanknet.com/view-property/197980/A0274157ADEB39EF6E6BDD253D78A9BA3D9E7AD702F5901D4CAD6F986721F54C", "Open")</f>
        <v>Open</v>
      </c>
      <c r="J1032" t="s">
        <v>20</v>
      </c>
      <c r="K1032" t="s">
        <v>21</v>
      </c>
      <c r="L1032">
        <v>4410000</v>
      </c>
      <c r="M1032">
        <v>441000</v>
      </c>
    </row>
    <row r="1033" spans="1:13" x14ac:dyDescent="0.25">
      <c r="A1033" t="s">
        <v>3637</v>
      </c>
      <c r="B1033" t="s">
        <v>3638</v>
      </c>
      <c r="C1033" t="s">
        <v>15</v>
      </c>
      <c r="D1033" t="s">
        <v>3344</v>
      </c>
      <c r="E1033" t="s">
        <v>3516</v>
      </c>
      <c r="F1033" t="s">
        <v>17</v>
      </c>
      <c r="G1033" t="s">
        <v>3639</v>
      </c>
      <c r="H1033" t="str">
        <f>HYPERLINK("https://baanknet.com/view-property/197985/FCECA1089D2FCD9D342DD27015335BFCFBBD0019D66E2132D5212EE844262E0C", "https://baanknet.com/view-property/197985/FCECA1089D2FCD9D342DD27015335BFCFBBD0019D66E2132D5212EE844262E0C")</f>
        <v>https://baanknet.com/view-property/197985/FCECA1089D2FCD9D342DD27015335BFCFBBD0019D66E2132D5212EE844262E0C</v>
      </c>
      <c r="I1033" t="str">
        <f>HYPERLINK("https://baanknet.com/view-property/197985/FCECA1089D2FCD9D342DD27015335BFCFBBD0019D66E2132D5212EE844262E0C", "Open")</f>
        <v>Open</v>
      </c>
      <c r="J1033" t="s">
        <v>20</v>
      </c>
      <c r="K1033" t="s">
        <v>21</v>
      </c>
      <c r="L1033">
        <v>1980000</v>
      </c>
      <c r="M1033">
        <v>198000</v>
      </c>
    </row>
    <row r="1034" spans="1:13" x14ac:dyDescent="0.25">
      <c r="A1034" t="s">
        <v>3640</v>
      </c>
      <c r="B1034" t="s">
        <v>3641</v>
      </c>
      <c r="C1034" t="s">
        <v>15</v>
      </c>
      <c r="D1034" t="s">
        <v>3225</v>
      </c>
      <c r="E1034" t="s">
        <v>3516</v>
      </c>
      <c r="F1034" t="s">
        <v>17</v>
      </c>
      <c r="G1034" t="s">
        <v>3642</v>
      </c>
      <c r="H1034" t="str">
        <f>HYPERLINK("https://baanknet.com/view-property/205840/FC28E23A9CE3644D70A4D0DD7CA5FAAA76D1058D1B6EBF1C7D55DD4BBA7F2460", "https://baanknet.com/view-property/205840/FC28E23A9CE3644D70A4D0DD7CA5FAAA76D1058D1B6EBF1C7D55DD4BBA7F2460")</f>
        <v>https://baanknet.com/view-property/205840/FC28E23A9CE3644D70A4D0DD7CA5FAAA76D1058D1B6EBF1C7D55DD4BBA7F2460</v>
      </c>
      <c r="I1034" t="str">
        <f>HYPERLINK("https://baanknet.com/view-property/205840/FC28E23A9CE3644D70A4D0DD7CA5FAAA76D1058D1B6EBF1C7D55DD4BBA7F2460", "Open")</f>
        <v>Open</v>
      </c>
      <c r="J1034" t="s">
        <v>20</v>
      </c>
      <c r="K1034" t="s">
        <v>21</v>
      </c>
      <c r="L1034">
        <v>8730000</v>
      </c>
      <c r="M1034">
        <v>873000</v>
      </c>
    </row>
    <row r="1035" spans="1:13" x14ac:dyDescent="0.25">
      <c r="A1035" t="s">
        <v>3643</v>
      </c>
      <c r="B1035" t="s">
        <v>3644</v>
      </c>
      <c r="C1035" t="s">
        <v>15</v>
      </c>
      <c r="D1035" t="s">
        <v>3645</v>
      </c>
      <c r="E1035" t="s">
        <v>3516</v>
      </c>
      <c r="F1035" t="s">
        <v>17</v>
      </c>
      <c r="G1035" t="s">
        <v>3646</v>
      </c>
      <c r="H1035" t="str">
        <f>HYPERLINK("https://baanknet.com/view-property/205376/76040D6C7CC98C785648544FC030C5930FD66510035432FD98B6E6F5A29E4004", "https://baanknet.com/view-property/205376/76040D6C7CC98C785648544FC030C5930FD66510035432FD98B6E6F5A29E4004")</f>
        <v>https://baanknet.com/view-property/205376/76040D6C7CC98C785648544FC030C5930FD66510035432FD98B6E6F5A29E4004</v>
      </c>
      <c r="I1035" t="str">
        <f>HYPERLINK("https://baanknet.com/view-property/205376/76040D6C7CC98C785648544FC030C5930FD66510035432FD98B6E6F5A29E4004", "Open")</f>
        <v>Open</v>
      </c>
      <c r="J1035" t="s">
        <v>20</v>
      </c>
      <c r="K1035" t="s">
        <v>21</v>
      </c>
      <c r="L1035">
        <v>4800000</v>
      </c>
      <c r="M1035">
        <v>480000</v>
      </c>
    </row>
    <row r="1036" spans="1:13" x14ac:dyDescent="0.25">
      <c r="A1036" t="s">
        <v>3647</v>
      </c>
      <c r="B1036" t="s">
        <v>3648</v>
      </c>
      <c r="C1036" t="s">
        <v>15</v>
      </c>
      <c r="D1036" t="s">
        <v>3645</v>
      </c>
      <c r="E1036" t="s">
        <v>3516</v>
      </c>
      <c r="F1036" t="s">
        <v>17</v>
      </c>
      <c r="G1036" t="s">
        <v>3649</v>
      </c>
      <c r="H1036" t="str">
        <f>HYPERLINK("https://baanknet.com/view-property/205417/2D25487CC44F22D96DF8D970EA85AD9732514FCB225588498FE70A0506FF11C9", "https://baanknet.com/view-property/205417/2D25487CC44F22D96DF8D970EA85AD9732514FCB225588498FE70A0506FF11C9")</f>
        <v>https://baanknet.com/view-property/205417/2D25487CC44F22D96DF8D970EA85AD9732514FCB225588498FE70A0506FF11C9</v>
      </c>
      <c r="I1036" t="str">
        <f>HYPERLINK("https://baanknet.com/view-property/205417/2D25487CC44F22D96DF8D970EA85AD9732514FCB225588498FE70A0506FF11C9", "Open")</f>
        <v>Open</v>
      </c>
      <c r="J1036" t="s">
        <v>20</v>
      </c>
      <c r="K1036" t="s">
        <v>21</v>
      </c>
      <c r="L1036">
        <v>1800000</v>
      </c>
      <c r="M1036">
        <v>180000</v>
      </c>
    </row>
    <row r="1037" spans="1:13" x14ac:dyDescent="0.25">
      <c r="A1037" t="s">
        <v>3650</v>
      </c>
      <c r="B1037" t="s">
        <v>3651</v>
      </c>
      <c r="C1037" t="s">
        <v>15</v>
      </c>
      <c r="D1037" t="s">
        <v>3652</v>
      </c>
      <c r="E1037" t="s">
        <v>3516</v>
      </c>
      <c r="F1037" t="s">
        <v>17</v>
      </c>
      <c r="G1037" t="s">
        <v>3653</v>
      </c>
      <c r="H1037" t="str">
        <f>HYPERLINK("https://baanknet.com/view-property/275923/D17503126E5982307740D38CCF54BE59C0D74CF159BFA49C53835B38A88FD80C", "https://baanknet.com/view-property/275923/D17503126E5982307740D38CCF54BE59C0D74CF159BFA49C53835B38A88FD80C")</f>
        <v>https://baanknet.com/view-property/275923/D17503126E5982307740D38CCF54BE59C0D74CF159BFA49C53835B38A88FD80C</v>
      </c>
      <c r="I1037" t="str">
        <f>HYPERLINK("https://baanknet.com/view-property/275923/D17503126E5982307740D38CCF54BE59C0D74CF159BFA49C53835B38A88FD80C", "Open")</f>
        <v>Open</v>
      </c>
      <c r="J1037" t="s">
        <v>20</v>
      </c>
      <c r="K1037" t="s">
        <v>21</v>
      </c>
      <c r="L1037">
        <v>17900000</v>
      </c>
      <c r="M1037">
        <v>1790000</v>
      </c>
    </row>
    <row r="1038" spans="1:13" x14ac:dyDescent="0.25">
      <c r="A1038" t="s">
        <v>3654</v>
      </c>
      <c r="B1038" t="s">
        <v>3655</v>
      </c>
      <c r="C1038" t="s">
        <v>15</v>
      </c>
      <c r="D1038" t="s">
        <v>3656</v>
      </c>
      <c r="E1038" t="s">
        <v>3516</v>
      </c>
      <c r="F1038" t="s">
        <v>17</v>
      </c>
      <c r="G1038" t="s">
        <v>3657</v>
      </c>
      <c r="H1038" t="str">
        <f>HYPERLINK("https://baanknet.com/view-property/275242/B67BAFAAF60220503071DE85555F861A70D9EA79FC76D8A92D00FC18DCAAE00C", "https://baanknet.com/view-property/275242/B67BAFAAF60220503071DE85555F861A70D9EA79FC76D8A92D00FC18DCAAE00C")</f>
        <v>https://baanknet.com/view-property/275242/B67BAFAAF60220503071DE85555F861A70D9EA79FC76D8A92D00FC18DCAAE00C</v>
      </c>
      <c r="I1038" t="str">
        <f>HYPERLINK("https://baanknet.com/view-property/275242/B67BAFAAF60220503071DE85555F861A70D9EA79FC76D8A92D00FC18DCAAE00C", "Open")</f>
        <v>Open</v>
      </c>
      <c r="J1038" t="s">
        <v>20</v>
      </c>
      <c r="K1038" t="s">
        <v>21</v>
      </c>
      <c r="L1038">
        <v>2520000</v>
      </c>
      <c r="M1038">
        <v>252000</v>
      </c>
    </row>
    <row r="1039" spans="1:13" x14ac:dyDescent="0.25">
      <c r="A1039" t="s">
        <v>3658</v>
      </c>
      <c r="B1039" t="s">
        <v>3659</v>
      </c>
      <c r="C1039" t="s">
        <v>15</v>
      </c>
      <c r="D1039" t="s">
        <v>3225</v>
      </c>
      <c r="E1039" t="s">
        <v>3516</v>
      </c>
      <c r="F1039" t="s">
        <v>17</v>
      </c>
      <c r="G1039" t="s">
        <v>3660</v>
      </c>
      <c r="H1039" t="str">
        <f>HYPERLINK("https://baanknet.com/view-property/199602/B149104C529B256F1FBB3A8D493C38519CCFEF54A6E7C222B9AD94325F62CEBE", "https://baanknet.com/view-property/199602/B149104C529B256F1FBB3A8D493C38519CCFEF54A6E7C222B9AD94325F62CEBE")</f>
        <v>https://baanknet.com/view-property/199602/B149104C529B256F1FBB3A8D493C38519CCFEF54A6E7C222B9AD94325F62CEBE</v>
      </c>
      <c r="I1039" t="str">
        <f>HYPERLINK("https://baanknet.com/view-property/199602/B149104C529B256F1FBB3A8D493C38519CCFEF54A6E7C222B9AD94325F62CEBE", "Open")</f>
        <v>Open</v>
      </c>
      <c r="J1039" t="s">
        <v>20</v>
      </c>
      <c r="K1039" t="s">
        <v>21</v>
      </c>
      <c r="L1039">
        <v>1950000</v>
      </c>
      <c r="M1039">
        <v>195000</v>
      </c>
    </row>
    <row r="1040" spans="1:13" x14ac:dyDescent="0.25">
      <c r="A1040" t="s">
        <v>3661</v>
      </c>
      <c r="B1040" t="s">
        <v>3662</v>
      </c>
      <c r="C1040" t="s">
        <v>15</v>
      </c>
      <c r="D1040" t="s">
        <v>3266</v>
      </c>
      <c r="E1040" t="s">
        <v>3516</v>
      </c>
      <c r="F1040" t="s">
        <v>17</v>
      </c>
      <c r="G1040" t="s">
        <v>3663</v>
      </c>
      <c r="H1040" t="str">
        <f>HYPERLINK("https://baanknet.com/view-property/248769/A26DD90B5E00332DDAE8A8E2F8DF8B14ED5BBF01AB25665F3A1297F48F849506", "https://baanknet.com/view-property/248769/A26DD90B5E00332DDAE8A8E2F8DF8B14ED5BBF01AB25665F3A1297F48F849506")</f>
        <v>https://baanknet.com/view-property/248769/A26DD90B5E00332DDAE8A8E2F8DF8B14ED5BBF01AB25665F3A1297F48F849506</v>
      </c>
      <c r="I1040" t="str">
        <f>HYPERLINK("https://baanknet.com/view-property/248769/A26DD90B5E00332DDAE8A8E2F8DF8B14ED5BBF01AB25665F3A1297F48F849506", "Open")</f>
        <v>Open</v>
      </c>
      <c r="J1040" t="s">
        <v>20</v>
      </c>
      <c r="K1040" t="s">
        <v>21</v>
      </c>
      <c r="L1040">
        <v>5520000</v>
      </c>
      <c r="M1040">
        <v>552000</v>
      </c>
    </row>
    <row r="1041" spans="1:13" x14ac:dyDescent="0.25">
      <c r="A1041" t="s">
        <v>3664</v>
      </c>
      <c r="B1041" t="s">
        <v>3665</v>
      </c>
      <c r="C1041" t="s">
        <v>15</v>
      </c>
      <c r="D1041" t="s">
        <v>3666</v>
      </c>
      <c r="E1041" t="s">
        <v>3516</v>
      </c>
      <c r="F1041" t="s">
        <v>17</v>
      </c>
      <c r="G1041" t="s">
        <v>3667</v>
      </c>
      <c r="H1041" t="str">
        <f>HYPERLINK("https://baanknet.com/view-property/282858/6F303FB15BD61D8C9FEA53901DAA359E4F9A3551AC86FC2A25238B80D4B29348", "https://baanknet.com/view-property/282858/6F303FB15BD61D8C9FEA53901DAA359E4F9A3551AC86FC2A25238B80D4B29348")</f>
        <v>https://baanknet.com/view-property/282858/6F303FB15BD61D8C9FEA53901DAA359E4F9A3551AC86FC2A25238B80D4B29348</v>
      </c>
      <c r="I1041" t="str">
        <f>HYPERLINK("https://baanknet.com/view-property/282858/6F303FB15BD61D8C9FEA53901DAA359E4F9A3551AC86FC2A25238B80D4B29348", "Open")</f>
        <v>Open</v>
      </c>
      <c r="J1041" t="s">
        <v>20</v>
      </c>
      <c r="K1041" t="s">
        <v>21</v>
      </c>
      <c r="L1041">
        <v>3110000</v>
      </c>
      <c r="M1041">
        <v>311000</v>
      </c>
    </row>
    <row r="1042" spans="1:13" x14ac:dyDescent="0.25">
      <c r="A1042" t="s">
        <v>3668</v>
      </c>
      <c r="B1042" t="s">
        <v>3669</v>
      </c>
      <c r="C1042" t="s">
        <v>15</v>
      </c>
      <c r="D1042" t="s">
        <v>3670</v>
      </c>
      <c r="E1042" t="s">
        <v>3516</v>
      </c>
      <c r="F1042" t="s">
        <v>17</v>
      </c>
      <c r="G1042" t="s">
        <v>3671</v>
      </c>
      <c r="H1042" t="str">
        <f>HYPERLINK("https://baanknet.com/view-property/248772/755F7B727475390A97D12DDBA474046C61D8D5396BEB74CF5555D5E1F46B6D37", "https://baanknet.com/view-property/248772/755F7B727475390A97D12DDBA474046C61D8D5396BEB74CF5555D5E1F46B6D37")</f>
        <v>https://baanknet.com/view-property/248772/755F7B727475390A97D12DDBA474046C61D8D5396BEB74CF5555D5E1F46B6D37</v>
      </c>
      <c r="I1042" t="str">
        <f>HYPERLINK("https://baanknet.com/view-property/248772/755F7B727475390A97D12DDBA474046C61D8D5396BEB74CF5555D5E1F46B6D37", "Open")</f>
        <v>Open</v>
      </c>
      <c r="J1042" t="s">
        <v>20</v>
      </c>
      <c r="K1042" t="s">
        <v>21</v>
      </c>
      <c r="L1042">
        <v>2800000</v>
      </c>
      <c r="M1042">
        <v>280000</v>
      </c>
    </row>
    <row r="1043" spans="1:13" x14ac:dyDescent="0.25">
      <c r="A1043" t="s">
        <v>3672</v>
      </c>
      <c r="B1043" t="s">
        <v>3673</v>
      </c>
      <c r="C1043" t="s">
        <v>15</v>
      </c>
      <c r="D1043" t="s">
        <v>3674</v>
      </c>
      <c r="E1043" t="s">
        <v>3516</v>
      </c>
      <c r="F1043" t="s">
        <v>17</v>
      </c>
      <c r="G1043" t="s">
        <v>3675</v>
      </c>
      <c r="H1043" t="str">
        <f>HYPERLINK("https://baanknet.com/view-property/259522/3630C69D6BC235B8D3BB76A3A500001233AD802A6120315C9516F60CD9CFA2A4", "https://baanknet.com/view-property/259522/3630C69D6BC235B8D3BB76A3A500001233AD802A6120315C9516F60CD9CFA2A4")</f>
        <v>https://baanknet.com/view-property/259522/3630C69D6BC235B8D3BB76A3A500001233AD802A6120315C9516F60CD9CFA2A4</v>
      </c>
      <c r="I1043" t="str">
        <f>HYPERLINK("https://baanknet.com/view-property/259522/3630C69D6BC235B8D3BB76A3A500001233AD802A6120315C9516F60CD9CFA2A4", "Open")</f>
        <v>Open</v>
      </c>
      <c r="J1043" t="s">
        <v>20</v>
      </c>
      <c r="K1043" t="s">
        <v>21</v>
      </c>
      <c r="L1043">
        <v>1630000</v>
      </c>
      <c r="M1043">
        <v>163000</v>
      </c>
    </row>
    <row r="1044" spans="1:13" x14ac:dyDescent="0.25">
      <c r="A1044" t="s">
        <v>3676</v>
      </c>
      <c r="B1044" t="s">
        <v>3677</v>
      </c>
      <c r="C1044" t="s">
        <v>15</v>
      </c>
      <c r="D1044" t="s">
        <v>3674</v>
      </c>
      <c r="E1044" t="s">
        <v>3516</v>
      </c>
      <c r="F1044" t="s">
        <v>17</v>
      </c>
      <c r="G1044" t="s">
        <v>3678</v>
      </c>
      <c r="H1044" t="str">
        <f>HYPERLINK("https://baanknet.com/view-property/259528/D1090175D46365524A915D468967E47F372E0CC16E9A986B74C4873FAE36B619", "https://baanknet.com/view-property/259528/D1090175D46365524A915D468967E47F372E0CC16E9A986B74C4873FAE36B619")</f>
        <v>https://baanknet.com/view-property/259528/D1090175D46365524A915D468967E47F372E0CC16E9A986B74C4873FAE36B619</v>
      </c>
      <c r="I1044" t="str">
        <f>HYPERLINK("https://baanknet.com/view-property/259528/D1090175D46365524A915D468967E47F372E0CC16E9A986B74C4873FAE36B619", "Open")</f>
        <v>Open</v>
      </c>
      <c r="J1044" t="s">
        <v>20</v>
      </c>
      <c r="K1044" t="s">
        <v>21</v>
      </c>
      <c r="L1044">
        <v>1630000</v>
      </c>
      <c r="M1044">
        <v>163000</v>
      </c>
    </row>
    <row r="1045" spans="1:13" x14ac:dyDescent="0.25">
      <c r="A1045" t="s">
        <v>3679</v>
      </c>
      <c r="B1045" t="s">
        <v>3680</v>
      </c>
      <c r="C1045" t="s">
        <v>15</v>
      </c>
      <c r="D1045" t="s">
        <v>3681</v>
      </c>
      <c r="E1045" t="s">
        <v>3516</v>
      </c>
      <c r="F1045" t="s">
        <v>17</v>
      </c>
      <c r="G1045" t="s">
        <v>3682</v>
      </c>
      <c r="H1045" t="str">
        <f>HYPERLINK("https://baanknet.com/view-property/262138/0D2D0371B8ED43F270D2F6EB9FFDD800202EF85AF1C1DCC3AF20081FE5CE234C", "https://baanknet.com/view-property/262138/0D2D0371B8ED43F270D2F6EB9FFDD800202EF85AF1C1DCC3AF20081FE5CE234C")</f>
        <v>https://baanknet.com/view-property/262138/0D2D0371B8ED43F270D2F6EB9FFDD800202EF85AF1C1DCC3AF20081FE5CE234C</v>
      </c>
      <c r="I1045" t="str">
        <f>HYPERLINK("https://baanknet.com/view-property/262138/0D2D0371B8ED43F270D2F6EB9FFDD800202EF85AF1C1DCC3AF20081FE5CE234C", "Open")</f>
        <v>Open</v>
      </c>
      <c r="J1045" t="s">
        <v>20</v>
      </c>
      <c r="K1045" t="s">
        <v>21</v>
      </c>
      <c r="L1045">
        <v>2940000</v>
      </c>
      <c r="M1045">
        <v>294000</v>
      </c>
    </row>
    <row r="1046" spans="1:13" x14ac:dyDescent="0.25">
      <c r="A1046" t="s">
        <v>3683</v>
      </c>
      <c r="B1046" t="s">
        <v>3684</v>
      </c>
      <c r="C1046" t="s">
        <v>15</v>
      </c>
      <c r="D1046" t="s">
        <v>3588</v>
      </c>
      <c r="E1046" t="s">
        <v>3516</v>
      </c>
      <c r="F1046" t="s">
        <v>17</v>
      </c>
      <c r="G1046" t="s">
        <v>3685</v>
      </c>
      <c r="H1046" t="str">
        <f>HYPERLINK("https://baanknet.com/view-property/272196/44AD097DF0E689290C45944E3E6A68A7EC71A79204D95FE48C499AF03088B735", "https://baanknet.com/view-property/272196/44AD097DF0E689290C45944E3E6A68A7EC71A79204D95FE48C499AF03088B735")</f>
        <v>https://baanknet.com/view-property/272196/44AD097DF0E689290C45944E3E6A68A7EC71A79204D95FE48C499AF03088B735</v>
      </c>
      <c r="I1046" t="str">
        <f>HYPERLINK("https://baanknet.com/view-property/272196/44AD097DF0E689290C45944E3E6A68A7EC71A79204D95FE48C499AF03088B735", "Open")</f>
        <v>Open</v>
      </c>
      <c r="J1046" t="s">
        <v>20</v>
      </c>
      <c r="K1046" t="s">
        <v>21</v>
      </c>
      <c r="L1046">
        <v>1790000</v>
      </c>
      <c r="M1046">
        <v>179000</v>
      </c>
    </row>
    <row r="1047" spans="1:13" x14ac:dyDescent="0.25">
      <c r="A1047" t="s">
        <v>3686</v>
      </c>
      <c r="B1047" t="s">
        <v>3687</v>
      </c>
      <c r="C1047" t="s">
        <v>15</v>
      </c>
      <c r="D1047" t="s">
        <v>3688</v>
      </c>
      <c r="E1047" t="s">
        <v>3516</v>
      </c>
      <c r="F1047" t="s">
        <v>17</v>
      </c>
      <c r="G1047" t="s">
        <v>3689</v>
      </c>
      <c r="H1047" t="str">
        <f>HYPERLINK("https://baanknet.com/view-property/248541/BB9C5CB60925C351672BB26AAE7594C214970AC4148193C83D1840F9EC158046", "https://baanknet.com/view-property/248541/BB9C5CB60925C351672BB26AAE7594C214970AC4148193C83D1840F9EC158046")</f>
        <v>https://baanknet.com/view-property/248541/BB9C5CB60925C351672BB26AAE7594C214970AC4148193C83D1840F9EC158046</v>
      </c>
      <c r="I1047" t="str">
        <f>HYPERLINK("https://baanknet.com/view-property/248541/BB9C5CB60925C351672BB26AAE7594C214970AC4148193C83D1840F9EC158046", "Open")</f>
        <v>Open</v>
      </c>
      <c r="J1047" t="s">
        <v>20</v>
      </c>
      <c r="K1047" t="s">
        <v>21</v>
      </c>
      <c r="L1047">
        <v>2700000</v>
      </c>
      <c r="M1047">
        <v>270000</v>
      </c>
    </row>
    <row r="1048" spans="1:13" x14ac:dyDescent="0.25">
      <c r="A1048" t="s">
        <v>3690</v>
      </c>
      <c r="B1048" t="s">
        <v>3691</v>
      </c>
      <c r="C1048" t="s">
        <v>15</v>
      </c>
      <c r="D1048" t="s">
        <v>3692</v>
      </c>
      <c r="E1048" t="s">
        <v>3516</v>
      </c>
      <c r="F1048" t="s">
        <v>17</v>
      </c>
      <c r="G1048" t="s">
        <v>3693</v>
      </c>
      <c r="H1048" t="str">
        <f>HYPERLINK("https://baanknet.com/view-property/279233/B56AA32FEC4B1785F62664C0C04F72E175FFE3BBAEA66603B81C241A52DFC3C8", "https://baanknet.com/view-property/279233/B56AA32FEC4B1785F62664C0C04F72E175FFE3BBAEA66603B81C241A52DFC3C8")</f>
        <v>https://baanknet.com/view-property/279233/B56AA32FEC4B1785F62664C0C04F72E175FFE3BBAEA66603B81C241A52DFC3C8</v>
      </c>
      <c r="I1048" t="str">
        <f>HYPERLINK("https://baanknet.com/view-property/279233/B56AA32FEC4B1785F62664C0C04F72E175FFE3BBAEA66603B81C241A52DFC3C8", "Open")</f>
        <v>Open</v>
      </c>
      <c r="J1048" t="s">
        <v>20</v>
      </c>
      <c r="K1048" t="s">
        <v>21</v>
      </c>
      <c r="L1048">
        <v>2300000</v>
      </c>
      <c r="M1048">
        <v>230000</v>
      </c>
    </row>
    <row r="1049" spans="1:13" x14ac:dyDescent="0.25">
      <c r="A1049" t="s">
        <v>3694</v>
      </c>
      <c r="B1049" t="s">
        <v>3695</v>
      </c>
      <c r="C1049" t="s">
        <v>15</v>
      </c>
      <c r="D1049" t="s">
        <v>3652</v>
      </c>
      <c r="E1049" t="s">
        <v>3516</v>
      </c>
      <c r="F1049" t="s">
        <v>17</v>
      </c>
      <c r="G1049" t="s">
        <v>3696</v>
      </c>
      <c r="H1049" t="str">
        <f>HYPERLINK("https://baanknet.com/view-property/248770/AE96A9EDCCEC4745756E72E9C7D6C6B0A841DE8DB8ABBF18310F196E79DDD184", "https://baanknet.com/view-property/248770/AE96A9EDCCEC4745756E72E9C7D6C6B0A841DE8DB8ABBF18310F196E79DDD184")</f>
        <v>https://baanknet.com/view-property/248770/AE96A9EDCCEC4745756E72E9C7D6C6B0A841DE8DB8ABBF18310F196E79DDD184</v>
      </c>
      <c r="I1049" t="str">
        <f>HYPERLINK("https://baanknet.com/view-property/248770/AE96A9EDCCEC4745756E72E9C7D6C6B0A841DE8DB8ABBF18310F196E79DDD184", "Open")</f>
        <v>Open</v>
      </c>
      <c r="J1049" t="s">
        <v>20</v>
      </c>
      <c r="K1049" t="s">
        <v>21</v>
      </c>
      <c r="L1049">
        <v>1440000</v>
      </c>
      <c r="M1049">
        <v>144000</v>
      </c>
    </row>
    <row r="1050" spans="1:13" x14ac:dyDescent="0.25">
      <c r="A1050" t="s">
        <v>3697</v>
      </c>
      <c r="B1050" t="s">
        <v>3698</v>
      </c>
      <c r="C1050" t="s">
        <v>15</v>
      </c>
      <c r="D1050" t="s">
        <v>3236</v>
      </c>
      <c r="E1050" t="s">
        <v>3516</v>
      </c>
      <c r="F1050" t="s">
        <v>17</v>
      </c>
      <c r="G1050" t="s">
        <v>3699</v>
      </c>
      <c r="H1050" t="str">
        <f>HYPERLINK("https://baanknet.com/view-property/248768/B5D9A3D98835E7AF8A249DFF4FA54D055F39EBCDEE3C3D8F1E731886DCFFCE83", "https://baanknet.com/view-property/248768/B5D9A3D98835E7AF8A249DFF4FA54D055F39EBCDEE3C3D8F1E731886DCFFCE83")</f>
        <v>https://baanknet.com/view-property/248768/B5D9A3D98835E7AF8A249DFF4FA54D055F39EBCDEE3C3D8F1E731886DCFFCE83</v>
      </c>
      <c r="I1050" t="str">
        <f>HYPERLINK("https://baanknet.com/view-property/248768/B5D9A3D98835E7AF8A249DFF4FA54D055F39EBCDEE3C3D8F1E731886DCFFCE83", "Open")</f>
        <v>Open</v>
      </c>
      <c r="J1050" t="s">
        <v>20</v>
      </c>
      <c r="K1050" t="s">
        <v>21</v>
      </c>
      <c r="L1050">
        <v>3700000</v>
      </c>
      <c r="M1050">
        <v>370000</v>
      </c>
    </row>
    <row r="1051" spans="1:13" x14ac:dyDescent="0.25">
      <c r="A1051" t="s">
        <v>3700</v>
      </c>
      <c r="B1051" t="s">
        <v>3701</v>
      </c>
      <c r="C1051" t="s">
        <v>15</v>
      </c>
      <c r="D1051" t="s">
        <v>3702</v>
      </c>
      <c r="E1051" t="s">
        <v>3516</v>
      </c>
      <c r="F1051" t="s">
        <v>17</v>
      </c>
      <c r="G1051" t="s">
        <v>3703</v>
      </c>
      <c r="H1051" t="str">
        <f>HYPERLINK("https://baanknet.com/view-property/253564/AA03B179CE79FBF827AC4986B146778E983580F78F8CBC839F303230814C9414", "https://baanknet.com/view-property/253564/AA03B179CE79FBF827AC4986B146778E983580F78F8CBC839F303230814C9414")</f>
        <v>https://baanknet.com/view-property/253564/AA03B179CE79FBF827AC4986B146778E983580F78F8CBC839F303230814C9414</v>
      </c>
      <c r="I1051" t="str">
        <f>HYPERLINK("https://baanknet.com/view-property/253564/AA03B179CE79FBF827AC4986B146778E983580F78F8CBC839F303230814C9414", "Open")</f>
        <v>Open</v>
      </c>
      <c r="J1051" t="s">
        <v>20</v>
      </c>
      <c r="K1051" t="s">
        <v>21</v>
      </c>
      <c r="L1051">
        <v>2900000</v>
      </c>
      <c r="M1051">
        <v>290000</v>
      </c>
    </row>
    <row r="1052" spans="1:13" x14ac:dyDescent="0.25">
      <c r="A1052" t="s">
        <v>3704</v>
      </c>
      <c r="B1052" t="s">
        <v>3705</v>
      </c>
      <c r="C1052" t="s">
        <v>121</v>
      </c>
      <c r="D1052" t="s">
        <v>3285</v>
      </c>
      <c r="E1052" t="s">
        <v>654</v>
      </c>
      <c r="F1052" t="s">
        <v>538</v>
      </c>
      <c r="G1052" t="s">
        <v>3706</v>
      </c>
      <c r="H1052" t="str">
        <f>HYPERLINK("https://baanknet.com/view-property/170974/47CDC23C3174C9E3B430EC781DD72D89166C63BEAF20D9D19815C59C08969D6F", "https://baanknet.com/view-property/170974/47CDC23C3174C9E3B430EC781DD72D89166C63BEAF20D9D19815C59C08969D6F")</f>
        <v>https://baanknet.com/view-property/170974/47CDC23C3174C9E3B430EC781DD72D89166C63BEAF20D9D19815C59C08969D6F</v>
      </c>
      <c r="I1052" t="str">
        <f>HYPERLINK("https://baanknet.com/view-property/170974/47CDC23C3174C9E3B430EC781DD72D89166C63BEAF20D9D19815C59C08969D6F", "Open")</f>
        <v>Open</v>
      </c>
      <c r="J1052" t="s">
        <v>20</v>
      </c>
      <c r="K1052" t="s">
        <v>21</v>
      </c>
      <c r="L1052">
        <v>2200000</v>
      </c>
      <c r="M1052">
        <v>220000</v>
      </c>
    </row>
    <row r="1053" spans="1:13" x14ac:dyDescent="0.25">
      <c r="A1053" t="s">
        <v>3707</v>
      </c>
      <c r="B1053" t="s">
        <v>3708</v>
      </c>
      <c r="C1053" t="s">
        <v>15</v>
      </c>
      <c r="D1053" t="s">
        <v>3709</v>
      </c>
      <c r="E1053" t="s">
        <v>3516</v>
      </c>
      <c r="F1053" t="s">
        <v>17</v>
      </c>
      <c r="G1053" t="s">
        <v>3710</v>
      </c>
      <c r="H1053" t="str">
        <f>HYPERLINK("https://baanknet.com/view-property/191900/AC3BDEAA820EC587604B3F46420EE6A7A0D1D4191E87E1E39E21E4E1A0C4F6D7", "https://baanknet.com/view-property/191900/AC3BDEAA820EC587604B3F46420EE6A7A0D1D4191E87E1E39E21E4E1A0C4F6D7")</f>
        <v>https://baanknet.com/view-property/191900/AC3BDEAA820EC587604B3F46420EE6A7A0D1D4191E87E1E39E21E4E1A0C4F6D7</v>
      </c>
      <c r="I1053" t="str">
        <f>HYPERLINK("https://baanknet.com/view-property/191900/AC3BDEAA820EC587604B3F46420EE6A7A0D1D4191E87E1E39E21E4E1A0C4F6D7", "Open")</f>
        <v>Open</v>
      </c>
      <c r="J1053" t="s">
        <v>20</v>
      </c>
      <c r="K1053" t="s">
        <v>21</v>
      </c>
      <c r="L1053">
        <v>2250000</v>
      </c>
      <c r="M1053">
        <v>225000</v>
      </c>
    </row>
    <row r="1054" spans="1:13" x14ac:dyDescent="0.25">
      <c r="A1054" t="s">
        <v>3711</v>
      </c>
      <c r="B1054" t="s">
        <v>3712</v>
      </c>
      <c r="C1054" t="s">
        <v>15</v>
      </c>
      <c r="D1054" t="s">
        <v>3713</v>
      </c>
      <c r="E1054" t="s">
        <v>3516</v>
      </c>
      <c r="F1054" t="s">
        <v>17</v>
      </c>
      <c r="G1054" t="s">
        <v>3714</v>
      </c>
      <c r="H1054" t="str">
        <f>HYPERLINK("https://baanknet.com/view-property/258599/C31D1580F9609D91CAD4883A731F37ACF40D26B01830404F5BAC65432983CF97", "https://baanknet.com/view-property/258599/C31D1580F9609D91CAD4883A731F37ACF40D26B01830404F5BAC65432983CF97")</f>
        <v>https://baanknet.com/view-property/258599/C31D1580F9609D91CAD4883A731F37ACF40D26B01830404F5BAC65432983CF97</v>
      </c>
      <c r="I1054" t="str">
        <f>HYPERLINK("https://baanknet.com/view-property/258599/C31D1580F9609D91CAD4883A731F37ACF40D26B01830404F5BAC65432983CF97", "Open")</f>
        <v>Open</v>
      </c>
      <c r="J1054" t="s">
        <v>20</v>
      </c>
      <c r="K1054" t="s">
        <v>21</v>
      </c>
      <c r="L1054">
        <v>3800000</v>
      </c>
      <c r="M1054">
        <v>380000</v>
      </c>
    </row>
    <row r="1055" spans="1:13" x14ac:dyDescent="0.25">
      <c r="A1055" t="s">
        <v>3715</v>
      </c>
      <c r="B1055" t="s">
        <v>3716</v>
      </c>
      <c r="C1055" t="s">
        <v>15</v>
      </c>
      <c r="D1055" t="s">
        <v>3717</v>
      </c>
      <c r="E1055" t="s">
        <v>3516</v>
      </c>
      <c r="F1055" t="s">
        <v>17</v>
      </c>
      <c r="G1055" t="s">
        <v>3718</v>
      </c>
      <c r="H1055" t="str">
        <f>HYPERLINK("https://baanknet.com/view-property/244461/FC9FD24032A9B2AA8BA713025F1BE43EADBB8161CB67AE6F88A1AA35137BC34A", "https://baanknet.com/view-property/244461/FC9FD24032A9B2AA8BA713025F1BE43EADBB8161CB67AE6F88A1AA35137BC34A")</f>
        <v>https://baanknet.com/view-property/244461/FC9FD24032A9B2AA8BA713025F1BE43EADBB8161CB67AE6F88A1AA35137BC34A</v>
      </c>
      <c r="I1055" t="str">
        <f>HYPERLINK("https://baanknet.com/view-property/244461/FC9FD24032A9B2AA8BA713025F1BE43EADBB8161CB67AE6F88A1AA35137BC34A", "Open")</f>
        <v>Open</v>
      </c>
      <c r="J1055" t="s">
        <v>20</v>
      </c>
      <c r="K1055" t="s">
        <v>21</v>
      </c>
      <c r="L1055">
        <v>5200000</v>
      </c>
      <c r="M1055">
        <v>520000</v>
      </c>
    </row>
    <row r="1056" spans="1:13" x14ac:dyDescent="0.25">
      <c r="A1056" t="s">
        <v>3719</v>
      </c>
      <c r="B1056" t="s">
        <v>3720</v>
      </c>
      <c r="C1056" t="s">
        <v>15</v>
      </c>
      <c r="D1056" t="s">
        <v>1246</v>
      </c>
      <c r="E1056" t="s">
        <v>3516</v>
      </c>
      <c r="F1056" t="s">
        <v>17</v>
      </c>
      <c r="G1056" t="s">
        <v>3721</v>
      </c>
      <c r="H1056" t="str">
        <f>HYPERLINK("https://baanknet.com/view-property/249801/F05F9FA73C39F4B1C4A542B03DA7A2E6956634963BD9CBC500EE4F3905A5739B", "https://baanknet.com/view-property/249801/F05F9FA73C39F4B1C4A542B03DA7A2E6956634963BD9CBC500EE4F3905A5739B")</f>
        <v>https://baanknet.com/view-property/249801/F05F9FA73C39F4B1C4A542B03DA7A2E6956634963BD9CBC500EE4F3905A5739B</v>
      </c>
      <c r="I1056" t="str">
        <f>HYPERLINK("https://baanknet.com/view-property/249801/F05F9FA73C39F4B1C4A542B03DA7A2E6956634963BD9CBC500EE4F3905A5739B", "Open")</f>
        <v>Open</v>
      </c>
      <c r="J1056" t="s">
        <v>20</v>
      </c>
      <c r="K1056" t="s">
        <v>21</v>
      </c>
      <c r="L1056">
        <v>4300000</v>
      </c>
      <c r="M1056">
        <v>430000</v>
      </c>
    </row>
    <row r="1057" spans="1:13" x14ac:dyDescent="0.25">
      <c r="A1057" t="s">
        <v>3722</v>
      </c>
      <c r="B1057" t="s">
        <v>3723</v>
      </c>
      <c r="C1057" t="s">
        <v>15</v>
      </c>
      <c r="D1057" t="s">
        <v>1246</v>
      </c>
      <c r="E1057" t="s">
        <v>3516</v>
      </c>
      <c r="F1057" t="s">
        <v>17</v>
      </c>
      <c r="G1057" t="s">
        <v>3724</v>
      </c>
      <c r="H1057" t="str">
        <f>HYPERLINK("https://baanknet.com/view-property/244559/B8A2FCB5BD43E3AC7051BE272D06EF5EC7D14064D339E30B2E1F95CD1AACF38D", "https://baanknet.com/view-property/244559/B8A2FCB5BD43E3AC7051BE272D06EF5EC7D14064D339E30B2E1F95CD1AACF38D")</f>
        <v>https://baanknet.com/view-property/244559/B8A2FCB5BD43E3AC7051BE272D06EF5EC7D14064D339E30B2E1F95CD1AACF38D</v>
      </c>
      <c r="I1057" t="str">
        <f>HYPERLINK("https://baanknet.com/view-property/244559/B8A2FCB5BD43E3AC7051BE272D06EF5EC7D14064D339E30B2E1F95CD1AACF38D", "Open")</f>
        <v>Open</v>
      </c>
      <c r="J1057" t="s">
        <v>20</v>
      </c>
      <c r="K1057" t="s">
        <v>21</v>
      </c>
      <c r="L1057">
        <v>5300000</v>
      </c>
      <c r="M1057">
        <v>530000</v>
      </c>
    </row>
    <row r="1058" spans="1:13" x14ac:dyDescent="0.25">
      <c r="A1058" t="s">
        <v>3725</v>
      </c>
      <c r="B1058" t="s">
        <v>3726</v>
      </c>
      <c r="C1058" t="s">
        <v>15</v>
      </c>
      <c r="D1058" t="s">
        <v>1246</v>
      </c>
      <c r="E1058" t="s">
        <v>3516</v>
      </c>
      <c r="F1058" t="s">
        <v>17</v>
      </c>
      <c r="G1058" t="s">
        <v>3727</v>
      </c>
      <c r="H1058" t="str">
        <f>HYPERLINK("https://baanknet.com/view-property/253521/6889252E78FBA1BB2FBB7AA642105FF9AC6F80725867B733451405F0442F22DE", "https://baanknet.com/view-property/253521/6889252E78FBA1BB2FBB7AA642105FF9AC6F80725867B733451405F0442F22DE")</f>
        <v>https://baanknet.com/view-property/253521/6889252E78FBA1BB2FBB7AA642105FF9AC6F80725867B733451405F0442F22DE</v>
      </c>
      <c r="I1058" t="str">
        <f>HYPERLINK("https://baanknet.com/view-property/253521/6889252E78FBA1BB2FBB7AA642105FF9AC6F80725867B733451405F0442F22DE", "Open")</f>
        <v>Open</v>
      </c>
      <c r="J1058" t="s">
        <v>20</v>
      </c>
      <c r="K1058" t="s">
        <v>21</v>
      </c>
      <c r="L1058">
        <v>5200000</v>
      </c>
      <c r="M1058">
        <v>520000</v>
      </c>
    </row>
    <row r="1059" spans="1:13" x14ac:dyDescent="0.25">
      <c r="A1059" t="s">
        <v>3728</v>
      </c>
      <c r="B1059" t="s">
        <v>3729</v>
      </c>
      <c r="C1059" t="s">
        <v>15</v>
      </c>
      <c r="D1059" t="s">
        <v>1246</v>
      </c>
      <c r="E1059" t="s">
        <v>3516</v>
      </c>
      <c r="F1059" t="s">
        <v>17</v>
      </c>
      <c r="G1059" t="s">
        <v>3730</v>
      </c>
      <c r="H1059" t="str">
        <f>HYPERLINK("https://baanknet.com/view-property/244215/9E19A1E5C050B9FB49E0DE1E377C13BF6504E13409F8138AD446B7EE97EB6000", "https://baanknet.com/view-property/244215/9E19A1E5C050B9FB49E0DE1E377C13BF6504E13409F8138AD446B7EE97EB6000")</f>
        <v>https://baanknet.com/view-property/244215/9E19A1E5C050B9FB49E0DE1E377C13BF6504E13409F8138AD446B7EE97EB6000</v>
      </c>
      <c r="I1059" t="str">
        <f>HYPERLINK("https://baanknet.com/view-property/244215/9E19A1E5C050B9FB49E0DE1E377C13BF6504E13409F8138AD446B7EE97EB6000", "Open")</f>
        <v>Open</v>
      </c>
      <c r="J1059" t="s">
        <v>20</v>
      </c>
      <c r="K1059" t="s">
        <v>21</v>
      </c>
      <c r="L1059">
        <v>5200000</v>
      </c>
      <c r="M1059">
        <v>520000</v>
      </c>
    </row>
    <row r="1060" spans="1:13" x14ac:dyDescent="0.25">
      <c r="A1060" t="s">
        <v>3731</v>
      </c>
      <c r="B1060" t="s">
        <v>3732</v>
      </c>
      <c r="C1060" t="s">
        <v>15</v>
      </c>
      <c r="D1060" t="s">
        <v>1246</v>
      </c>
      <c r="E1060" t="s">
        <v>3516</v>
      </c>
      <c r="F1060" t="s">
        <v>17</v>
      </c>
      <c r="G1060" t="s">
        <v>3733</v>
      </c>
      <c r="H1060" t="str">
        <f>HYPERLINK("https://baanknet.com/view-property/255348/7AA2D502F433130E99F6F04044FA4E8B35E409C27CC2C2AC1615374204E23F44", "https://baanknet.com/view-property/255348/7AA2D502F433130E99F6F04044FA4E8B35E409C27CC2C2AC1615374204E23F44")</f>
        <v>https://baanknet.com/view-property/255348/7AA2D502F433130E99F6F04044FA4E8B35E409C27CC2C2AC1615374204E23F44</v>
      </c>
      <c r="I1060" t="str">
        <f>HYPERLINK("https://baanknet.com/view-property/255348/7AA2D502F433130E99F6F04044FA4E8B35E409C27CC2C2AC1615374204E23F44", "Open")</f>
        <v>Open</v>
      </c>
      <c r="J1060" t="s">
        <v>20</v>
      </c>
      <c r="K1060" t="s">
        <v>21</v>
      </c>
      <c r="L1060">
        <v>4900000</v>
      </c>
      <c r="M1060">
        <v>490000</v>
      </c>
    </row>
    <row r="1061" spans="1:13" x14ac:dyDescent="0.25">
      <c r="A1061" t="s">
        <v>3734</v>
      </c>
      <c r="B1061" t="s">
        <v>3735</v>
      </c>
      <c r="C1061" t="s">
        <v>15</v>
      </c>
      <c r="D1061" t="s">
        <v>3736</v>
      </c>
      <c r="E1061" t="s">
        <v>3516</v>
      </c>
      <c r="F1061" t="s">
        <v>17</v>
      </c>
      <c r="G1061" t="s">
        <v>3737</v>
      </c>
      <c r="H1061" t="str">
        <f>HYPERLINK("https://baanknet.com/view-property/279235/BD754A24BA6993C5084F0F78BB8F3ACFA31A7FE4B5D98524A6FF349FAD016380", "https://baanknet.com/view-property/279235/BD754A24BA6993C5084F0F78BB8F3ACFA31A7FE4B5D98524A6FF349FAD016380")</f>
        <v>https://baanknet.com/view-property/279235/BD754A24BA6993C5084F0F78BB8F3ACFA31A7FE4B5D98524A6FF349FAD016380</v>
      </c>
      <c r="I1061" t="str">
        <f>HYPERLINK("https://baanknet.com/view-property/279235/BD754A24BA6993C5084F0F78BB8F3ACFA31A7FE4B5D98524A6FF349FAD016380", "Open")</f>
        <v>Open</v>
      </c>
      <c r="J1061" t="s">
        <v>20</v>
      </c>
      <c r="K1061" t="s">
        <v>21</v>
      </c>
      <c r="L1061">
        <v>2860000</v>
      </c>
      <c r="M1061">
        <v>286000</v>
      </c>
    </row>
    <row r="1062" spans="1:13" x14ac:dyDescent="0.25">
      <c r="A1062" t="s">
        <v>3738</v>
      </c>
      <c r="B1062" t="s">
        <v>3739</v>
      </c>
      <c r="C1062" t="s">
        <v>15</v>
      </c>
      <c r="D1062" t="s">
        <v>3740</v>
      </c>
      <c r="E1062" t="s">
        <v>3516</v>
      </c>
      <c r="F1062" t="s">
        <v>17</v>
      </c>
      <c r="G1062" t="s">
        <v>3741</v>
      </c>
      <c r="H1062" t="str">
        <f>HYPERLINK("https://baanknet.com/view-property/265945/5FCA3A197DAACFDCD281F7713FF8A9D4A2077A8D556C96E59C3A35364B47D5C4", "https://baanknet.com/view-property/265945/5FCA3A197DAACFDCD281F7713FF8A9D4A2077A8D556C96E59C3A35364B47D5C4")</f>
        <v>https://baanknet.com/view-property/265945/5FCA3A197DAACFDCD281F7713FF8A9D4A2077A8D556C96E59C3A35364B47D5C4</v>
      </c>
      <c r="I1062" t="str">
        <f>HYPERLINK("https://baanknet.com/view-property/265945/5FCA3A197DAACFDCD281F7713FF8A9D4A2077A8D556C96E59C3A35364B47D5C4", "Open")</f>
        <v>Open</v>
      </c>
      <c r="J1062" t="s">
        <v>20</v>
      </c>
      <c r="K1062" t="s">
        <v>21</v>
      </c>
      <c r="L1062">
        <v>1200000</v>
      </c>
      <c r="M1062">
        <v>120000</v>
      </c>
    </row>
    <row r="1063" spans="1:13" x14ac:dyDescent="0.25">
      <c r="A1063" t="s">
        <v>3742</v>
      </c>
      <c r="B1063" t="s">
        <v>3743</v>
      </c>
      <c r="C1063" t="s">
        <v>15</v>
      </c>
      <c r="D1063" t="s">
        <v>1246</v>
      </c>
      <c r="E1063" t="s">
        <v>3516</v>
      </c>
      <c r="F1063" t="s">
        <v>17</v>
      </c>
      <c r="G1063" t="s">
        <v>3744</v>
      </c>
      <c r="H1063" t="str">
        <f>HYPERLINK("https://baanknet.com/view-property/252623/EAAC5ECA839C0D30B50DF526D73508EF3B30868B0CD98E5628E15764F1818D06", "https://baanknet.com/view-property/252623/EAAC5ECA839C0D30B50DF526D73508EF3B30868B0CD98E5628E15764F1818D06")</f>
        <v>https://baanknet.com/view-property/252623/EAAC5ECA839C0D30B50DF526D73508EF3B30868B0CD98E5628E15764F1818D06</v>
      </c>
      <c r="I1063" t="str">
        <f>HYPERLINK("https://baanknet.com/view-property/252623/EAAC5ECA839C0D30B50DF526D73508EF3B30868B0CD98E5628E15764F1818D06", "Open")</f>
        <v>Open</v>
      </c>
      <c r="J1063" t="s">
        <v>20</v>
      </c>
      <c r="K1063" t="s">
        <v>21</v>
      </c>
      <c r="L1063">
        <v>3600000</v>
      </c>
      <c r="M1063">
        <v>360000</v>
      </c>
    </row>
    <row r="1064" spans="1:13" x14ac:dyDescent="0.25">
      <c r="A1064" t="s">
        <v>3745</v>
      </c>
      <c r="B1064" t="s">
        <v>3746</v>
      </c>
      <c r="C1064" t="s">
        <v>15</v>
      </c>
      <c r="D1064" t="s">
        <v>3747</v>
      </c>
      <c r="E1064" t="s">
        <v>3516</v>
      </c>
      <c r="F1064" t="s">
        <v>17</v>
      </c>
      <c r="G1064" t="s">
        <v>3748</v>
      </c>
      <c r="H1064" t="str">
        <f>HYPERLINK("https://baanknet.com/view-property/255364/AC9D36406BB11CC8DCBF28D3766416990D041C3BFEBEEAFAA6073FE091BEDF11", "https://baanknet.com/view-property/255364/AC9D36406BB11CC8DCBF28D3766416990D041C3BFEBEEAFAA6073FE091BEDF11")</f>
        <v>https://baanknet.com/view-property/255364/AC9D36406BB11CC8DCBF28D3766416990D041C3BFEBEEAFAA6073FE091BEDF11</v>
      </c>
      <c r="I1064" t="str">
        <f>HYPERLINK("https://baanknet.com/view-property/255364/AC9D36406BB11CC8DCBF28D3766416990D041C3BFEBEEAFAA6073FE091BEDF11", "Open")</f>
        <v>Open</v>
      </c>
      <c r="J1064" t="s">
        <v>20</v>
      </c>
      <c r="K1064" t="s">
        <v>21</v>
      </c>
      <c r="L1064">
        <v>2900000</v>
      </c>
      <c r="M1064">
        <v>290000</v>
      </c>
    </row>
    <row r="1065" spans="1:13" x14ac:dyDescent="0.25">
      <c r="A1065" t="s">
        <v>3749</v>
      </c>
      <c r="B1065" t="s">
        <v>3750</v>
      </c>
      <c r="C1065" t="s">
        <v>15</v>
      </c>
      <c r="D1065" t="s">
        <v>1246</v>
      </c>
      <c r="E1065" t="s">
        <v>3516</v>
      </c>
      <c r="F1065" t="s">
        <v>17</v>
      </c>
      <c r="G1065" t="s">
        <v>3751</v>
      </c>
      <c r="H1065" t="str">
        <f>HYPERLINK("https://baanknet.com/view-property/258801/A8832A3F0DC9837E74E67EF627BB75D7761A9CCA8C60A0E0A918B192B8660CDF", "https://baanknet.com/view-property/258801/A8832A3F0DC9837E74E67EF627BB75D7761A9CCA8C60A0E0A918B192B8660CDF")</f>
        <v>https://baanknet.com/view-property/258801/A8832A3F0DC9837E74E67EF627BB75D7761A9CCA8C60A0E0A918B192B8660CDF</v>
      </c>
      <c r="I1065" t="str">
        <f>HYPERLINK("https://baanknet.com/view-property/258801/A8832A3F0DC9837E74E67EF627BB75D7761A9CCA8C60A0E0A918B192B8660CDF", "Open")</f>
        <v>Open</v>
      </c>
      <c r="J1065" t="s">
        <v>20</v>
      </c>
      <c r="K1065" t="s">
        <v>21</v>
      </c>
      <c r="L1065">
        <v>2200000</v>
      </c>
      <c r="M1065">
        <v>220000</v>
      </c>
    </row>
    <row r="1066" spans="1:13" x14ac:dyDescent="0.25">
      <c r="A1066" t="s">
        <v>3752</v>
      </c>
      <c r="B1066" t="s">
        <v>3753</v>
      </c>
      <c r="C1066" t="s">
        <v>121</v>
      </c>
      <c r="D1066" t="s">
        <v>3754</v>
      </c>
      <c r="E1066" t="s">
        <v>3755</v>
      </c>
      <c r="F1066" t="s">
        <v>3756</v>
      </c>
      <c r="G1066" t="s">
        <v>3757</v>
      </c>
      <c r="H1066" t="str">
        <f>HYPERLINK("https://baanknet.com/view-property/187038/0407841EC9643669B90C752EBA513B567FF9D6F4AD22A130BCEE1CACAE82356C", "https://baanknet.com/view-property/187038/0407841EC9643669B90C752EBA513B567FF9D6F4AD22A130BCEE1CACAE82356C")</f>
        <v>https://baanknet.com/view-property/187038/0407841EC9643669B90C752EBA513B567FF9D6F4AD22A130BCEE1CACAE82356C</v>
      </c>
      <c r="I1066" t="str">
        <f>HYPERLINK("https://baanknet.com/view-property/187038/0407841EC9643669B90C752EBA513B567FF9D6F4AD22A130BCEE1CACAE82356C", "Open")</f>
        <v>Open</v>
      </c>
      <c r="J1066" t="s">
        <v>20</v>
      </c>
      <c r="K1066" t="s">
        <v>21</v>
      </c>
      <c r="L1066">
        <v>3023000</v>
      </c>
      <c r="M1066">
        <v>302300</v>
      </c>
    </row>
    <row r="1067" spans="1:13" x14ac:dyDescent="0.25">
      <c r="A1067" t="s">
        <v>3758</v>
      </c>
      <c r="B1067" t="s">
        <v>3759</v>
      </c>
      <c r="C1067" t="s">
        <v>15</v>
      </c>
      <c r="D1067" t="s">
        <v>3760</v>
      </c>
      <c r="E1067" t="s">
        <v>17</v>
      </c>
      <c r="F1067" t="s">
        <v>18</v>
      </c>
      <c r="G1067" t="s">
        <v>3761</v>
      </c>
      <c r="H1067" t="str">
        <f>HYPERLINK("https://baanknet.com/view-property/284714/25D5CD3644054601F0E9A23163A59071640EA5D3EEE8403208BD244B5E8CE005", "https://baanknet.com/view-property/284714/25D5CD3644054601F0E9A23163A59071640EA5D3EEE8403208BD244B5E8CE005")</f>
        <v>https://baanknet.com/view-property/284714/25D5CD3644054601F0E9A23163A59071640EA5D3EEE8403208BD244B5E8CE005</v>
      </c>
      <c r="I1067" t="str">
        <f>HYPERLINK("https://baanknet.com/view-property/284714/25D5CD3644054601F0E9A23163A59071640EA5D3EEE8403208BD244B5E8CE005", "Open")</f>
        <v>Open</v>
      </c>
      <c r="J1067" t="s">
        <v>20</v>
      </c>
      <c r="K1067" t="s">
        <v>21</v>
      </c>
      <c r="L1067">
        <v>6550000</v>
      </c>
      <c r="M1067">
        <v>655000</v>
      </c>
    </row>
    <row r="1068" spans="1:13" x14ac:dyDescent="0.25">
      <c r="A1068" t="s">
        <v>3762</v>
      </c>
      <c r="B1068" t="s">
        <v>3763</v>
      </c>
      <c r="C1068" t="s">
        <v>15</v>
      </c>
      <c r="D1068" t="s">
        <v>2425</v>
      </c>
      <c r="E1068" t="s">
        <v>3516</v>
      </c>
      <c r="F1068" t="s">
        <v>17</v>
      </c>
      <c r="G1068" t="s">
        <v>3764</v>
      </c>
      <c r="H1068" t="str">
        <f>HYPERLINK("https://baanknet.com/view-property/275436/4DEF7CA08B0025684AAA24829E81080BA26626EBCBED31B9CBEF1AA4040A437C", "https://baanknet.com/view-property/275436/4DEF7CA08B0025684AAA24829E81080BA26626EBCBED31B9CBEF1AA4040A437C")</f>
        <v>https://baanknet.com/view-property/275436/4DEF7CA08B0025684AAA24829E81080BA26626EBCBED31B9CBEF1AA4040A437C</v>
      </c>
      <c r="I1068" t="str">
        <f>HYPERLINK("https://baanknet.com/view-property/275436/4DEF7CA08B0025684AAA24829E81080BA26626EBCBED31B9CBEF1AA4040A437C", "Open")</f>
        <v>Open</v>
      </c>
      <c r="J1068" t="s">
        <v>20</v>
      </c>
      <c r="K1068" t="s">
        <v>21</v>
      </c>
      <c r="L1068">
        <v>3900000</v>
      </c>
      <c r="M1068">
        <v>390000</v>
      </c>
    </row>
    <row r="1069" spans="1:13" x14ac:dyDescent="0.25">
      <c r="A1069" t="s">
        <v>3765</v>
      </c>
      <c r="B1069" t="s">
        <v>3766</v>
      </c>
      <c r="C1069" t="s">
        <v>15</v>
      </c>
      <c r="D1069" t="s">
        <v>3767</v>
      </c>
      <c r="E1069" t="s">
        <v>3516</v>
      </c>
      <c r="F1069" t="s">
        <v>17</v>
      </c>
      <c r="G1069" t="s">
        <v>3768</v>
      </c>
      <c r="H1069" t="str">
        <f>HYPERLINK("https://baanknet.com/view-property/253039/E9B434B73045847A83CC53A2D3D12A7768D028865C233660D9FFA2DFBEB400D3", "https://baanknet.com/view-property/253039/E9B434B73045847A83CC53A2D3D12A7768D028865C233660D9FFA2DFBEB400D3")</f>
        <v>https://baanknet.com/view-property/253039/E9B434B73045847A83CC53A2D3D12A7768D028865C233660D9FFA2DFBEB400D3</v>
      </c>
      <c r="I1069" t="str">
        <f>HYPERLINK("https://baanknet.com/view-property/253039/E9B434B73045847A83CC53A2D3D12A7768D028865C233660D9FFA2DFBEB400D3", "Open")</f>
        <v>Open</v>
      </c>
      <c r="J1069" t="s">
        <v>20</v>
      </c>
      <c r="K1069" t="s">
        <v>21</v>
      </c>
      <c r="L1069">
        <v>1700000</v>
      </c>
      <c r="M1069">
        <v>170000</v>
      </c>
    </row>
    <row r="1070" spans="1:13" x14ac:dyDescent="0.25">
      <c r="A1070" t="s">
        <v>3769</v>
      </c>
      <c r="B1070" t="s">
        <v>3770</v>
      </c>
      <c r="C1070" t="s">
        <v>15</v>
      </c>
      <c r="D1070" t="s">
        <v>1246</v>
      </c>
      <c r="E1070" t="s">
        <v>3516</v>
      </c>
      <c r="F1070" t="s">
        <v>17</v>
      </c>
      <c r="G1070" t="s">
        <v>3771</v>
      </c>
      <c r="H1070" t="str">
        <f>HYPERLINK("https://baanknet.com/view-property/253551/9E8056C2AFA2FFF3C2F8EB900EFEBE775E8F7F2599E20970E1D658ECC4ACA77A", "https://baanknet.com/view-property/253551/9E8056C2AFA2FFF3C2F8EB900EFEBE775E8F7F2599E20970E1D658ECC4ACA77A")</f>
        <v>https://baanknet.com/view-property/253551/9E8056C2AFA2FFF3C2F8EB900EFEBE775E8F7F2599E20970E1D658ECC4ACA77A</v>
      </c>
      <c r="I1070" t="str">
        <f>HYPERLINK("https://baanknet.com/view-property/253551/9E8056C2AFA2FFF3C2F8EB900EFEBE775E8F7F2599E20970E1D658ECC4ACA77A", "Open")</f>
        <v>Open</v>
      </c>
      <c r="J1070" t="s">
        <v>20</v>
      </c>
      <c r="K1070" t="s">
        <v>21</v>
      </c>
      <c r="L1070">
        <v>4200000</v>
      </c>
      <c r="M1070">
        <v>420000</v>
      </c>
    </row>
    <row r="1071" spans="1:13" x14ac:dyDescent="0.25">
      <c r="A1071" t="s">
        <v>3772</v>
      </c>
      <c r="B1071" t="s">
        <v>3773</v>
      </c>
      <c r="C1071" t="s">
        <v>15</v>
      </c>
      <c r="D1071" t="s">
        <v>3774</v>
      </c>
      <c r="E1071" t="s">
        <v>3516</v>
      </c>
      <c r="F1071" t="s">
        <v>17</v>
      </c>
      <c r="G1071" t="s">
        <v>3775</v>
      </c>
      <c r="H1071" t="str">
        <f>HYPERLINK("https://baanknet.com/view-property/279294/5446A4200C216908F8C6624AB943C17FCA341E308EFB46122C19E03C5F39A857", "https://baanknet.com/view-property/279294/5446A4200C216908F8C6624AB943C17FCA341E308EFB46122C19E03C5F39A857")</f>
        <v>https://baanknet.com/view-property/279294/5446A4200C216908F8C6624AB943C17FCA341E308EFB46122C19E03C5F39A857</v>
      </c>
      <c r="I1071" t="str">
        <f>HYPERLINK("https://baanknet.com/view-property/279294/5446A4200C216908F8C6624AB943C17FCA341E308EFB46122C19E03C5F39A857", "Open")</f>
        <v>Open</v>
      </c>
      <c r="J1071" t="s">
        <v>20</v>
      </c>
      <c r="K1071" t="s">
        <v>21</v>
      </c>
      <c r="L1071">
        <v>2766000</v>
      </c>
      <c r="M1071">
        <v>276600</v>
      </c>
    </row>
    <row r="1072" spans="1:13" x14ac:dyDescent="0.25">
      <c r="A1072" t="s">
        <v>3776</v>
      </c>
      <c r="B1072" t="s">
        <v>3777</v>
      </c>
      <c r="C1072" t="s">
        <v>15</v>
      </c>
      <c r="D1072" t="s">
        <v>3344</v>
      </c>
      <c r="E1072" t="s">
        <v>3516</v>
      </c>
      <c r="F1072" t="s">
        <v>17</v>
      </c>
      <c r="G1072" t="s">
        <v>3778</v>
      </c>
      <c r="H1072" t="str">
        <f>HYPERLINK("https://baanknet.com/view-property/244690/B1ABF903B56497495FB82466D8892802D051040EC4E462BC21662D957B1855BB", "https://baanknet.com/view-property/244690/B1ABF903B56497495FB82466D8892802D051040EC4E462BC21662D957B1855BB")</f>
        <v>https://baanknet.com/view-property/244690/B1ABF903B56497495FB82466D8892802D051040EC4E462BC21662D957B1855BB</v>
      </c>
      <c r="I1072" t="str">
        <f>HYPERLINK("https://baanknet.com/view-property/244690/B1ABF903B56497495FB82466D8892802D051040EC4E462BC21662D957B1855BB", "Open")</f>
        <v>Open</v>
      </c>
      <c r="J1072" t="s">
        <v>20</v>
      </c>
      <c r="K1072" t="s">
        <v>21</v>
      </c>
      <c r="L1072">
        <v>5800000</v>
      </c>
      <c r="M1072">
        <v>580000</v>
      </c>
    </row>
    <row r="1073" spans="1:13" x14ac:dyDescent="0.25">
      <c r="A1073" t="s">
        <v>3779</v>
      </c>
      <c r="B1073" t="s">
        <v>3780</v>
      </c>
      <c r="C1073" t="s">
        <v>15</v>
      </c>
      <c r="D1073" t="s">
        <v>3344</v>
      </c>
      <c r="E1073" t="s">
        <v>3516</v>
      </c>
      <c r="F1073" t="s">
        <v>17</v>
      </c>
      <c r="G1073" t="s">
        <v>3781</v>
      </c>
      <c r="H1073" t="str">
        <f>HYPERLINK("https://baanknet.com/view-property/275222/7D2211D6E54FD23867AC775C4230E8744A6557F5F53B10F8EEE77E14C77A22D9", "https://baanknet.com/view-property/275222/7D2211D6E54FD23867AC775C4230E8744A6557F5F53B10F8EEE77E14C77A22D9")</f>
        <v>https://baanknet.com/view-property/275222/7D2211D6E54FD23867AC775C4230E8744A6557F5F53B10F8EEE77E14C77A22D9</v>
      </c>
      <c r="I1073" t="str">
        <f>HYPERLINK("https://baanknet.com/view-property/275222/7D2211D6E54FD23867AC775C4230E8744A6557F5F53B10F8EEE77E14C77A22D9", "Open")</f>
        <v>Open</v>
      </c>
      <c r="J1073" t="s">
        <v>20</v>
      </c>
      <c r="K1073" t="s">
        <v>21</v>
      </c>
      <c r="L1073">
        <v>3300000</v>
      </c>
      <c r="M1073">
        <v>330000</v>
      </c>
    </row>
    <row r="1074" spans="1:13" x14ac:dyDescent="0.25">
      <c r="A1074" t="s">
        <v>3782</v>
      </c>
      <c r="B1074" t="s">
        <v>3783</v>
      </c>
      <c r="C1074" t="s">
        <v>15</v>
      </c>
      <c r="D1074" t="s">
        <v>3344</v>
      </c>
      <c r="E1074" t="s">
        <v>3516</v>
      </c>
      <c r="F1074" t="s">
        <v>17</v>
      </c>
      <c r="G1074" t="s">
        <v>3784</v>
      </c>
      <c r="H1074" t="str">
        <f>HYPERLINK("https://baanknet.com/view-property/272527/B7F21792271949508602F58BB45E9734E8C015373815BD5E99FB1D12D28C46AC", "https://baanknet.com/view-property/272527/B7F21792271949508602F58BB45E9734E8C015373815BD5E99FB1D12D28C46AC")</f>
        <v>https://baanknet.com/view-property/272527/B7F21792271949508602F58BB45E9734E8C015373815BD5E99FB1D12D28C46AC</v>
      </c>
      <c r="I1074" t="str">
        <f>HYPERLINK("https://baanknet.com/view-property/272527/B7F21792271949508602F58BB45E9734E8C015373815BD5E99FB1D12D28C46AC", "Open")</f>
        <v>Open</v>
      </c>
      <c r="J1074" t="s">
        <v>20</v>
      </c>
      <c r="K1074" t="s">
        <v>21</v>
      </c>
      <c r="L1074">
        <v>2850000</v>
      </c>
      <c r="M1074">
        <v>285000</v>
      </c>
    </row>
    <row r="1075" spans="1:13" x14ac:dyDescent="0.25">
      <c r="A1075" t="s">
        <v>3785</v>
      </c>
      <c r="B1075" t="s">
        <v>3786</v>
      </c>
      <c r="C1075" t="s">
        <v>15</v>
      </c>
      <c r="D1075" t="s">
        <v>3217</v>
      </c>
      <c r="E1075" t="s">
        <v>3516</v>
      </c>
      <c r="F1075" t="s">
        <v>17</v>
      </c>
      <c r="G1075" t="s">
        <v>3787</v>
      </c>
      <c r="H1075" t="str">
        <f>HYPERLINK("https://baanknet.com/view-property/279194/E7C426AAD04830E63055FBF66B261F2B4C1F5026BCE00469FCBCC85BF368812E", "https://baanknet.com/view-property/279194/E7C426AAD04830E63055FBF66B261F2B4C1F5026BCE00469FCBCC85BF368812E")</f>
        <v>https://baanknet.com/view-property/279194/E7C426AAD04830E63055FBF66B261F2B4C1F5026BCE00469FCBCC85BF368812E</v>
      </c>
      <c r="I1075" t="str">
        <f>HYPERLINK("https://baanknet.com/view-property/279194/E7C426AAD04830E63055FBF66B261F2B4C1F5026BCE00469FCBCC85BF368812E", "Open")</f>
        <v>Open</v>
      </c>
      <c r="J1075" t="s">
        <v>20</v>
      </c>
      <c r="K1075" t="s">
        <v>21</v>
      </c>
      <c r="L1075">
        <v>5900000</v>
      </c>
      <c r="M1075">
        <v>590000</v>
      </c>
    </row>
    <row r="1076" spans="1:13" x14ac:dyDescent="0.25">
      <c r="A1076" t="s">
        <v>3788</v>
      </c>
      <c r="B1076" t="s">
        <v>3789</v>
      </c>
      <c r="C1076" t="s">
        <v>15</v>
      </c>
      <c r="D1076" t="s">
        <v>3790</v>
      </c>
      <c r="E1076" t="s">
        <v>3516</v>
      </c>
      <c r="F1076" t="s">
        <v>17</v>
      </c>
      <c r="G1076" t="s">
        <v>3791</v>
      </c>
      <c r="H1076" t="str">
        <f>HYPERLINK("https://baanknet.com/view-property/279275/69920E372F432D244BAD36D9D3FAA0B435A958B6ECBD930D1A2BAB9D544C3418", "https://baanknet.com/view-property/279275/69920E372F432D244BAD36D9D3FAA0B435A958B6ECBD930D1A2BAB9D544C3418")</f>
        <v>https://baanknet.com/view-property/279275/69920E372F432D244BAD36D9D3FAA0B435A958B6ECBD930D1A2BAB9D544C3418</v>
      </c>
      <c r="I1076" t="str">
        <f>HYPERLINK("https://baanknet.com/view-property/279275/69920E372F432D244BAD36D9D3FAA0B435A958B6ECBD930D1A2BAB9D544C3418", "Open")</f>
        <v>Open</v>
      </c>
      <c r="J1076" t="s">
        <v>20</v>
      </c>
      <c r="K1076" t="s">
        <v>21</v>
      </c>
      <c r="L1076">
        <v>5830000</v>
      </c>
      <c r="M1076">
        <v>583000</v>
      </c>
    </row>
    <row r="1077" spans="1:13" x14ac:dyDescent="0.25">
      <c r="A1077" t="s">
        <v>3792</v>
      </c>
      <c r="B1077" t="s">
        <v>3793</v>
      </c>
      <c r="C1077" t="s">
        <v>15</v>
      </c>
      <c r="D1077" t="s">
        <v>3645</v>
      </c>
      <c r="E1077" t="s">
        <v>3516</v>
      </c>
      <c r="F1077" t="s">
        <v>17</v>
      </c>
      <c r="G1077" t="s">
        <v>3794</v>
      </c>
      <c r="H1077" t="str">
        <f>HYPERLINK("https://baanknet.com/view-property/272494/84D07EBB506DACB3EDB20868E0B68A2B74481C809A94A5DF2BEF4D7433F4DE08", "https://baanknet.com/view-property/272494/84D07EBB506DACB3EDB20868E0B68A2B74481C809A94A5DF2BEF4D7433F4DE08")</f>
        <v>https://baanknet.com/view-property/272494/84D07EBB506DACB3EDB20868E0B68A2B74481C809A94A5DF2BEF4D7433F4DE08</v>
      </c>
      <c r="I1077" t="str">
        <f>HYPERLINK("https://baanknet.com/view-property/272494/84D07EBB506DACB3EDB20868E0B68A2B74481C809A94A5DF2BEF4D7433F4DE08", "Open")</f>
        <v>Open</v>
      </c>
      <c r="J1077" t="s">
        <v>20</v>
      </c>
      <c r="K1077" t="s">
        <v>21</v>
      </c>
      <c r="L1077">
        <v>2750000</v>
      </c>
      <c r="M1077">
        <v>275000</v>
      </c>
    </row>
    <row r="1078" spans="1:13" x14ac:dyDescent="0.25">
      <c r="A1078" t="s">
        <v>3795</v>
      </c>
      <c r="B1078" t="s">
        <v>3796</v>
      </c>
      <c r="C1078" t="s">
        <v>15</v>
      </c>
      <c r="D1078" t="s">
        <v>3797</v>
      </c>
      <c r="E1078" t="s">
        <v>3516</v>
      </c>
      <c r="F1078" t="s">
        <v>17</v>
      </c>
      <c r="G1078" t="s">
        <v>3798</v>
      </c>
      <c r="H1078" t="str">
        <f>HYPERLINK("https://baanknet.com/view-property/244689/BFBDC3E45953A28EDEFAB7F9CE584645414BD73DA98A14888DAABE7F34BDF9B4", "https://baanknet.com/view-property/244689/BFBDC3E45953A28EDEFAB7F9CE584645414BD73DA98A14888DAABE7F34BDF9B4")</f>
        <v>https://baanknet.com/view-property/244689/BFBDC3E45953A28EDEFAB7F9CE584645414BD73DA98A14888DAABE7F34BDF9B4</v>
      </c>
      <c r="I1078" t="str">
        <f>HYPERLINK("https://baanknet.com/view-property/244689/BFBDC3E45953A28EDEFAB7F9CE584645414BD73DA98A14888DAABE7F34BDF9B4", "Open")</f>
        <v>Open</v>
      </c>
      <c r="J1078" t="s">
        <v>20</v>
      </c>
      <c r="K1078" t="s">
        <v>21</v>
      </c>
      <c r="L1078">
        <v>2400000</v>
      </c>
      <c r="M1078">
        <v>240000</v>
      </c>
    </row>
    <row r="1079" spans="1:13" x14ac:dyDescent="0.25">
      <c r="A1079" t="s">
        <v>3799</v>
      </c>
      <c r="B1079" t="s">
        <v>3800</v>
      </c>
      <c r="C1079" t="s">
        <v>594</v>
      </c>
      <c r="D1079" t="s">
        <v>595</v>
      </c>
      <c r="E1079" t="s">
        <v>3801</v>
      </c>
      <c r="F1079" t="s">
        <v>574</v>
      </c>
      <c r="G1079" t="s">
        <v>3802</v>
      </c>
      <c r="H1079" t="str">
        <f>HYPERLINK("https://baanknet.com/view-property/190970/7659EEBA9754111D2A6D84A767821509E74F3FABF2FD8E283CC6426B43C47190", "https://baanknet.com/view-property/190970/7659EEBA9754111D2A6D84A767821509E74F3FABF2FD8E283CC6426B43C47190")</f>
        <v>https://baanknet.com/view-property/190970/7659EEBA9754111D2A6D84A767821509E74F3FABF2FD8E283CC6426B43C47190</v>
      </c>
      <c r="I1079" t="str">
        <f>HYPERLINK("https://baanknet.com/view-property/190970/7659EEBA9754111D2A6D84A767821509E74F3FABF2FD8E283CC6426B43C47190", "Open")</f>
        <v>Open</v>
      </c>
      <c r="J1079" t="s">
        <v>3803</v>
      </c>
      <c r="L1079">
        <v>905000</v>
      </c>
      <c r="M1079">
        <v>90500</v>
      </c>
    </row>
    <row r="1080" spans="1:13" x14ac:dyDescent="0.25">
      <c r="A1080" t="s">
        <v>3804</v>
      </c>
      <c r="B1080" t="s">
        <v>3805</v>
      </c>
      <c r="C1080" t="s">
        <v>15</v>
      </c>
      <c r="D1080" t="s">
        <v>3806</v>
      </c>
      <c r="E1080" t="s">
        <v>573</v>
      </c>
      <c r="F1080" t="s">
        <v>579</v>
      </c>
      <c r="G1080" t="s">
        <v>3807</v>
      </c>
      <c r="H1080" t="str">
        <f>HYPERLINK("https://baanknet.com/view-property/243193/C835EC1344047D84DB479AD46D7849DA7E947C03619B85BF63CD97473C175444", "https://baanknet.com/view-property/243193/C835EC1344047D84DB479AD46D7849DA7E947C03619B85BF63CD97473C175444")</f>
        <v>https://baanknet.com/view-property/243193/C835EC1344047D84DB479AD46D7849DA7E947C03619B85BF63CD97473C175444</v>
      </c>
      <c r="I1080" t="str">
        <f>HYPERLINK("https://baanknet.com/view-property/243193/C835EC1344047D84DB479AD46D7849DA7E947C03619B85BF63CD97473C175444", "Open")</f>
        <v>Open</v>
      </c>
      <c r="J1080" t="s">
        <v>3803</v>
      </c>
      <c r="L1080">
        <v>4236000</v>
      </c>
      <c r="M1080">
        <v>423600</v>
      </c>
    </row>
    <row r="1081" spans="1:13" x14ac:dyDescent="0.25">
      <c r="A1081" t="s">
        <v>3808</v>
      </c>
      <c r="B1081" t="s">
        <v>3809</v>
      </c>
      <c r="C1081" t="s">
        <v>15</v>
      </c>
      <c r="D1081" t="s">
        <v>3810</v>
      </c>
      <c r="E1081" t="s">
        <v>573</v>
      </c>
      <c r="F1081" t="s">
        <v>579</v>
      </c>
      <c r="G1081" t="s">
        <v>3811</v>
      </c>
      <c r="H1081" t="str">
        <f>HYPERLINK("https://baanknet.com/view-property/243883/798DE0875CBFCEE40DFDFDB4158958FECC29F29889ECA6C06D0CB578AF92F6A4", "https://baanknet.com/view-property/243883/798DE0875CBFCEE40DFDFDB4158958FECC29F29889ECA6C06D0CB578AF92F6A4")</f>
        <v>https://baanknet.com/view-property/243883/798DE0875CBFCEE40DFDFDB4158958FECC29F29889ECA6C06D0CB578AF92F6A4</v>
      </c>
      <c r="I1081" t="str">
        <f>HYPERLINK("https://baanknet.com/view-property/243883/798DE0875CBFCEE40DFDFDB4158958FECC29F29889ECA6C06D0CB578AF92F6A4", "Open")</f>
        <v>Open</v>
      </c>
      <c r="J1081" t="s">
        <v>3803</v>
      </c>
      <c r="L1081">
        <v>3440000</v>
      </c>
      <c r="M1081">
        <v>344000</v>
      </c>
    </row>
    <row r="1082" spans="1:13" x14ac:dyDescent="0.25">
      <c r="A1082" t="s">
        <v>3812</v>
      </c>
      <c r="B1082" t="s">
        <v>3813</v>
      </c>
      <c r="C1082" t="s">
        <v>15</v>
      </c>
      <c r="D1082" t="s">
        <v>3814</v>
      </c>
      <c r="E1082" t="s">
        <v>573</v>
      </c>
      <c r="F1082" t="s">
        <v>579</v>
      </c>
      <c r="G1082" t="s">
        <v>3815</v>
      </c>
      <c r="H1082" t="str">
        <f>HYPERLINK("https://baanknet.com/view-property/240301/C745A4B5FE4554369ACD524A4F633F9A872447E83902F9EBF29A7152252C68F3", "https://baanknet.com/view-property/240301/C745A4B5FE4554369ACD524A4F633F9A872447E83902F9EBF29A7152252C68F3")</f>
        <v>https://baanknet.com/view-property/240301/C745A4B5FE4554369ACD524A4F633F9A872447E83902F9EBF29A7152252C68F3</v>
      </c>
      <c r="I1082" t="str">
        <f>HYPERLINK("https://baanknet.com/view-property/240301/C745A4B5FE4554369ACD524A4F633F9A872447E83902F9EBF29A7152252C68F3", "Open")</f>
        <v>Open</v>
      </c>
      <c r="J1082" t="s">
        <v>3803</v>
      </c>
      <c r="L1082">
        <v>4030000</v>
      </c>
      <c r="M1082">
        <v>403000</v>
      </c>
    </row>
    <row r="1083" spans="1:13" x14ac:dyDescent="0.25">
      <c r="A1083" t="s">
        <v>3816</v>
      </c>
      <c r="B1083" t="s">
        <v>3817</v>
      </c>
      <c r="C1083" t="s">
        <v>15</v>
      </c>
      <c r="D1083" t="s">
        <v>3818</v>
      </c>
      <c r="E1083" t="s">
        <v>573</v>
      </c>
      <c r="F1083" t="s">
        <v>579</v>
      </c>
      <c r="G1083" t="s">
        <v>3819</v>
      </c>
      <c r="H1083" t="str">
        <f>HYPERLINK("https://baanknet.com/view-property/253380/0AFEB6DA8AB05A12EC722ED6ACEE9385E1D95B520C0DE0C0746C10B9EFDF504F", "https://baanknet.com/view-property/253380/0AFEB6DA8AB05A12EC722ED6ACEE9385E1D95B520C0DE0C0746C10B9EFDF504F")</f>
        <v>https://baanknet.com/view-property/253380/0AFEB6DA8AB05A12EC722ED6ACEE9385E1D95B520C0DE0C0746C10B9EFDF504F</v>
      </c>
      <c r="I1083" t="str">
        <f>HYPERLINK("https://baanknet.com/view-property/253380/0AFEB6DA8AB05A12EC722ED6ACEE9385E1D95B520C0DE0C0746C10B9EFDF504F", "Open")</f>
        <v>Open</v>
      </c>
      <c r="J1083" t="s">
        <v>3803</v>
      </c>
      <c r="L1083">
        <v>6800000</v>
      </c>
      <c r="M1083">
        <v>680000</v>
      </c>
    </row>
    <row r="1084" spans="1:13" x14ac:dyDescent="0.25">
      <c r="A1084" t="s">
        <v>3820</v>
      </c>
      <c r="B1084" t="s">
        <v>3821</v>
      </c>
      <c r="C1084" t="s">
        <v>15</v>
      </c>
      <c r="D1084" t="s">
        <v>3822</v>
      </c>
      <c r="E1084" t="s">
        <v>573</v>
      </c>
      <c r="F1084" t="s">
        <v>579</v>
      </c>
      <c r="G1084" t="s">
        <v>3823</v>
      </c>
      <c r="H1084" t="str">
        <f>HYPERLINK("https://baanknet.com/view-property/244753/887B8C78DEB454B1B1A381CAA8673133EB18F1BD8B1E861E1767C056DFB805AA", "https://baanknet.com/view-property/244753/887B8C78DEB454B1B1A381CAA8673133EB18F1BD8B1E861E1767C056DFB805AA")</f>
        <v>https://baanknet.com/view-property/244753/887B8C78DEB454B1B1A381CAA8673133EB18F1BD8B1E861E1767C056DFB805AA</v>
      </c>
      <c r="I1084" t="str">
        <f>HYPERLINK("https://baanknet.com/view-property/244753/887B8C78DEB454B1B1A381CAA8673133EB18F1BD8B1E861E1767C056DFB805AA", "Open")</f>
        <v>Open</v>
      </c>
      <c r="J1084" t="s">
        <v>3803</v>
      </c>
      <c r="L1084">
        <v>3300000</v>
      </c>
      <c r="M1084">
        <v>330000</v>
      </c>
    </row>
    <row r="1085" spans="1:13" x14ac:dyDescent="0.25">
      <c r="A1085" t="s">
        <v>3824</v>
      </c>
      <c r="B1085" t="s">
        <v>3825</v>
      </c>
      <c r="C1085" t="s">
        <v>15</v>
      </c>
      <c r="D1085" t="s">
        <v>3826</v>
      </c>
      <c r="E1085" t="s">
        <v>573</v>
      </c>
      <c r="F1085" t="s">
        <v>579</v>
      </c>
      <c r="G1085" t="s">
        <v>3827</v>
      </c>
      <c r="H1085" t="str">
        <f>HYPERLINK("https://baanknet.com/view-property/261359/DCDB0CCFA1558EFBFA6DA9537D8D97A880ED9C0EC61D050BE5747161FEB9AE17", "https://baanknet.com/view-property/261359/DCDB0CCFA1558EFBFA6DA9537D8D97A880ED9C0EC61D050BE5747161FEB9AE17")</f>
        <v>https://baanknet.com/view-property/261359/DCDB0CCFA1558EFBFA6DA9537D8D97A880ED9C0EC61D050BE5747161FEB9AE17</v>
      </c>
      <c r="I1085" t="str">
        <f>HYPERLINK("https://baanknet.com/view-property/261359/DCDB0CCFA1558EFBFA6DA9537D8D97A880ED9C0EC61D050BE5747161FEB9AE17", "Open")</f>
        <v>Open</v>
      </c>
      <c r="J1085" t="s">
        <v>3803</v>
      </c>
      <c r="L1085">
        <v>4960000</v>
      </c>
      <c r="M1085">
        <v>496000</v>
      </c>
    </row>
    <row r="1086" spans="1:13" x14ac:dyDescent="0.25">
      <c r="A1086" t="s">
        <v>3828</v>
      </c>
      <c r="B1086" t="s">
        <v>3829</v>
      </c>
      <c r="C1086" t="s">
        <v>332</v>
      </c>
      <c r="D1086" t="s">
        <v>3830</v>
      </c>
      <c r="E1086" t="s">
        <v>573</v>
      </c>
      <c r="F1086" t="s">
        <v>3831</v>
      </c>
      <c r="G1086" t="s">
        <v>3832</v>
      </c>
      <c r="H1086" t="str">
        <f>HYPERLINK("https://baanknet.com/view-property/261510/3F5C55F03A67F0DEABC0A6F8E09577244DA8ABEFA248A8AEF9327A12C1053FD3", "https://baanknet.com/view-property/261510/3F5C55F03A67F0DEABC0A6F8E09577244DA8ABEFA248A8AEF9327A12C1053FD3")</f>
        <v>https://baanknet.com/view-property/261510/3F5C55F03A67F0DEABC0A6F8E09577244DA8ABEFA248A8AEF9327A12C1053FD3</v>
      </c>
      <c r="I1086" t="str">
        <f>HYPERLINK("https://baanknet.com/view-property/261510/3F5C55F03A67F0DEABC0A6F8E09577244DA8ABEFA248A8AEF9327A12C1053FD3", "Open")</f>
        <v>Open</v>
      </c>
      <c r="J1086" t="s">
        <v>3803</v>
      </c>
      <c r="L1086">
        <v>4903000</v>
      </c>
      <c r="M1086">
        <v>490300</v>
      </c>
    </row>
    <row r="1087" spans="1:13" x14ac:dyDescent="0.25">
      <c r="A1087" t="s">
        <v>3833</v>
      </c>
      <c r="B1087" t="s">
        <v>3834</v>
      </c>
      <c r="C1087" t="s">
        <v>571</v>
      </c>
      <c r="D1087" t="s">
        <v>3835</v>
      </c>
      <c r="E1087" t="s">
        <v>573</v>
      </c>
      <c r="F1087" t="s">
        <v>3836</v>
      </c>
      <c r="G1087" t="s">
        <v>3837</v>
      </c>
      <c r="H1087" t="str">
        <f>HYPERLINK("https://baanknet.com/view-property/275139/6EFD52F5F9218084D1A49DFDFC3521A8B7E4C900452377536BD866263B4C93C9", "https://baanknet.com/view-property/275139/6EFD52F5F9218084D1A49DFDFC3521A8B7E4C900452377536BD866263B4C93C9")</f>
        <v>https://baanknet.com/view-property/275139/6EFD52F5F9218084D1A49DFDFC3521A8B7E4C900452377536BD866263B4C93C9</v>
      </c>
      <c r="I1087" t="str">
        <f>HYPERLINK("https://baanknet.com/view-property/275139/6EFD52F5F9218084D1A49DFDFC3521A8B7E4C900452377536BD866263B4C93C9", "Open")</f>
        <v>Open</v>
      </c>
      <c r="J1087" t="s">
        <v>3803</v>
      </c>
      <c r="L1087">
        <v>5049000</v>
      </c>
      <c r="M1087">
        <v>504900</v>
      </c>
    </row>
    <row r="1088" spans="1:13" x14ac:dyDescent="0.25">
      <c r="A1088" t="s">
        <v>3838</v>
      </c>
      <c r="B1088" t="s">
        <v>3839</v>
      </c>
      <c r="C1088" t="s">
        <v>571</v>
      </c>
      <c r="D1088" t="s">
        <v>436</v>
      </c>
      <c r="E1088" t="s">
        <v>573</v>
      </c>
      <c r="F1088" t="s">
        <v>585</v>
      </c>
      <c r="G1088" t="s">
        <v>3840</v>
      </c>
      <c r="H1088" t="str">
        <f>HYPERLINK("https://baanknet.com/view-property/284423/8047584CB8620B7B670DA5ADCF9AD4A16E0CB8B6BA9238DB674F0A8DCFD5DD35", "https://baanknet.com/view-property/284423/8047584CB8620B7B670DA5ADCF9AD4A16E0CB8B6BA9238DB674F0A8DCFD5DD35")</f>
        <v>https://baanknet.com/view-property/284423/8047584CB8620B7B670DA5ADCF9AD4A16E0CB8B6BA9238DB674F0A8DCFD5DD35</v>
      </c>
      <c r="I1088" t="str">
        <f>HYPERLINK("https://baanknet.com/view-property/284423/8047584CB8620B7B670DA5ADCF9AD4A16E0CB8B6BA9238DB674F0A8DCFD5DD35", "Open")</f>
        <v>Open</v>
      </c>
      <c r="J1088" t="s">
        <v>3803</v>
      </c>
      <c r="L1088">
        <v>2950000</v>
      </c>
      <c r="M1088">
        <v>295000</v>
      </c>
    </row>
    <row r="1089" spans="1:13" x14ac:dyDescent="0.25">
      <c r="A1089" t="s">
        <v>3841</v>
      </c>
      <c r="B1089" t="s">
        <v>3842</v>
      </c>
      <c r="C1089" t="s">
        <v>571</v>
      </c>
      <c r="D1089" t="s">
        <v>304</v>
      </c>
      <c r="E1089" t="s">
        <v>573</v>
      </c>
      <c r="F1089" t="s">
        <v>585</v>
      </c>
      <c r="G1089" t="s">
        <v>3843</v>
      </c>
      <c r="H1089" t="str">
        <f>HYPERLINK("https://baanknet.com/view-property/284325/EFF7A12E2C98992D210B82E8E3D387846A55169A9F83B2DC4DF873F0E96C3300", "https://baanknet.com/view-property/284325/EFF7A12E2C98992D210B82E8E3D387846A55169A9F83B2DC4DF873F0E96C3300")</f>
        <v>https://baanknet.com/view-property/284325/EFF7A12E2C98992D210B82E8E3D387846A55169A9F83B2DC4DF873F0E96C3300</v>
      </c>
      <c r="I1089" t="str">
        <f>HYPERLINK("https://baanknet.com/view-property/284325/EFF7A12E2C98992D210B82E8E3D387846A55169A9F83B2DC4DF873F0E96C3300", "Open")</f>
        <v>Open</v>
      </c>
      <c r="J1089" t="s">
        <v>3803</v>
      </c>
      <c r="L1089">
        <v>4071600</v>
      </c>
      <c r="M1089">
        <v>407160</v>
      </c>
    </row>
    <row r="1090" spans="1:13" x14ac:dyDescent="0.25">
      <c r="A1090" t="s">
        <v>3844</v>
      </c>
      <c r="B1090" t="s">
        <v>3845</v>
      </c>
      <c r="C1090" t="s">
        <v>571</v>
      </c>
      <c r="D1090" t="s">
        <v>304</v>
      </c>
      <c r="E1090" t="s">
        <v>573</v>
      </c>
      <c r="F1090" t="s">
        <v>585</v>
      </c>
      <c r="G1090" t="s">
        <v>3846</v>
      </c>
      <c r="H1090" t="str">
        <f>HYPERLINK("https://baanknet.com/view-property/284334/0BD36B55625741C4184AF63AE303457712D5360B3FB8BC37002F192C07086C6A", "https://baanknet.com/view-property/284334/0BD36B55625741C4184AF63AE303457712D5360B3FB8BC37002F192C07086C6A")</f>
        <v>https://baanknet.com/view-property/284334/0BD36B55625741C4184AF63AE303457712D5360B3FB8BC37002F192C07086C6A</v>
      </c>
      <c r="I1090" t="str">
        <f>HYPERLINK("https://baanknet.com/view-property/284334/0BD36B55625741C4184AF63AE303457712D5360B3FB8BC37002F192C07086C6A", "Open")</f>
        <v>Open</v>
      </c>
      <c r="J1090" t="s">
        <v>3803</v>
      </c>
      <c r="L1090">
        <v>2091960</v>
      </c>
      <c r="M1090">
        <v>209200</v>
      </c>
    </row>
    <row r="1091" spans="1:13" x14ac:dyDescent="0.25">
      <c r="A1091" t="s">
        <v>3847</v>
      </c>
      <c r="B1091" t="s">
        <v>3848</v>
      </c>
      <c r="C1091" t="s">
        <v>571</v>
      </c>
      <c r="D1091" t="s">
        <v>1246</v>
      </c>
      <c r="E1091" t="s">
        <v>573</v>
      </c>
      <c r="F1091" t="s">
        <v>585</v>
      </c>
      <c r="G1091" t="s">
        <v>3849</v>
      </c>
      <c r="H1091" t="str">
        <f>HYPERLINK("https://baanknet.com/view-property/285362/D695FFE80DE320604859421EB82A4A110348F7A7E68113A116805C9357FA41FD", "https://baanknet.com/view-property/285362/D695FFE80DE320604859421EB82A4A110348F7A7E68113A116805C9357FA41FD")</f>
        <v>https://baanknet.com/view-property/285362/D695FFE80DE320604859421EB82A4A110348F7A7E68113A116805C9357FA41FD</v>
      </c>
      <c r="I1091" t="str">
        <f>HYPERLINK("https://baanknet.com/view-property/285362/D695FFE80DE320604859421EB82A4A110348F7A7E68113A116805C9357FA41FD", "Open")</f>
        <v>Open</v>
      </c>
      <c r="J1091" t="s">
        <v>3803</v>
      </c>
      <c r="L1091">
        <v>12100000</v>
      </c>
      <c r="M1091">
        <v>1210000</v>
      </c>
    </row>
    <row r="1092" spans="1:13" x14ac:dyDescent="0.25">
      <c r="A1092" t="s">
        <v>3850</v>
      </c>
      <c r="B1092" t="s">
        <v>3851</v>
      </c>
      <c r="C1092" t="s">
        <v>571</v>
      </c>
      <c r="D1092" t="s">
        <v>1098</v>
      </c>
      <c r="E1092" t="s">
        <v>573</v>
      </c>
      <c r="F1092" t="s">
        <v>585</v>
      </c>
      <c r="G1092" t="s">
        <v>3852</v>
      </c>
      <c r="H1092" t="str">
        <f>HYPERLINK("https://baanknet.com/view-property/285361/FA5609D84063E33C9C6C60017F8D2D0A2816743B3860F841B97EC1C2977982A7", "https://baanknet.com/view-property/285361/FA5609D84063E33C9C6C60017F8D2D0A2816743B3860F841B97EC1C2977982A7")</f>
        <v>https://baanknet.com/view-property/285361/FA5609D84063E33C9C6C60017F8D2D0A2816743B3860F841B97EC1C2977982A7</v>
      </c>
      <c r="I1092" t="str">
        <f>HYPERLINK("https://baanknet.com/view-property/285361/FA5609D84063E33C9C6C60017F8D2D0A2816743B3860F841B97EC1C2977982A7", "Open")</f>
        <v>Open</v>
      </c>
      <c r="J1092" t="s">
        <v>3803</v>
      </c>
      <c r="L1092">
        <v>4200000</v>
      </c>
      <c r="M1092">
        <v>420000</v>
      </c>
    </row>
    <row r="1093" spans="1:13" x14ac:dyDescent="0.25">
      <c r="A1093" t="s">
        <v>3853</v>
      </c>
      <c r="B1093" t="s">
        <v>3854</v>
      </c>
      <c r="C1093" t="s">
        <v>571</v>
      </c>
      <c r="D1093" t="s">
        <v>3855</v>
      </c>
      <c r="E1093" t="s">
        <v>573</v>
      </c>
      <c r="F1093" t="s">
        <v>585</v>
      </c>
      <c r="G1093" t="s">
        <v>3856</v>
      </c>
      <c r="H1093" t="str">
        <f>HYPERLINK("https://baanknet.com/view-property/285658/9EDAD5C3F03E630CAC531D76D0905172F6B76B4290BD8BB935DDD2E309FF93A9", "https://baanknet.com/view-property/285658/9EDAD5C3F03E630CAC531D76D0905172F6B76B4290BD8BB935DDD2E309FF93A9")</f>
        <v>https://baanknet.com/view-property/285658/9EDAD5C3F03E630CAC531D76D0905172F6B76B4290BD8BB935DDD2E309FF93A9</v>
      </c>
      <c r="I1093" t="str">
        <f>HYPERLINK("https://baanknet.com/view-property/285658/9EDAD5C3F03E630CAC531D76D0905172F6B76B4290BD8BB935DDD2E309FF93A9", "Open")</f>
        <v>Open</v>
      </c>
      <c r="J1093" t="s">
        <v>3803</v>
      </c>
      <c r="L1093">
        <v>13014000</v>
      </c>
      <c r="M1093">
        <v>1301400</v>
      </c>
    </row>
    <row r="1094" spans="1:13" x14ac:dyDescent="0.25">
      <c r="A1094" t="s">
        <v>3857</v>
      </c>
      <c r="B1094" t="s">
        <v>3858</v>
      </c>
      <c r="C1094" t="s">
        <v>332</v>
      </c>
      <c r="D1094" t="s">
        <v>853</v>
      </c>
      <c r="E1094" t="s">
        <v>573</v>
      </c>
      <c r="F1094" t="s">
        <v>585</v>
      </c>
      <c r="G1094" t="s">
        <v>3859</v>
      </c>
      <c r="H1094" t="str">
        <f>HYPERLINK("https://baanknet.com/view-property/285391/B8D5C83B5B498CC458A61935D533A422DDD9D1C39AACD85C5B9CD41AFD622B1D", "https://baanknet.com/view-property/285391/B8D5C83B5B498CC458A61935D533A422DDD9D1C39AACD85C5B9CD41AFD622B1D")</f>
        <v>https://baanknet.com/view-property/285391/B8D5C83B5B498CC458A61935D533A422DDD9D1C39AACD85C5B9CD41AFD622B1D</v>
      </c>
      <c r="I1094" t="str">
        <f>HYPERLINK("https://baanknet.com/view-property/285391/B8D5C83B5B498CC458A61935D533A422DDD9D1C39AACD85C5B9CD41AFD622B1D", "Open")</f>
        <v>Open</v>
      </c>
      <c r="J1094" t="s">
        <v>3803</v>
      </c>
      <c r="L1094">
        <v>3780000</v>
      </c>
      <c r="M1094">
        <v>378000</v>
      </c>
    </row>
    <row r="1095" spans="1:13" x14ac:dyDescent="0.25">
      <c r="A1095" t="s">
        <v>3860</v>
      </c>
      <c r="B1095" t="s">
        <v>3861</v>
      </c>
      <c r="C1095" t="s">
        <v>571</v>
      </c>
      <c r="D1095" t="s">
        <v>3862</v>
      </c>
      <c r="E1095" t="s">
        <v>573</v>
      </c>
      <c r="F1095" t="s">
        <v>585</v>
      </c>
      <c r="G1095" t="s">
        <v>3863</v>
      </c>
      <c r="H1095" t="str">
        <f>HYPERLINK("https://baanknet.com/view-property/235205/437EED3621445C72B979C30F31AF067E68E4184D2C18973590242475C3FA19AB", "https://baanknet.com/view-property/235205/437EED3621445C72B979C30F31AF067E68E4184D2C18973590242475C3FA19AB")</f>
        <v>https://baanknet.com/view-property/235205/437EED3621445C72B979C30F31AF067E68E4184D2C18973590242475C3FA19AB</v>
      </c>
      <c r="I1095" t="str">
        <f>HYPERLINK("https://baanknet.com/view-property/235205/437EED3621445C72B979C30F31AF067E68E4184D2C18973590242475C3FA19AB", "Open")</f>
        <v>Open</v>
      </c>
      <c r="J1095" t="s">
        <v>3803</v>
      </c>
      <c r="L1095">
        <v>670000</v>
      </c>
      <c r="M1095">
        <v>67000</v>
      </c>
    </row>
    <row r="1096" spans="1:13" x14ac:dyDescent="0.25">
      <c r="A1096" t="s">
        <v>3864</v>
      </c>
      <c r="B1096" t="s">
        <v>3865</v>
      </c>
      <c r="C1096" t="s">
        <v>571</v>
      </c>
      <c r="D1096" t="s">
        <v>3862</v>
      </c>
      <c r="E1096" t="s">
        <v>573</v>
      </c>
      <c r="F1096" t="s">
        <v>585</v>
      </c>
      <c r="G1096" t="s">
        <v>3866</v>
      </c>
      <c r="H1096" t="str">
        <f>HYPERLINK("https://baanknet.com/view-property/285903/18CF21BF7CB1B5EACC7817EC73714EFDBC558AFB37C562EC6417511AAF8B08E1", "https://baanknet.com/view-property/285903/18CF21BF7CB1B5EACC7817EC73714EFDBC558AFB37C562EC6417511AAF8B08E1")</f>
        <v>https://baanknet.com/view-property/285903/18CF21BF7CB1B5EACC7817EC73714EFDBC558AFB37C562EC6417511AAF8B08E1</v>
      </c>
      <c r="I1096" t="str">
        <f>HYPERLINK("https://baanknet.com/view-property/285903/18CF21BF7CB1B5EACC7817EC73714EFDBC558AFB37C562EC6417511AAF8B08E1", "Open")</f>
        <v>Open</v>
      </c>
      <c r="J1096" t="s">
        <v>3803</v>
      </c>
      <c r="L1096">
        <v>8860000</v>
      </c>
      <c r="M1096">
        <v>886000</v>
      </c>
    </row>
    <row r="1097" spans="1:13" x14ac:dyDescent="0.25">
      <c r="A1097" t="s">
        <v>3867</v>
      </c>
      <c r="B1097" t="s">
        <v>3868</v>
      </c>
      <c r="C1097" t="s">
        <v>571</v>
      </c>
      <c r="D1097" t="s">
        <v>3862</v>
      </c>
      <c r="E1097" t="s">
        <v>573</v>
      </c>
      <c r="F1097" t="s">
        <v>585</v>
      </c>
      <c r="G1097" t="s">
        <v>3869</v>
      </c>
      <c r="H1097" t="str">
        <f>HYPERLINK("https://baanknet.com/view-property/285060/EBD40DDC59AB79C2ED391D9DD14A916BF336F63105F15A87D7783B5A39743F56", "https://baanknet.com/view-property/285060/EBD40DDC59AB79C2ED391D9DD14A916BF336F63105F15A87D7783B5A39743F56")</f>
        <v>https://baanknet.com/view-property/285060/EBD40DDC59AB79C2ED391D9DD14A916BF336F63105F15A87D7783B5A39743F56</v>
      </c>
      <c r="I1097" t="str">
        <f>HYPERLINK("https://baanknet.com/view-property/285060/EBD40DDC59AB79C2ED391D9DD14A916BF336F63105F15A87D7783B5A39743F56", "Open")</f>
        <v>Open</v>
      </c>
      <c r="J1097" t="s">
        <v>3803</v>
      </c>
      <c r="L1097">
        <v>16170000</v>
      </c>
      <c r="M1097">
        <v>1617000</v>
      </c>
    </row>
    <row r="1098" spans="1:13" x14ac:dyDescent="0.25">
      <c r="A1098" t="s">
        <v>3870</v>
      </c>
      <c r="B1098" t="s">
        <v>3871</v>
      </c>
      <c r="C1098" t="s">
        <v>571</v>
      </c>
      <c r="D1098" t="s">
        <v>1871</v>
      </c>
      <c r="E1098" t="s">
        <v>573</v>
      </c>
      <c r="F1098" t="s">
        <v>585</v>
      </c>
      <c r="G1098" t="s">
        <v>3872</v>
      </c>
      <c r="H1098" t="str">
        <f>HYPERLINK("https://baanknet.com/view-property/268194/522074162A4F126ABFE22381CFD2E91A0D6C6F93FD3587B12B77DB2414E5D542", "https://baanknet.com/view-property/268194/522074162A4F126ABFE22381CFD2E91A0D6C6F93FD3587B12B77DB2414E5D542")</f>
        <v>https://baanknet.com/view-property/268194/522074162A4F126ABFE22381CFD2E91A0D6C6F93FD3587B12B77DB2414E5D542</v>
      </c>
      <c r="I1098" t="str">
        <f>HYPERLINK("https://baanknet.com/view-property/268194/522074162A4F126ABFE22381CFD2E91A0D6C6F93FD3587B12B77DB2414E5D542", "Open")</f>
        <v>Open</v>
      </c>
      <c r="J1098" t="s">
        <v>3803</v>
      </c>
      <c r="L1098">
        <v>7450000</v>
      </c>
      <c r="M1098">
        <v>745000</v>
      </c>
    </row>
    <row r="1099" spans="1:13" x14ac:dyDescent="0.25">
      <c r="A1099" t="s">
        <v>3873</v>
      </c>
      <c r="B1099" t="s">
        <v>3874</v>
      </c>
      <c r="C1099" t="s">
        <v>571</v>
      </c>
      <c r="D1099" t="s">
        <v>3875</v>
      </c>
      <c r="E1099" t="s">
        <v>573</v>
      </c>
      <c r="F1099" t="s">
        <v>585</v>
      </c>
      <c r="G1099" t="s">
        <v>3876</v>
      </c>
      <c r="H1099" t="str">
        <f>HYPERLINK("https://baanknet.com/view-property/268337/4E47F6ED2302B0BE91609E7DFCD31DAC97F3E9D8F9F8817F04F4EAFCF4BC2667", "https://baanknet.com/view-property/268337/4E47F6ED2302B0BE91609E7DFCD31DAC97F3E9D8F9F8817F04F4EAFCF4BC2667")</f>
        <v>https://baanknet.com/view-property/268337/4E47F6ED2302B0BE91609E7DFCD31DAC97F3E9D8F9F8817F04F4EAFCF4BC2667</v>
      </c>
      <c r="I1099" t="str">
        <f>HYPERLINK("https://baanknet.com/view-property/268337/4E47F6ED2302B0BE91609E7DFCD31DAC97F3E9D8F9F8817F04F4EAFCF4BC2667", "Open")</f>
        <v>Open</v>
      </c>
      <c r="J1099" t="s">
        <v>3803</v>
      </c>
      <c r="L1099">
        <v>1682000</v>
      </c>
      <c r="M1099">
        <v>168200</v>
      </c>
    </row>
    <row r="1100" spans="1:13" x14ac:dyDescent="0.25">
      <c r="A1100" t="s">
        <v>3877</v>
      </c>
      <c r="B1100" t="s">
        <v>3878</v>
      </c>
      <c r="C1100" t="s">
        <v>571</v>
      </c>
      <c r="D1100" t="s">
        <v>3879</v>
      </c>
      <c r="E1100" t="s">
        <v>573</v>
      </c>
      <c r="F1100" t="s">
        <v>585</v>
      </c>
      <c r="G1100" t="s">
        <v>3880</v>
      </c>
      <c r="H1100" t="str">
        <f>HYPERLINK("https://baanknet.com/view-property/268357/851AAEF4160D95ECFBA73D6FC80E677BDBB70E60236BF49F4B54D6708DDA9EB8", "https://baanknet.com/view-property/268357/851AAEF4160D95ECFBA73D6FC80E677BDBB70E60236BF49F4B54D6708DDA9EB8")</f>
        <v>https://baanknet.com/view-property/268357/851AAEF4160D95ECFBA73D6FC80E677BDBB70E60236BF49F4B54D6708DDA9EB8</v>
      </c>
      <c r="I1100" t="str">
        <f>HYPERLINK("https://baanknet.com/view-property/268357/851AAEF4160D95ECFBA73D6FC80E677BDBB70E60236BF49F4B54D6708DDA9EB8", "Open")</f>
        <v>Open</v>
      </c>
      <c r="J1100" t="s">
        <v>3803</v>
      </c>
      <c r="L1100">
        <v>1310000</v>
      </c>
      <c r="M1100">
        <v>131000</v>
      </c>
    </row>
    <row r="1101" spans="1:13" x14ac:dyDescent="0.25">
      <c r="A1101" t="s">
        <v>3881</v>
      </c>
      <c r="B1101" t="s">
        <v>3882</v>
      </c>
      <c r="C1101" t="s">
        <v>571</v>
      </c>
      <c r="D1101" t="s">
        <v>3879</v>
      </c>
      <c r="E1101" t="s">
        <v>573</v>
      </c>
      <c r="F1101" t="s">
        <v>585</v>
      </c>
      <c r="G1101" t="s">
        <v>3883</v>
      </c>
      <c r="H1101" t="str">
        <f>HYPERLINK("https://baanknet.com/view-property/268359/6D41B587DCF9F4D595E887FC851C993837CE98923ABF1B30A72B72021421530F", "https://baanknet.com/view-property/268359/6D41B587DCF9F4D595E887FC851C993837CE98923ABF1B30A72B72021421530F")</f>
        <v>https://baanknet.com/view-property/268359/6D41B587DCF9F4D595E887FC851C993837CE98923ABF1B30A72B72021421530F</v>
      </c>
      <c r="I1101" t="str">
        <f>HYPERLINK("https://baanknet.com/view-property/268359/6D41B587DCF9F4D595E887FC851C993837CE98923ABF1B30A72B72021421530F", "Open")</f>
        <v>Open</v>
      </c>
      <c r="J1101" t="s">
        <v>3803</v>
      </c>
      <c r="L1101">
        <v>1310000</v>
      </c>
      <c r="M1101">
        <v>131000</v>
      </c>
    </row>
    <row r="1102" spans="1:13" x14ac:dyDescent="0.25">
      <c r="A1102" t="s">
        <v>3884</v>
      </c>
      <c r="B1102" t="s">
        <v>3885</v>
      </c>
      <c r="C1102" t="s">
        <v>571</v>
      </c>
      <c r="D1102" t="s">
        <v>3879</v>
      </c>
      <c r="E1102" t="s">
        <v>573</v>
      </c>
      <c r="F1102" t="s">
        <v>585</v>
      </c>
      <c r="G1102" t="s">
        <v>3886</v>
      </c>
      <c r="H1102" t="str">
        <f>HYPERLINK("https://baanknet.com/view-property/268362/C66284B0E1A53133176453545E1830C123F99E29961F77ACC22B31A978EDB31D", "https://baanknet.com/view-property/268362/C66284B0E1A53133176453545E1830C123F99E29961F77ACC22B31A978EDB31D")</f>
        <v>https://baanknet.com/view-property/268362/C66284B0E1A53133176453545E1830C123F99E29961F77ACC22B31A978EDB31D</v>
      </c>
      <c r="I1102" t="str">
        <f>HYPERLINK("https://baanknet.com/view-property/268362/C66284B0E1A53133176453545E1830C123F99E29961F77ACC22B31A978EDB31D", "Open")</f>
        <v>Open</v>
      </c>
      <c r="J1102" t="s">
        <v>3803</v>
      </c>
      <c r="L1102">
        <v>1764000</v>
      </c>
      <c r="M1102">
        <v>176400</v>
      </c>
    </row>
    <row r="1103" spans="1:13" x14ac:dyDescent="0.25">
      <c r="A1103" t="s">
        <v>3887</v>
      </c>
      <c r="B1103" t="s">
        <v>3888</v>
      </c>
      <c r="C1103" t="s">
        <v>571</v>
      </c>
      <c r="D1103" t="s">
        <v>3879</v>
      </c>
      <c r="E1103" t="s">
        <v>573</v>
      </c>
      <c r="F1103" t="s">
        <v>585</v>
      </c>
      <c r="G1103" t="s">
        <v>3889</v>
      </c>
      <c r="H1103" t="str">
        <f>HYPERLINK("https://baanknet.com/view-property/268363/8DA9B9783D502478CFAC2EAD4F52A16C1CCDBD82E7598C26A2C47BC71F454459", "https://baanknet.com/view-property/268363/8DA9B9783D502478CFAC2EAD4F52A16C1CCDBD82E7598C26A2C47BC71F454459")</f>
        <v>https://baanknet.com/view-property/268363/8DA9B9783D502478CFAC2EAD4F52A16C1CCDBD82E7598C26A2C47BC71F454459</v>
      </c>
      <c r="I1103" t="str">
        <f>HYPERLINK("https://baanknet.com/view-property/268363/8DA9B9783D502478CFAC2EAD4F52A16C1CCDBD82E7598C26A2C47BC71F454459", "Open")</f>
        <v>Open</v>
      </c>
      <c r="J1103" t="s">
        <v>3803</v>
      </c>
      <c r="L1103">
        <v>1720000</v>
      </c>
      <c r="M1103">
        <v>172000</v>
      </c>
    </row>
    <row r="1104" spans="1:13" x14ac:dyDescent="0.25">
      <c r="A1104" t="s">
        <v>3890</v>
      </c>
      <c r="B1104" t="s">
        <v>3891</v>
      </c>
      <c r="C1104" t="s">
        <v>571</v>
      </c>
      <c r="D1104" t="s">
        <v>3879</v>
      </c>
      <c r="E1104" t="s">
        <v>573</v>
      </c>
      <c r="F1104" t="s">
        <v>585</v>
      </c>
      <c r="G1104" t="s">
        <v>3892</v>
      </c>
      <c r="H1104" t="str">
        <f>HYPERLINK("https://baanknet.com/view-property/268366/370B1CE45E6AB32A4415F028F9DC3973FE48777A817FFA722FED10CEE20D3025", "https://baanknet.com/view-property/268366/370B1CE45E6AB32A4415F028F9DC3973FE48777A817FFA722FED10CEE20D3025")</f>
        <v>https://baanknet.com/view-property/268366/370B1CE45E6AB32A4415F028F9DC3973FE48777A817FFA722FED10CEE20D3025</v>
      </c>
      <c r="I1104" t="str">
        <f>HYPERLINK("https://baanknet.com/view-property/268366/370B1CE45E6AB32A4415F028F9DC3973FE48777A817FFA722FED10CEE20D3025", "Open")</f>
        <v>Open</v>
      </c>
      <c r="J1104" t="s">
        <v>3803</v>
      </c>
      <c r="L1104">
        <v>1386000</v>
      </c>
      <c r="M1104">
        <v>138600</v>
      </c>
    </row>
    <row r="1105" spans="1:13" x14ac:dyDescent="0.25">
      <c r="A1105" t="s">
        <v>3893</v>
      </c>
      <c r="B1105" t="s">
        <v>3894</v>
      </c>
      <c r="C1105" t="s">
        <v>571</v>
      </c>
      <c r="D1105" t="s">
        <v>3879</v>
      </c>
      <c r="E1105" t="s">
        <v>573</v>
      </c>
      <c r="F1105" t="s">
        <v>585</v>
      </c>
      <c r="G1105" t="s">
        <v>3895</v>
      </c>
      <c r="H1105" t="str">
        <f>HYPERLINK("https://baanknet.com/view-property/268718/81BE15DB104ECB1BB591CF9F317B609872966D933F0E2E1444DE8B033518133C", "https://baanknet.com/view-property/268718/81BE15DB104ECB1BB591CF9F317B609872966D933F0E2E1444DE8B033518133C")</f>
        <v>https://baanknet.com/view-property/268718/81BE15DB104ECB1BB591CF9F317B609872966D933F0E2E1444DE8B033518133C</v>
      </c>
      <c r="I1105" t="str">
        <f>HYPERLINK("https://baanknet.com/view-property/268718/81BE15DB104ECB1BB591CF9F317B609872966D933F0E2E1444DE8B033518133C", "Open")</f>
        <v>Open</v>
      </c>
      <c r="J1105" t="s">
        <v>3803</v>
      </c>
      <c r="L1105">
        <v>1386000</v>
      </c>
      <c r="M1105">
        <v>138600</v>
      </c>
    </row>
    <row r="1106" spans="1:13" x14ac:dyDescent="0.25">
      <c r="A1106" t="s">
        <v>3896</v>
      </c>
      <c r="B1106" t="s">
        <v>3897</v>
      </c>
      <c r="C1106" t="s">
        <v>571</v>
      </c>
      <c r="D1106" t="s">
        <v>3879</v>
      </c>
      <c r="E1106" t="s">
        <v>573</v>
      </c>
      <c r="F1106" t="s">
        <v>585</v>
      </c>
      <c r="G1106" t="s">
        <v>3898</v>
      </c>
      <c r="H1106" t="str">
        <f>HYPERLINK("https://baanknet.com/view-property/272106/EE575B7F7990FC7ADF183B479887856A12FBEF8767903AB987CE45B7877D1534", "https://baanknet.com/view-property/272106/EE575B7F7990FC7ADF183B479887856A12FBEF8767903AB987CE45B7877D1534")</f>
        <v>https://baanknet.com/view-property/272106/EE575B7F7990FC7ADF183B479887856A12FBEF8767903AB987CE45B7877D1534</v>
      </c>
      <c r="I1106" t="str">
        <f>HYPERLINK("https://baanknet.com/view-property/272106/EE575B7F7990FC7ADF183B479887856A12FBEF8767903AB987CE45B7877D1534", "Open")</f>
        <v>Open</v>
      </c>
      <c r="J1106" t="s">
        <v>3803</v>
      </c>
      <c r="L1106">
        <v>2148000</v>
      </c>
      <c r="M1106">
        <v>214800</v>
      </c>
    </row>
    <row r="1107" spans="1:13" x14ac:dyDescent="0.25">
      <c r="A1107" t="s">
        <v>3899</v>
      </c>
      <c r="B1107" t="s">
        <v>3900</v>
      </c>
      <c r="C1107" t="s">
        <v>571</v>
      </c>
      <c r="D1107" t="s">
        <v>3879</v>
      </c>
      <c r="E1107" t="s">
        <v>573</v>
      </c>
      <c r="F1107" t="s">
        <v>585</v>
      </c>
      <c r="G1107" t="s">
        <v>3901</v>
      </c>
      <c r="H1107" t="str">
        <f>HYPERLINK("https://baanknet.com/view-property/272115/DB42E941CCDE12A29AAD0399397CA139B863B82CF714D6E764F37A4ABDFFCEA5", "https://baanknet.com/view-property/272115/DB42E941CCDE12A29AAD0399397CA139B863B82CF714D6E764F37A4ABDFFCEA5")</f>
        <v>https://baanknet.com/view-property/272115/DB42E941CCDE12A29AAD0399397CA139B863B82CF714D6E764F37A4ABDFFCEA5</v>
      </c>
      <c r="I1107" t="str">
        <f>HYPERLINK("https://baanknet.com/view-property/272115/DB42E941CCDE12A29AAD0399397CA139B863B82CF714D6E764F37A4ABDFFCEA5", "Open")</f>
        <v>Open</v>
      </c>
      <c r="J1107" t="s">
        <v>3803</v>
      </c>
      <c r="L1107">
        <v>7875000</v>
      </c>
      <c r="M1107">
        <v>787500</v>
      </c>
    </row>
    <row r="1108" spans="1:13" x14ac:dyDescent="0.25">
      <c r="A1108" t="s">
        <v>3902</v>
      </c>
      <c r="B1108" t="s">
        <v>3903</v>
      </c>
      <c r="C1108" t="s">
        <v>571</v>
      </c>
      <c r="D1108" t="s">
        <v>3879</v>
      </c>
      <c r="E1108" t="s">
        <v>573</v>
      </c>
      <c r="F1108" t="s">
        <v>585</v>
      </c>
      <c r="G1108" t="s">
        <v>3904</v>
      </c>
      <c r="H1108" t="str">
        <f>HYPERLINK("https://baanknet.com/view-property/272136/17502C268659BD7881BCDEE46B0B69A7F2E77677D9819D556A51C3DD650A51C1", "https://baanknet.com/view-property/272136/17502C268659BD7881BCDEE46B0B69A7F2E77677D9819D556A51C3DD650A51C1")</f>
        <v>https://baanknet.com/view-property/272136/17502C268659BD7881BCDEE46B0B69A7F2E77677D9819D556A51C3DD650A51C1</v>
      </c>
      <c r="I1108" t="str">
        <f>HYPERLINK("https://baanknet.com/view-property/272136/17502C268659BD7881BCDEE46B0B69A7F2E77677D9819D556A51C3DD650A51C1", "Open")</f>
        <v>Open</v>
      </c>
      <c r="J1108" t="s">
        <v>3803</v>
      </c>
      <c r="L1108">
        <v>7875000</v>
      </c>
      <c r="M1108">
        <v>787500</v>
      </c>
    </row>
    <row r="1109" spans="1:13" x14ac:dyDescent="0.25">
      <c r="A1109" t="s">
        <v>3905</v>
      </c>
      <c r="B1109" t="s">
        <v>3906</v>
      </c>
      <c r="C1109" t="s">
        <v>571</v>
      </c>
      <c r="D1109" t="s">
        <v>3879</v>
      </c>
      <c r="E1109" t="s">
        <v>573</v>
      </c>
      <c r="F1109" t="s">
        <v>585</v>
      </c>
      <c r="G1109" t="s">
        <v>3907</v>
      </c>
      <c r="H1109" t="str">
        <f>HYPERLINK("https://baanknet.com/view-property/267477/486BF46967E5279981BFF6F41DFBA3C5B5C348B3A341CD9011F0073B48CDFCF5", "https://baanknet.com/view-property/267477/486BF46967E5279981BFF6F41DFBA3C5B5C348B3A341CD9011F0073B48CDFCF5")</f>
        <v>https://baanknet.com/view-property/267477/486BF46967E5279981BFF6F41DFBA3C5B5C348B3A341CD9011F0073B48CDFCF5</v>
      </c>
      <c r="I1109" t="str">
        <f>HYPERLINK("https://baanknet.com/view-property/267477/486BF46967E5279981BFF6F41DFBA3C5B5C348B3A341CD9011F0073B48CDFCF5", "Open")</f>
        <v>Open</v>
      </c>
      <c r="J1109" t="s">
        <v>3803</v>
      </c>
      <c r="L1109">
        <v>26300000</v>
      </c>
      <c r="M1109">
        <v>2630000</v>
      </c>
    </row>
    <row r="1110" spans="1:13" x14ac:dyDescent="0.25">
      <c r="A1110" t="s">
        <v>3908</v>
      </c>
      <c r="B1110" t="s">
        <v>3909</v>
      </c>
      <c r="C1110" t="s">
        <v>571</v>
      </c>
      <c r="D1110" t="s">
        <v>3879</v>
      </c>
      <c r="E1110" t="s">
        <v>573</v>
      </c>
      <c r="F1110" t="s">
        <v>585</v>
      </c>
      <c r="G1110" t="s">
        <v>3910</v>
      </c>
      <c r="H1110" t="str">
        <f>HYPERLINK("https://baanknet.com/view-property/267479/F2E3BE772DCB89347B3B6C7CEA8F2F60DAA5632DEE42A803E0F5BF393C05B58F", "https://baanknet.com/view-property/267479/F2E3BE772DCB89347B3B6C7CEA8F2F60DAA5632DEE42A803E0F5BF393C05B58F")</f>
        <v>https://baanknet.com/view-property/267479/F2E3BE772DCB89347B3B6C7CEA8F2F60DAA5632DEE42A803E0F5BF393C05B58F</v>
      </c>
      <c r="I1110" t="str">
        <f>HYPERLINK("https://baanknet.com/view-property/267479/F2E3BE772DCB89347B3B6C7CEA8F2F60DAA5632DEE42A803E0F5BF393C05B58F", "Open")</f>
        <v>Open</v>
      </c>
      <c r="J1110" t="s">
        <v>3803</v>
      </c>
      <c r="L1110">
        <v>28150000</v>
      </c>
      <c r="M1110">
        <v>2815000</v>
      </c>
    </row>
    <row r="1111" spans="1:13" x14ac:dyDescent="0.25">
      <c r="A1111" t="s">
        <v>3911</v>
      </c>
      <c r="B1111" t="s">
        <v>3912</v>
      </c>
      <c r="C1111" t="s">
        <v>571</v>
      </c>
      <c r="D1111" t="s">
        <v>3913</v>
      </c>
      <c r="E1111" t="s">
        <v>573</v>
      </c>
      <c r="F1111" t="s">
        <v>585</v>
      </c>
      <c r="G1111" t="s">
        <v>3914</v>
      </c>
      <c r="H1111" t="str">
        <f>HYPERLINK("https://baanknet.com/view-property/267259/1BFC515CABFE2EF3C3C7FAC62FD6B833FE4A0E9B3347068B6D66719B719D44EE", "https://baanknet.com/view-property/267259/1BFC515CABFE2EF3C3C7FAC62FD6B833FE4A0E9B3347068B6D66719B719D44EE")</f>
        <v>https://baanknet.com/view-property/267259/1BFC515CABFE2EF3C3C7FAC62FD6B833FE4A0E9B3347068B6D66719B719D44EE</v>
      </c>
      <c r="I1111" t="str">
        <f>HYPERLINK("https://baanknet.com/view-property/267259/1BFC515CABFE2EF3C3C7FAC62FD6B833FE4A0E9B3347068B6D66719B719D44EE", "Open")</f>
        <v>Open</v>
      </c>
      <c r="J1111" t="s">
        <v>3803</v>
      </c>
      <c r="L1111">
        <v>2073000</v>
      </c>
      <c r="M1111">
        <v>207300</v>
      </c>
    </row>
    <row r="1112" spans="1:13" x14ac:dyDescent="0.25">
      <c r="A1112" t="s">
        <v>3915</v>
      </c>
      <c r="B1112" t="s">
        <v>3916</v>
      </c>
      <c r="C1112" t="s">
        <v>571</v>
      </c>
      <c r="D1112" t="s">
        <v>3913</v>
      </c>
      <c r="E1112" t="s">
        <v>573</v>
      </c>
      <c r="F1112" t="s">
        <v>585</v>
      </c>
      <c r="G1112" t="s">
        <v>3917</v>
      </c>
      <c r="H1112" t="str">
        <f>HYPERLINK("https://baanknet.com/view-property/267262/070F49AD50F4A419E889296DA803E749395BF904F4915F5812609D11B96B0A99", "https://baanknet.com/view-property/267262/070F49AD50F4A419E889296DA803E749395BF904F4915F5812609D11B96B0A99")</f>
        <v>https://baanknet.com/view-property/267262/070F49AD50F4A419E889296DA803E749395BF904F4915F5812609D11B96B0A99</v>
      </c>
      <c r="I1112" t="str">
        <f>HYPERLINK("https://baanknet.com/view-property/267262/070F49AD50F4A419E889296DA803E749395BF904F4915F5812609D11B96B0A99", "Open")</f>
        <v>Open</v>
      </c>
      <c r="J1112" t="s">
        <v>3803</v>
      </c>
      <c r="L1112">
        <v>1030000</v>
      </c>
      <c r="M1112">
        <v>103000</v>
      </c>
    </row>
    <row r="1113" spans="1:13" x14ac:dyDescent="0.25">
      <c r="A1113" t="s">
        <v>3918</v>
      </c>
      <c r="B1113" t="s">
        <v>3919</v>
      </c>
      <c r="C1113" t="s">
        <v>571</v>
      </c>
      <c r="D1113" t="s">
        <v>3913</v>
      </c>
      <c r="E1113" t="s">
        <v>573</v>
      </c>
      <c r="F1113" t="s">
        <v>585</v>
      </c>
      <c r="G1113" t="s">
        <v>3920</v>
      </c>
      <c r="H1113" t="str">
        <f>HYPERLINK("https://baanknet.com/view-property/267264/48D0A8A51C95B0D2DC9B4B72BB7FBA74400AA0AEB5215A6048040E06FFC2A5FE", "https://baanknet.com/view-property/267264/48D0A8A51C95B0D2DC9B4B72BB7FBA74400AA0AEB5215A6048040E06FFC2A5FE")</f>
        <v>https://baanknet.com/view-property/267264/48D0A8A51C95B0D2DC9B4B72BB7FBA74400AA0AEB5215A6048040E06FFC2A5FE</v>
      </c>
      <c r="I1113" t="str">
        <f>HYPERLINK("https://baanknet.com/view-property/267264/48D0A8A51C95B0D2DC9B4B72BB7FBA74400AA0AEB5215A6048040E06FFC2A5FE", "Open")</f>
        <v>Open</v>
      </c>
      <c r="J1113" t="s">
        <v>3803</v>
      </c>
      <c r="L1113">
        <v>1030000</v>
      </c>
      <c r="M1113">
        <v>103000</v>
      </c>
    </row>
    <row r="1114" spans="1:13" x14ac:dyDescent="0.25">
      <c r="A1114" t="s">
        <v>3921</v>
      </c>
      <c r="B1114" t="s">
        <v>3922</v>
      </c>
      <c r="C1114" t="s">
        <v>571</v>
      </c>
      <c r="D1114" t="s">
        <v>3913</v>
      </c>
      <c r="E1114" t="s">
        <v>573</v>
      </c>
      <c r="F1114" t="s">
        <v>585</v>
      </c>
      <c r="G1114" t="s">
        <v>3923</v>
      </c>
      <c r="H1114" t="str">
        <f>HYPERLINK("https://baanknet.com/view-property/267265/585AD5A4213E3CD8B6A044C73346D785DF733F57211661B86E750A1F4F147C99", "https://baanknet.com/view-property/267265/585AD5A4213E3CD8B6A044C73346D785DF733F57211661B86E750A1F4F147C99")</f>
        <v>https://baanknet.com/view-property/267265/585AD5A4213E3CD8B6A044C73346D785DF733F57211661B86E750A1F4F147C99</v>
      </c>
      <c r="I1114" t="str">
        <f>HYPERLINK("https://baanknet.com/view-property/267265/585AD5A4213E3CD8B6A044C73346D785DF733F57211661B86E750A1F4F147C99", "Open")</f>
        <v>Open</v>
      </c>
      <c r="J1114" t="s">
        <v>3803</v>
      </c>
      <c r="L1114">
        <v>1030000</v>
      </c>
      <c r="M1114">
        <v>103000</v>
      </c>
    </row>
    <row r="1115" spans="1:13" x14ac:dyDescent="0.25">
      <c r="A1115" t="s">
        <v>3924</v>
      </c>
      <c r="B1115" t="s">
        <v>3925</v>
      </c>
      <c r="C1115" t="s">
        <v>571</v>
      </c>
      <c r="D1115" t="s">
        <v>3913</v>
      </c>
      <c r="E1115" t="s">
        <v>573</v>
      </c>
      <c r="F1115" t="s">
        <v>585</v>
      </c>
      <c r="G1115" t="s">
        <v>3926</v>
      </c>
      <c r="H1115" t="str">
        <f>HYPERLINK("https://baanknet.com/view-property/267268/4B1745F860844C0F2B3F97E2C394AF2D307350F0729AA33DC7AAB512002D51F7", "https://baanknet.com/view-property/267268/4B1745F860844C0F2B3F97E2C394AF2D307350F0729AA33DC7AAB512002D51F7")</f>
        <v>https://baanknet.com/view-property/267268/4B1745F860844C0F2B3F97E2C394AF2D307350F0729AA33DC7AAB512002D51F7</v>
      </c>
      <c r="I1115" t="str">
        <f>HYPERLINK("https://baanknet.com/view-property/267268/4B1745F860844C0F2B3F97E2C394AF2D307350F0729AA33DC7AAB512002D51F7", "Open")</f>
        <v>Open</v>
      </c>
      <c r="J1115" t="s">
        <v>3803</v>
      </c>
      <c r="L1115">
        <v>1030000</v>
      </c>
      <c r="M1115">
        <v>103000</v>
      </c>
    </row>
    <row r="1116" spans="1:13" x14ac:dyDescent="0.25">
      <c r="A1116" t="s">
        <v>3927</v>
      </c>
      <c r="B1116" t="s">
        <v>3928</v>
      </c>
      <c r="C1116" t="s">
        <v>571</v>
      </c>
      <c r="D1116" t="s">
        <v>3913</v>
      </c>
      <c r="E1116" t="s">
        <v>573</v>
      </c>
      <c r="F1116" t="s">
        <v>585</v>
      </c>
      <c r="G1116" t="s">
        <v>3929</v>
      </c>
      <c r="H1116" t="str">
        <f>HYPERLINK("https://baanknet.com/view-property/267271/00C1216A3FA13A09E8FFDF341FF94586DB6AF90FA1C7FB48455A6AC4744CF887", "https://baanknet.com/view-property/267271/00C1216A3FA13A09E8FFDF341FF94586DB6AF90FA1C7FB48455A6AC4744CF887")</f>
        <v>https://baanknet.com/view-property/267271/00C1216A3FA13A09E8FFDF341FF94586DB6AF90FA1C7FB48455A6AC4744CF887</v>
      </c>
      <c r="I1116" t="str">
        <f>HYPERLINK("https://baanknet.com/view-property/267271/00C1216A3FA13A09E8FFDF341FF94586DB6AF90FA1C7FB48455A6AC4744CF887", "Open")</f>
        <v>Open</v>
      </c>
      <c r="J1116" t="s">
        <v>3803</v>
      </c>
      <c r="L1116">
        <v>1030000</v>
      </c>
      <c r="M1116">
        <v>103000</v>
      </c>
    </row>
    <row r="1117" spans="1:13" x14ac:dyDescent="0.25">
      <c r="A1117" t="s">
        <v>3930</v>
      </c>
      <c r="B1117" t="s">
        <v>3931</v>
      </c>
      <c r="C1117" t="s">
        <v>571</v>
      </c>
      <c r="D1117" t="s">
        <v>3913</v>
      </c>
      <c r="E1117" t="s">
        <v>573</v>
      </c>
      <c r="F1117" t="s">
        <v>585</v>
      </c>
      <c r="G1117" t="s">
        <v>3932</v>
      </c>
      <c r="H1117" t="str">
        <f>HYPERLINK("https://baanknet.com/view-property/267278/7171EC80A3BE9785095FE2C09AD70411C67365B425282A3019D8B05FB0610173", "https://baanknet.com/view-property/267278/7171EC80A3BE9785095FE2C09AD70411C67365B425282A3019D8B05FB0610173")</f>
        <v>https://baanknet.com/view-property/267278/7171EC80A3BE9785095FE2C09AD70411C67365B425282A3019D8B05FB0610173</v>
      </c>
      <c r="I1117" t="str">
        <f>HYPERLINK("https://baanknet.com/view-property/267278/7171EC80A3BE9785095FE2C09AD70411C67365B425282A3019D8B05FB0610173", "Open")</f>
        <v>Open</v>
      </c>
      <c r="J1117" t="s">
        <v>3803</v>
      </c>
      <c r="L1117">
        <v>1140000</v>
      </c>
      <c r="M1117">
        <v>114000</v>
      </c>
    </row>
    <row r="1118" spans="1:13" x14ac:dyDescent="0.25">
      <c r="A1118" t="s">
        <v>3933</v>
      </c>
      <c r="B1118" t="s">
        <v>3934</v>
      </c>
      <c r="C1118" t="s">
        <v>571</v>
      </c>
      <c r="D1118" t="s">
        <v>3913</v>
      </c>
      <c r="E1118" t="s">
        <v>573</v>
      </c>
      <c r="F1118" t="s">
        <v>585</v>
      </c>
      <c r="G1118" t="s">
        <v>3935</v>
      </c>
      <c r="H1118" t="str">
        <f>HYPERLINK("https://baanknet.com/view-property/267279/562E8264F200C8AB1F1410E14A3AB86316598536AE8A374D86A279DB189ECFD1", "https://baanknet.com/view-property/267279/562E8264F200C8AB1F1410E14A3AB86316598536AE8A374D86A279DB189ECFD1")</f>
        <v>https://baanknet.com/view-property/267279/562E8264F200C8AB1F1410E14A3AB86316598536AE8A374D86A279DB189ECFD1</v>
      </c>
      <c r="I1118" t="str">
        <f>HYPERLINK("https://baanknet.com/view-property/267279/562E8264F200C8AB1F1410E14A3AB86316598536AE8A374D86A279DB189ECFD1", "Open")</f>
        <v>Open</v>
      </c>
      <c r="J1118" t="s">
        <v>3803</v>
      </c>
      <c r="L1118">
        <v>2047000</v>
      </c>
      <c r="M1118">
        <v>204700</v>
      </c>
    </row>
    <row r="1119" spans="1:13" x14ac:dyDescent="0.25">
      <c r="A1119" t="s">
        <v>3936</v>
      </c>
      <c r="B1119" t="s">
        <v>3937</v>
      </c>
      <c r="C1119" t="s">
        <v>571</v>
      </c>
      <c r="D1119" t="s">
        <v>3913</v>
      </c>
      <c r="E1119" t="s">
        <v>573</v>
      </c>
      <c r="F1119" t="s">
        <v>585</v>
      </c>
      <c r="G1119" t="s">
        <v>3938</v>
      </c>
      <c r="H1119" t="str">
        <f>HYPERLINK("https://baanknet.com/view-property/267281/767C0809FD10B177A4B0C0E628B57CE86A1EDD1FE6EC214A8413373E4B42B22B", "https://baanknet.com/view-property/267281/767C0809FD10B177A4B0C0E628B57CE86A1EDD1FE6EC214A8413373E4B42B22B")</f>
        <v>https://baanknet.com/view-property/267281/767C0809FD10B177A4B0C0E628B57CE86A1EDD1FE6EC214A8413373E4B42B22B</v>
      </c>
      <c r="I1119" t="str">
        <f>HYPERLINK("https://baanknet.com/view-property/267281/767C0809FD10B177A4B0C0E628B57CE86A1EDD1FE6EC214A8413373E4B42B22B", "Open")</f>
        <v>Open</v>
      </c>
      <c r="J1119" t="s">
        <v>3803</v>
      </c>
      <c r="L1119">
        <v>1153000</v>
      </c>
      <c r="M1119">
        <v>115300</v>
      </c>
    </row>
    <row r="1120" spans="1:13" x14ac:dyDescent="0.25">
      <c r="A1120" t="s">
        <v>3939</v>
      </c>
      <c r="B1120" t="s">
        <v>3940</v>
      </c>
      <c r="C1120" t="s">
        <v>571</v>
      </c>
      <c r="D1120" t="s">
        <v>3913</v>
      </c>
      <c r="E1120" t="s">
        <v>573</v>
      </c>
      <c r="F1120" t="s">
        <v>585</v>
      </c>
      <c r="G1120" t="s">
        <v>3941</v>
      </c>
      <c r="H1120" t="str">
        <f>HYPERLINK("https://baanknet.com/view-property/267283/44604906C176E9932523F43489116EC3EB68A759689AAC853896EDBDE31926A3", "https://baanknet.com/view-property/267283/44604906C176E9932523F43489116EC3EB68A759689AAC853896EDBDE31926A3")</f>
        <v>https://baanknet.com/view-property/267283/44604906C176E9932523F43489116EC3EB68A759689AAC853896EDBDE31926A3</v>
      </c>
      <c r="I1120" t="str">
        <f>HYPERLINK("https://baanknet.com/view-property/267283/44604906C176E9932523F43489116EC3EB68A759689AAC853896EDBDE31926A3", "Open")</f>
        <v>Open</v>
      </c>
      <c r="J1120" t="s">
        <v>3803</v>
      </c>
      <c r="L1120">
        <v>1153000</v>
      </c>
      <c r="M1120">
        <v>115300</v>
      </c>
    </row>
    <row r="1121" spans="1:13" x14ac:dyDescent="0.25">
      <c r="A1121" t="s">
        <v>3942</v>
      </c>
      <c r="B1121" t="s">
        <v>3943</v>
      </c>
      <c r="C1121" t="s">
        <v>571</v>
      </c>
      <c r="D1121" t="s">
        <v>3913</v>
      </c>
      <c r="E1121" t="s">
        <v>573</v>
      </c>
      <c r="F1121" t="s">
        <v>585</v>
      </c>
      <c r="G1121" t="s">
        <v>3944</v>
      </c>
      <c r="H1121" t="str">
        <f>HYPERLINK("https://baanknet.com/view-property/267284/6BDC4C48F56B1DCD38F09FB5068319D9CC9E30BCD28AB779FB61F3470E43C64B", "https://baanknet.com/view-property/267284/6BDC4C48F56B1DCD38F09FB5068319D9CC9E30BCD28AB779FB61F3470E43C64B")</f>
        <v>https://baanknet.com/view-property/267284/6BDC4C48F56B1DCD38F09FB5068319D9CC9E30BCD28AB779FB61F3470E43C64B</v>
      </c>
      <c r="I1121" t="str">
        <f>HYPERLINK("https://baanknet.com/view-property/267284/6BDC4C48F56B1DCD38F09FB5068319D9CC9E30BCD28AB779FB61F3470E43C64B", "Open")</f>
        <v>Open</v>
      </c>
      <c r="J1121" t="s">
        <v>3803</v>
      </c>
      <c r="L1121">
        <v>1153000</v>
      </c>
      <c r="M1121">
        <v>115300</v>
      </c>
    </row>
    <row r="1122" spans="1:13" x14ac:dyDescent="0.25">
      <c r="A1122" t="s">
        <v>3945</v>
      </c>
      <c r="B1122" t="s">
        <v>3946</v>
      </c>
      <c r="C1122" t="s">
        <v>571</v>
      </c>
      <c r="D1122" t="s">
        <v>3913</v>
      </c>
      <c r="E1122" t="s">
        <v>573</v>
      </c>
      <c r="F1122" t="s">
        <v>585</v>
      </c>
      <c r="G1122" t="s">
        <v>3947</v>
      </c>
      <c r="H1122" t="str">
        <f>HYPERLINK("https://baanknet.com/view-property/267286/BD966DC79E93754D742F905904429113CD0BE010FF4227A64AA35AEA299EFA83", "https://baanknet.com/view-property/267286/BD966DC79E93754D742F905904429113CD0BE010FF4227A64AA35AEA299EFA83")</f>
        <v>https://baanknet.com/view-property/267286/BD966DC79E93754D742F905904429113CD0BE010FF4227A64AA35AEA299EFA83</v>
      </c>
      <c r="I1122" t="str">
        <f>HYPERLINK("https://baanknet.com/view-property/267286/BD966DC79E93754D742F905904429113CD0BE010FF4227A64AA35AEA299EFA83", "Open")</f>
        <v>Open</v>
      </c>
      <c r="J1122" t="s">
        <v>3803</v>
      </c>
      <c r="L1122">
        <v>1153000</v>
      </c>
      <c r="M1122">
        <v>115300</v>
      </c>
    </row>
    <row r="1123" spans="1:13" x14ac:dyDescent="0.25">
      <c r="A1123" t="s">
        <v>3948</v>
      </c>
      <c r="B1123" t="s">
        <v>3949</v>
      </c>
      <c r="C1123" t="s">
        <v>571</v>
      </c>
      <c r="D1123" t="s">
        <v>3913</v>
      </c>
      <c r="E1123" t="s">
        <v>573</v>
      </c>
      <c r="F1123" t="s">
        <v>585</v>
      </c>
      <c r="G1123" t="s">
        <v>3950</v>
      </c>
      <c r="H1123" t="str">
        <f>HYPERLINK("https://baanknet.com/view-property/267475/F1090563D6DC347B30EE3EBFFED15E89A594283C955F02A5E5093AD32A651268", "https://baanknet.com/view-property/267475/F1090563D6DC347B30EE3EBFFED15E89A594283C955F02A5E5093AD32A651268")</f>
        <v>https://baanknet.com/view-property/267475/F1090563D6DC347B30EE3EBFFED15E89A594283C955F02A5E5093AD32A651268</v>
      </c>
      <c r="I1123" t="str">
        <f>HYPERLINK("https://baanknet.com/view-property/267475/F1090563D6DC347B30EE3EBFFED15E89A594283C955F02A5E5093AD32A651268", "Open")</f>
        <v>Open</v>
      </c>
      <c r="J1123" t="s">
        <v>3803</v>
      </c>
      <c r="L1123">
        <v>1153000</v>
      </c>
      <c r="M1123">
        <v>115300</v>
      </c>
    </row>
    <row r="1124" spans="1:13" x14ac:dyDescent="0.25">
      <c r="A1124" t="s">
        <v>3951</v>
      </c>
      <c r="B1124" t="s">
        <v>3952</v>
      </c>
      <c r="C1124" t="s">
        <v>571</v>
      </c>
      <c r="D1124" t="s">
        <v>3576</v>
      </c>
      <c r="E1124" t="s">
        <v>573</v>
      </c>
      <c r="F1124" t="s">
        <v>585</v>
      </c>
      <c r="G1124" t="s">
        <v>3953</v>
      </c>
      <c r="H1124" t="str">
        <f>HYPERLINK("https://baanknet.com/view-property/247709/C17148085DFB39127186B2B404A5A00CFF2D6214D3855F54483A45C118729B35", "https://baanknet.com/view-property/247709/C17148085DFB39127186B2B404A5A00CFF2D6214D3855F54483A45C118729B35")</f>
        <v>https://baanknet.com/view-property/247709/C17148085DFB39127186B2B404A5A00CFF2D6214D3855F54483A45C118729B35</v>
      </c>
      <c r="I1124" t="str">
        <f>HYPERLINK("https://baanknet.com/view-property/247709/C17148085DFB39127186B2B404A5A00CFF2D6214D3855F54483A45C118729B35", "Open")</f>
        <v>Open</v>
      </c>
      <c r="J1124" t="s">
        <v>3803</v>
      </c>
      <c r="L1124">
        <v>2450000</v>
      </c>
      <c r="M1124">
        <v>245000</v>
      </c>
    </row>
    <row r="1125" spans="1:13" x14ac:dyDescent="0.25">
      <c r="A1125" t="s">
        <v>3954</v>
      </c>
      <c r="B1125" t="s">
        <v>3955</v>
      </c>
      <c r="C1125" t="s">
        <v>571</v>
      </c>
      <c r="D1125" t="s">
        <v>3243</v>
      </c>
      <c r="E1125" t="s">
        <v>573</v>
      </c>
      <c r="F1125" t="s">
        <v>585</v>
      </c>
      <c r="G1125" t="s">
        <v>3956</v>
      </c>
      <c r="H1125" t="str">
        <f>HYPERLINK("https://baanknet.com/view-property/286580/DFC5A6E17C3032EEE8E39FBB29EF7C9FE8887C9CFC4E7F8D4E5CA3C10D307A3D", "https://baanknet.com/view-property/286580/DFC5A6E17C3032EEE8E39FBB29EF7C9FE8887C9CFC4E7F8D4E5CA3C10D307A3D")</f>
        <v>https://baanknet.com/view-property/286580/DFC5A6E17C3032EEE8E39FBB29EF7C9FE8887C9CFC4E7F8D4E5CA3C10D307A3D</v>
      </c>
      <c r="I1125" t="str">
        <f>HYPERLINK("https://baanknet.com/view-property/286580/DFC5A6E17C3032EEE8E39FBB29EF7C9FE8887C9CFC4E7F8D4E5CA3C10D307A3D", "Open")</f>
        <v>Open</v>
      </c>
      <c r="J1125" t="s">
        <v>3803</v>
      </c>
      <c r="L1125">
        <v>4500000</v>
      </c>
      <c r="M1125">
        <v>450000</v>
      </c>
    </row>
    <row r="1126" spans="1:13" x14ac:dyDescent="0.25">
      <c r="A1126" t="s">
        <v>3957</v>
      </c>
      <c r="B1126" t="s">
        <v>3958</v>
      </c>
      <c r="C1126" t="s">
        <v>571</v>
      </c>
      <c r="D1126" t="s">
        <v>3460</v>
      </c>
      <c r="E1126" t="s">
        <v>573</v>
      </c>
      <c r="F1126" t="s">
        <v>585</v>
      </c>
      <c r="G1126" t="s">
        <v>3959</v>
      </c>
      <c r="H1126" t="str">
        <f>HYPERLINK("https://baanknet.com/view-property/39679/6B2A04F524CA841C034AB8F04F58A3B91B7E69F90DA96360F11255D90C100A80", "https://baanknet.com/view-property/39679/6B2A04F524CA841C034AB8F04F58A3B91B7E69F90DA96360F11255D90C100A80")</f>
        <v>https://baanknet.com/view-property/39679/6B2A04F524CA841C034AB8F04F58A3B91B7E69F90DA96360F11255D90C100A80</v>
      </c>
      <c r="I1126" t="str">
        <f>HYPERLINK("https://baanknet.com/view-property/39679/6B2A04F524CA841C034AB8F04F58A3B91B7E69F90DA96360F11255D90C100A80", "Open")</f>
        <v>Open</v>
      </c>
      <c r="J1126" t="s">
        <v>3803</v>
      </c>
      <c r="L1126">
        <v>804000</v>
      </c>
      <c r="M1126">
        <v>80400</v>
      </c>
    </row>
    <row r="1127" spans="1:13" x14ac:dyDescent="0.25">
      <c r="A1127" t="s">
        <v>3960</v>
      </c>
      <c r="B1127" t="s">
        <v>3961</v>
      </c>
      <c r="C1127" t="s">
        <v>571</v>
      </c>
      <c r="D1127" t="s">
        <v>3460</v>
      </c>
      <c r="E1127" t="s">
        <v>573</v>
      </c>
      <c r="F1127" t="s">
        <v>585</v>
      </c>
      <c r="G1127" t="s">
        <v>3962</v>
      </c>
      <c r="H1127" t="str">
        <f>HYPERLINK("https://baanknet.com/view-property/23237/8AD1BB76F841A39D47D877200D0E6AC84D23B860D9BB9503AA67B3BBFE4B7249", "https://baanknet.com/view-property/23237/8AD1BB76F841A39D47D877200D0E6AC84D23B860D9BB9503AA67B3BBFE4B7249")</f>
        <v>https://baanknet.com/view-property/23237/8AD1BB76F841A39D47D877200D0E6AC84D23B860D9BB9503AA67B3BBFE4B7249</v>
      </c>
      <c r="I1127" t="str">
        <f>HYPERLINK("https://baanknet.com/view-property/23237/8AD1BB76F841A39D47D877200D0E6AC84D23B860D9BB9503AA67B3BBFE4B7249", "Open")</f>
        <v>Open</v>
      </c>
      <c r="J1127" t="s">
        <v>3803</v>
      </c>
      <c r="L1127">
        <v>1620000</v>
      </c>
      <c r="M1127">
        <v>162000</v>
      </c>
    </row>
    <row r="1128" spans="1:13" x14ac:dyDescent="0.25">
      <c r="A1128" t="s">
        <v>3963</v>
      </c>
      <c r="B1128" t="s">
        <v>3964</v>
      </c>
      <c r="C1128" t="s">
        <v>571</v>
      </c>
      <c r="D1128" t="s">
        <v>3460</v>
      </c>
      <c r="E1128" t="s">
        <v>573</v>
      </c>
      <c r="F1128" t="s">
        <v>585</v>
      </c>
      <c r="G1128" t="s">
        <v>3965</v>
      </c>
      <c r="H1128" t="str">
        <f>HYPERLINK("https://baanknet.com/view-property/44943/0912E8890B25B7008BB335856493870B2C7EDD3C96CA481DF42A921F7A336730", "https://baanknet.com/view-property/44943/0912E8890B25B7008BB335856493870B2C7EDD3C96CA481DF42A921F7A336730")</f>
        <v>https://baanknet.com/view-property/44943/0912E8890B25B7008BB335856493870B2C7EDD3C96CA481DF42A921F7A336730</v>
      </c>
      <c r="I1128" t="str">
        <f>HYPERLINK("https://baanknet.com/view-property/44943/0912E8890B25B7008BB335856493870B2C7EDD3C96CA481DF42A921F7A336730", "Open")</f>
        <v>Open</v>
      </c>
      <c r="J1128" t="s">
        <v>3803</v>
      </c>
      <c r="L1128">
        <v>1100000</v>
      </c>
      <c r="M1128">
        <v>110000</v>
      </c>
    </row>
    <row r="1129" spans="1:13" x14ac:dyDescent="0.25">
      <c r="A1129" t="s">
        <v>3966</v>
      </c>
      <c r="B1129" t="s">
        <v>3967</v>
      </c>
      <c r="C1129" t="s">
        <v>571</v>
      </c>
      <c r="D1129" t="s">
        <v>3968</v>
      </c>
      <c r="E1129" t="s">
        <v>573</v>
      </c>
      <c r="F1129" t="s">
        <v>585</v>
      </c>
      <c r="G1129" t="s">
        <v>3969</v>
      </c>
      <c r="H1129" t="str">
        <f>HYPERLINK("https://baanknet.com/view-property/251125/848B218F2730F823FFF96C38D7DE3C61CAF8C32950E278790CA76482108F47CF", "https://baanknet.com/view-property/251125/848B218F2730F823FFF96C38D7DE3C61CAF8C32950E278790CA76482108F47CF")</f>
        <v>https://baanknet.com/view-property/251125/848B218F2730F823FFF96C38D7DE3C61CAF8C32950E278790CA76482108F47CF</v>
      </c>
      <c r="I1129" t="str">
        <f>HYPERLINK("https://baanknet.com/view-property/251125/848B218F2730F823FFF96C38D7DE3C61CAF8C32950E278790CA76482108F47CF", "Open")</f>
        <v>Open</v>
      </c>
      <c r="J1129" t="s">
        <v>3803</v>
      </c>
      <c r="L1129">
        <v>18630000</v>
      </c>
      <c r="M1129">
        <v>1863000</v>
      </c>
    </row>
    <row r="1130" spans="1:13" x14ac:dyDescent="0.25">
      <c r="A1130" t="s">
        <v>3970</v>
      </c>
      <c r="B1130" t="s">
        <v>3971</v>
      </c>
      <c r="C1130" t="s">
        <v>571</v>
      </c>
      <c r="D1130" t="s">
        <v>3968</v>
      </c>
      <c r="E1130" t="s">
        <v>573</v>
      </c>
      <c r="F1130" t="s">
        <v>585</v>
      </c>
      <c r="G1130" t="s">
        <v>3972</v>
      </c>
      <c r="H1130" t="str">
        <f>HYPERLINK("https://baanknet.com/view-property/251130/8F4AB3763EC7322CA4433DBB50037974B4A11A9BC5AD27E33BE4A59D613BFE54", "https://baanknet.com/view-property/251130/8F4AB3763EC7322CA4433DBB50037974B4A11A9BC5AD27E33BE4A59D613BFE54")</f>
        <v>https://baanknet.com/view-property/251130/8F4AB3763EC7322CA4433DBB50037974B4A11A9BC5AD27E33BE4A59D613BFE54</v>
      </c>
      <c r="I1130" t="str">
        <f>HYPERLINK("https://baanknet.com/view-property/251130/8F4AB3763EC7322CA4433DBB50037974B4A11A9BC5AD27E33BE4A59D613BFE54", "Open")</f>
        <v>Open</v>
      </c>
      <c r="J1130" t="s">
        <v>3803</v>
      </c>
      <c r="L1130">
        <v>51276000</v>
      </c>
      <c r="M1130">
        <v>5127600</v>
      </c>
    </row>
    <row r="1131" spans="1:13" x14ac:dyDescent="0.25">
      <c r="A1131" t="s">
        <v>3973</v>
      </c>
      <c r="B1131" t="s">
        <v>3974</v>
      </c>
      <c r="C1131" t="s">
        <v>571</v>
      </c>
      <c r="D1131" t="s">
        <v>553</v>
      </c>
      <c r="E1131" t="s">
        <v>573</v>
      </c>
      <c r="F1131" t="s">
        <v>585</v>
      </c>
      <c r="G1131" t="s">
        <v>3975</v>
      </c>
      <c r="H1131" t="str">
        <f>HYPERLINK("https://baanknet.com/view-property/97417/26F4A88902C162C309A5B8B50403B2AD6FCDF063C087B7316CC24070D998AAD0", "https://baanknet.com/view-property/97417/26F4A88902C162C309A5B8B50403B2AD6FCDF063C087B7316CC24070D998AAD0")</f>
        <v>https://baanknet.com/view-property/97417/26F4A88902C162C309A5B8B50403B2AD6FCDF063C087B7316CC24070D998AAD0</v>
      </c>
      <c r="I1131" t="str">
        <f>HYPERLINK("https://baanknet.com/view-property/97417/26F4A88902C162C309A5B8B50403B2AD6FCDF063C087B7316CC24070D998AAD0", "Open")</f>
        <v>Open</v>
      </c>
      <c r="J1131" t="s">
        <v>3803</v>
      </c>
      <c r="L1131">
        <v>1700000</v>
      </c>
      <c r="M1131">
        <v>170000</v>
      </c>
    </row>
    <row r="1132" spans="1:13" x14ac:dyDescent="0.25">
      <c r="A1132" t="s">
        <v>3976</v>
      </c>
      <c r="B1132" t="s">
        <v>3977</v>
      </c>
      <c r="C1132" t="s">
        <v>571</v>
      </c>
      <c r="D1132" t="s">
        <v>710</v>
      </c>
      <c r="E1132" t="s">
        <v>573</v>
      </c>
      <c r="F1132" t="s">
        <v>585</v>
      </c>
      <c r="G1132" t="s">
        <v>3978</v>
      </c>
      <c r="H1132" t="str">
        <f>HYPERLINK("https://baanknet.com/view-property/266275/A211CDCF3C7FB20556D75D8DC4D83D3E2B57E6D651C464D6FBDBD07AA595AEA7", "https://baanknet.com/view-property/266275/A211CDCF3C7FB20556D75D8DC4D83D3E2B57E6D651C464D6FBDBD07AA595AEA7")</f>
        <v>https://baanknet.com/view-property/266275/A211CDCF3C7FB20556D75D8DC4D83D3E2B57E6D651C464D6FBDBD07AA595AEA7</v>
      </c>
      <c r="I1132" t="str">
        <f>HYPERLINK("https://baanknet.com/view-property/266275/A211CDCF3C7FB20556D75D8DC4D83D3E2B57E6D651C464D6FBDBD07AA595AEA7", "Open")</f>
        <v>Open</v>
      </c>
      <c r="J1132" t="s">
        <v>3803</v>
      </c>
      <c r="L1132">
        <v>3650000</v>
      </c>
      <c r="M1132">
        <v>365000</v>
      </c>
    </row>
    <row r="1133" spans="1:13" x14ac:dyDescent="0.25">
      <c r="A1133" t="s">
        <v>3979</v>
      </c>
      <c r="B1133" t="s">
        <v>3980</v>
      </c>
      <c r="C1133" t="s">
        <v>571</v>
      </c>
      <c r="D1133" t="s">
        <v>937</v>
      </c>
      <c r="E1133" t="s">
        <v>573</v>
      </c>
      <c r="F1133" t="s">
        <v>585</v>
      </c>
      <c r="G1133" t="s">
        <v>3981</v>
      </c>
      <c r="H1133" t="str">
        <f>HYPERLINK("https://baanknet.com/view-property/284153/806663EB81C41BF2A9E61C179CFFDC26AA0F92E091364861972A4B296F7B7CA2", "https://baanknet.com/view-property/284153/806663EB81C41BF2A9E61C179CFFDC26AA0F92E091364861972A4B296F7B7CA2")</f>
        <v>https://baanknet.com/view-property/284153/806663EB81C41BF2A9E61C179CFFDC26AA0F92E091364861972A4B296F7B7CA2</v>
      </c>
      <c r="I1133" t="str">
        <f>HYPERLINK("https://baanknet.com/view-property/284153/806663EB81C41BF2A9E61C179CFFDC26AA0F92E091364861972A4B296F7B7CA2", "Open")</f>
        <v>Open</v>
      </c>
      <c r="J1133" t="s">
        <v>3803</v>
      </c>
      <c r="L1133">
        <v>5000000</v>
      </c>
      <c r="M1133">
        <v>500000</v>
      </c>
    </row>
    <row r="1134" spans="1:13" x14ac:dyDescent="0.25">
      <c r="A1134" t="s">
        <v>3982</v>
      </c>
      <c r="B1134" t="s">
        <v>3983</v>
      </c>
      <c r="C1134" t="s">
        <v>571</v>
      </c>
      <c r="D1134" t="s">
        <v>3984</v>
      </c>
      <c r="E1134" t="s">
        <v>573</v>
      </c>
      <c r="F1134" t="s">
        <v>585</v>
      </c>
      <c r="G1134" t="s">
        <v>3985</v>
      </c>
      <c r="H1134" t="str">
        <f>HYPERLINK("https://baanknet.com/view-property/101048/0BA9899F78D3D5C1AC2DFC19D510200FDB1DB1A3DB0AB1FB83E3FBCFD1095B97", "https://baanknet.com/view-property/101048/0BA9899F78D3D5C1AC2DFC19D510200FDB1DB1A3DB0AB1FB83E3FBCFD1095B97")</f>
        <v>https://baanknet.com/view-property/101048/0BA9899F78D3D5C1AC2DFC19D510200FDB1DB1A3DB0AB1FB83E3FBCFD1095B97</v>
      </c>
      <c r="I1134" t="str">
        <f>HYPERLINK("https://baanknet.com/view-property/101048/0BA9899F78D3D5C1AC2DFC19D510200FDB1DB1A3DB0AB1FB83E3FBCFD1095B97", "Open")</f>
        <v>Open</v>
      </c>
      <c r="J1134" t="s">
        <v>3803</v>
      </c>
      <c r="L1134">
        <v>1178000</v>
      </c>
      <c r="M1134">
        <v>117800</v>
      </c>
    </row>
    <row r="1135" spans="1:13" x14ac:dyDescent="0.25">
      <c r="A1135" t="s">
        <v>3986</v>
      </c>
      <c r="B1135" t="s">
        <v>3987</v>
      </c>
      <c r="C1135" t="s">
        <v>571</v>
      </c>
      <c r="D1135" t="s">
        <v>553</v>
      </c>
      <c r="E1135" t="s">
        <v>573</v>
      </c>
      <c r="F1135" t="s">
        <v>585</v>
      </c>
      <c r="G1135" t="s">
        <v>3988</v>
      </c>
      <c r="H1135" t="str">
        <f>HYPERLINK("https://baanknet.com/view-property/24606/8B67D18AF10068FA061EF6FD1288EF53F341DA4A85A9C519DDA2B72A272162F2", "https://baanknet.com/view-property/24606/8B67D18AF10068FA061EF6FD1288EF53F341DA4A85A9C519DDA2B72A272162F2")</f>
        <v>https://baanknet.com/view-property/24606/8B67D18AF10068FA061EF6FD1288EF53F341DA4A85A9C519DDA2B72A272162F2</v>
      </c>
      <c r="I1135" t="str">
        <f>HYPERLINK("https://baanknet.com/view-property/24606/8B67D18AF10068FA061EF6FD1288EF53F341DA4A85A9C519DDA2B72A272162F2", "Open")</f>
        <v>Open</v>
      </c>
      <c r="J1135" t="s">
        <v>3803</v>
      </c>
      <c r="L1135">
        <v>2707000</v>
      </c>
      <c r="M1135">
        <v>270700</v>
      </c>
    </row>
    <row r="1136" spans="1:13" x14ac:dyDescent="0.25">
      <c r="A1136" t="s">
        <v>3989</v>
      </c>
      <c r="B1136" t="s">
        <v>3990</v>
      </c>
      <c r="C1136" t="s">
        <v>571</v>
      </c>
      <c r="D1136" t="s">
        <v>553</v>
      </c>
      <c r="E1136" t="s">
        <v>573</v>
      </c>
      <c r="F1136" t="s">
        <v>585</v>
      </c>
      <c r="G1136" t="s">
        <v>3991</v>
      </c>
      <c r="H1136" t="str">
        <f>HYPERLINK("https://baanknet.com/view-property/66279/40DED5766ED2AA0563C5B5AD3D9A9C4396DB5AA00B1B94DAC88B45DCF0457E0A", "https://baanknet.com/view-property/66279/40DED5766ED2AA0563C5B5AD3D9A9C4396DB5AA00B1B94DAC88B45DCF0457E0A")</f>
        <v>https://baanknet.com/view-property/66279/40DED5766ED2AA0563C5B5AD3D9A9C4396DB5AA00B1B94DAC88B45DCF0457E0A</v>
      </c>
      <c r="I1136" t="str">
        <f>HYPERLINK("https://baanknet.com/view-property/66279/40DED5766ED2AA0563C5B5AD3D9A9C4396DB5AA00B1B94DAC88B45DCF0457E0A", "Open")</f>
        <v>Open</v>
      </c>
      <c r="J1136" t="s">
        <v>3803</v>
      </c>
      <c r="L1136">
        <v>1100000</v>
      </c>
      <c r="M1136">
        <v>110000</v>
      </c>
    </row>
    <row r="1137" spans="1:13" x14ac:dyDescent="0.25">
      <c r="A1137" t="s">
        <v>3992</v>
      </c>
      <c r="B1137" t="s">
        <v>3993</v>
      </c>
      <c r="C1137" t="s">
        <v>571</v>
      </c>
      <c r="D1137" t="s">
        <v>3994</v>
      </c>
      <c r="E1137" t="s">
        <v>573</v>
      </c>
      <c r="F1137" t="s">
        <v>585</v>
      </c>
      <c r="G1137" t="s">
        <v>3995</v>
      </c>
      <c r="H1137" t="str">
        <f>HYPERLINK("https://baanknet.com/view-property/90779/96998FB3459B537999CC946C2423384616D6081230DF2E70488BCBF7CA789154", "https://baanknet.com/view-property/90779/96998FB3459B537999CC946C2423384616D6081230DF2E70488BCBF7CA789154")</f>
        <v>https://baanknet.com/view-property/90779/96998FB3459B537999CC946C2423384616D6081230DF2E70488BCBF7CA789154</v>
      </c>
      <c r="I1137" t="str">
        <f>HYPERLINK("https://baanknet.com/view-property/90779/96998FB3459B537999CC946C2423384616D6081230DF2E70488BCBF7CA789154", "Open")</f>
        <v>Open</v>
      </c>
      <c r="J1137" t="s">
        <v>3803</v>
      </c>
      <c r="L1137">
        <v>1340000</v>
      </c>
      <c r="M1137">
        <v>134000</v>
      </c>
    </row>
    <row r="1138" spans="1:13" x14ac:dyDescent="0.25">
      <c r="A1138" t="s">
        <v>3996</v>
      </c>
      <c r="B1138" t="s">
        <v>3997</v>
      </c>
      <c r="C1138" t="s">
        <v>571</v>
      </c>
      <c r="D1138" t="s">
        <v>853</v>
      </c>
      <c r="E1138" t="s">
        <v>573</v>
      </c>
      <c r="F1138" t="s">
        <v>585</v>
      </c>
      <c r="G1138" t="s">
        <v>3998</v>
      </c>
      <c r="H1138" t="str">
        <f>HYPERLINK("https://baanknet.com/view-property/98281/F0FD7744509DB8915A44371AD6998868E0D0BCC7122ADB02F7BD7E993C1C081E", "https://baanknet.com/view-property/98281/F0FD7744509DB8915A44371AD6998868E0D0BCC7122ADB02F7BD7E993C1C081E")</f>
        <v>https://baanknet.com/view-property/98281/F0FD7744509DB8915A44371AD6998868E0D0BCC7122ADB02F7BD7E993C1C081E</v>
      </c>
      <c r="I1138" t="str">
        <f>HYPERLINK("https://baanknet.com/view-property/98281/F0FD7744509DB8915A44371AD6998868E0D0BCC7122ADB02F7BD7E993C1C081E", "Open")</f>
        <v>Open</v>
      </c>
      <c r="J1138" t="s">
        <v>3803</v>
      </c>
      <c r="L1138">
        <v>1950000</v>
      </c>
      <c r="M1138">
        <v>195000</v>
      </c>
    </row>
    <row r="1139" spans="1:13" x14ac:dyDescent="0.25">
      <c r="A1139" t="s">
        <v>3999</v>
      </c>
      <c r="B1139" t="s">
        <v>4000</v>
      </c>
      <c r="C1139" t="s">
        <v>571</v>
      </c>
      <c r="D1139" t="s">
        <v>853</v>
      </c>
      <c r="E1139" t="s">
        <v>573</v>
      </c>
      <c r="F1139" t="s">
        <v>585</v>
      </c>
      <c r="G1139" t="s">
        <v>4001</v>
      </c>
      <c r="H1139" t="str">
        <f>HYPERLINK("https://baanknet.com/view-property/44959/A0BC812CC3F778BFF21819765B8304E9E72C7354F78C514E1C6F62728EFA1883", "https://baanknet.com/view-property/44959/A0BC812CC3F778BFF21819765B8304E9E72C7354F78C514E1C6F62728EFA1883")</f>
        <v>https://baanknet.com/view-property/44959/A0BC812CC3F778BFF21819765B8304E9E72C7354F78C514E1C6F62728EFA1883</v>
      </c>
      <c r="I1139" t="str">
        <f>HYPERLINK("https://baanknet.com/view-property/44959/A0BC812CC3F778BFF21819765B8304E9E72C7354F78C514E1C6F62728EFA1883", "Open")</f>
        <v>Open</v>
      </c>
      <c r="J1139" t="s">
        <v>3803</v>
      </c>
      <c r="L1139">
        <v>1932000</v>
      </c>
      <c r="M1139">
        <v>193200</v>
      </c>
    </row>
    <row r="1140" spans="1:13" x14ac:dyDescent="0.25">
      <c r="A1140" t="s">
        <v>4002</v>
      </c>
      <c r="B1140" t="s">
        <v>4003</v>
      </c>
      <c r="C1140" t="s">
        <v>571</v>
      </c>
      <c r="D1140" t="s">
        <v>853</v>
      </c>
      <c r="E1140" t="s">
        <v>573</v>
      </c>
      <c r="F1140" t="s">
        <v>585</v>
      </c>
      <c r="G1140" t="s">
        <v>4004</v>
      </c>
      <c r="H1140" t="str">
        <f>HYPERLINK("https://baanknet.com/view-property/211861/847282A50AA30B5F447FA113535F04513D0189E7AB9B915BA45CC638975EBABB", "https://baanknet.com/view-property/211861/847282A50AA30B5F447FA113535F04513D0189E7AB9B915BA45CC638975EBABB")</f>
        <v>https://baanknet.com/view-property/211861/847282A50AA30B5F447FA113535F04513D0189E7AB9B915BA45CC638975EBABB</v>
      </c>
      <c r="I1140" t="str">
        <f>HYPERLINK("https://baanknet.com/view-property/211861/847282A50AA30B5F447FA113535F04513D0189E7AB9B915BA45CC638975EBABB", "Open")</f>
        <v>Open</v>
      </c>
      <c r="J1140" t="s">
        <v>3803</v>
      </c>
      <c r="L1140">
        <v>1755000</v>
      </c>
      <c r="M1140">
        <v>175500</v>
      </c>
    </row>
    <row r="1141" spans="1:13" x14ac:dyDescent="0.25">
      <c r="A1141" t="s">
        <v>4005</v>
      </c>
      <c r="B1141" t="s">
        <v>4006</v>
      </c>
      <c r="C1141" t="s">
        <v>571</v>
      </c>
      <c r="D1141" t="s">
        <v>853</v>
      </c>
      <c r="E1141" t="s">
        <v>573</v>
      </c>
      <c r="F1141" t="s">
        <v>585</v>
      </c>
      <c r="G1141" t="s">
        <v>4007</v>
      </c>
      <c r="H1141" t="str">
        <f>HYPERLINK("https://baanknet.com/view-property/49284/E96786D8EDC9C76CDA9FCE1DCDC8D4921C8A25901931A0E80E9876EFA30D831F", "https://baanknet.com/view-property/49284/E96786D8EDC9C76CDA9FCE1DCDC8D4921C8A25901931A0E80E9876EFA30D831F")</f>
        <v>https://baanknet.com/view-property/49284/E96786D8EDC9C76CDA9FCE1DCDC8D4921C8A25901931A0E80E9876EFA30D831F</v>
      </c>
      <c r="I1141" t="str">
        <f>HYPERLINK("https://baanknet.com/view-property/49284/E96786D8EDC9C76CDA9FCE1DCDC8D4921C8A25901931A0E80E9876EFA30D831F", "Open")</f>
        <v>Open</v>
      </c>
      <c r="J1141" t="s">
        <v>3803</v>
      </c>
      <c r="L1141">
        <v>1386000</v>
      </c>
      <c r="M1141">
        <v>138600</v>
      </c>
    </row>
    <row r="1142" spans="1:13" x14ac:dyDescent="0.25">
      <c r="A1142" t="s">
        <v>4008</v>
      </c>
      <c r="B1142" t="s">
        <v>4009</v>
      </c>
      <c r="C1142" t="s">
        <v>571</v>
      </c>
      <c r="D1142" t="s">
        <v>3994</v>
      </c>
      <c r="E1142" t="s">
        <v>573</v>
      </c>
      <c r="F1142" t="s">
        <v>585</v>
      </c>
      <c r="G1142" t="s">
        <v>4010</v>
      </c>
      <c r="H1142" t="str">
        <f>HYPERLINK("https://baanknet.com/view-property/260990/AE22E284460C81AA0AB5EC93B3CB8F8F843AAB354206A002CE87A65BEB7348E0", "https://baanknet.com/view-property/260990/AE22E284460C81AA0AB5EC93B3CB8F8F843AAB354206A002CE87A65BEB7348E0")</f>
        <v>https://baanknet.com/view-property/260990/AE22E284460C81AA0AB5EC93B3CB8F8F843AAB354206A002CE87A65BEB7348E0</v>
      </c>
      <c r="I1142" t="str">
        <f>HYPERLINK("https://baanknet.com/view-property/260990/AE22E284460C81AA0AB5EC93B3CB8F8F843AAB354206A002CE87A65BEB7348E0", "Open")</f>
        <v>Open</v>
      </c>
      <c r="J1142" t="s">
        <v>3803</v>
      </c>
      <c r="L1142">
        <v>1500000</v>
      </c>
      <c r="M1142">
        <v>150000</v>
      </c>
    </row>
    <row r="1143" spans="1:13" x14ac:dyDescent="0.25">
      <c r="A1143" t="s">
        <v>4011</v>
      </c>
      <c r="B1143" t="s">
        <v>4012</v>
      </c>
      <c r="C1143" t="s">
        <v>387</v>
      </c>
      <c r="D1143" t="s">
        <v>1246</v>
      </c>
      <c r="E1143" t="s">
        <v>573</v>
      </c>
      <c r="F1143" t="s">
        <v>585</v>
      </c>
      <c r="G1143" t="s">
        <v>4013</v>
      </c>
      <c r="H1143" t="str">
        <f>HYPERLINK("https://baanknet.com/view-property/253558/2DE3408A2E363E7D38967E0CDAEDE087AE18281876078CD4166C61800078285A", "https://baanknet.com/view-property/253558/2DE3408A2E363E7D38967E0CDAEDE087AE18281876078CD4166C61800078285A")</f>
        <v>https://baanknet.com/view-property/253558/2DE3408A2E363E7D38967E0CDAEDE087AE18281876078CD4166C61800078285A</v>
      </c>
      <c r="I1143" t="str">
        <f>HYPERLINK("https://baanknet.com/view-property/253558/2DE3408A2E363E7D38967E0CDAEDE087AE18281876078CD4166C61800078285A", "Open")</f>
        <v>Open</v>
      </c>
      <c r="J1143" t="s">
        <v>3803</v>
      </c>
      <c r="L1143">
        <v>3000000</v>
      </c>
      <c r="M1143">
        <v>300000</v>
      </c>
    </row>
    <row r="1144" spans="1:13" x14ac:dyDescent="0.25">
      <c r="A1144" t="s">
        <v>4014</v>
      </c>
      <c r="B1144" t="s">
        <v>4015</v>
      </c>
      <c r="C1144" t="s">
        <v>571</v>
      </c>
      <c r="D1144" t="s">
        <v>608</v>
      </c>
      <c r="E1144" t="s">
        <v>573</v>
      </c>
      <c r="F1144" t="s">
        <v>585</v>
      </c>
      <c r="G1144" t="s">
        <v>4016</v>
      </c>
      <c r="H1144" t="str">
        <f>HYPERLINK("https://baanknet.com/view-property/100656/E3E0D5237C26449404BC4F6E60AA2B11AAA493D041B10350169B58AB51F7F630", "https://baanknet.com/view-property/100656/E3E0D5237C26449404BC4F6E60AA2B11AAA493D041B10350169B58AB51F7F630")</f>
        <v>https://baanknet.com/view-property/100656/E3E0D5237C26449404BC4F6E60AA2B11AAA493D041B10350169B58AB51F7F630</v>
      </c>
      <c r="I1144" t="str">
        <f>HYPERLINK("https://baanknet.com/view-property/100656/E3E0D5237C26449404BC4F6E60AA2B11AAA493D041B10350169B58AB51F7F630", "Open")</f>
        <v>Open</v>
      </c>
      <c r="J1144" t="s">
        <v>3803</v>
      </c>
      <c r="L1144">
        <v>1715000</v>
      </c>
      <c r="M1144">
        <v>171500</v>
      </c>
    </row>
    <row r="1145" spans="1:13" x14ac:dyDescent="0.25">
      <c r="A1145" t="s">
        <v>4017</v>
      </c>
      <c r="B1145" t="s">
        <v>4018</v>
      </c>
      <c r="C1145" t="s">
        <v>571</v>
      </c>
      <c r="D1145" t="s">
        <v>608</v>
      </c>
      <c r="E1145" t="s">
        <v>573</v>
      </c>
      <c r="F1145" t="s">
        <v>585</v>
      </c>
      <c r="G1145" t="s">
        <v>4019</v>
      </c>
      <c r="H1145" t="str">
        <f>HYPERLINK("https://baanknet.com/view-property/42850/44B4347BF1BB5F482999F41AE94CAF96E8F78B3CD0D74AFDA3D6A0DC72A509DB", "https://baanknet.com/view-property/42850/44B4347BF1BB5F482999F41AE94CAF96E8F78B3CD0D74AFDA3D6A0DC72A509DB")</f>
        <v>https://baanknet.com/view-property/42850/44B4347BF1BB5F482999F41AE94CAF96E8F78B3CD0D74AFDA3D6A0DC72A509DB</v>
      </c>
      <c r="I1145" t="str">
        <f>HYPERLINK("https://baanknet.com/view-property/42850/44B4347BF1BB5F482999F41AE94CAF96E8F78B3CD0D74AFDA3D6A0DC72A509DB", "Open")</f>
        <v>Open</v>
      </c>
      <c r="J1145" t="s">
        <v>3803</v>
      </c>
      <c r="L1145">
        <v>4800000</v>
      </c>
      <c r="M1145">
        <v>480000</v>
      </c>
    </row>
    <row r="1146" spans="1:13" x14ac:dyDescent="0.25">
      <c r="A1146" t="s">
        <v>4020</v>
      </c>
      <c r="B1146" t="s">
        <v>4021</v>
      </c>
      <c r="C1146" t="s">
        <v>571</v>
      </c>
      <c r="D1146" t="s">
        <v>3460</v>
      </c>
      <c r="E1146" t="s">
        <v>573</v>
      </c>
      <c r="F1146" t="s">
        <v>585</v>
      </c>
      <c r="G1146" t="s">
        <v>4022</v>
      </c>
      <c r="H1146" t="str">
        <f>HYPERLINK("https://baanknet.com/view-property/226120/47097E38945DBFA45A68210B8B4ADB0A37477583A9503048B620D6C63CA4E38D", "https://baanknet.com/view-property/226120/47097E38945DBFA45A68210B8B4ADB0A37477583A9503048B620D6C63CA4E38D")</f>
        <v>https://baanknet.com/view-property/226120/47097E38945DBFA45A68210B8B4ADB0A37477583A9503048B620D6C63CA4E38D</v>
      </c>
      <c r="I1146" t="str">
        <f>HYPERLINK("https://baanknet.com/view-property/226120/47097E38945DBFA45A68210B8B4ADB0A37477583A9503048B620D6C63CA4E38D", "Open")</f>
        <v>Open</v>
      </c>
      <c r="J1146" t="s">
        <v>3803</v>
      </c>
      <c r="L1146">
        <v>8197000</v>
      </c>
      <c r="M1146">
        <v>819700</v>
      </c>
    </row>
    <row r="1147" spans="1:13" x14ac:dyDescent="0.25">
      <c r="A1147" t="s">
        <v>4023</v>
      </c>
      <c r="B1147" t="s">
        <v>4024</v>
      </c>
      <c r="C1147" t="s">
        <v>571</v>
      </c>
      <c r="D1147" t="s">
        <v>3460</v>
      </c>
      <c r="E1147" t="s">
        <v>573</v>
      </c>
      <c r="F1147" t="s">
        <v>585</v>
      </c>
      <c r="G1147" t="s">
        <v>4025</v>
      </c>
      <c r="H1147" t="str">
        <f>HYPERLINK("https://baanknet.com/view-property/50157/B4B85B6C71CAE2AE93B0E6C3F804A0AEF1CD8D16A7D6B505133C69B97596847A", "https://baanknet.com/view-property/50157/B4B85B6C71CAE2AE93B0E6C3F804A0AEF1CD8D16A7D6B505133C69B97596847A")</f>
        <v>https://baanknet.com/view-property/50157/B4B85B6C71CAE2AE93B0E6C3F804A0AEF1CD8D16A7D6B505133C69B97596847A</v>
      </c>
      <c r="I1147" t="str">
        <f>HYPERLINK("https://baanknet.com/view-property/50157/B4B85B6C71CAE2AE93B0E6C3F804A0AEF1CD8D16A7D6B505133C69B97596847A", "Open")</f>
        <v>Open</v>
      </c>
      <c r="J1147" t="s">
        <v>3803</v>
      </c>
      <c r="L1147">
        <v>2130000</v>
      </c>
      <c r="M1147">
        <v>213000</v>
      </c>
    </row>
    <row r="1148" spans="1:13" x14ac:dyDescent="0.25">
      <c r="A1148" t="s">
        <v>4026</v>
      </c>
      <c r="B1148" t="s">
        <v>4027</v>
      </c>
      <c r="C1148" t="s">
        <v>571</v>
      </c>
      <c r="D1148" t="s">
        <v>3460</v>
      </c>
      <c r="E1148" t="s">
        <v>573</v>
      </c>
      <c r="F1148" t="s">
        <v>585</v>
      </c>
      <c r="G1148" t="s">
        <v>4028</v>
      </c>
      <c r="H1148" t="str">
        <f>HYPERLINK("https://baanknet.com/view-property/34025/AA3198423F667DB349BED16EB6E1169C4210F2479842C99F125EAA4ECEB0FDB6", "https://baanknet.com/view-property/34025/AA3198423F667DB349BED16EB6E1169C4210F2479842C99F125EAA4ECEB0FDB6")</f>
        <v>https://baanknet.com/view-property/34025/AA3198423F667DB349BED16EB6E1169C4210F2479842C99F125EAA4ECEB0FDB6</v>
      </c>
      <c r="I1148" t="str">
        <f>HYPERLINK("https://baanknet.com/view-property/34025/AA3198423F667DB349BED16EB6E1169C4210F2479842C99F125EAA4ECEB0FDB6", "Open")</f>
        <v>Open</v>
      </c>
      <c r="J1148" t="s">
        <v>3803</v>
      </c>
    </row>
    <row r="1149" spans="1:13" x14ac:dyDescent="0.25">
      <c r="A1149" t="s">
        <v>4029</v>
      </c>
      <c r="B1149" t="s">
        <v>4030</v>
      </c>
      <c r="C1149" t="s">
        <v>571</v>
      </c>
      <c r="D1149" t="s">
        <v>3460</v>
      </c>
      <c r="E1149" t="s">
        <v>573</v>
      </c>
      <c r="F1149" t="s">
        <v>585</v>
      </c>
      <c r="G1149" t="s">
        <v>4031</v>
      </c>
      <c r="H1149" t="str">
        <f>HYPERLINK("https://baanknet.com/view-property/73760/728CFE8D7B7244442964E368B76925BFD1D5DE3C55A71C37EA347CA1BF6EE94A", "https://baanknet.com/view-property/73760/728CFE8D7B7244442964E368B76925BFD1D5DE3C55A71C37EA347CA1BF6EE94A")</f>
        <v>https://baanknet.com/view-property/73760/728CFE8D7B7244442964E368B76925BFD1D5DE3C55A71C37EA347CA1BF6EE94A</v>
      </c>
      <c r="I1149" t="str">
        <f>HYPERLINK("https://baanknet.com/view-property/73760/728CFE8D7B7244442964E368B76925BFD1D5DE3C55A71C37EA347CA1BF6EE94A", "Open")</f>
        <v>Open</v>
      </c>
      <c r="J1149" t="s">
        <v>3803</v>
      </c>
      <c r="L1149">
        <v>1900000</v>
      </c>
      <c r="M1149">
        <v>190000</v>
      </c>
    </row>
    <row r="1150" spans="1:13" x14ac:dyDescent="0.25">
      <c r="A1150" t="s">
        <v>4032</v>
      </c>
      <c r="B1150" t="s">
        <v>4033</v>
      </c>
      <c r="C1150" t="s">
        <v>571</v>
      </c>
      <c r="D1150" t="s">
        <v>4034</v>
      </c>
      <c r="E1150" t="s">
        <v>573</v>
      </c>
      <c r="F1150" t="s">
        <v>585</v>
      </c>
      <c r="G1150" t="s">
        <v>4035</v>
      </c>
      <c r="H1150" t="str">
        <f>HYPERLINK("https://baanknet.com/view-property/286555/931675AFDC71586CE5AC1DF8BC9014C4C3F6290B4FEB417FE10032A93039146A", "https://baanknet.com/view-property/286555/931675AFDC71586CE5AC1DF8BC9014C4C3F6290B4FEB417FE10032A93039146A")</f>
        <v>https://baanknet.com/view-property/286555/931675AFDC71586CE5AC1DF8BC9014C4C3F6290B4FEB417FE10032A93039146A</v>
      </c>
      <c r="I1150" t="str">
        <f>HYPERLINK("https://baanknet.com/view-property/286555/931675AFDC71586CE5AC1DF8BC9014C4C3F6290B4FEB417FE10032A93039146A", "Open")</f>
        <v>Open</v>
      </c>
      <c r="J1150" t="s">
        <v>3803</v>
      </c>
      <c r="L1150">
        <v>3400000</v>
      </c>
      <c r="M1150">
        <v>340000</v>
      </c>
    </row>
    <row r="1151" spans="1:13" x14ac:dyDescent="0.25">
      <c r="A1151" t="s">
        <v>4036</v>
      </c>
      <c r="B1151" t="s">
        <v>4037</v>
      </c>
      <c r="C1151" t="s">
        <v>571</v>
      </c>
      <c r="D1151" t="s">
        <v>3855</v>
      </c>
      <c r="E1151" t="s">
        <v>573</v>
      </c>
      <c r="F1151" t="s">
        <v>585</v>
      </c>
      <c r="G1151" t="s">
        <v>4038</v>
      </c>
      <c r="H1151" t="str">
        <f>HYPERLINK("https://baanknet.com/view-property/256090/7E95953ECB2709ECAC4AF6C44CDF974553DF3C02CDD91EC271C360A87FAD5208", "https://baanknet.com/view-property/256090/7E95953ECB2709ECAC4AF6C44CDF974553DF3C02CDD91EC271C360A87FAD5208")</f>
        <v>https://baanknet.com/view-property/256090/7E95953ECB2709ECAC4AF6C44CDF974553DF3C02CDD91EC271C360A87FAD5208</v>
      </c>
      <c r="I1151" t="str">
        <f>HYPERLINK("https://baanknet.com/view-property/256090/7E95953ECB2709ECAC4AF6C44CDF974553DF3C02CDD91EC271C360A87FAD5208", "Open")</f>
        <v>Open</v>
      </c>
      <c r="J1151" t="s">
        <v>3803</v>
      </c>
      <c r="L1151">
        <v>10377100</v>
      </c>
      <c r="M1151">
        <v>1037710</v>
      </c>
    </row>
    <row r="1152" spans="1:13" x14ac:dyDescent="0.25">
      <c r="A1152" t="s">
        <v>4039</v>
      </c>
      <c r="B1152" t="s">
        <v>4040</v>
      </c>
      <c r="C1152" t="s">
        <v>332</v>
      </c>
      <c r="D1152" t="s">
        <v>1310</v>
      </c>
      <c r="E1152" t="s">
        <v>573</v>
      </c>
      <c r="F1152" t="s">
        <v>585</v>
      </c>
      <c r="G1152" t="s">
        <v>4041</v>
      </c>
      <c r="H1152" t="str">
        <f>HYPERLINK("https://baanknet.com/view-property/245560/A1E8690EA8B4400CFDB296D9617FB9BD1D0202E5D886EBB9D66A3F9B454A0847", "https://baanknet.com/view-property/245560/A1E8690EA8B4400CFDB296D9617FB9BD1D0202E5D886EBB9D66A3F9B454A0847")</f>
        <v>https://baanknet.com/view-property/245560/A1E8690EA8B4400CFDB296D9617FB9BD1D0202E5D886EBB9D66A3F9B454A0847</v>
      </c>
      <c r="I1152" t="str">
        <f>HYPERLINK("https://baanknet.com/view-property/245560/A1E8690EA8B4400CFDB296D9617FB9BD1D0202E5D886EBB9D66A3F9B454A0847", "Open")</f>
        <v>Open</v>
      </c>
      <c r="J1152" t="s">
        <v>3803</v>
      </c>
      <c r="L1152">
        <v>26800000</v>
      </c>
      <c r="M1152">
        <v>2680000</v>
      </c>
    </row>
    <row r="1153" spans="1:13" x14ac:dyDescent="0.25">
      <c r="A1153" t="s">
        <v>4042</v>
      </c>
      <c r="B1153" t="s">
        <v>4043</v>
      </c>
      <c r="C1153" t="s">
        <v>332</v>
      </c>
      <c r="D1153" t="s">
        <v>1300</v>
      </c>
      <c r="E1153" t="s">
        <v>573</v>
      </c>
      <c r="F1153" t="s">
        <v>585</v>
      </c>
      <c r="G1153" t="s">
        <v>4044</v>
      </c>
      <c r="H1153" t="str">
        <f>HYPERLINK("https://baanknet.com/view-property/64155/225B75378F9BFFAE285F8048C39FB4B1614BC9EBFCC4E03696B36AF09550F56E", "https://baanknet.com/view-property/64155/225B75378F9BFFAE285F8048C39FB4B1614BC9EBFCC4E03696B36AF09550F56E")</f>
        <v>https://baanknet.com/view-property/64155/225B75378F9BFFAE285F8048C39FB4B1614BC9EBFCC4E03696B36AF09550F56E</v>
      </c>
      <c r="I1153" t="str">
        <f>HYPERLINK("https://baanknet.com/view-property/64155/225B75378F9BFFAE285F8048C39FB4B1614BC9EBFCC4E03696B36AF09550F56E", "Open")</f>
        <v>Open</v>
      </c>
      <c r="J1153" t="s">
        <v>3803</v>
      </c>
    </row>
    <row r="1154" spans="1:13" x14ac:dyDescent="0.25">
      <c r="A1154" t="s">
        <v>4045</v>
      </c>
      <c r="B1154" t="s">
        <v>4046</v>
      </c>
      <c r="C1154" t="s">
        <v>332</v>
      </c>
      <c r="D1154" t="s">
        <v>1246</v>
      </c>
      <c r="E1154" t="s">
        <v>573</v>
      </c>
      <c r="F1154" t="s">
        <v>585</v>
      </c>
      <c r="G1154" t="s">
        <v>4047</v>
      </c>
      <c r="H1154" t="str">
        <f>HYPERLINK("https://baanknet.com/view-property/245993/153368BAD7E30A72D2FED29EBE0417B6AE2339275C67EFCDC6473D392BFC8C97", "https://baanknet.com/view-property/245993/153368BAD7E30A72D2FED29EBE0417B6AE2339275C67EFCDC6473D392BFC8C97")</f>
        <v>https://baanknet.com/view-property/245993/153368BAD7E30A72D2FED29EBE0417B6AE2339275C67EFCDC6473D392BFC8C97</v>
      </c>
      <c r="I1154" t="str">
        <f>HYPERLINK("https://baanknet.com/view-property/245993/153368BAD7E30A72D2FED29EBE0417B6AE2339275C67EFCDC6473D392BFC8C97", "Open")</f>
        <v>Open</v>
      </c>
      <c r="J1154" t="s">
        <v>3803</v>
      </c>
      <c r="L1154">
        <v>3200000</v>
      </c>
      <c r="M1154">
        <v>320000</v>
      </c>
    </row>
    <row r="1155" spans="1:13" x14ac:dyDescent="0.25">
      <c r="A1155" t="s">
        <v>4048</v>
      </c>
      <c r="B1155" t="s">
        <v>4049</v>
      </c>
      <c r="C1155" t="s">
        <v>332</v>
      </c>
      <c r="D1155" t="s">
        <v>393</v>
      </c>
      <c r="E1155" t="s">
        <v>573</v>
      </c>
      <c r="F1155" t="s">
        <v>585</v>
      </c>
      <c r="G1155" t="s">
        <v>4050</v>
      </c>
      <c r="H1155" t="str">
        <f>HYPERLINK("https://baanknet.com/view-property/285008/D4CB994AC41BECE998B46F93A54B6F57963D8486685AA1BCBF37F4CA03F37A12", "https://baanknet.com/view-property/285008/D4CB994AC41BECE998B46F93A54B6F57963D8486685AA1BCBF37F4CA03F37A12")</f>
        <v>https://baanknet.com/view-property/285008/D4CB994AC41BECE998B46F93A54B6F57963D8486685AA1BCBF37F4CA03F37A12</v>
      </c>
      <c r="I1155" t="str">
        <f>HYPERLINK("https://baanknet.com/view-property/285008/D4CB994AC41BECE998B46F93A54B6F57963D8486685AA1BCBF37F4CA03F37A12", "Open")</f>
        <v>Open</v>
      </c>
      <c r="J1155" t="s">
        <v>3803</v>
      </c>
      <c r="L1155">
        <v>25000000</v>
      </c>
      <c r="M1155">
        <v>2500000</v>
      </c>
    </row>
    <row r="1156" spans="1:13" x14ac:dyDescent="0.25">
      <c r="A1156" t="s">
        <v>4051</v>
      </c>
      <c r="B1156" t="s">
        <v>4052</v>
      </c>
      <c r="C1156" t="s">
        <v>571</v>
      </c>
      <c r="D1156" t="s">
        <v>4053</v>
      </c>
      <c r="E1156" t="s">
        <v>573</v>
      </c>
      <c r="F1156" t="s">
        <v>585</v>
      </c>
      <c r="G1156" t="s">
        <v>4054</v>
      </c>
      <c r="H1156" t="str">
        <f>HYPERLINK("https://baanknet.com/view-property/285575/BBAF254C682017427A0EADBE9CB782051D2BE4F9C01F78C82CEB4D5855C51E2F", "https://baanknet.com/view-property/285575/BBAF254C682017427A0EADBE9CB782051D2BE4F9C01F78C82CEB4D5855C51E2F")</f>
        <v>https://baanknet.com/view-property/285575/BBAF254C682017427A0EADBE9CB782051D2BE4F9C01F78C82CEB4D5855C51E2F</v>
      </c>
      <c r="I1156" t="str">
        <f>HYPERLINK("https://baanknet.com/view-property/285575/BBAF254C682017427A0EADBE9CB782051D2BE4F9C01F78C82CEB4D5855C51E2F", "Open")</f>
        <v>Open</v>
      </c>
      <c r="J1156" t="s">
        <v>3803</v>
      </c>
      <c r="L1156">
        <v>11100000</v>
      </c>
      <c r="M1156">
        <v>1110000</v>
      </c>
    </row>
    <row r="1157" spans="1:13" x14ac:dyDescent="0.25">
      <c r="A1157" t="s">
        <v>4055</v>
      </c>
      <c r="B1157" t="s">
        <v>4056</v>
      </c>
      <c r="C1157" t="s">
        <v>571</v>
      </c>
      <c r="D1157" t="s">
        <v>4057</v>
      </c>
      <c r="E1157" t="s">
        <v>573</v>
      </c>
      <c r="F1157" t="s">
        <v>574</v>
      </c>
      <c r="G1157" t="s">
        <v>4058</v>
      </c>
      <c r="H1157" t="str">
        <f>HYPERLINK("https://baanknet.com/view-property/261797/CD06E2F4993F6DA60E9C806BB47B871CE316931DF29862621B4E99CF68FBFBE6", "https://baanknet.com/view-property/261797/CD06E2F4993F6DA60E9C806BB47B871CE316931DF29862621B4E99CF68FBFBE6")</f>
        <v>https://baanknet.com/view-property/261797/CD06E2F4993F6DA60E9C806BB47B871CE316931DF29862621B4E99CF68FBFBE6</v>
      </c>
      <c r="I1157" t="str">
        <f>HYPERLINK("https://baanknet.com/view-property/261797/CD06E2F4993F6DA60E9C806BB47B871CE316931DF29862621B4E99CF68FBFBE6", "Open")</f>
        <v>Open</v>
      </c>
      <c r="J1157" t="s">
        <v>3803</v>
      </c>
      <c r="L1157">
        <v>2387000</v>
      </c>
      <c r="M1157">
        <v>238700</v>
      </c>
    </row>
    <row r="1158" spans="1:13" x14ac:dyDescent="0.25">
      <c r="A1158" t="s">
        <v>4059</v>
      </c>
      <c r="B1158" t="s">
        <v>4060</v>
      </c>
      <c r="C1158" t="s">
        <v>571</v>
      </c>
      <c r="D1158" t="s">
        <v>4061</v>
      </c>
      <c r="E1158" t="s">
        <v>573</v>
      </c>
      <c r="F1158" t="s">
        <v>574</v>
      </c>
      <c r="G1158" t="s">
        <v>4062</v>
      </c>
      <c r="H1158" t="str">
        <f>HYPERLINK("https://baanknet.com/view-property/50664/DA5BE751503C5BDFCA2A363B527E0476A02274875A4FC38FE81ADAA0B2BE41AE", "https://baanknet.com/view-property/50664/DA5BE751503C5BDFCA2A363B527E0476A02274875A4FC38FE81ADAA0B2BE41AE")</f>
        <v>https://baanknet.com/view-property/50664/DA5BE751503C5BDFCA2A363B527E0476A02274875A4FC38FE81ADAA0B2BE41AE</v>
      </c>
      <c r="I1158" t="str">
        <f>HYPERLINK("https://baanknet.com/view-property/50664/DA5BE751503C5BDFCA2A363B527E0476A02274875A4FC38FE81ADAA0B2BE41AE", "Open")</f>
        <v>Open</v>
      </c>
      <c r="J1158" t="s">
        <v>3803</v>
      </c>
      <c r="L1158">
        <v>1160000</v>
      </c>
      <c r="M1158">
        <v>116000</v>
      </c>
    </row>
    <row r="1159" spans="1:13" x14ac:dyDescent="0.25">
      <c r="A1159" t="s">
        <v>4063</v>
      </c>
      <c r="B1159" t="s">
        <v>4064</v>
      </c>
      <c r="C1159" t="s">
        <v>571</v>
      </c>
      <c r="D1159" t="s">
        <v>4065</v>
      </c>
      <c r="E1159" t="s">
        <v>573</v>
      </c>
      <c r="F1159" t="s">
        <v>574</v>
      </c>
      <c r="G1159" t="s">
        <v>4066</v>
      </c>
      <c r="H1159" t="str">
        <f>HYPERLINK("https://baanknet.com/view-property/285388/EEF747B87087CFD38522FAF68C2EF88CF3415EE10D82AC253B96159ED8828367", "https://baanknet.com/view-property/285388/EEF747B87087CFD38522FAF68C2EF88CF3415EE10D82AC253B96159ED8828367")</f>
        <v>https://baanknet.com/view-property/285388/EEF747B87087CFD38522FAF68C2EF88CF3415EE10D82AC253B96159ED8828367</v>
      </c>
      <c r="I1159" t="str">
        <f>HYPERLINK("https://baanknet.com/view-property/285388/EEF747B87087CFD38522FAF68C2EF88CF3415EE10D82AC253B96159ED8828367", "Open")</f>
        <v>Open</v>
      </c>
      <c r="J1159" t="s">
        <v>3803</v>
      </c>
      <c r="L1159">
        <v>2915000</v>
      </c>
      <c r="M1159">
        <v>291500</v>
      </c>
    </row>
    <row r="1160" spans="1:13" x14ac:dyDescent="0.25">
      <c r="A1160" t="s">
        <v>4067</v>
      </c>
      <c r="B1160" t="s">
        <v>4068</v>
      </c>
      <c r="C1160" t="s">
        <v>571</v>
      </c>
      <c r="D1160" t="s">
        <v>518</v>
      </c>
      <c r="E1160" t="s">
        <v>573</v>
      </c>
      <c r="F1160" t="s">
        <v>574</v>
      </c>
      <c r="G1160" t="s">
        <v>4069</v>
      </c>
      <c r="H1160" t="str">
        <f>HYPERLINK("https://baanknet.com/view-property/285330/FC9461D8E4C38340D97EA908BA088DEE9D26937DFA210CB5B893A600E553772E", "https://baanknet.com/view-property/285330/FC9461D8E4C38340D97EA908BA088DEE9D26937DFA210CB5B893A600E553772E")</f>
        <v>https://baanknet.com/view-property/285330/FC9461D8E4C38340D97EA908BA088DEE9D26937DFA210CB5B893A600E553772E</v>
      </c>
      <c r="I1160" t="str">
        <f>HYPERLINK("https://baanknet.com/view-property/285330/FC9461D8E4C38340D97EA908BA088DEE9D26937DFA210CB5B893A600E553772E", "Open")</f>
        <v>Open</v>
      </c>
      <c r="J1160" t="s">
        <v>3803</v>
      </c>
      <c r="L1160">
        <v>17500000</v>
      </c>
      <c r="M1160">
        <v>1750000</v>
      </c>
    </row>
    <row r="1161" spans="1:13" x14ac:dyDescent="0.25">
      <c r="A1161" t="s">
        <v>4070</v>
      </c>
      <c r="B1161" t="s">
        <v>4071</v>
      </c>
      <c r="C1161" t="s">
        <v>571</v>
      </c>
      <c r="D1161" t="s">
        <v>518</v>
      </c>
      <c r="E1161" t="s">
        <v>573</v>
      </c>
      <c r="F1161" t="s">
        <v>574</v>
      </c>
      <c r="G1161" t="s">
        <v>4072</v>
      </c>
      <c r="H1161" t="str">
        <f>HYPERLINK("https://baanknet.com/view-property/285334/909FB196C8B283C7A0C3D499A866C441B259740DF8314A03319C4D8DD59D248F", "https://baanknet.com/view-property/285334/909FB196C8B283C7A0C3D499A866C441B259740DF8314A03319C4D8DD59D248F")</f>
        <v>https://baanknet.com/view-property/285334/909FB196C8B283C7A0C3D499A866C441B259740DF8314A03319C4D8DD59D248F</v>
      </c>
      <c r="I1161" t="str">
        <f>HYPERLINK("https://baanknet.com/view-property/285334/909FB196C8B283C7A0C3D499A866C441B259740DF8314A03319C4D8DD59D248F", "Open")</f>
        <v>Open</v>
      </c>
      <c r="J1161" t="s">
        <v>3803</v>
      </c>
      <c r="L1161">
        <v>10700000</v>
      </c>
      <c r="M1161">
        <v>1070000</v>
      </c>
    </row>
    <row r="1162" spans="1:13" x14ac:dyDescent="0.25">
      <c r="A1162" t="s">
        <v>4073</v>
      </c>
      <c r="B1162" t="s">
        <v>4074</v>
      </c>
      <c r="C1162" t="s">
        <v>571</v>
      </c>
      <c r="D1162" t="s">
        <v>518</v>
      </c>
      <c r="E1162" t="s">
        <v>573</v>
      </c>
      <c r="F1162" t="s">
        <v>574</v>
      </c>
      <c r="G1162" t="s">
        <v>4075</v>
      </c>
      <c r="H1162" t="str">
        <f>HYPERLINK("https://baanknet.com/view-property/285337/3B8169A09B94481FDC8118AC7275FD9C7562E8F232DAE14450918DEEFEEBC01A", "https://baanknet.com/view-property/285337/3B8169A09B94481FDC8118AC7275FD9C7562E8F232DAE14450918DEEFEEBC01A")</f>
        <v>https://baanknet.com/view-property/285337/3B8169A09B94481FDC8118AC7275FD9C7562E8F232DAE14450918DEEFEEBC01A</v>
      </c>
      <c r="I1162" t="str">
        <f>HYPERLINK("https://baanknet.com/view-property/285337/3B8169A09B94481FDC8118AC7275FD9C7562E8F232DAE14450918DEEFEEBC01A", "Open")</f>
        <v>Open</v>
      </c>
      <c r="J1162" t="s">
        <v>3803</v>
      </c>
      <c r="L1162">
        <v>7900000</v>
      </c>
      <c r="M1162">
        <v>790000</v>
      </c>
    </row>
    <row r="1163" spans="1:13" x14ac:dyDescent="0.25">
      <c r="A1163" t="s">
        <v>4076</v>
      </c>
      <c r="B1163" t="s">
        <v>4077</v>
      </c>
      <c r="C1163" t="s">
        <v>571</v>
      </c>
      <c r="D1163" t="s">
        <v>4078</v>
      </c>
      <c r="E1163" t="s">
        <v>573</v>
      </c>
      <c r="F1163" t="s">
        <v>574</v>
      </c>
      <c r="G1163" t="s">
        <v>4079</v>
      </c>
      <c r="H1163" t="str">
        <f>HYPERLINK("https://baanknet.com/view-property/285434/DC442C3653901D4E8D379AE31FD64624CF847C4FF456C425DD87D18F222D9329", "https://baanknet.com/view-property/285434/DC442C3653901D4E8D379AE31FD64624CF847C4FF456C425DD87D18F222D9329")</f>
        <v>https://baanknet.com/view-property/285434/DC442C3653901D4E8D379AE31FD64624CF847C4FF456C425DD87D18F222D9329</v>
      </c>
      <c r="I1163" t="str">
        <f>HYPERLINK("https://baanknet.com/view-property/285434/DC442C3653901D4E8D379AE31FD64624CF847C4FF456C425DD87D18F222D9329", "Open")</f>
        <v>Open</v>
      </c>
      <c r="J1163" t="s">
        <v>3803</v>
      </c>
      <c r="L1163">
        <v>3271000</v>
      </c>
      <c r="M1163">
        <v>327100</v>
      </c>
    </row>
    <row r="1164" spans="1:13" x14ac:dyDescent="0.25">
      <c r="A1164" t="s">
        <v>4080</v>
      </c>
      <c r="B1164" t="s">
        <v>4081</v>
      </c>
      <c r="C1164" t="s">
        <v>571</v>
      </c>
      <c r="D1164" t="s">
        <v>282</v>
      </c>
      <c r="E1164" t="s">
        <v>573</v>
      </c>
      <c r="F1164" t="s">
        <v>574</v>
      </c>
      <c r="G1164" t="s">
        <v>4082</v>
      </c>
      <c r="H1164" t="str">
        <f>HYPERLINK("https://baanknet.com/view-property/285341/07AA3858C425B541BE9D37B3A642EBA333BB7C7BC4CBFCE13B5F61739748F19C", "https://baanknet.com/view-property/285341/07AA3858C425B541BE9D37B3A642EBA333BB7C7BC4CBFCE13B5F61739748F19C")</f>
        <v>https://baanknet.com/view-property/285341/07AA3858C425B541BE9D37B3A642EBA333BB7C7BC4CBFCE13B5F61739748F19C</v>
      </c>
      <c r="I1164" t="str">
        <f>HYPERLINK("https://baanknet.com/view-property/285341/07AA3858C425B541BE9D37B3A642EBA333BB7C7BC4CBFCE13B5F61739748F19C", "Open")</f>
        <v>Open</v>
      </c>
      <c r="J1164" t="s">
        <v>3803</v>
      </c>
      <c r="L1164">
        <v>4329000</v>
      </c>
      <c r="M1164">
        <v>432900</v>
      </c>
    </row>
    <row r="1165" spans="1:13" x14ac:dyDescent="0.25">
      <c r="A1165" t="s">
        <v>4083</v>
      </c>
      <c r="B1165" t="s">
        <v>4084</v>
      </c>
      <c r="C1165" t="s">
        <v>571</v>
      </c>
      <c r="D1165" t="s">
        <v>4085</v>
      </c>
      <c r="E1165" t="s">
        <v>573</v>
      </c>
      <c r="F1165" t="s">
        <v>574</v>
      </c>
      <c r="G1165" t="s">
        <v>4086</v>
      </c>
      <c r="H1165" t="str">
        <f>HYPERLINK("https://baanknet.com/view-property/285347/A17E60E46D3FD1240EEA2FD8922B9B7E7DB769331C2451E3A42CB2AED3EB82F3", "https://baanknet.com/view-property/285347/A17E60E46D3FD1240EEA2FD8922B9B7E7DB769331C2451E3A42CB2AED3EB82F3")</f>
        <v>https://baanknet.com/view-property/285347/A17E60E46D3FD1240EEA2FD8922B9B7E7DB769331C2451E3A42CB2AED3EB82F3</v>
      </c>
      <c r="I1165" t="str">
        <f>HYPERLINK("https://baanknet.com/view-property/285347/A17E60E46D3FD1240EEA2FD8922B9B7E7DB769331C2451E3A42CB2AED3EB82F3", "Open")</f>
        <v>Open</v>
      </c>
      <c r="J1165" t="s">
        <v>3803</v>
      </c>
      <c r="L1165">
        <v>2965000</v>
      </c>
      <c r="M1165">
        <v>296500</v>
      </c>
    </row>
    <row r="1166" spans="1:13" x14ac:dyDescent="0.25">
      <c r="A1166" t="s">
        <v>4087</v>
      </c>
      <c r="B1166" t="s">
        <v>4088</v>
      </c>
      <c r="C1166" t="s">
        <v>571</v>
      </c>
      <c r="D1166" t="s">
        <v>282</v>
      </c>
      <c r="E1166" t="s">
        <v>573</v>
      </c>
      <c r="F1166" t="s">
        <v>574</v>
      </c>
      <c r="G1166" t="s">
        <v>4089</v>
      </c>
      <c r="H1166" t="str">
        <f>HYPERLINK("https://baanknet.com/view-property/285349/CCECE34F634945A5C25C34D219F2393747F6F39E312BAEAB81A326407D3F2C60", "https://baanknet.com/view-property/285349/CCECE34F634945A5C25C34D219F2393747F6F39E312BAEAB81A326407D3F2C60")</f>
        <v>https://baanknet.com/view-property/285349/CCECE34F634945A5C25C34D219F2393747F6F39E312BAEAB81A326407D3F2C60</v>
      </c>
      <c r="I1166" t="str">
        <f>HYPERLINK("https://baanknet.com/view-property/285349/CCECE34F634945A5C25C34D219F2393747F6F39E312BAEAB81A326407D3F2C60", "Open")</f>
        <v>Open</v>
      </c>
      <c r="J1166" t="s">
        <v>3803</v>
      </c>
      <c r="L1166">
        <v>1348000</v>
      </c>
      <c r="M1166">
        <v>134800</v>
      </c>
    </row>
    <row r="1167" spans="1:13" x14ac:dyDescent="0.25">
      <c r="A1167" t="s">
        <v>4090</v>
      </c>
      <c r="B1167" t="s">
        <v>4091</v>
      </c>
      <c r="C1167" t="s">
        <v>571</v>
      </c>
      <c r="D1167" t="s">
        <v>282</v>
      </c>
      <c r="E1167" t="s">
        <v>573</v>
      </c>
      <c r="F1167" t="s">
        <v>574</v>
      </c>
      <c r="G1167" t="s">
        <v>4092</v>
      </c>
      <c r="H1167" t="str">
        <f>HYPERLINK("https://baanknet.com/view-property/285352/CE961DE8A3F1D41E9BE1589C2719CF33E6CC16D1C32013C79B033005DA3C48EB", "https://baanknet.com/view-property/285352/CE961DE8A3F1D41E9BE1589C2719CF33E6CC16D1C32013C79B033005DA3C48EB")</f>
        <v>https://baanknet.com/view-property/285352/CE961DE8A3F1D41E9BE1589C2719CF33E6CC16D1C32013C79B033005DA3C48EB</v>
      </c>
      <c r="I1167" t="str">
        <f>HYPERLINK("https://baanknet.com/view-property/285352/CE961DE8A3F1D41E9BE1589C2719CF33E6CC16D1C32013C79B033005DA3C48EB", "Open")</f>
        <v>Open</v>
      </c>
      <c r="J1167" t="s">
        <v>3803</v>
      </c>
      <c r="L1167">
        <v>1040000</v>
      </c>
      <c r="M1167">
        <v>104000</v>
      </c>
    </row>
    <row r="1168" spans="1:13" x14ac:dyDescent="0.25">
      <c r="A1168" t="s">
        <v>4093</v>
      </c>
      <c r="B1168" t="s">
        <v>4094</v>
      </c>
      <c r="C1168" t="s">
        <v>571</v>
      </c>
      <c r="D1168" t="s">
        <v>4095</v>
      </c>
      <c r="E1168" t="s">
        <v>573</v>
      </c>
      <c r="F1168" t="s">
        <v>574</v>
      </c>
      <c r="G1168" t="s">
        <v>4096</v>
      </c>
      <c r="H1168" t="str">
        <f>HYPERLINK("https://baanknet.com/view-property/15761/43DCAC010E2DC609488815282C659C61B243CD6566F3E58150CE1AE54DA3C6FE", "https://baanknet.com/view-property/15761/43DCAC010E2DC609488815282C659C61B243CD6566F3E58150CE1AE54DA3C6FE")</f>
        <v>https://baanknet.com/view-property/15761/43DCAC010E2DC609488815282C659C61B243CD6566F3E58150CE1AE54DA3C6FE</v>
      </c>
      <c r="I1168" t="str">
        <f>HYPERLINK("https://baanknet.com/view-property/15761/43DCAC010E2DC609488815282C659C61B243CD6566F3E58150CE1AE54DA3C6FE", "Open")</f>
        <v>Open</v>
      </c>
      <c r="J1168" t="s">
        <v>3803</v>
      </c>
      <c r="L1168">
        <v>1104000</v>
      </c>
      <c r="M1168">
        <v>110400</v>
      </c>
    </row>
    <row r="1169" spans="1:13" x14ac:dyDescent="0.25">
      <c r="A1169" t="s">
        <v>4097</v>
      </c>
      <c r="B1169" t="s">
        <v>4098</v>
      </c>
      <c r="C1169" t="s">
        <v>15</v>
      </c>
      <c r="D1169" t="s">
        <v>191</v>
      </c>
      <c r="E1169" t="s">
        <v>573</v>
      </c>
      <c r="F1169" t="s">
        <v>574</v>
      </c>
      <c r="G1169" t="s">
        <v>4099</v>
      </c>
      <c r="H1169" t="str">
        <f>HYPERLINK("https://baanknet.com/view-property/199123/15E82452FBD481BBD702850FCF3E0329C0F676E05914D70EEB069E2B5DD3FA0F", "https://baanknet.com/view-property/199123/15E82452FBD481BBD702850FCF3E0329C0F676E05914D70EEB069E2B5DD3FA0F")</f>
        <v>https://baanknet.com/view-property/199123/15E82452FBD481BBD702850FCF3E0329C0F676E05914D70EEB069E2B5DD3FA0F</v>
      </c>
      <c r="I1169" t="str">
        <f>HYPERLINK("https://baanknet.com/view-property/199123/15E82452FBD481BBD702850FCF3E0329C0F676E05914D70EEB069E2B5DD3FA0F", "Open")</f>
        <v>Open</v>
      </c>
      <c r="J1169" t="s">
        <v>3803</v>
      </c>
      <c r="L1169">
        <v>1190000</v>
      </c>
      <c r="M1169">
        <v>119000</v>
      </c>
    </row>
    <row r="1170" spans="1:13" x14ac:dyDescent="0.25">
      <c r="A1170" t="s">
        <v>4100</v>
      </c>
      <c r="B1170" t="s">
        <v>4101</v>
      </c>
      <c r="C1170" t="s">
        <v>571</v>
      </c>
      <c r="D1170" t="s">
        <v>4095</v>
      </c>
      <c r="E1170" t="s">
        <v>573</v>
      </c>
      <c r="F1170" t="s">
        <v>574</v>
      </c>
      <c r="G1170" t="s">
        <v>4102</v>
      </c>
      <c r="H1170" t="str">
        <f>HYPERLINK("https://baanknet.com/view-property/286517/F5B7D1B07E777DFFE13C6787E5EC61C89D947B2683BDBA78BE11CC97CCEBF3D2", "https://baanknet.com/view-property/286517/F5B7D1B07E777DFFE13C6787E5EC61C89D947B2683BDBA78BE11CC97CCEBF3D2")</f>
        <v>https://baanknet.com/view-property/286517/F5B7D1B07E777DFFE13C6787E5EC61C89D947B2683BDBA78BE11CC97CCEBF3D2</v>
      </c>
      <c r="I1170" t="str">
        <f>HYPERLINK("https://baanknet.com/view-property/286517/F5B7D1B07E777DFFE13C6787E5EC61C89D947B2683BDBA78BE11CC97CCEBF3D2", "Open")</f>
        <v>Open</v>
      </c>
      <c r="J1170" t="s">
        <v>3803</v>
      </c>
      <c r="L1170">
        <v>1057000</v>
      </c>
      <c r="M1170">
        <v>105700</v>
      </c>
    </row>
    <row r="1171" spans="1:13" x14ac:dyDescent="0.25">
      <c r="A1171" t="s">
        <v>4103</v>
      </c>
      <c r="B1171" t="s">
        <v>4104</v>
      </c>
      <c r="C1171" t="s">
        <v>571</v>
      </c>
      <c r="D1171" t="s">
        <v>282</v>
      </c>
      <c r="E1171" t="s">
        <v>573</v>
      </c>
      <c r="F1171" t="s">
        <v>574</v>
      </c>
      <c r="G1171" t="s">
        <v>4105</v>
      </c>
      <c r="H1171" t="str">
        <f>HYPERLINK("https://baanknet.com/view-property/243060/FDC228CBB22191A1DF6E757B60F2BE1E257A3AF885C7CC1159F3A7BDDACCD290", "https://baanknet.com/view-property/243060/FDC228CBB22191A1DF6E757B60F2BE1E257A3AF885C7CC1159F3A7BDDACCD290")</f>
        <v>https://baanknet.com/view-property/243060/FDC228CBB22191A1DF6E757B60F2BE1E257A3AF885C7CC1159F3A7BDDACCD290</v>
      </c>
      <c r="I1171" t="str">
        <f>HYPERLINK("https://baanknet.com/view-property/243060/FDC228CBB22191A1DF6E757B60F2BE1E257A3AF885C7CC1159F3A7BDDACCD290", "Open")</f>
        <v>Open</v>
      </c>
      <c r="J1171" t="s">
        <v>3803</v>
      </c>
      <c r="L1171">
        <v>2500000</v>
      </c>
      <c r="M1171">
        <v>250000</v>
      </c>
    </row>
    <row r="1172" spans="1:13" x14ac:dyDescent="0.25">
      <c r="A1172" t="s">
        <v>4106</v>
      </c>
      <c r="B1172" t="s">
        <v>4107</v>
      </c>
      <c r="C1172" t="s">
        <v>571</v>
      </c>
      <c r="D1172" t="s">
        <v>518</v>
      </c>
      <c r="E1172" t="s">
        <v>573</v>
      </c>
      <c r="F1172" t="s">
        <v>574</v>
      </c>
      <c r="G1172" t="s">
        <v>4108</v>
      </c>
      <c r="H1172" t="str">
        <f>HYPERLINK("https://baanknet.com/view-property/257577/A29FF95B93AC0FD20789FF9D1BA822843369F5A319F645699932E755F954FE11", "https://baanknet.com/view-property/257577/A29FF95B93AC0FD20789FF9D1BA822843369F5A319F645699932E755F954FE11")</f>
        <v>https://baanknet.com/view-property/257577/A29FF95B93AC0FD20789FF9D1BA822843369F5A319F645699932E755F954FE11</v>
      </c>
      <c r="I1172" t="str">
        <f>HYPERLINK("https://baanknet.com/view-property/257577/A29FF95B93AC0FD20789FF9D1BA822843369F5A319F645699932E755F954FE11", "Open")</f>
        <v>Open</v>
      </c>
      <c r="J1172" t="s">
        <v>3803</v>
      </c>
      <c r="L1172">
        <v>3500000</v>
      </c>
      <c r="M1172">
        <v>350000</v>
      </c>
    </row>
    <row r="1173" spans="1:13" x14ac:dyDescent="0.25">
      <c r="A1173" t="s">
        <v>4109</v>
      </c>
      <c r="B1173" t="s">
        <v>4110</v>
      </c>
      <c r="C1173" t="s">
        <v>571</v>
      </c>
      <c r="D1173" t="s">
        <v>282</v>
      </c>
      <c r="E1173" t="s">
        <v>573</v>
      </c>
      <c r="F1173" t="s">
        <v>574</v>
      </c>
      <c r="G1173" t="s">
        <v>4111</v>
      </c>
      <c r="H1173" t="str">
        <f>HYPERLINK("https://baanknet.com/view-property/256391/5D2956E36DDADB36A2B7B2ED88CC8D7950A7F3C435407FD3582F14D046DC410B", "https://baanknet.com/view-property/256391/5D2956E36DDADB36A2B7B2ED88CC8D7950A7F3C435407FD3582F14D046DC410B")</f>
        <v>https://baanknet.com/view-property/256391/5D2956E36DDADB36A2B7B2ED88CC8D7950A7F3C435407FD3582F14D046DC410B</v>
      </c>
      <c r="I1173" t="str">
        <f>HYPERLINK("https://baanknet.com/view-property/256391/5D2956E36DDADB36A2B7B2ED88CC8D7950A7F3C435407FD3582F14D046DC410B", "Open")</f>
        <v>Open</v>
      </c>
      <c r="J1173" t="s">
        <v>3803</v>
      </c>
      <c r="L1173">
        <v>4407000</v>
      </c>
      <c r="M1173">
        <v>440700</v>
      </c>
    </row>
    <row r="1174" spans="1:13" x14ac:dyDescent="0.25">
      <c r="A1174" t="s">
        <v>4112</v>
      </c>
      <c r="B1174" t="s">
        <v>4113</v>
      </c>
      <c r="C1174" t="s">
        <v>571</v>
      </c>
      <c r="D1174" t="s">
        <v>282</v>
      </c>
      <c r="E1174" t="s">
        <v>573</v>
      </c>
      <c r="F1174" t="s">
        <v>574</v>
      </c>
      <c r="G1174" t="s">
        <v>4114</v>
      </c>
      <c r="H1174" t="str">
        <f>HYPERLINK("https://baanknet.com/view-property/66975/6139E3E85D8EB12D48033B75BC749796DC42C2B243FBB5892938551CB50C568B", "https://baanknet.com/view-property/66975/6139E3E85D8EB12D48033B75BC749796DC42C2B243FBB5892938551CB50C568B")</f>
        <v>https://baanknet.com/view-property/66975/6139E3E85D8EB12D48033B75BC749796DC42C2B243FBB5892938551CB50C568B</v>
      </c>
      <c r="I1174" t="str">
        <f>HYPERLINK("https://baanknet.com/view-property/66975/6139E3E85D8EB12D48033B75BC749796DC42C2B243FBB5892938551CB50C568B", "Open")</f>
        <v>Open</v>
      </c>
      <c r="J1174" t="s">
        <v>3803</v>
      </c>
      <c r="L1174">
        <v>2000000</v>
      </c>
      <c r="M1174">
        <v>200000</v>
      </c>
    </row>
    <row r="1175" spans="1:13" x14ac:dyDescent="0.25">
      <c r="A1175" t="s">
        <v>4115</v>
      </c>
      <c r="B1175" t="s">
        <v>4116</v>
      </c>
      <c r="C1175" t="s">
        <v>571</v>
      </c>
      <c r="D1175" t="s">
        <v>282</v>
      </c>
      <c r="E1175" t="s">
        <v>573</v>
      </c>
      <c r="F1175" t="s">
        <v>574</v>
      </c>
      <c r="G1175" t="s">
        <v>4117</v>
      </c>
      <c r="H1175" t="str">
        <f>HYPERLINK("https://baanknet.com/view-property/59272/A13E4A3F678C07A6DF389BE12410DA5746678E51FEE07A31B1290C75B2FBBC27", "https://baanknet.com/view-property/59272/A13E4A3F678C07A6DF389BE12410DA5746678E51FEE07A31B1290C75B2FBBC27")</f>
        <v>https://baanknet.com/view-property/59272/A13E4A3F678C07A6DF389BE12410DA5746678E51FEE07A31B1290C75B2FBBC27</v>
      </c>
      <c r="I1175" t="str">
        <f>HYPERLINK("https://baanknet.com/view-property/59272/A13E4A3F678C07A6DF389BE12410DA5746678E51FEE07A31B1290C75B2FBBC27", "Open")</f>
        <v>Open</v>
      </c>
      <c r="J1175" t="s">
        <v>3803</v>
      </c>
      <c r="L1175">
        <v>1665000</v>
      </c>
      <c r="M1175">
        <v>166500</v>
      </c>
    </row>
    <row r="1176" spans="1:13" x14ac:dyDescent="0.25">
      <c r="A1176" t="s">
        <v>4118</v>
      </c>
      <c r="B1176" t="s">
        <v>4119</v>
      </c>
      <c r="C1176" t="s">
        <v>571</v>
      </c>
      <c r="D1176" t="s">
        <v>282</v>
      </c>
      <c r="E1176" t="s">
        <v>573</v>
      </c>
      <c r="F1176" t="s">
        <v>574</v>
      </c>
      <c r="G1176" t="s">
        <v>4120</v>
      </c>
      <c r="H1176" t="str">
        <f>HYPERLINK("https://baanknet.com/view-property/124873/46DB23E71DB5A9EC895E8D5808A8F5D565F91A275FD335E05EE31532F834BD9E", "https://baanknet.com/view-property/124873/46DB23E71DB5A9EC895E8D5808A8F5D565F91A275FD335E05EE31532F834BD9E")</f>
        <v>https://baanknet.com/view-property/124873/46DB23E71DB5A9EC895E8D5808A8F5D565F91A275FD335E05EE31532F834BD9E</v>
      </c>
      <c r="I1176" t="str">
        <f>HYPERLINK("https://baanknet.com/view-property/124873/46DB23E71DB5A9EC895E8D5808A8F5D565F91A275FD335E05EE31532F834BD9E", "Open")</f>
        <v>Open</v>
      </c>
      <c r="J1176" t="s">
        <v>3803</v>
      </c>
      <c r="L1176">
        <v>1665000</v>
      </c>
      <c r="M1176">
        <v>166500</v>
      </c>
    </row>
    <row r="1177" spans="1:13" x14ac:dyDescent="0.25">
      <c r="A1177" t="s">
        <v>4121</v>
      </c>
      <c r="B1177" t="s">
        <v>4122</v>
      </c>
      <c r="C1177" t="s">
        <v>571</v>
      </c>
      <c r="D1177" t="s">
        <v>282</v>
      </c>
      <c r="E1177" t="s">
        <v>573</v>
      </c>
      <c r="F1177" t="s">
        <v>574</v>
      </c>
      <c r="G1177" t="s">
        <v>4123</v>
      </c>
      <c r="H1177" t="str">
        <f>HYPERLINK("https://baanknet.com/view-property/21722/EA1A2DCAED9AB097A0F50168888FCA555F374195C618E8706E18F6F76482269C", "https://baanknet.com/view-property/21722/EA1A2DCAED9AB097A0F50168888FCA555F374195C618E8706E18F6F76482269C")</f>
        <v>https://baanknet.com/view-property/21722/EA1A2DCAED9AB097A0F50168888FCA555F374195C618E8706E18F6F76482269C</v>
      </c>
      <c r="I1177" t="str">
        <f>HYPERLINK("https://baanknet.com/view-property/21722/EA1A2DCAED9AB097A0F50168888FCA555F374195C618E8706E18F6F76482269C", "Open")</f>
        <v>Open</v>
      </c>
      <c r="J1177" t="s">
        <v>3803</v>
      </c>
      <c r="L1177">
        <v>1665000</v>
      </c>
      <c r="M1177">
        <v>166500</v>
      </c>
    </row>
    <row r="1178" spans="1:13" x14ac:dyDescent="0.25">
      <c r="A1178" t="s">
        <v>4124</v>
      </c>
      <c r="B1178" t="s">
        <v>4125</v>
      </c>
      <c r="C1178" t="s">
        <v>571</v>
      </c>
      <c r="D1178" t="s">
        <v>157</v>
      </c>
      <c r="E1178" t="s">
        <v>573</v>
      </c>
      <c r="F1178" t="s">
        <v>574</v>
      </c>
      <c r="G1178" t="s">
        <v>4126</v>
      </c>
      <c r="H1178" t="str">
        <f>HYPERLINK("https://baanknet.com/view-property/58656/58B7A3530F59F49E4885E1E230521745F7423ECBF5B5FF94B64D864379DB6B57", "https://baanknet.com/view-property/58656/58B7A3530F59F49E4885E1E230521745F7423ECBF5B5FF94B64D864379DB6B57")</f>
        <v>https://baanknet.com/view-property/58656/58B7A3530F59F49E4885E1E230521745F7423ECBF5B5FF94B64D864379DB6B57</v>
      </c>
      <c r="I1178" t="str">
        <f>HYPERLINK("https://baanknet.com/view-property/58656/58B7A3530F59F49E4885E1E230521745F7423ECBF5B5FF94B64D864379DB6B57", "Open")</f>
        <v>Open</v>
      </c>
      <c r="J1178" t="s">
        <v>3803</v>
      </c>
      <c r="L1178">
        <v>3650000</v>
      </c>
      <c r="M1178">
        <v>365000</v>
      </c>
    </row>
    <row r="1179" spans="1:13" x14ac:dyDescent="0.25">
      <c r="A1179" t="s">
        <v>4127</v>
      </c>
      <c r="B1179" t="s">
        <v>4128</v>
      </c>
      <c r="C1179" t="s">
        <v>571</v>
      </c>
      <c r="D1179" t="s">
        <v>2541</v>
      </c>
      <c r="E1179" t="s">
        <v>573</v>
      </c>
      <c r="F1179" t="s">
        <v>574</v>
      </c>
      <c r="G1179" t="s">
        <v>4129</v>
      </c>
      <c r="H1179" t="str">
        <f>HYPERLINK("https://baanknet.com/view-property/265935/ED25D1D8633B8B95FC209E2CB5E2477C0817724129053E5F1D5B71415681487E", "https://baanknet.com/view-property/265935/ED25D1D8633B8B95FC209E2CB5E2477C0817724129053E5F1D5B71415681487E")</f>
        <v>https://baanknet.com/view-property/265935/ED25D1D8633B8B95FC209E2CB5E2477C0817724129053E5F1D5B71415681487E</v>
      </c>
      <c r="I1179" t="str">
        <f>HYPERLINK("https://baanknet.com/view-property/265935/ED25D1D8633B8B95FC209E2CB5E2477C0817724129053E5F1D5B71415681487E", "Open")</f>
        <v>Open</v>
      </c>
      <c r="J1179" t="s">
        <v>3803</v>
      </c>
      <c r="L1179">
        <v>1990000</v>
      </c>
      <c r="M1179">
        <v>199000</v>
      </c>
    </row>
    <row r="1180" spans="1:13" x14ac:dyDescent="0.25">
      <c r="A1180" t="s">
        <v>4130</v>
      </c>
      <c r="B1180" t="s">
        <v>4131</v>
      </c>
      <c r="C1180" t="s">
        <v>571</v>
      </c>
      <c r="D1180" t="s">
        <v>157</v>
      </c>
      <c r="E1180" t="s">
        <v>573</v>
      </c>
      <c r="F1180" t="s">
        <v>574</v>
      </c>
      <c r="G1180" t="s">
        <v>4132</v>
      </c>
      <c r="H1180" t="str">
        <f>HYPERLINK("https://baanknet.com/view-property/226568/BF17396192287EDF7C136CF2A393B8FAC6D50C923F317A0AE392608981D8334D", "https://baanknet.com/view-property/226568/BF17396192287EDF7C136CF2A393B8FAC6D50C923F317A0AE392608981D8334D")</f>
        <v>https://baanknet.com/view-property/226568/BF17396192287EDF7C136CF2A393B8FAC6D50C923F317A0AE392608981D8334D</v>
      </c>
      <c r="I1180" t="str">
        <f>HYPERLINK("https://baanknet.com/view-property/226568/BF17396192287EDF7C136CF2A393B8FAC6D50C923F317A0AE392608981D8334D", "Open")</f>
        <v>Open</v>
      </c>
      <c r="J1180" t="s">
        <v>3803</v>
      </c>
      <c r="L1180">
        <v>1000000</v>
      </c>
      <c r="M1180">
        <v>100000</v>
      </c>
    </row>
    <row r="1181" spans="1:13" x14ac:dyDescent="0.25">
      <c r="A1181" t="s">
        <v>4133</v>
      </c>
      <c r="B1181" t="s">
        <v>4134</v>
      </c>
      <c r="C1181" t="s">
        <v>571</v>
      </c>
      <c r="D1181" t="s">
        <v>157</v>
      </c>
      <c r="E1181" t="s">
        <v>573</v>
      </c>
      <c r="F1181" t="s">
        <v>574</v>
      </c>
      <c r="G1181" t="s">
        <v>4135</v>
      </c>
      <c r="H1181" t="str">
        <f>HYPERLINK("https://baanknet.com/view-property/277546/62A3E7D12B15D735D0270E3C8F6944589811D7B1928927B19C71627F9E556B87", "https://baanknet.com/view-property/277546/62A3E7D12B15D735D0270E3C8F6944589811D7B1928927B19C71627F9E556B87")</f>
        <v>https://baanknet.com/view-property/277546/62A3E7D12B15D735D0270E3C8F6944589811D7B1928927B19C71627F9E556B87</v>
      </c>
      <c r="I1181" t="str">
        <f>HYPERLINK("https://baanknet.com/view-property/277546/62A3E7D12B15D735D0270E3C8F6944589811D7B1928927B19C71627F9E556B87", "Open")</f>
        <v>Open</v>
      </c>
      <c r="J1181" t="s">
        <v>3803</v>
      </c>
      <c r="L1181">
        <v>3207600</v>
      </c>
      <c r="M1181">
        <v>320760</v>
      </c>
    </row>
    <row r="1182" spans="1:13" x14ac:dyDescent="0.25">
      <c r="A1182" t="s">
        <v>4136</v>
      </c>
      <c r="B1182" t="s">
        <v>4137</v>
      </c>
      <c r="C1182" t="s">
        <v>571</v>
      </c>
      <c r="D1182" t="s">
        <v>157</v>
      </c>
      <c r="E1182" t="s">
        <v>573</v>
      </c>
      <c r="F1182" t="s">
        <v>574</v>
      </c>
      <c r="G1182" t="s">
        <v>4138</v>
      </c>
      <c r="H1182" t="str">
        <f>HYPERLINK("https://baanknet.com/view-property/268441/6186F6FCC5A1628FE045D9D9AE050F63D8F08FBF7307E1D4FA699B13C7F394E1", "https://baanknet.com/view-property/268441/6186F6FCC5A1628FE045D9D9AE050F63D8F08FBF7307E1D4FA699B13C7F394E1")</f>
        <v>https://baanknet.com/view-property/268441/6186F6FCC5A1628FE045D9D9AE050F63D8F08FBF7307E1D4FA699B13C7F394E1</v>
      </c>
      <c r="I1182" t="str">
        <f>HYPERLINK("https://baanknet.com/view-property/268441/6186F6FCC5A1628FE045D9D9AE050F63D8F08FBF7307E1D4FA699B13C7F394E1", "Open")</f>
        <v>Open</v>
      </c>
      <c r="J1182" t="s">
        <v>3803</v>
      </c>
      <c r="L1182">
        <v>5138100</v>
      </c>
      <c r="M1182">
        <v>513810</v>
      </c>
    </row>
    <row r="1183" spans="1:13" x14ac:dyDescent="0.25">
      <c r="A1183" t="s">
        <v>4139</v>
      </c>
      <c r="B1183" t="s">
        <v>4140</v>
      </c>
      <c r="C1183" t="s">
        <v>571</v>
      </c>
      <c r="D1183" t="s">
        <v>4141</v>
      </c>
      <c r="E1183" t="s">
        <v>573</v>
      </c>
      <c r="F1183" t="s">
        <v>574</v>
      </c>
      <c r="G1183" t="s">
        <v>4142</v>
      </c>
      <c r="H1183" t="str">
        <f>HYPERLINK("https://baanknet.com/view-property/287749/097B6BED749A2773F1B9F8AE13AA99C6499723220301B5EF1B94011A84B53ECF", "https://baanknet.com/view-property/287749/097B6BED749A2773F1B9F8AE13AA99C6499723220301B5EF1B94011A84B53ECF")</f>
        <v>https://baanknet.com/view-property/287749/097B6BED749A2773F1B9F8AE13AA99C6499723220301B5EF1B94011A84B53ECF</v>
      </c>
      <c r="I1183" t="str">
        <f>HYPERLINK("https://baanknet.com/view-property/287749/097B6BED749A2773F1B9F8AE13AA99C6499723220301B5EF1B94011A84B53ECF", "Open")</f>
        <v>Open</v>
      </c>
      <c r="J1183" t="s">
        <v>3803</v>
      </c>
      <c r="L1183">
        <v>2800000</v>
      </c>
      <c r="M1183">
        <v>280000</v>
      </c>
    </row>
    <row r="1184" spans="1:13" x14ac:dyDescent="0.25">
      <c r="A1184" t="s">
        <v>4143</v>
      </c>
      <c r="B1184" t="s">
        <v>4144</v>
      </c>
      <c r="C1184" t="s">
        <v>571</v>
      </c>
      <c r="D1184" t="s">
        <v>4145</v>
      </c>
      <c r="E1184" t="s">
        <v>573</v>
      </c>
      <c r="F1184" t="s">
        <v>574</v>
      </c>
      <c r="G1184" t="s">
        <v>4146</v>
      </c>
      <c r="H1184" t="str">
        <f>HYPERLINK("https://baanknet.com/view-property/267773/6BF71BC01BB0D803C8844B3ED3E3266493467EB276924C25E25CE6F9384245DA", "https://baanknet.com/view-property/267773/6BF71BC01BB0D803C8844B3ED3E3266493467EB276924C25E25CE6F9384245DA")</f>
        <v>https://baanknet.com/view-property/267773/6BF71BC01BB0D803C8844B3ED3E3266493467EB276924C25E25CE6F9384245DA</v>
      </c>
      <c r="I1184" t="str">
        <f>HYPERLINK("https://baanknet.com/view-property/267773/6BF71BC01BB0D803C8844B3ED3E3266493467EB276924C25E25CE6F9384245DA", "Open")</f>
        <v>Open</v>
      </c>
      <c r="J1184" t="s">
        <v>3803</v>
      </c>
      <c r="L1184">
        <v>797000</v>
      </c>
      <c r="M1184">
        <v>79700</v>
      </c>
    </row>
    <row r="1185" spans="1:13" x14ac:dyDescent="0.25">
      <c r="A1185" t="s">
        <v>4147</v>
      </c>
      <c r="B1185" t="s">
        <v>4148</v>
      </c>
      <c r="C1185" t="s">
        <v>571</v>
      </c>
      <c r="D1185" t="s">
        <v>4085</v>
      </c>
      <c r="E1185" t="s">
        <v>573</v>
      </c>
      <c r="F1185" t="s">
        <v>574</v>
      </c>
      <c r="G1185" t="s">
        <v>4149</v>
      </c>
      <c r="H1185" t="str">
        <f>HYPERLINK("https://baanknet.com/view-property/267747/B261F7CD5F51D1E460DAC7924470C8E4F75122B3EC46102F60220703DC249F01", "https://baanknet.com/view-property/267747/B261F7CD5F51D1E460DAC7924470C8E4F75122B3EC46102F60220703DC249F01")</f>
        <v>https://baanknet.com/view-property/267747/B261F7CD5F51D1E460DAC7924470C8E4F75122B3EC46102F60220703DC249F01</v>
      </c>
      <c r="I1185" t="str">
        <f>HYPERLINK("https://baanknet.com/view-property/267747/B261F7CD5F51D1E460DAC7924470C8E4F75122B3EC46102F60220703DC249F01", "Open")</f>
        <v>Open</v>
      </c>
      <c r="J1185" t="s">
        <v>3803</v>
      </c>
      <c r="L1185">
        <v>1161000</v>
      </c>
      <c r="M1185">
        <v>116100</v>
      </c>
    </row>
    <row r="1186" spans="1:13" x14ac:dyDescent="0.25">
      <c r="A1186" t="s">
        <v>4150</v>
      </c>
      <c r="B1186" t="s">
        <v>4151</v>
      </c>
      <c r="C1186" t="s">
        <v>571</v>
      </c>
      <c r="D1186" t="s">
        <v>572</v>
      </c>
      <c r="E1186" t="s">
        <v>573</v>
      </c>
      <c r="F1186" t="s">
        <v>574</v>
      </c>
      <c r="G1186" t="s">
        <v>4152</v>
      </c>
      <c r="H1186" t="str">
        <f>HYPERLINK("https://baanknet.com/view-property/257073/E255DBA891AB4AE423843F78F498B05F53447C9D6F0D1D2D9F77A7B672DEDDAC", "https://baanknet.com/view-property/257073/E255DBA891AB4AE423843F78F498B05F53447C9D6F0D1D2D9F77A7B672DEDDAC")</f>
        <v>https://baanknet.com/view-property/257073/E255DBA891AB4AE423843F78F498B05F53447C9D6F0D1D2D9F77A7B672DEDDAC</v>
      </c>
      <c r="I1186" t="str">
        <f>HYPERLINK("https://baanknet.com/view-property/257073/E255DBA891AB4AE423843F78F498B05F53447C9D6F0D1D2D9F77A7B672DEDDAC", "Open")</f>
        <v>Open</v>
      </c>
      <c r="J1186" t="s">
        <v>3803</v>
      </c>
      <c r="L1186">
        <v>927000</v>
      </c>
      <c r="M1186">
        <v>92700</v>
      </c>
    </row>
    <row r="1187" spans="1:13" x14ac:dyDescent="0.25">
      <c r="A1187" t="s">
        <v>4153</v>
      </c>
      <c r="B1187" t="s">
        <v>4154</v>
      </c>
      <c r="C1187" t="s">
        <v>571</v>
      </c>
      <c r="D1187" t="s">
        <v>737</v>
      </c>
      <c r="E1187" t="s">
        <v>573</v>
      </c>
      <c r="F1187" t="s">
        <v>574</v>
      </c>
      <c r="G1187" t="s">
        <v>4155</v>
      </c>
      <c r="H1187" t="str">
        <f>HYPERLINK("https://baanknet.com/view-property/257079/AF7CBFEED8FF063349319E9C6FF88618DD4B7D4C9166C041E7386BCA87A1FBFC", "https://baanknet.com/view-property/257079/AF7CBFEED8FF063349319E9C6FF88618DD4B7D4C9166C041E7386BCA87A1FBFC")</f>
        <v>https://baanknet.com/view-property/257079/AF7CBFEED8FF063349319E9C6FF88618DD4B7D4C9166C041E7386BCA87A1FBFC</v>
      </c>
      <c r="I1187" t="str">
        <f>HYPERLINK("https://baanknet.com/view-property/257079/AF7CBFEED8FF063349319E9C6FF88618DD4B7D4C9166C041E7386BCA87A1FBFC", "Open")</f>
        <v>Open</v>
      </c>
      <c r="J1187" t="s">
        <v>3803</v>
      </c>
      <c r="L1187">
        <v>1336000</v>
      </c>
      <c r="M1187">
        <v>133600</v>
      </c>
    </row>
    <row r="1188" spans="1:13" x14ac:dyDescent="0.25">
      <c r="A1188" t="s">
        <v>4156</v>
      </c>
      <c r="B1188" t="s">
        <v>4157</v>
      </c>
      <c r="C1188" t="s">
        <v>571</v>
      </c>
      <c r="D1188" t="s">
        <v>4158</v>
      </c>
      <c r="E1188" t="s">
        <v>573</v>
      </c>
      <c r="F1188" t="s">
        <v>4159</v>
      </c>
      <c r="G1188" t="s">
        <v>4160</v>
      </c>
      <c r="H1188" t="str">
        <f>HYPERLINK("https://baanknet.com/view-property/278478/06ADCF0F3926F1482797050F17D5DEED85C4A660A814490F70CB281A29983467", "https://baanknet.com/view-property/278478/06ADCF0F3926F1482797050F17D5DEED85C4A660A814490F70CB281A29983467")</f>
        <v>https://baanknet.com/view-property/278478/06ADCF0F3926F1482797050F17D5DEED85C4A660A814490F70CB281A29983467</v>
      </c>
      <c r="I1188" t="str">
        <f>HYPERLINK("https://baanknet.com/view-property/278478/06ADCF0F3926F1482797050F17D5DEED85C4A660A814490F70CB281A29983467", "Open")</f>
        <v>Open</v>
      </c>
      <c r="J1188" t="s">
        <v>3803</v>
      </c>
      <c r="L1188">
        <v>3123000</v>
      </c>
      <c r="M1188">
        <v>312300</v>
      </c>
    </row>
    <row r="1189" spans="1:13" x14ac:dyDescent="0.25">
      <c r="A1189" t="s">
        <v>4161</v>
      </c>
      <c r="B1189" t="s">
        <v>4162</v>
      </c>
      <c r="C1189" t="s">
        <v>15</v>
      </c>
      <c r="D1189" t="s">
        <v>608</v>
      </c>
      <c r="E1189" t="s">
        <v>4163</v>
      </c>
      <c r="F1189" t="s">
        <v>4164</v>
      </c>
      <c r="G1189" t="s">
        <v>4165</v>
      </c>
      <c r="H1189" t="str">
        <f>HYPERLINK("https://baanknet.com/view-property/280736/3EFA84ED706D6723283D405F3E05D6519168A4C4505841A93AEB97B6E29F711B", "https://baanknet.com/view-property/280736/3EFA84ED706D6723283D405F3E05D6519168A4C4505841A93AEB97B6E29F711B")</f>
        <v>https://baanknet.com/view-property/280736/3EFA84ED706D6723283D405F3E05D6519168A4C4505841A93AEB97B6E29F711B</v>
      </c>
      <c r="I1189" t="str">
        <f>HYPERLINK("https://baanknet.com/view-property/280736/3EFA84ED706D6723283D405F3E05D6519168A4C4505841A93AEB97B6E29F711B", "Open")</f>
        <v>Open</v>
      </c>
      <c r="J1189" t="s">
        <v>3803</v>
      </c>
      <c r="L1189">
        <v>5600000</v>
      </c>
      <c r="M1189">
        <v>560000</v>
      </c>
    </row>
    <row r="1190" spans="1:13" x14ac:dyDescent="0.25">
      <c r="A1190" t="s">
        <v>4166</v>
      </c>
      <c r="B1190" t="s">
        <v>4167</v>
      </c>
      <c r="C1190" t="s">
        <v>15</v>
      </c>
      <c r="D1190" t="s">
        <v>608</v>
      </c>
      <c r="E1190" t="s">
        <v>4163</v>
      </c>
      <c r="F1190" t="s">
        <v>4164</v>
      </c>
      <c r="G1190" t="s">
        <v>4168</v>
      </c>
      <c r="H1190" t="str">
        <f>HYPERLINK("https://baanknet.com/view-property/247609/4E43E495380504D9E10BB191DF51B63B88090B24D25DEE05748E4016130C5ED7", "https://baanknet.com/view-property/247609/4E43E495380504D9E10BB191DF51B63B88090B24D25DEE05748E4016130C5ED7")</f>
        <v>https://baanknet.com/view-property/247609/4E43E495380504D9E10BB191DF51B63B88090B24D25DEE05748E4016130C5ED7</v>
      </c>
      <c r="I1190" t="str">
        <f>HYPERLINK("https://baanknet.com/view-property/247609/4E43E495380504D9E10BB191DF51B63B88090B24D25DEE05748E4016130C5ED7", "Open")</f>
        <v>Open</v>
      </c>
      <c r="J1190" t="s">
        <v>3803</v>
      </c>
      <c r="L1190">
        <v>5600000</v>
      </c>
      <c r="M1190">
        <v>560000</v>
      </c>
    </row>
    <row r="1191" spans="1:13" x14ac:dyDescent="0.25">
      <c r="A1191" t="s">
        <v>4169</v>
      </c>
      <c r="B1191" t="s">
        <v>4170</v>
      </c>
      <c r="C1191" t="s">
        <v>15</v>
      </c>
      <c r="D1191" t="s">
        <v>608</v>
      </c>
      <c r="E1191" t="s">
        <v>4163</v>
      </c>
      <c r="F1191" t="s">
        <v>4164</v>
      </c>
      <c r="G1191" t="s">
        <v>4171</v>
      </c>
      <c r="H1191" t="str">
        <f>HYPERLINK("https://baanknet.com/view-property/280457/B2C9F7BF7A9FB9F229547540AA801B0529A9962D801BC7DC296B7FB37DEA2D33", "https://baanknet.com/view-property/280457/B2C9F7BF7A9FB9F229547540AA801B0529A9962D801BC7DC296B7FB37DEA2D33")</f>
        <v>https://baanknet.com/view-property/280457/B2C9F7BF7A9FB9F229547540AA801B0529A9962D801BC7DC296B7FB37DEA2D33</v>
      </c>
      <c r="I1191" t="str">
        <f>HYPERLINK("https://baanknet.com/view-property/280457/B2C9F7BF7A9FB9F229547540AA801B0529A9962D801BC7DC296B7FB37DEA2D33", "Open")</f>
        <v>Open</v>
      </c>
      <c r="J1191" t="s">
        <v>3803</v>
      </c>
      <c r="L1191">
        <v>6000000</v>
      </c>
      <c r="M1191">
        <v>600000</v>
      </c>
    </row>
    <row r="1192" spans="1:13" x14ac:dyDescent="0.25">
      <c r="A1192" t="s">
        <v>4172</v>
      </c>
      <c r="B1192" t="s">
        <v>4173</v>
      </c>
      <c r="C1192" t="s">
        <v>15</v>
      </c>
      <c r="D1192" t="s">
        <v>923</v>
      </c>
      <c r="E1192" t="s">
        <v>4163</v>
      </c>
      <c r="F1192" t="s">
        <v>4164</v>
      </c>
      <c r="G1192" t="s">
        <v>4174</v>
      </c>
      <c r="H1192" t="str">
        <f>HYPERLINK("https://baanknet.com/view-property/277866/A65595AA10A3B5445EED7DCEE106244606A32D086432CB04EA95B3E53071A38E", "https://baanknet.com/view-property/277866/A65595AA10A3B5445EED7DCEE106244606A32D086432CB04EA95B3E53071A38E")</f>
        <v>https://baanknet.com/view-property/277866/A65595AA10A3B5445EED7DCEE106244606A32D086432CB04EA95B3E53071A38E</v>
      </c>
      <c r="I1192" t="str">
        <f>HYPERLINK("https://baanknet.com/view-property/277866/A65595AA10A3B5445EED7DCEE106244606A32D086432CB04EA95B3E53071A38E", "Open")</f>
        <v>Open</v>
      </c>
      <c r="J1192" t="s">
        <v>3803</v>
      </c>
      <c r="L1192">
        <v>34300000</v>
      </c>
      <c r="M1192">
        <v>3430000</v>
      </c>
    </row>
    <row r="1193" spans="1:13" x14ac:dyDescent="0.25">
      <c r="A1193" t="s">
        <v>4175</v>
      </c>
      <c r="B1193" t="s">
        <v>4176</v>
      </c>
      <c r="C1193" t="s">
        <v>15</v>
      </c>
      <c r="D1193" t="s">
        <v>923</v>
      </c>
      <c r="E1193" t="s">
        <v>4163</v>
      </c>
      <c r="F1193" t="s">
        <v>4164</v>
      </c>
      <c r="G1193" t="s">
        <v>4177</v>
      </c>
      <c r="H1193" t="str">
        <f>HYPERLINK("https://baanknet.com/view-property/277863/97E67A4E623F3A5C2D4B10B801ECBDC66E9F3C2A682480298E518854B8F85370", "https://baanknet.com/view-property/277863/97E67A4E623F3A5C2D4B10B801ECBDC66E9F3C2A682480298E518854B8F85370")</f>
        <v>https://baanknet.com/view-property/277863/97E67A4E623F3A5C2D4B10B801ECBDC66E9F3C2A682480298E518854B8F85370</v>
      </c>
      <c r="I1193" t="str">
        <f>HYPERLINK("https://baanknet.com/view-property/277863/97E67A4E623F3A5C2D4B10B801ECBDC66E9F3C2A682480298E518854B8F85370", "Open")</f>
        <v>Open</v>
      </c>
      <c r="J1193" t="s">
        <v>3803</v>
      </c>
      <c r="L1193">
        <v>42372000</v>
      </c>
      <c r="M1193">
        <v>4237200</v>
      </c>
    </row>
    <row r="1194" spans="1:13" x14ac:dyDescent="0.25">
      <c r="A1194" t="s">
        <v>4178</v>
      </c>
      <c r="B1194" t="s">
        <v>4179</v>
      </c>
      <c r="C1194" t="s">
        <v>15</v>
      </c>
      <c r="D1194" t="s">
        <v>4180</v>
      </c>
      <c r="E1194" t="s">
        <v>4163</v>
      </c>
      <c r="F1194" t="s">
        <v>4164</v>
      </c>
      <c r="G1194" t="s">
        <v>4181</v>
      </c>
      <c r="H1194" t="str">
        <f>HYPERLINK("https://baanknet.com/view-property/265442/5E683309E2DEF53BEEEAF99A51768B76A4F0B4CD0E8E435ABAD7D2AFE4A8DEB5", "https://baanknet.com/view-property/265442/5E683309E2DEF53BEEEAF99A51768B76A4F0B4CD0E8E435ABAD7D2AFE4A8DEB5")</f>
        <v>https://baanknet.com/view-property/265442/5E683309E2DEF53BEEEAF99A51768B76A4F0B4CD0E8E435ABAD7D2AFE4A8DEB5</v>
      </c>
      <c r="I1194" t="str">
        <f>HYPERLINK("https://baanknet.com/view-property/265442/5E683309E2DEF53BEEEAF99A51768B76A4F0B4CD0E8E435ABAD7D2AFE4A8DEB5", "Open")</f>
        <v>Open</v>
      </c>
      <c r="J1194" t="s">
        <v>3803</v>
      </c>
      <c r="L1194">
        <v>4153000</v>
      </c>
      <c r="M1194">
        <v>415300</v>
      </c>
    </row>
    <row r="1195" spans="1:13" x14ac:dyDescent="0.25">
      <c r="A1195" t="s">
        <v>4182</v>
      </c>
      <c r="B1195" t="s">
        <v>4183</v>
      </c>
      <c r="C1195" t="s">
        <v>15</v>
      </c>
      <c r="D1195" t="s">
        <v>4184</v>
      </c>
      <c r="E1195" t="s">
        <v>4163</v>
      </c>
      <c r="F1195" t="s">
        <v>4164</v>
      </c>
      <c r="G1195" t="s">
        <v>4185</v>
      </c>
      <c r="H1195" t="str">
        <f>HYPERLINK("https://baanknet.com/view-property/244482/2943D7F07E265C145FB09CBA87415EF2A8DF51D3BDC059D291BFD214FB61E72F", "https://baanknet.com/view-property/244482/2943D7F07E265C145FB09CBA87415EF2A8DF51D3BDC059D291BFD214FB61E72F")</f>
        <v>https://baanknet.com/view-property/244482/2943D7F07E265C145FB09CBA87415EF2A8DF51D3BDC059D291BFD214FB61E72F</v>
      </c>
      <c r="I1195" t="str">
        <f>HYPERLINK("https://baanknet.com/view-property/244482/2943D7F07E265C145FB09CBA87415EF2A8DF51D3BDC059D291BFD214FB61E72F", "Open")</f>
        <v>Open</v>
      </c>
      <c r="J1195" t="s">
        <v>3803</v>
      </c>
      <c r="L1195">
        <v>22000000</v>
      </c>
      <c r="M1195">
        <v>2200000</v>
      </c>
    </row>
    <row r="1196" spans="1:13" x14ac:dyDescent="0.25">
      <c r="A1196" t="s">
        <v>4186</v>
      </c>
      <c r="B1196" t="s">
        <v>4187</v>
      </c>
      <c r="C1196" t="s">
        <v>15</v>
      </c>
      <c r="D1196" t="s">
        <v>1246</v>
      </c>
      <c r="E1196" t="s">
        <v>4163</v>
      </c>
      <c r="F1196" t="s">
        <v>4164</v>
      </c>
      <c r="G1196" t="s">
        <v>4188</v>
      </c>
      <c r="H1196" t="str">
        <f>HYPERLINK("https://baanknet.com/view-property/278780/46E73649F65CFC0645404ACCE6A3B6C100039C4ECCF8CDD576620917700CD709", "https://baanknet.com/view-property/278780/46E73649F65CFC0645404ACCE6A3B6C100039C4ECCF8CDD576620917700CD709")</f>
        <v>https://baanknet.com/view-property/278780/46E73649F65CFC0645404ACCE6A3B6C100039C4ECCF8CDD576620917700CD709</v>
      </c>
      <c r="I1196" t="str">
        <f>HYPERLINK("https://baanknet.com/view-property/278780/46E73649F65CFC0645404ACCE6A3B6C100039C4ECCF8CDD576620917700CD709", "Open")</f>
        <v>Open</v>
      </c>
      <c r="J1196" t="s">
        <v>3803</v>
      </c>
      <c r="L1196">
        <v>3553000</v>
      </c>
      <c r="M1196">
        <v>355300</v>
      </c>
    </row>
    <row r="1197" spans="1:13" x14ac:dyDescent="0.25">
      <c r="A1197" t="s">
        <v>4189</v>
      </c>
      <c r="B1197" t="s">
        <v>4190</v>
      </c>
      <c r="C1197" t="s">
        <v>15</v>
      </c>
      <c r="D1197" t="s">
        <v>1246</v>
      </c>
      <c r="E1197" t="s">
        <v>4163</v>
      </c>
      <c r="F1197" t="s">
        <v>4164</v>
      </c>
      <c r="G1197" t="s">
        <v>4191</v>
      </c>
      <c r="H1197" t="str">
        <f>HYPERLINK("https://baanknet.com/view-property/276467/5D1EE17387A99843F2EE99A693AEC6EA73ABABE019589918AC70EC174C949C37", "https://baanknet.com/view-property/276467/5D1EE17387A99843F2EE99A693AEC6EA73ABABE019589918AC70EC174C949C37")</f>
        <v>https://baanknet.com/view-property/276467/5D1EE17387A99843F2EE99A693AEC6EA73ABABE019589918AC70EC174C949C37</v>
      </c>
      <c r="I1197" t="str">
        <f>HYPERLINK("https://baanknet.com/view-property/276467/5D1EE17387A99843F2EE99A693AEC6EA73ABABE019589918AC70EC174C949C37", "Open")</f>
        <v>Open</v>
      </c>
      <c r="J1197" t="s">
        <v>3803</v>
      </c>
      <c r="L1197">
        <v>54940000</v>
      </c>
      <c r="M1197">
        <v>5494000</v>
      </c>
    </row>
    <row r="1198" spans="1:13" x14ac:dyDescent="0.25">
      <c r="A1198" t="s">
        <v>4192</v>
      </c>
      <c r="B1198" t="s">
        <v>4193</v>
      </c>
      <c r="C1198" t="s">
        <v>15</v>
      </c>
      <c r="D1198" t="s">
        <v>1246</v>
      </c>
      <c r="E1198" t="s">
        <v>4163</v>
      </c>
      <c r="F1198" t="s">
        <v>4164</v>
      </c>
      <c r="G1198" t="s">
        <v>4194</v>
      </c>
      <c r="H1198" t="str">
        <f>HYPERLINK("https://baanknet.com/view-property/282556/1990AEC48204D0B844E2BE3D194E2FB8BCA0C2D23C0DE3BDFE60756FAC5D04F5", "https://baanknet.com/view-property/282556/1990AEC48204D0B844E2BE3D194E2FB8BCA0C2D23C0DE3BDFE60756FAC5D04F5")</f>
        <v>https://baanknet.com/view-property/282556/1990AEC48204D0B844E2BE3D194E2FB8BCA0C2D23C0DE3BDFE60756FAC5D04F5</v>
      </c>
      <c r="I1198" t="str">
        <f>HYPERLINK("https://baanknet.com/view-property/282556/1990AEC48204D0B844E2BE3D194E2FB8BCA0C2D23C0DE3BDFE60756FAC5D04F5", "Open")</f>
        <v>Open</v>
      </c>
      <c r="J1198" t="s">
        <v>3803</v>
      </c>
      <c r="L1198">
        <v>4990000</v>
      </c>
      <c r="M1198">
        <v>499000</v>
      </c>
    </row>
    <row r="1199" spans="1:13" x14ac:dyDescent="0.25">
      <c r="A1199" t="s">
        <v>4195</v>
      </c>
      <c r="B1199" t="s">
        <v>4196</v>
      </c>
      <c r="C1199" t="s">
        <v>15</v>
      </c>
      <c r="D1199" t="s">
        <v>1246</v>
      </c>
      <c r="E1199" t="s">
        <v>4163</v>
      </c>
      <c r="F1199" t="s">
        <v>4164</v>
      </c>
      <c r="G1199" t="s">
        <v>4197</v>
      </c>
      <c r="H1199" t="str">
        <f>HYPERLINK("https://baanknet.com/view-property/276517/10F153E089112FB08046BA3121BFCB2941457BF32E8AFABDFD6BC3049DAE8368", "https://baanknet.com/view-property/276517/10F153E089112FB08046BA3121BFCB2941457BF32E8AFABDFD6BC3049DAE8368")</f>
        <v>https://baanknet.com/view-property/276517/10F153E089112FB08046BA3121BFCB2941457BF32E8AFABDFD6BC3049DAE8368</v>
      </c>
      <c r="I1199" t="str">
        <f>HYPERLINK("https://baanknet.com/view-property/276517/10F153E089112FB08046BA3121BFCB2941457BF32E8AFABDFD6BC3049DAE8368", "Open")</f>
        <v>Open</v>
      </c>
      <c r="J1199" t="s">
        <v>3803</v>
      </c>
      <c r="L1199">
        <v>51800000</v>
      </c>
      <c r="M1199">
        <v>5180000</v>
      </c>
    </row>
    <row r="1200" spans="1:13" x14ac:dyDescent="0.25">
      <c r="A1200" t="s">
        <v>4198</v>
      </c>
      <c r="B1200" t="s">
        <v>4199</v>
      </c>
      <c r="C1200" t="s">
        <v>15</v>
      </c>
      <c r="D1200" t="s">
        <v>1246</v>
      </c>
      <c r="E1200" t="s">
        <v>4163</v>
      </c>
      <c r="F1200" t="s">
        <v>4164</v>
      </c>
      <c r="G1200" t="s">
        <v>4200</v>
      </c>
      <c r="H1200" t="str">
        <f>HYPERLINK("https://baanknet.com/view-property/276521/30B6B1D488D03E06292EF5CBAE17760A6F401B290D6CEA035CACE33B46D502EC", "https://baanknet.com/view-property/276521/30B6B1D488D03E06292EF5CBAE17760A6F401B290D6CEA035CACE33B46D502EC")</f>
        <v>https://baanknet.com/view-property/276521/30B6B1D488D03E06292EF5CBAE17760A6F401B290D6CEA035CACE33B46D502EC</v>
      </c>
      <c r="I1200" t="str">
        <f>HYPERLINK("https://baanknet.com/view-property/276521/30B6B1D488D03E06292EF5CBAE17760A6F401B290D6CEA035CACE33B46D502EC", "Open")</f>
        <v>Open</v>
      </c>
      <c r="J1200" t="s">
        <v>3803</v>
      </c>
      <c r="L1200">
        <v>39242000</v>
      </c>
      <c r="M1200">
        <v>3924200</v>
      </c>
    </row>
    <row r="1201" spans="1:13" x14ac:dyDescent="0.25">
      <c r="A1201" t="s">
        <v>4201</v>
      </c>
      <c r="B1201" t="s">
        <v>4202</v>
      </c>
      <c r="C1201" t="s">
        <v>15</v>
      </c>
      <c r="D1201" t="s">
        <v>608</v>
      </c>
      <c r="E1201" t="s">
        <v>4163</v>
      </c>
      <c r="F1201" t="s">
        <v>4164</v>
      </c>
      <c r="G1201" t="s">
        <v>4203</v>
      </c>
      <c r="H1201" t="str">
        <f>HYPERLINK("https://baanknet.com/view-property/216256/E1135F36EBB221F6705AB4206D0EF943F373530B7CC4771214B94BE2AF8E0813", "https://baanknet.com/view-property/216256/E1135F36EBB221F6705AB4206D0EF943F373530B7CC4771214B94BE2AF8E0813")</f>
        <v>https://baanknet.com/view-property/216256/E1135F36EBB221F6705AB4206D0EF943F373530B7CC4771214B94BE2AF8E0813</v>
      </c>
      <c r="I1201" t="str">
        <f>HYPERLINK("https://baanknet.com/view-property/216256/E1135F36EBB221F6705AB4206D0EF943F373530B7CC4771214B94BE2AF8E0813", "Open")</f>
        <v>Open</v>
      </c>
      <c r="J1201" t="s">
        <v>3803</v>
      </c>
      <c r="L1201">
        <v>3700000</v>
      </c>
      <c r="M1201">
        <v>370000</v>
      </c>
    </row>
    <row r="1202" spans="1:13" x14ac:dyDescent="0.25">
      <c r="A1202" t="s">
        <v>4204</v>
      </c>
      <c r="B1202" t="s">
        <v>4205</v>
      </c>
      <c r="C1202" t="s">
        <v>15</v>
      </c>
      <c r="D1202" t="s">
        <v>608</v>
      </c>
      <c r="E1202" t="s">
        <v>4163</v>
      </c>
      <c r="F1202" t="s">
        <v>4164</v>
      </c>
      <c r="G1202" t="s">
        <v>4206</v>
      </c>
      <c r="H1202" t="str">
        <f>HYPERLINK("https://baanknet.com/view-property/219803/CA54634B5FD2FEE940A16B5FB0445850DE4C903B9544BA742D5936DAE33540E9", "https://baanknet.com/view-property/219803/CA54634B5FD2FEE940A16B5FB0445850DE4C903B9544BA742D5936DAE33540E9")</f>
        <v>https://baanknet.com/view-property/219803/CA54634B5FD2FEE940A16B5FB0445850DE4C903B9544BA742D5936DAE33540E9</v>
      </c>
      <c r="I1202" t="str">
        <f>HYPERLINK("https://baanknet.com/view-property/219803/CA54634B5FD2FEE940A16B5FB0445850DE4C903B9544BA742D5936DAE33540E9", "Open")</f>
        <v>Open</v>
      </c>
      <c r="J1202" t="s">
        <v>3803</v>
      </c>
      <c r="L1202">
        <v>3700000</v>
      </c>
      <c r="M1202">
        <v>370000</v>
      </c>
    </row>
    <row r="1203" spans="1:13" x14ac:dyDescent="0.25">
      <c r="A1203" t="s">
        <v>4207</v>
      </c>
      <c r="B1203" t="s">
        <v>4208</v>
      </c>
      <c r="C1203" t="s">
        <v>15</v>
      </c>
      <c r="D1203" t="s">
        <v>608</v>
      </c>
      <c r="E1203" t="s">
        <v>4163</v>
      </c>
      <c r="F1203" t="s">
        <v>4164</v>
      </c>
      <c r="G1203" t="s">
        <v>4209</v>
      </c>
      <c r="H1203" t="str">
        <f>HYPERLINK("https://baanknet.com/view-property/216274/BC1A78B582B137F53F1805A605DE49974598FDE346906871A56DA0AEF2BCC26B", "https://baanknet.com/view-property/216274/BC1A78B582B137F53F1805A605DE49974598FDE346906871A56DA0AEF2BCC26B")</f>
        <v>https://baanknet.com/view-property/216274/BC1A78B582B137F53F1805A605DE49974598FDE346906871A56DA0AEF2BCC26B</v>
      </c>
      <c r="I1203" t="str">
        <f>HYPERLINK("https://baanknet.com/view-property/216274/BC1A78B582B137F53F1805A605DE49974598FDE346906871A56DA0AEF2BCC26B", "Open")</f>
        <v>Open</v>
      </c>
      <c r="J1203" t="s">
        <v>3803</v>
      </c>
      <c r="L1203">
        <v>3700000</v>
      </c>
      <c r="M1203">
        <v>370000</v>
      </c>
    </row>
    <row r="1204" spans="1:13" x14ac:dyDescent="0.25">
      <c r="A1204" t="s">
        <v>4210</v>
      </c>
      <c r="B1204" t="s">
        <v>4211</v>
      </c>
      <c r="C1204" t="s">
        <v>15</v>
      </c>
      <c r="D1204" t="s">
        <v>608</v>
      </c>
      <c r="E1204" t="s">
        <v>4163</v>
      </c>
      <c r="F1204" t="s">
        <v>4164</v>
      </c>
      <c r="G1204" t="s">
        <v>4212</v>
      </c>
      <c r="H1204" t="str">
        <f>HYPERLINK("https://baanknet.com/view-property/216277/96565D39E08CF8DABE458842E71A612720085E7BE1CB6FF99D8F1AC32B469429", "https://baanknet.com/view-property/216277/96565D39E08CF8DABE458842E71A612720085E7BE1CB6FF99D8F1AC32B469429")</f>
        <v>https://baanknet.com/view-property/216277/96565D39E08CF8DABE458842E71A612720085E7BE1CB6FF99D8F1AC32B469429</v>
      </c>
      <c r="I1204" t="str">
        <f>HYPERLINK("https://baanknet.com/view-property/216277/96565D39E08CF8DABE458842E71A612720085E7BE1CB6FF99D8F1AC32B469429", "Open")</f>
        <v>Open</v>
      </c>
      <c r="J1204" t="s">
        <v>3803</v>
      </c>
      <c r="L1204">
        <v>18900000</v>
      </c>
      <c r="M1204">
        <v>1890000</v>
      </c>
    </row>
    <row r="1205" spans="1:13" x14ac:dyDescent="0.25">
      <c r="A1205" t="s">
        <v>4213</v>
      </c>
      <c r="B1205" t="s">
        <v>4214</v>
      </c>
      <c r="C1205" t="s">
        <v>15</v>
      </c>
      <c r="D1205" t="s">
        <v>3225</v>
      </c>
      <c r="E1205" t="s">
        <v>4163</v>
      </c>
      <c r="F1205" t="s">
        <v>4164</v>
      </c>
      <c r="G1205" t="s">
        <v>4215</v>
      </c>
      <c r="H1205" t="str">
        <f>HYPERLINK("https://baanknet.com/view-property/203573/32D6DAFE059EFF235C68EDEA6313FB81A1EDA5BADBE9638A9D77F05D8FD95EDE", "https://baanknet.com/view-property/203573/32D6DAFE059EFF235C68EDEA6313FB81A1EDA5BADBE9638A9D77F05D8FD95EDE")</f>
        <v>https://baanknet.com/view-property/203573/32D6DAFE059EFF235C68EDEA6313FB81A1EDA5BADBE9638A9D77F05D8FD95EDE</v>
      </c>
      <c r="I1205" t="str">
        <f>HYPERLINK("https://baanknet.com/view-property/203573/32D6DAFE059EFF235C68EDEA6313FB81A1EDA5BADBE9638A9D77F05D8FD95EDE", "Open")</f>
        <v>Open</v>
      </c>
      <c r="J1205" t="s">
        <v>3803</v>
      </c>
      <c r="L1205">
        <v>2700000</v>
      </c>
      <c r="M1205">
        <v>270000</v>
      </c>
    </row>
    <row r="1206" spans="1:13" x14ac:dyDescent="0.25">
      <c r="A1206" t="s">
        <v>4216</v>
      </c>
      <c r="B1206" t="s">
        <v>4217</v>
      </c>
      <c r="C1206" t="s">
        <v>15</v>
      </c>
      <c r="D1206" t="s">
        <v>3797</v>
      </c>
      <c r="E1206" t="s">
        <v>4163</v>
      </c>
      <c r="F1206" t="s">
        <v>4164</v>
      </c>
      <c r="G1206" t="s">
        <v>4218</v>
      </c>
      <c r="H1206" t="str">
        <f>HYPERLINK("https://baanknet.com/view-property/248732/9D423D3B6CC2D65E80F539EE28A8CDF09B7605400F35EF3831CC496CF2A3B259", "https://baanknet.com/view-property/248732/9D423D3B6CC2D65E80F539EE28A8CDF09B7605400F35EF3831CC496CF2A3B259")</f>
        <v>https://baanknet.com/view-property/248732/9D423D3B6CC2D65E80F539EE28A8CDF09B7605400F35EF3831CC496CF2A3B259</v>
      </c>
      <c r="I1206" t="str">
        <f>HYPERLINK("https://baanknet.com/view-property/248732/9D423D3B6CC2D65E80F539EE28A8CDF09B7605400F35EF3831CC496CF2A3B259", "Open")</f>
        <v>Open</v>
      </c>
      <c r="J1206" t="s">
        <v>3803</v>
      </c>
      <c r="L1206">
        <v>1600000</v>
      </c>
      <c r="M1206">
        <v>160000</v>
      </c>
    </row>
    <row r="1207" spans="1:13" x14ac:dyDescent="0.25">
      <c r="A1207" t="s">
        <v>4219</v>
      </c>
      <c r="B1207" t="s">
        <v>4220</v>
      </c>
      <c r="C1207" t="s">
        <v>15</v>
      </c>
      <c r="D1207" t="s">
        <v>3236</v>
      </c>
      <c r="E1207" t="s">
        <v>4163</v>
      </c>
      <c r="F1207" t="s">
        <v>4164</v>
      </c>
      <c r="G1207" t="s">
        <v>4221</v>
      </c>
      <c r="H1207" t="str">
        <f>HYPERLINK("https://baanknet.com/view-property/252557/FFD86009F63C10B03EB684E21768B5E0D04DB53E90D0C4893262716FD2F630F4", "https://baanknet.com/view-property/252557/FFD86009F63C10B03EB684E21768B5E0D04DB53E90D0C4893262716FD2F630F4")</f>
        <v>https://baanknet.com/view-property/252557/FFD86009F63C10B03EB684E21768B5E0D04DB53E90D0C4893262716FD2F630F4</v>
      </c>
      <c r="I1207" t="str">
        <f>HYPERLINK("https://baanknet.com/view-property/252557/FFD86009F63C10B03EB684E21768B5E0D04DB53E90D0C4893262716FD2F630F4", "Open")</f>
        <v>Open</v>
      </c>
      <c r="J1207" t="s">
        <v>3803</v>
      </c>
      <c r="L1207">
        <v>3920000</v>
      </c>
      <c r="M1207">
        <v>392000</v>
      </c>
    </row>
    <row r="1208" spans="1:13" x14ac:dyDescent="0.25">
      <c r="A1208" t="s">
        <v>4222</v>
      </c>
      <c r="B1208" t="s">
        <v>4223</v>
      </c>
      <c r="C1208" t="s">
        <v>15</v>
      </c>
      <c r="D1208" t="s">
        <v>4224</v>
      </c>
      <c r="E1208" t="s">
        <v>4163</v>
      </c>
      <c r="F1208" t="s">
        <v>4164</v>
      </c>
      <c r="G1208" t="s">
        <v>4225</v>
      </c>
      <c r="H1208" t="str">
        <f>HYPERLINK("https://baanknet.com/view-property/248728/1E2CF8EDACB12B8925D13CED8C67B03DA957F1A75A352FA8AA6D299A644E99ED", "https://baanknet.com/view-property/248728/1E2CF8EDACB12B8925D13CED8C67B03DA957F1A75A352FA8AA6D299A644E99ED")</f>
        <v>https://baanknet.com/view-property/248728/1E2CF8EDACB12B8925D13CED8C67B03DA957F1A75A352FA8AA6D299A644E99ED</v>
      </c>
      <c r="I1208" t="str">
        <f>HYPERLINK("https://baanknet.com/view-property/248728/1E2CF8EDACB12B8925D13CED8C67B03DA957F1A75A352FA8AA6D299A644E99ED", "Open")</f>
        <v>Open</v>
      </c>
      <c r="J1208" t="s">
        <v>3803</v>
      </c>
      <c r="L1208">
        <v>3510000</v>
      </c>
      <c r="M1208">
        <v>351000</v>
      </c>
    </row>
    <row r="1209" spans="1:13" x14ac:dyDescent="0.25">
      <c r="A1209" t="s">
        <v>4226</v>
      </c>
      <c r="B1209" t="s">
        <v>4227</v>
      </c>
      <c r="C1209" t="s">
        <v>15</v>
      </c>
      <c r="D1209" t="s">
        <v>4228</v>
      </c>
      <c r="E1209" t="s">
        <v>4163</v>
      </c>
      <c r="F1209" t="s">
        <v>4164</v>
      </c>
      <c r="G1209" t="s">
        <v>4229</v>
      </c>
      <c r="H1209" t="str">
        <f>HYPERLINK("https://baanknet.com/view-property/203489/09DAF58F0966F0C631590CCAD7D5707D71CCA5088BFEF45C0F5C76972731D44C", "https://baanknet.com/view-property/203489/09DAF58F0966F0C631590CCAD7D5707D71CCA5088BFEF45C0F5C76972731D44C")</f>
        <v>https://baanknet.com/view-property/203489/09DAF58F0966F0C631590CCAD7D5707D71CCA5088BFEF45C0F5C76972731D44C</v>
      </c>
      <c r="I1209" t="str">
        <f>HYPERLINK("https://baanknet.com/view-property/203489/09DAF58F0966F0C631590CCAD7D5707D71CCA5088BFEF45C0F5C76972731D44C", "Open")</f>
        <v>Open</v>
      </c>
      <c r="J1209" t="s">
        <v>3803</v>
      </c>
      <c r="L1209">
        <v>3120000</v>
      </c>
      <c r="M1209">
        <v>312000</v>
      </c>
    </row>
    <row r="1210" spans="1:13" x14ac:dyDescent="0.25">
      <c r="A1210" t="s">
        <v>4230</v>
      </c>
      <c r="B1210" t="s">
        <v>4231</v>
      </c>
      <c r="C1210" t="s">
        <v>15</v>
      </c>
      <c r="D1210" t="s">
        <v>4232</v>
      </c>
      <c r="E1210" t="s">
        <v>579</v>
      </c>
      <c r="F1210" t="s">
        <v>596</v>
      </c>
      <c r="G1210" t="s">
        <v>4233</v>
      </c>
      <c r="H1210" t="str">
        <f>HYPERLINK("https://baanknet.com/view-property/284851/3A0271B1C304B6ED022D535C9AD900D5B09221B03632C995F6961BE6505A3A09", "https://baanknet.com/view-property/284851/3A0271B1C304B6ED022D535C9AD900D5B09221B03632C995F6961BE6505A3A09")</f>
        <v>https://baanknet.com/view-property/284851/3A0271B1C304B6ED022D535C9AD900D5B09221B03632C995F6961BE6505A3A09</v>
      </c>
      <c r="I1210" t="str">
        <f>HYPERLINK("https://baanknet.com/view-property/284851/3A0271B1C304B6ED022D535C9AD900D5B09221B03632C995F6961BE6505A3A09", "Open")</f>
        <v>Open</v>
      </c>
      <c r="J1210" t="s">
        <v>3803</v>
      </c>
      <c r="L1210">
        <v>16300000</v>
      </c>
      <c r="M1210">
        <v>1630000</v>
      </c>
    </row>
    <row r="1211" spans="1:13" x14ac:dyDescent="0.25">
      <c r="A1211" t="s">
        <v>4234</v>
      </c>
      <c r="B1211" t="s">
        <v>4235</v>
      </c>
      <c r="C1211" t="s">
        <v>15</v>
      </c>
      <c r="D1211" t="s">
        <v>1310</v>
      </c>
      <c r="E1211" t="s">
        <v>579</v>
      </c>
      <c r="F1211" t="s">
        <v>596</v>
      </c>
      <c r="G1211" t="s">
        <v>4236</v>
      </c>
      <c r="H1211" t="str">
        <f>HYPERLINK("https://baanknet.com/view-property/191681/D506548D1B03D69D3EFABC294252F7799FE0899147CB10B4C59F5DD50B92326D", "https://baanknet.com/view-property/191681/D506548D1B03D69D3EFABC294252F7799FE0899147CB10B4C59F5DD50B92326D")</f>
        <v>https://baanknet.com/view-property/191681/D506548D1B03D69D3EFABC294252F7799FE0899147CB10B4C59F5DD50B92326D</v>
      </c>
      <c r="I1211" t="str">
        <f>HYPERLINK("https://baanknet.com/view-property/191681/D506548D1B03D69D3EFABC294252F7799FE0899147CB10B4C59F5DD50B92326D", "Open")</f>
        <v>Open</v>
      </c>
      <c r="J1211" t="s">
        <v>3803</v>
      </c>
      <c r="L1211">
        <v>10632600</v>
      </c>
      <c r="M1211">
        <v>1063260</v>
      </c>
    </row>
    <row r="1212" spans="1:13" x14ac:dyDescent="0.25">
      <c r="A1212" t="s">
        <v>4237</v>
      </c>
      <c r="B1212" t="s">
        <v>4238</v>
      </c>
      <c r="C1212" t="s">
        <v>15</v>
      </c>
      <c r="D1212" t="s">
        <v>4239</v>
      </c>
      <c r="E1212" t="s">
        <v>579</v>
      </c>
      <c r="F1212" t="s">
        <v>596</v>
      </c>
      <c r="G1212" t="s">
        <v>4240</v>
      </c>
      <c r="H1212" t="str">
        <f>HYPERLINK("https://baanknet.com/view-property/277973/182D16414F36D318D9B0687C68DDA56E4C3F62C849BFDF356BC735DAC6609C22", "https://baanknet.com/view-property/277973/182D16414F36D318D9B0687C68DDA56E4C3F62C849BFDF356BC735DAC6609C22")</f>
        <v>https://baanknet.com/view-property/277973/182D16414F36D318D9B0687C68DDA56E4C3F62C849BFDF356BC735DAC6609C22</v>
      </c>
      <c r="I1212" t="str">
        <f>HYPERLINK("https://baanknet.com/view-property/277973/182D16414F36D318D9B0687C68DDA56E4C3F62C849BFDF356BC735DAC6609C22", "Open")</f>
        <v>Open</v>
      </c>
      <c r="J1212" t="s">
        <v>3803</v>
      </c>
      <c r="L1212">
        <v>2940000</v>
      </c>
      <c r="M1212">
        <v>294000</v>
      </c>
    </row>
    <row r="1213" spans="1:13" x14ac:dyDescent="0.25">
      <c r="A1213" t="s">
        <v>4241</v>
      </c>
      <c r="B1213" t="s">
        <v>4242</v>
      </c>
      <c r="C1213" t="s">
        <v>15</v>
      </c>
      <c r="D1213" t="s">
        <v>937</v>
      </c>
      <c r="E1213" t="s">
        <v>579</v>
      </c>
      <c r="F1213" t="s">
        <v>596</v>
      </c>
      <c r="G1213" t="s">
        <v>4243</v>
      </c>
      <c r="H1213" t="str">
        <f>HYPERLINK("https://baanknet.com/view-property/265338/AED2126684E566C6476BFBEDA89E1EF4BFBD8956F4A18B9DDB3A8F1D7EECD3F1", "https://baanknet.com/view-property/265338/AED2126684E566C6476BFBEDA89E1EF4BFBD8956F4A18B9DDB3A8F1D7EECD3F1")</f>
        <v>https://baanknet.com/view-property/265338/AED2126684E566C6476BFBEDA89E1EF4BFBD8956F4A18B9DDB3A8F1D7EECD3F1</v>
      </c>
      <c r="I1213" t="str">
        <f>HYPERLINK("https://baanknet.com/view-property/265338/AED2126684E566C6476BFBEDA89E1EF4BFBD8956F4A18B9DDB3A8F1D7EECD3F1", "Open")</f>
        <v>Open</v>
      </c>
      <c r="J1213" t="s">
        <v>3803</v>
      </c>
      <c r="L1213">
        <v>16885000</v>
      </c>
      <c r="M1213">
        <v>1688500</v>
      </c>
    </row>
    <row r="1214" spans="1:13" x14ac:dyDescent="0.25">
      <c r="A1214" t="s">
        <v>4244</v>
      </c>
      <c r="B1214" t="s">
        <v>4245</v>
      </c>
      <c r="C1214" t="s">
        <v>15</v>
      </c>
      <c r="D1214" t="s">
        <v>4246</v>
      </c>
      <c r="E1214" t="s">
        <v>579</v>
      </c>
      <c r="F1214" t="s">
        <v>596</v>
      </c>
      <c r="G1214" t="s">
        <v>4247</v>
      </c>
      <c r="H1214" t="str">
        <f>HYPERLINK("https://baanknet.com/view-property/248301/A105C4A9021B6551B7954651DB6D37999AE95D08555E410C95D4E192238D7CFD", "https://baanknet.com/view-property/248301/A105C4A9021B6551B7954651DB6D37999AE95D08555E410C95D4E192238D7CFD")</f>
        <v>https://baanknet.com/view-property/248301/A105C4A9021B6551B7954651DB6D37999AE95D08555E410C95D4E192238D7CFD</v>
      </c>
      <c r="I1214" t="str">
        <f>HYPERLINK("https://baanknet.com/view-property/248301/A105C4A9021B6551B7954651DB6D37999AE95D08555E410C95D4E192238D7CFD", "Open")</f>
        <v>Open</v>
      </c>
      <c r="J1214" t="s">
        <v>3803</v>
      </c>
      <c r="L1214">
        <v>1512000</v>
      </c>
      <c r="M1214">
        <v>151200</v>
      </c>
    </row>
    <row r="1215" spans="1:13" x14ac:dyDescent="0.25">
      <c r="A1215" t="s">
        <v>4248</v>
      </c>
      <c r="B1215" t="s">
        <v>4249</v>
      </c>
      <c r="C1215" t="s">
        <v>15</v>
      </c>
      <c r="D1215" t="s">
        <v>4246</v>
      </c>
      <c r="E1215" t="s">
        <v>579</v>
      </c>
      <c r="F1215" t="s">
        <v>596</v>
      </c>
      <c r="G1215" t="s">
        <v>4250</v>
      </c>
      <c r="H1215" t="str">
        <f>HYPERLINK("https://baanknet.com/view-property/266098/2F1247B10BFBC4F025B6FF9F31A511E5D641D8C8D112AA011B7D67C3BAF8FC30", "https://baanknet.com/view-property/266098/2F1247B10BFBC4F025B6FF9F31A511E5D641D8C8D112AA011B7D67C3BAF8FC30")</f>
        <v>https://baanknet.com/view-property/266098/2F1247B10BFBC4F025B6FF9F31A511E5D641D8C8D112AA011B7D67C3BAF8FC30</v>
      </c>
      <c r="I1215" t="str">
        <f>HYPERLINK("https://baanknet.com/view-property/266098/2F1247B10BFBC4F025B6FF9F31A511E5D641D8C8D112AA011B7D67C3BAF8FC30", "Open")</f>
        <v>Open</v>
      </c>
      <c r="J1215" t="s">
        <v>3803</v>
      </c>
      <c r="L1215">
        <v>1231000</v>
      </c>
      <c r="M1215">
        <v>123100</v>
      </c>
    </row>
    <row r="1216" spans="1:13" x14ac:dyDescent="0.25">
      <c r="A1216" t="s">
        <v>4251</v>
      </c>
      <c r="B1216" t="s">
        <v>4252</v>
      </c>
      <c r="C1216" t="s">
        <v>15</v>
      </c>
      <c r="D1216" t="s">
        <v>4253</v>
      </c>
      <c r="E1216" t="s">
        <v>579</v>
      </c>
      <c r="F1216" t="s">
        <v>596</v>
      </c>
      <c r="G1216" t="s">
        <v>4254</v>
      </c>
      <c r="H1216" t="str">
        <f>HYPERLINK("https://baanknet.com/view-property/199781/8652E4FD8D98C778D309AA5B4B19F9FD878AD93FAA44976DEA3A9D884EF86EF4", "https://baanknet.com/view-property/199781/8652E4FD8D98C778D309AA5B4B19F9FD878AD93FAA44976DEA3A9D884EF86EF4")</f>
        <v>https://baanknet.com/view-property/199781/8652E4FD8D98C778D309AA5B4B19F9FD878AD93FAA44976DEA3A9D884EF86EF4</v>
      </c>
      <c r="I1216" t="str">
        <f>HYPERLINK("https://baanknet.com/view-property/199781/8652E4FD8D98C778D309AA5B4B19F9FD878AD93FAA44976DEA3A9D884EF86EF4", "Open")</f>
        <v>Open</v>
      </c>
      <c r="J1216" t="s">
        <v>3803</v>
      </c>
      <c r="L1216">
        <v>931000</v>
      </c>
      <c r="M1216">
        <v>93100</v>
      </c>
    </row>
    <row r="1217" spans="1:13" x14ac:dyDescent="0.25">
      <c r="A1217" t="s">
        <v>4255</v>
      </c>
      <c r="B1217" t="s">
        <v>4256</v>
      </c>
      <c r="C1217" t="s">
        <v>15</v>
      </c>
      <c r="D1217" t="s">
        <v>553</v>
      </c>
      <c r="E1217" t="s">
        <v>579</v>
      </c>
      <c r="F1217" t="s">
        <v>596</v>
      </c>
      <c r="G1217" t="s">
        <v>4257</v>
      </c>
      <c r="H1217" t="str">
        <f>HYPERLINK("https://baanknet.com/view-property/266530/AAEAA34233F21D6E5DA8E9FF3C5D39FD492F8C5028F32E30C1BFB1E971683D95", "https://baanknet.com/view-property/266530/AAEAA34233F21D6E5DA8E9FF3C5D39FD492F8C5028F32E30C1BFB1E971683D95")</f>
        <v>https://baanknet.com/view-property/266530/AAEAA34233F21D6E5DA8E9FF3C5D39FD492F8C5028F32E30C1BFB1E971683D95</v>
      </c>
      <c r="I1217" t="str">
        <f>HYPERLINK("https://baanknet.com/view-property/266530/AAEAA34233F21D6E5DA8E9FF3C5D39FD492F8C5028F32E30C1BFB1E971683D95", "Open")</f>
        <v>Open</v>
      </c>
      <c r="J1217" t="s">
        <v>3803</v>
      </c>
      <c r="L1217">
        <v>1805000</v>
      </c>
      <c r="M1217">
        <v>180500</v>
      </c>
    </row>
    <row r="1218" spans="1:13" x14ac:dyDescent="0.25">
      <c r="A1218" t="s">
        <v>4258</v>
      </c>
      <c r="B1218" t="s">
        <v>4259</v>
      </c>
      <c r="C1218" t="s">
        <v>15</v>
      </c>
      <c r="D1218" t="s">
        <v>710</v>
      </c>
      <c r="E1218" t="s">
        <v>579</v>
      </c>
      <c r="F1218" t="s">
        <v>596</v>
      </c>
      <c r="G1218" t="s">
        <v>4260</v>
      </c>
      <c r="H1218" t="str">
        <f>HYPERLINK("https://baanknet.com/view-property/257527/C19CB2305E80AB41AB2788A0C4FD2FFBA71D02D992EAC119AE4BBBA32F119703", "https://baanknet.com/view-property/257527/C19CB2305E80AB41AB2788A0C4FD2FFBA71D02D992EAC119AE4BBBA32F119703")</f>
        <v>https://baanknet.com/view-property/257527/C19CB2305E80AB41AB2788A0C4FD2FFBA71D02D992EAC119AE4BBBA32F119703</v>
      </c>
      <c r="I1218" t="str">
        <f>HYPERLINK("https://baanknet.com/view-property/257527/C19CB2305E80AB41AB2788A0C4FD2FFBA71D02D992EAC119AE4BBBA32F119703", "Open")</f>
        <v>Open</v>
      </c>
      <c r="J1218" t="s">
        <v>3803</v>
      </c>
      <c r="L1218">
        <v>3460000</v>
      </c>
      <c r="M1218">
        <v>346000</v>
      </c>
    </row>
    <row r="1219" spans="1:13" x14ac:dyDescent="0.25">
      <c r="A1219" t="s">
        <v>4261</v>
      </c>
      <c r="B1219" t="s">
        <v>4262</v>
      </c>
      <c r="C1219" t="s">
        <v>832</v>
      </c>
      <c r="D1219" t="s">
        <v>937</v>
      </c>
      <c r="E1219" t="s">
        <v>579</v>
      </c>
      <c r="F1219" t="s">
        <v>596</v>
      </c>
      <c r="G1219" t="s">
        <v>4263</v>
      </c>
      <c r="H1219" t="str">
        <f>HYPERLINK("https://baanknet.com/view-property/172226/F9F7ADF12CD507571535A87586D6A22B2A838D8E5ECA262A3FFE86A2444F5083", "https://baanknet.com/view-property/172226/F9F7ADF12CD507571535A87586D6A22B2A838D8E5ECA262A3FFE86A2444F5083")</f>
        <v>https://baanknet.com/view-property/172226/F9F7ADF12CD507571535A87586D6A22B2A838D8E5ECA262A3FFE86A2444F5083</v>
      </c>
      <c r="I1219" t="str">
        <f>HYPERLINK("https://baanknet.com/view-property/172226/F9F7ADF12CD507571535A87586D6A22B2A838D8E5ECA262A3FFE86A2444F5083", "Open")</f>
        <v>Open</v>
      </c>
      <c r="J1219" t="s">
        <v>3803</v>
      </c>
      <c r="L1219">
        <v>87850000</v>
      </c>
      <c r="M1219">
        <v>8785000</v>
      </c>
    </row>
    <row r="1220" spans="1:13" x14ac:dyDescent="0.25">
      <c r="A1220" t="s">
        <v>4264</v>
      </c>
      <c r="B1220" t="s">
        <v>4265</v>
      </c>
      <c r="C1220" t="s">
        <v>15</v>
      </c>
      <c r="D1220" t="s">
        <v>4266</v>
      </c>
      <c r="E1220" t="s">
        <v>579</v>
      </c>
      <c r="F1220" t="s">
        <v>278</v>
      </c>
      <c r="G1220" t="s">
        <v>4267</v>
      </c>
      <c r="H1220" t="str">
        <f>HYPERLINK("https://baanknet.com/view-property/270140/DD1FCADDF4FE6B47C71AF0139C2D737F828E4A0A765493D0FE9514B5CEA14C44", "https://baanknet.com/view-property/270140/DD1FCADDF4FE6B47C71AF0139C2D737F828E4A0A765493D0FE9514B5CEA14C44")</f>
        <v>https://baanknet.com/view-property/270140/DD1FCADDF4FE6B47C71AF0139C2D737F828E4A0A765493D0FE9514B5CEA14C44</v>
      </c>
      <c r="I1220" t="str">
        <f>HYPERLINK("https://baanknet.com/view-property/270140/DD1FCADDF4FE6B47C71AF0139C2D737F828E4A0A765493D0FE9514B5CEA14C44", "Open")</f>
        <v>Open</v>
      </c>
      <c r="J1220" t="s">
        <v>3803</v>
      </c>
      <c r="L1220">
        <v>882000</v>
      </c>
      <c r="M1220">
        <v>88200</v>
      </c>
    </row>
    <row r="1221" spans="1:13" x14ac:dyDescent="0.25">
      <c r="A1221" t="s">
        <v>4268</v>
      </c>
      <c r="B1221" t="s">
        <v>4269</v>
      </c>
      <c r="C1221" t="s">
        <v>15</v>
      </c>
      <c r="D1221" t="s">
        <v>4266</v>
      </c>
      <c r="E1221" t="s">
        <v>579</v>
      </c>
      <c r="F1221" t="s">
        <v>278</v>
      </c>
      <c r="G1221" t="s">
        <v>4270</v>
      </c>
      <c r="H1221" t="str">
        <f>HYPERLINK("https://baanknet.com/view-property/262386/63A01F317D80AA3B8E2DAADE9F50E0B2DED2F53EB285D994891BD38D231778C2", "https://baanknet.com/view-property/262386/63A01F317D80AA3B8E2DAADE9F50E0B2DED2F53EB285D994891BD38D231778C2")</f>
        <v>https://baanknet.com/view-property/262386/63A01F317D80AA3B8E2DAADE9F50E0B2DED2F53EB285D994891BD38D231778C2</v>
      </c>
      <c r="I1221" t="str">
        <f>HYPERLINK("https://baanknet.com/view-property/262386/63A01F317D80AA3B8E2DAADE9F50E0B2DED2F53EB285D994891BD38D231778C2", "Open")</f>
        <v>Open</v>
      </c>
      <c r="J1221" t="s">
        <v>3803</v>
      </c>
      <c r="L1221">
        <v>1531000</v>
      </c>
      <c r="M1221">
        <v>153100</v>
      </c>
    </row>
    <row r="1222" spans="1:13" x14ac:dyDescent="0.25">
      <c r="A1222" t="s">
        <v>4271</v>
      </c>
      <c r="B1222" t="s">
        <v>4272</v>
      </c>
      <c r="C1222" t="s">
        <v>15</v>
      </c>
      <c r="D1222" t="s">
        <v>4273</v>
      </c>
      <c r="E1222" t="s">
        <v>579</v>
      </c>
      <c r="F1222" t="s">
        <v>278</v>
      </c>
      <c r="G1222" t="s">
        <v>4274</v>
      </c>
      <c r="H1222" t="str">
        <f>HYPERLINK("https://baanknet.com/view-property/272463/72EB78A4B815BDD12EEC0CB5556C313D42B01C75F8B0E21F22EB783A11912335", "https://baanknet.com/view-property/272463/72EB78A4B815BDD12EEC0CB5556C313D42B01C75F8B0E21F22EB783A11912335")</f>
        <v>https://baanknet.com/view-property/272463/72EB78A4B815BDD12EEC0CB5556C313D42B01C75F8B0E21F22EB783A11912335</v>
      </c>
      <c r="I1222" t="str">
        <f>HYPERLINK("https://baanknet.com/view-property/272463/72EB78A4B815BDD12EEC0CB5556C313D42B01C75F8B0E21F22EB783A11912335", "Open")</f>
        <v>Open</v>
      </c>
      <c r="J1222" t="s">
        <v>3803</v>
      </c>
      <c r="L1222">
        <v>1540000</v>
      </c>
      <c r="M1222">
        <v>154000</v>
      </c>
    </row>
    <row r="1223" spans="1:13" x14ac:dyDescent="0.25">
      <c r="A1223" t="s">
        <v>4275</v>
      </c>
      <c r="B1223" t="s">
        <v>4276</v>
      </c>
      <c r="C1223" t="s">
        <v>15</v>
      </c>
      <c r="D1223" t="s">
        <v>2932</v>
      </c>
      <c r="E1223" t="s">
        <v>579</v>
      </c>
      <c r="F1223" t="s">
        <v>278</v>
      </c>
      <c r="G1223" t="s">
        <v>4277</v>
      </c>
      <c r="H1223" t="str">
        <f>HYPERLINK("https://baanknet.com/view-property/264120/67968569B83E138EE8B2A75004880C3DF04DA748B97016EEC73A72E8C7729122", "https://baanknet.com/view-property/264120/67968569B83E138EE8B2A75004880C3DF04DA748B97016EEC73A72E8C7729122")</f>
        <v>https://baanknet.com/view-property/264120/67968569B83E138EE8B2A75004880C3DF04DA748B97016EEC73A72E8C7729122</v>
      </c>
      <c r="I1223" t="str">
        <f>HYPERLINK("https://baanknet.com/view-property/264120/67968569B83E138EE8B2A75004880C3DF04DA748B97016EEC73A72E8C7729122", "Open")</f>
        <v>Open</v>
      </c>
      <c r="J1223" t="s">
        <v>3803</v>
      </c>
      <c r="L1223">
        <v>1847000</v>
      </c>
      <c r="M1223">
        <v>184700</v>
      </c>
    </row>
    <row r="1224" spans="1:13" x14ac:dyDescent="0.25">
      <c r="A1224" t="s">
        <v>4278</v>
      </c>
      <c r="B1224" t="s">
        <v>4279</v>
      </c>
      <c r="C1224" t="s">
        <v>832</v>
      </c>
      <c r="D1224" t="s">
        <v>4280</v>
      </c>
      <c r="E1224" t="s">
        <v>579</v>
      </c>
      <c r="F1224" t="s">
        <v>4281</v>
      </c>
      <c r="G1224" t="s">
        <v>4282</v>
      </c>
      <c r="H1224" t="str">
        <f>HYPERLINK("https://baanknet.com/view-property/286047/BA9A0832EC7041276007ACA1ECE70D1A03298941A083E8E474ACA660335A3554", "https://baanknet.com/view-property/286047/BA9A0832EC7041276007ACA1ECE70D1A03298941A083E8E474ACA660335A3554")</f>
        <v>https://baanknet.com/view-property/286047/BA9A0832EC7041276007ACA1ECE70D1A03298941A083E8E474ACA660335A3554</v>
      </c>
      <c r="I1224" t="str">
        <f>HYPERLINK("https://baanknet.com/view-property/286047/BA9A0832EC7041276007ACA1ECE70D1A03298941A083E8E474ACA660335A3554", "Open")</f>
        <v>Open</v>
      </c>
      <c r="J1224" t="s">
        <v>3803</v>
      </c>
      <c r="L1224">
        <v>20600000</v>
      </c>
      <c r="M1224">
        <v>2060000</v>
      </c>
    </row>
    <row r="1225" spans="1:13" x14ac:dyDescent="0.25">
      <c r="A1225" t="s">
        <v>4283</v>
      </c>
      <c r="B1225" t="s">
        <v>4284</v>
      </c>
      <c r="C1225" t="s">
        <v>832</v>
      </c>
      <c r="D1225" t="s">
        <v>1993</v>
      </c>
      <c r="E1225" t="s">
        <v>579</v>
      </c>
      <c r="F1225" t="s">
        <v>4281</v>
      </c>
      <c r="G1225" t="s">
        <v>4285</v>
      </c>
      <c r="H1225" t="str">
        <f>HYPERLINK("https://baanknet.com/view-property/286168/C1D9086EFBEB16433B52CEC425B41088FD7F6426779972152FC347695E087497", "https://baanknet.com/view-property/286168/C1D9086EFBEB16433B52CEC425B41088FD7F6426779972152FC347695E087497")</f>
        <v>https://baanknet.com/view-property/286168/C1D9086EFBEB16433B52CEC425B41088FD7F6426779972152FC347695E087497</v>
      </c>
      <c r="I1225" t="str">
        <f>HYPERLINK("https://baanknet.com/view-property/286168/C1D9086EFBEB16433B52CEC425B41088FD7F6426779972152FC347695E087497", "Open")</f>
        <v>Open</v>
      </c>
      <c r="J1225" t="s">
        <v>3803</v>
      </c>
      <c r="L1225">
        <v>10100000</v>
      </c>
      <c r="M1225">
        <v>1010000</v>
      </c>
    </row>
    <row r="1226" spans="1:13" x14ac:dyDescent="0.25">
      <c r="A1226" t="s">
        <v>4286</v>
      </c>
      <c r="B1226" t="s">
        <v>4287</v>
      </c>
      <c r="C1226" t="s">
        <v>832</v>
      </c>
      <c r="D1226" t="s">
        <v>1993</v>
      </c>
      <c r="E1226" t="s">
        <v>579</v>
      </c>
      <c r="F1226" t="s">
        <v>4281</v>
      </c>
      <c r="G1226" t="s">
        <v>4288</v>
      </c>
      <c r="H1226" t="str">
        <f>HYPERLINK("https://baanknet.com/view-property/286179/59BB9AB11468E0106C20A390E9F8140FC6BC3449A85A0A448630475929ADEA15", "https://baanknet.com/view-property/286179/59BB9AB11468E0106C20A390E9F8140FC6BC3449A85A0A448630475929ADEA15")</f>
        <v>https://baanknet.com/view-property/286179/59BB9AB11468E0106C20A390E9F8140FC6BC3449A85A0A448630475929ADEA15</v>
      </c>
      <c r="I1226" t="str">
        <f>HYPERLINK("https://baanknet.com/view-property/286179/59BB9AB11468E0106C20A390E9F8140FC6BC3449A85A0A448630475929ADEA15", "Open")</f>
        <v>Open</v>
      </c>
      <c r="J1226" t="s">
        <v>3803</v>
      </c>
      <c r="L1226">
        <v>27500000</v>
      </c>
      <c r="M1226">
        <v>2750000</v>
      </c>
    </row>
    <row r="1227" spans="1:13" x14ac:dyDescent="0.25">
      <c r="A1227" t="s">
        <v>4289</v>
      </c>
      <c r="B1227" t="s">
        <v>4290</v>
      </c>
      <c r="C1227" t="s">
        <v>832</v>
      </c>
      <c r="D1227" t="s">
        <v>1993</v>
      </c>
      <c r="E1227" t="s">
        <v>579</v>
      </c>
      <c r="F1227" t="s">
        <v>4281</v>
      </c>
      <c r="G1227" t="s">
        <v>4291</v>
      </c>
      <c r="H1227" t="str">
        <f>HYPERLINK("https://baanknet.com/view-property/286178/AB0E23B5C04209A98D30E439F6B8A50EFE17379CB2AD9081B345F48EF502AA77", "https://baanknet.com/view-property/286178/AB0E23B5C04209A98D30E439F6B8A50EFE17379CB2AD9081B345F48EF502AA77")</f>
        <v>https://baanknet.com/view-property/286178/AB0E23B5C04209A98D30E439F6B8A50EFE17379CB2AD9081B345F48EF502AA77</v>
      </c>
      <c r="I1227" t="str">
        <f>HYPERLINK("https://baanknet.com/view-property/286178/AB0E23B5C04209A98D30E439F6B8A50EFE17379CB2AD9081B345F48EF502AA77", "Open")</f>
        <v>Open</v>
      </c>
      <c r="J1227" t="s">
        <v>3803</v>
      </c>
      <c r="L1227">
        <v>52500000</v>
      </c>
      <c r="M1227">
        <v>5250000</v>
      </c>
    </row>
    <row r="1228" spans="1:13" x14ac:dyDescent="0.25">
      <c r="A1228" t="s">
        <v>4292</v>
      </c>
      <c r="B1228" t="s">
        <v>4293</v>
      </c>
      <c r="C1228" t="s">
        <v>832</v>
      </c>
      <c r="D1228" t="s">
        <v>1993</v>
      </c>
      <c r="E1228" t="s">
        <v>579</v>
      </c>
      <c r="F1228" t="s">
        <v>4281</v>
      </c>
      <c r="G1228" t="s">
        <v>4294</v>
      </c>
      <c r="H1228" t="str">
        <f>HYPERLINK("https://baanknet.com/view-property/286172/B86E55E40521EEEF1AE0B7582A80C4B2362C1F8D1786A9BC076D90D68B47059B", "https://baanknet.com/view-property/286172/B86E55E40521EEEF1AE0B7582A80C4B2362C1F8D1786A9BC076D90D68B47059B")</f>
        <v>https://baanknet.com/view-property/286172/B86E55E40521EEEF1AE0B7582A80C4B2362C1F8D1786A9BC076D90D68B47059B</v>
      </c>
      <c r="I1228" t="str">
        <f>HYPERLINK("https://baanknet.com/view-property/286172/B86E55E40521EEEF1AE0B7582A80C4B2362C1F8D1786A9BC076D90D68B47059B", "Open")</f>
        <v>Open</v>
      </c>
      <c r="J1228" t="s">
        <v>3803</v>
      </c>
      <c r="L1228">
        <v>9300000</v>
      </c>
      <c r="M1228">
        <v>930000</v>
      </c>
    </row>
    <row r="1229" spans="1:13" x14ac:dyDescent="0.25">
      <c r="A1229" t="s">
        <v>4295</v>
      </c>
      <c r="B1229" t="s">
        <v>4296</v>
      </c>
      <c r="C1229" t="s">
        <v>144</v>
      </c>
      <c r="D1229" t="s">
        <v>4297</v>
      </c>
      <c r="E1229" t="s">
        <v>579</v>
      </c>
      <c r="F1229" t="s">
        <v>4281</v>
      </c>
      <c r="G1229" t="s">
        <v>4298</v>
      </c>
      <c r="H1229" t="str">
        <f>HYPERLINK("https://baanknet.com/view-property/261663/89ED9FB6F94E02389A6C8DE6CE25C007BFBBCEBC83B9273AB2B56351DC8901B4", "https://baanknet.com/view-property/261663/89ED9FB6F94E02389A6C8DE6CE25C007BFBBCEBC83B9273AB2B56351DC8901B4")</f>
        <v>https://baanknet.com/view-property/261663/89ED9FB6F94E02389A6C8DE6CE25C007BFBBCEBC83B9273AB2B56351DC8901B4</v>
      </c>
      <c r="I1229" t="str">
        <f>HYPERLINK("https://baanknet.com/view-property/261663/89ED9FB6F94E02389A6C8DE6CE25C007BFBBCEBC83B9273AB2B56351DC8901B4", "Open")</f>
        <v>Open</v>
      </c>
      <c r="J1229" t="s">
        <v>3803</v>
      </c>
      <c r="L1229">
        <v>1236000</v>
      </c>
      <c r="M1229">
        <v>123600</v>
      </c>
    </row>
    <row r="1230" spans="1:13" x14ac:dyDescent="0.25">
      <c r="A1230" t="s">
        <v>4299</v>
      </c>
      <c r="B1230" t="s">
        <v>4300</v>
      </c>
      <c r="C1230" t="s">
        <v>144</v>
      </c>
      <c r="D1230" t="s">
        <v>4301</v>
      </c>
      <c r="E1230" t="s">
        <v>579</v>
      </c>
      <c r="F1230" t="s">
        <v>4281</v>
      </c>
      <c r="G1230" t="s">
        <v>4302</v>
      </c>
      <c r="H1230" t="str">
        <f>HYPERLINK("https://baanknet.com/view-property/286890/2E8FE6B129B99FC52F9E6B99D5ECFC6F9F6C51E9C598F7E6556FC8AF8A184E63", "https://baanknet.com/view-property/286890/2E8FE6B129B99FC52F9E6B99D5ECFC6F9F6C51E9C598F7E6556FC8AF8A184E63")</f>
        <v>https://baanknet.com/view-property/286890/2E8FE6B129B99FC52F9E6B99D5ECFC6F9F6C51E9C598F7E6556FC8AF8A184E63</v>
      </c>
      <c r="I1230" t="str">
        <f>HYPERLINK("https://baanknet.com/view-property/286890/2E8FE6B129B99FC52F9E6B99D5ECFC6F9F6C51E9C598F7E6556FC8AF8A184E63", "Open")</f>
        <v>Open</v>
      </c>
      <c r="J1230" t="s">
        <v>3803</v>
      </c>
      <c r="L1230">
        <v>1641000</v>
      </c>
      <c r="M1230">
        <v>164100</v>
      </c>
    </row>
    <row r="1231" spans="1:13" x14ac:dyDescent="0.25">
      <c r="A1231" t="s">
        <v>4303</v>
      </c>
      <c r="B1231" t="s">
        <v>4304</v>
      </c>
      <c r="C1231" t="s">
        <v>144</v>
      </c>
      <c r="D1231" t="s">
        <v>4305</v>
      </c>
      <c r="E1231" t="s">
        <v>579</v>
      </c>
      <c r="F1231" t="s">
        <v>4281</v>
      </c>
      <c r="G1231" t="s">
        <v>4306</v>
      </c>
      <c r="H1231" t="str">
        <f>HYPERLINK("https://baanknet.com/view-property/286896/A4A1E8BB235AB70F67C08C4194B53A6B7D5A713B99A5548E9C35EC4F1CBE9A3F", "https://baanknet.com/view-property/286896/A4A1E8BB235AB70F67C08C4194B53A6B7D5A713B99A5548E9C35EC4F1CBE9A3F")</f>
        <v>https://baanknet.com/view-property/286896/A4A1E8BB235AB70F67C08C4194B53A6B7D5A713B99A5548E9C35EC4F1CBE9A3F</v>
      </c>
      <c r="I1231" t="str">
        <f>HYPERLINK("https://baanknet.com/view-property/286896/A4A1E8BB235AB70F67C08C4194B53A6B7D5A713B99A5548E9C35EC4F1CBE9A3F", "Open")</f>
        <v>Open</v>
      </c>
      <c r="J1231" t="s">
        <v>3803</v>
      </c>
      <c r="L1231">
        <v>1288000</v>
      </c>
      <c r="M1231">
        <v>128800</v>
      </c>
    </row>
    <row r="1232" spans="1:13" x14ac:dyDescent="0.25">
      <c r="A1232" t="s">
        <v>4307</v>
      </c>
      <c r="B1232" t="s">
        <v>4308</v>
      </c>
      <c r="C1232" t="s">
        <v>144</v>
      </c>
      <c r="D1232" t="s">
        <v>4309</v>
      </c>
      <c r="E1232" t="s">
        <v>579</v>
      </c>
      <c r="F1232" t="s">
        <v>4281</v>
      </c>
      <c r="G1232" t="s">
        <v>4310</v>
      </c>
      <c r="H1232" t="str">
        <f>HYPERLINK("https://baanknet.com/view-property/280947/5A3C500A5DF736FF1008DFE2E7206C2B2B1E399BC6654A8DF9C7F734D9CEB824", "https://baanknet.com/view-property/280947/5A3C500A5DF736FF1008DFE2E7206C2B2B1E399BC6654A8DF9C7F734D9CEB824")</f>
        <v>https://baanknet.com/view-property/280947/5A3C500A5DF736FF1008DFE2E7206C2B2B1E399BC6654A8DF9C7F734D9CEB824</v>
      </c>
      <c r="I1232" t="str">
        <f>HYPERLINK("https://baanknet.com/view-property/280947/5A3C500A5DF736FF1008DFE2E7206C2B2B1E399BC6654A8DF9C7F734D9CEB824", "Open")</f>
        <v>Open</v>
      </c>
      <c r="J1232" t="s">
        <v>3803</v>
      </c>
      <c r="L1232">
        <v>4661000</v>
      </c>
      <c r="M1232">
        <v>466100</v>
      </c>
    </row>
    <row r="1233" spans="1:13" x14ac:dyDescent="0.25">
      <c r="A1233" t="s">
        <v>4311</v>
      </c>
      <c r="B1233" t="s">
        <v>4312</v>
      </c>
      <c r="C1233" t="s">
        <v>144</v>
      </c>
      <c r="D1233" t="s">
        <v>4313</v>
      </c>
      <c r="E1233" t="s">
        <v>579</v>
      </c>
      <c r="F1233" t="s">
        <v>4281</v>
      </c>
      <c r="G1233" t="s">
        <v>4314</v>
      </c>
      <c r="H1233" t="str">
        <f>HYPERLINK("https://baanknet.com/view-property/288131/D567B7160632DDC3EF550DD77CC8B130FA28E7AA78B1FC9602E01B94F585B41D", "https://baanknet.com/view-property/288131/D567B7160632DDC3EF550DD77CC8B130FA28E7AA78B1FC9602E01B94F585B41D")</f>
        <v>https://baanknet.com/view-property/288131/D567B7160632DDC3EF550DD77CC8B130FA28E7AA78B1FC9602E01B94F585B41D</v>
      </c>
      <c r="I1233" t="str">
        <f>HYPERLINK("https://baanknet.com/view-property/288131/D567B7160632DDC3EF550DD77CC8B130FA28E7AA78B1FC9602E01B94F585B41D", "Open")</f>
        <v>Open</v>
      </c>
      <c r="J1233" t="s">
        <v>3803</v>
      </c>
      <c r="L1233">
        <v>2839000</v>
      </c>
      <c r="M1233">
        <v>283900</v>
      </c>
    </row>
    <row r="1234" spans="1:13" x14ac:dyDescent="0.25">
      <c r="A1234" t="s">
        <v>4315</v>
      </c>
      <c r="B1234" t="s">
        <v>4316</v>
      </c>
      <c r="C1234" t="s">
        <v>144</v>
      </c>
      <c r="D1234" t="s">
        <v>4317</v>
      </c>
      <c r="E1234" t="s">
        <v>579</v>
      </c>
      <c r="F1234" t="s">
        <v>4281</v>
      </c>
      <c r="G1234" t="s">
        <v>4318</v>
      </c>
      <c r="H1234" t="str">
        <f>HYPERLINK("https://baanknet.com/view-property/288140/6C731753E82060FD0E23958DBC56986FE2EBF516C5407CFFF64E35483D32A457", "https://baanknet.com/view-property/288140/6C731753E82060FD0E23958DBC56986FE2EBF516C5407CFFF64E35483D32A457")</f>
        <v>https://baanknet.com/view-property/288140/6C731753E82060FD0E23958DBC56986FE2EBF516C5407CFFF64E35483D32A457</v>
      </c>
      <c r="I1234" t="str">
        <f>HYPERLINK("https://baanknet.com/view-property/288140/6C731753E82060FD0E23958DBC56986FE2EBF516C5407CFFF64E35483D32A457", "Open")</f>
        <v>Open</v>
      </c>
      <c r="J1234" t="s">
        <v>3803</v>
      </c>
      <c r="L1234">
        <v>5365200</v>
      </c>
      <c r="M1234">
        <v>536520</v>
      </c>
    </row>
    <row r="1235" spans="1:13" x14ac:dyDescent="0.25">
      <c r="A1235" t="s">
        <v>4319</v>
      </c>
      <c r="B1235" t="s">
        <v>4320</v>
      </c>
      <c r="C1235" t="s">
        <v>144</v>
      </c>
      <c r="D1235" t="s">
        <v>4321</v>
      </c>
      <c r="E1235" t="s">
        <v>579</v>
      </c>
      <c r="F1235" t="s">
        <v>4281</v>
      </c>
      <c r="G1235" t="s">
        <v>4322</v>
      </c>
      <c r="H1235" t="str">
        <f>HYPERLINK("https://baanknet.com/view-property/288148/48DBE404480ADDA29006A55D979523622777E822285C46FC196D3E47FB46497E", "https://baanknet.com/view-property/288148/48DBE404480ADDA29006A55D979523622777E822285C46FC196D3E47FB46497E")</f>
        <v>https://baanknet.com/view-property/288148/48DBE404480ADDA29006A55D979523622777E822285C46FC196D3E47FB46497E</v>
      </c>
      <c r="I1235" t="str">
        <f>HYPERLINK("https://baanknet.com/view-property/288148/48DBE404480ADDA29006A55D979523622777E822285C46FC196D3E47FB46497E", "Open")</f>
        <v>Open</v>
      </c>
      <c r="J1235" t="s">
        <v>3803</v>
      </c>
      <c r="L1235">
        <v>656000</v>
      </c>
      <c r="M1235">
        <v>65600</v>
      </c>
    </row>
    <row r="1236" spans="1:13" x14ac:dyDescent="0.25">
      <c r="A1236" t="s">
        <v>4323</v>
      </c>
      <c r="B1236" t="s">
        <v>4324</v>
      </c>
      <c r="C1236" t="s">
        <v>571</v>
      </c>
      <c r="D1236" t="s">
        <v>4325</v>
      </c>
      <c r="E1236" t="s">
        <v>579</v>
      </c>
      <c r="F1236" t="s">
        <v>3836</v>
      </c>
      <c r="G1236" t="s">
        <v>4326</v>
      </c>
      <c r="H1236" t="str">
        <f>HYPERLINK("https://baanknet.com/view-property/245919/F0A51DFB3390BBE805453F32A9D49E4B3AC9236005DA413524937CC5508E1DA7", "https://baanknet.com/view-property/245919/F0A51DFB3390BBE805453F32A9D49E4B3AC9236005DA413524937CC5508E1DA7")</f>
        <v>https://baanknet.com/view-property/245919/F0A51DFB3390BBE805453F32A9D49E4B3AC9236005DA413524937CC5508E1DA7</v>
      </c>
      <c r="I1236" t="str">
        <f>HYPERLINK("https://baanknet.com/view-property/245919/F0A51DFB3390BBE805453F32A9D49E4B3AC9236005DA413524937CC5508E1DA7", "Open")</f>
        <v>Open</v>
      </c>
      <c r="J1236" t="s">
        <v>3803</v>
      </c>
      <c r="L1236">
        <v>6500000</v>
      </c>
      <c r="M1236">
        <v>650000</v>
      </c>
    </row>
    <row r="1237" spans="1:13" x14ac:dyDescent="0.25">
      <c r="A1237" t="s">
        <v>4327</v>
      </c>
      <c r="B1237" t="s">
        <v>4328</v>
      </c>
      <c r="C1237" t="s">
        <v>571</v>
      </c>
      <c r="D1237" t="s">
        <v>4329</v>
      </c>
      <c r="E1237" t="s">
        <v>579</v>
      </c>
      <c r="F1237" t="s">
        <v>3836</v>
      </c>
      <c r="G1237" t="s">
        <v>4330</v>
      </c>
      <c r="H1237" t="str">
        <f>HYPERLINK("https://baanknet.com/view-property/285148/33326E919D1C5C2C934FB9B6423577B10E7CDFD2A2D56F58CA2CC9D8C00F0FB5", "https://baanknet.com/view-property/285148/33326E919D1C5C2C934FB9B6423577B10E7CDFD2A2D56F58CA2CC9D8C00F0FB5")</f>
        <v>https://baanknet.com/view-property/285148/33326E919D1C5C2C934FB9B6423577B10E7CDFD2A2D56F58CA2CC9D8C00F0FB5</v>
      </c>
      <c r="I1237" t="str">
        <f>HYPERLINK("https://baanknet.com/view-property/285148/33326E919D1C5C2C934FB9B6423577B10E7CDFD2A2D56F58CA2CC9D8C00F0FB5", "Open")</f>
        <v>Open</v>
      </c>
      <c r="J1237" t="s">
        <v>3803</v>
      </c>
      <c r="L1237">
        <v>11900000</v>
      </c>
      <c r="M1237">
        <v>1190000</v>
      </c>
    </row>
    <row r="1238" spans="1:13" x14ac:dyDescent="0.25">
      <c r="A1238" t="s">
        <v>4331</v>
      </c>
      <c r="B1238" t="s">
        <v>4332</v>
      </c>
      <c r="C1238" t="s">
        <v>571</v>
      </c>
      <c r="D1238" t="s">
        <v>1619</v>
      </c>
      <c r="E1238" t="s">
        <v>579</v>
      </c>
      <c r="F1238" t="s">
        <v>3836</v>
      </c>
      <c r="G1238" t="s">
        <v>4333</v>
      </c>
      <c r="H1238" t="str">
        <f>HYPERLINK("https://baanknet.com/view-property/285177/11CBFE0FAFB454D648D6A0F0F15902D93DA6AA8CA6003464C57D4D73FAF13F61", "https://baanknet.com/view-property/285177/11CBFE0FAFB454D648D6A0F0F15902D93DA6AA8CA6003464C57D4D73FAF13F61")</f>
        <v>https://baanknet.com/view-property/285177/11CBFE0FAFB454D648D6A0F0F15902D93DA6AA8CA6003464C57D4D73FAF13F61</v>
      </c>
      <c r="I1238" t="str">
        <f>HYPERLINK("https://baanknet.com/view-property/285177/11CBFE0FAFB454D648D6A0F0F15902D93DA6AA8CA6003464C57D4D73FAF13F61", "Open")</f>
        <v>Open</v>
      </c>
      <c r="J1238" t="s">
        <v>3803</v>
      </c>
      <c r="L1238">
        <v>6085000</v>
      </c>
      <c r="M1238">
        <v>608500</v>
      </c>
    </row>
    <row r="1239" spans="1:13" x14ac:dyDescent="0.25">
      <c r="A1239" t="s">
        <v>4334</v>
      </c>
      <c r="B1239" t="s">
        <v>4335</v>
      </c>
      <c r="C1239" t="s">
        <v>571</v>
      </c>
      <c r="D1239" t="s">
        <v>1619</v>
      </c>
      <c r="E1239" t="s">
        <v>579</v>
      </c>
      <c r="F1239" t="s">
        <v>3836</v>
      </c>
      <c r="G1239" t="s">
        <v>4336</v>
      </c>
      <c r="H1239" t="str">
        <f>HYPERLINK("https://baanknet.com/view-property/285179/7588E97513685E79B44ACCAE5BB850262C3F9BA8FA7BF1B927F71302F44ACD39", "https://baanknet.com/view-property/285179/7588E97513685E79B44ACCAE5BB850262C3F9BA8FA7BF1B927F71302F44ACD39")</f>
        <v>https://baanknet.com/view-property/285179/7588E97513685E79B44ACCAE5BB850262C3F9BA8FA7BF1B927F71302F44ACD39</v>
      </c>
      <c r="I1239" t="str">
        <f>HYPERLINK("https://baanknet.com/view-property/285179/7588E97513685E79B44ACCAE5BB850262C3F9BA8FA7BF1B927F71302F44ACD39", "Open")</f>
        <v>Open</v>
      </c>
      <c r="J1239" t="s">
        <v>3803</v>
      </c>
      <c r="L1239">
        <v>3600000</v>
      </c>
      <c r="M1239">
        <v>360000</v>
      </c>
    </row>
    <row r="1240" spans="1:13" x14ac:dyDescent="0.25">
      <c r="A1240" t="s">
        <v>4337</v>
      </c>
      <c r="B1240" t="s">
        <v>4338</v>
      </c>
      <c r="C1240" t="s">
        <v>832</v>
      </c>
      <c r="D1240" t="s">
        <v>4339</v>
      </c>
      <c r="E1240" t="s">
        <v>579</v>
      </c>
      <c r="F1240" t="s">
        <v>3836</v>
      </c>
      <c r="G1240" t="s">
        <v>4340</v>
      </c>
      <c r="H1240" t="str">
        <f>HYPERLINK("https://baanknet.com/view-property/286249/F9EDFC6D02E80AAF51224BF15FB37DB6D660743035A992A2A98BCE33A29BAFD8", "https://baanknet.com/view-property/286249/F9EDFC6D02E80AAF51224BF15FB37DB6D660743035A992A2A98BCE33A29BAFD8")</f>
        <v>https://baanknet.com/view-property/286249/F9EDFC6D02E80AAF51224BF15FB37DB6D660743035A992A2A98BCE33A29BAFD8</v>
      </c>
      <c r="I1240" t="str">
        <f>HYPERLINK("https://baanknet.com/view-property/286249/F9EDFC6D02E80AAF51224BF15FB37DB6D660743035A992A2A98BCE33A29BAFD8", "Open")</f>
        <v>Open</v>
      </c>
      <c r="J1240" t="s">
        <v>3803</v>
      </c>
      <c r="L1240">
        <v>6637000</v>
      </c>
      <c r="M1240">
        <v>663700</v>
      </c>
    </row>
    <row r="1241" spans="1:13" x14ac:dyDescent="0.25">
      <c r="A1241" t="s">
        <v>4341</v>
      </c>
      <c r="B1241" t="s">
        <v>4342</v>
      </c>
      <c r="C1241" t="s">
        <v>571</v>
      </c>
      <c r="D1241" t="s">
        <v>3217</v>
      </c>
      <c r="E1241" t="s">
        <v>579</v>
      </c>
      <c r="F1241" t="s">
        <v>3836</v>
      </c>
      <c r="G1241" t="s">
        <v>4343</v>
      </c>
      <c r="H1241" t="str">
        <f>HYPERLINK("https://baanknet.com/view-property/184824/D2AD8879B932135274F78BFFDBE014A5293DD7E21B9B0A5582B9EEAF6CFBFB9F", "https://baanknet.com/view-property/184824/D2AD8879B932135274F78BFFDBE014A5293DD7E21B9B0A5582B9EEAF6CFBFB9F")</f>
        <v>https://baanknet.com/view-property/184824/D2AD8879B932135274F78BFFDBE014A5293DD7E21B9B0A5582B9EEAF6CFBFB9F</v>
      </c>
      <c r="I1241" t="str">
        <f>HYPERLINK("https://baanknet.com/view-property/184824/D2AD8879B932135274F78BFFDBE014A5293DD7E21B9B0A5582B9EEAF6CFBFB9F", "Open")</f>
        <v>Open</v>
      </c>
      <c r="J1241" t="s">
        <v>3803</v>
      </c>
      <c r="L1241">
        <v>4050000</v>
      </c>
      <c r="M1241">
        <v>405000</v>
      </c>
    </row>
    <row r="1242" spans="1:13" x14ac:dyDescent="0.25">
      <c r="A1242" t="s">
        <v>4344</v>
      </c>
      <c r="B1242" t="s">
        <v>4345</v>
      </c>
      <c r="C1242" t="s">
        <v>571</v>
      </c>
      <c r="D1242" t="s">
        <v>3217</v>
      </c>
      <c r="E1242" t="s">
        <v>579</v>
      </c>
      <c r="F1242" t="s">
        <v>3836</v>
      </c>
      <c r="G1242" t="s">
        <v>4346</v>
      </c>
      <c r="H1242" t="str">
        <f>HYPERLINK("https://baanknet.com/view-property/251000/7714999BC22D8E8D974B98AAC3E35586BE8BFF2A4E7918C4C712C6276FD3091F", "https://baanknet.com/view-property/251000/7714999BC22D8E8D974B98AAC3E35586BE8BFF2A4E7918C4C712C6276FD3091F")</f>
        <v>https://baanknet.com/view-property/251000/7714999BC22D8E8D974B98AAC3E35586BE8BFF2A4E7918C4C712C6276FD3091F</v>
      </c>
      <c r="I1242" t="str">
        <f>HYPERLINK("https://baanknet.com/view-property/251000/7714999BC22D8E8D974B98AAC3E35586BE8BFF2A4E7918C4C712C6276FD3091F", "Open")</f>
        <v>Open</v>
      </c>
      <c r="J1242" t="s">
        <v>3803</v>
      </c>
      <c r="L1242">
        <v>1950000</v>
      </c>
      <c r="M1242">
        <v>195000</v>
      </c>
    </row>
    <row r="1243" spans="1:13" x14ac:dyDescent="0.25">
      <c r="A1243" t="s">
        <v>4347</v>
      </c>
      <c r="B1243" t="s">
        <v>4348</v>
      </c>
      <c r="C1243" t="s">
        <v>571</v>
      </c>
      <c r="D1243" t="s">
        <v>3217</v>
      </c>
      <c r="E1243" t="s">
        <v>579</v>
      </c>
      <c r="F1243" t="s">
        <v>3836</v>
      </c>
      <c r="G1243" t="s">
        <v>4349</v>
      </c>
      <c r="H1243" t="str">
        <f>HYPERLINK("https://baanknet.com/view-property/277631/830F90CEEDD7A514EF6B4F70D4349D905E6791F3E88310A666F5AA55CC4B2FBF", "https://baanknet.com/view-property/277631/830F90CEEDD7A514EF6B4F70D4349D905E6791F3E88310A666F5AA55CC4B2FBF")</f>
        <v>https://baanknet.com/view-property/277631/830F90CEEDD7A514EF6B4F70D4349D905E6791F3E88310A666F5AA55CC4B2FBF</v>
      </c>
      <c r="I1243" t="str">
        <f>HYPERLINK("https://baanknet.com/view-property/277631/830F90CEEDD7A514EF6B4F70D4349D905E6791F3E88310A666F5AA55CC4B2FBF", "Open")</f>
        <v>Open</v>
      </c>
      <c r="J1243" t="s">
        <v>3803</v>
      </c>
      <c r="L1243">
        <v>1800000</v>
      </c>
      <c r="M1243">
        <v>180000</v>
      </c>
    </row>
    <row r="1244" spans="1:13" x14ac:dyDescent="0.25">
      <c r="A1244" t="s">
        <v>4350</v>
      </c>
      <c r="B1244" t="s">
        <v>4351</v>
      </c>
      <c r="C1244" t="s">
        <v>571</v>
      </c>
      <c r="D1244" t="s">
        <v>4352</v>
      </c>
      <c r="E1244" t="s">
        <v>579</v>
      </c>
      <c r="F1244" t="s">
        <v>3836</v>
      </c>
      <c r="G1244" t="s">
        <v>4353</v>
      </c>
      <c r="H1244" t="str">
        <f>HYPERLINK("https://baanknet.com/view-property/277617/73B332CE3944C8CA5CEEDA8AD69A6F9B3359D6B7D2AC7B777588C91440D3C799", "https://baanknet.com/view-property/277617/73B332CE3944C8CA5CEEDA8AD69A6F9B3359D6B7D2AC7B777588C91440D3C799")</f>
        <v>https://baanknet.com/view-property/277617/73B332CE3944C8CA5CEEDA8AD69A6F9B3359D6B7D2AC7B777588C91440D3C799</v>
      </c>
      <c r="I1244" t="str">
        <f>HYPERLINK("https://baanknet.com/view-property/277617/73B332CE3944C8CA5CEEDA8AD69A6F9B3359D6B7D2AC7B777588C91440D3C799", "Open")</f>
        <v>Open</v>
      </c>
      <c r="J1244" t="s">
        <v>3803</v>
      </c>
      <c r="L1244">
        <v>750000</v>
      </c>
      <c r="M1244">
        <v>75000</v>
      </c>
    </row>
    <row r="1245" spans="1:13" x14ac:dyDescent="0.25">
      <c r="A1245" t="s">
        <v>4354</v>
      </c>
      <c r="B1245" t="s">
        <v>4355</v>
      </c>
      <c r="C1245" t="s">
        <v>571</v>
      </c>
      <c r="D1245" t="s">
        <v>1619</v>
      </c>
      <c r="E1245" t="s">
        <v>579</v>
      </c>
      <c r="F1245" t="s">
        <v>3836</v>
      </c>
      <c r="G1245" t="s">
        <v>4356</v>
      </c>
      <c r="H1245" t="str">
        <f>HYPERLINK("https://baanknet.com/view-property/258048/79F3E72ED196C3E50AD819A4AE09BC26F62C7230B1F07936B8CFD71E628FEA89", "https://baanknet.com/view-property/258048/79F3E72ED196C3E50AD819A4AE09BC26F62C7230B1F07936B8CFD71E628FEA89")</f>
        <v>https://baanknet.com/view-property/258048/79F3E72ED196C3E50AD819A4AE09BC26F62C7230B1F07936B8CFD71E628FEA89</v>
      </c>
      <c r="I1245" t="str">
        <f>HYPERLINK("https://baanknet.com/view-property/258048/79F3E72ED196C3E50AD819A4AE09BC26F62C7230B1F07936B8CFD71E628FEA89", "Open")</f>
        <v>Open</v>
      </c>
      <c r="J1245" t="s">
        <v>3803</v>
      </c>
      <c r="L1245">
        <v>2673000</v>
      </c>
      <c r="M1245">
        <v>267300</v>
      </c>
    </row>
    <row r="1246" spans="1:13" x14ac:dyDescent="0.25">
      <c r="A1246" t="s">
        <v>4357</v>
      </c>
      <c r="B1246" t="s">
        <v>4358</v>
      </c>
      <c r="C1246" t="s">
        <v>571</v>
      </c>
      <c r="D1246" t="s">
        <v>2502</v>
      </c>
      <c r="E1246" t="s">
        <v>579</v>
      </c>
      <c r="F1246" t="s">
        <v>3836</v>
      </c>
      <c r="G1246" t="s">
        <v>4359</v>
      </c>
      <c r="H1246" t="str">
        <f>HYPERLINK("https://baanknet.com/view-property/258052/9DF35BAEEC808D5B3D9297C33019CA09188CB9DC9C07A07E0B98150329F1F597", "https://baanknet.com/view-property/258052/9DF35BAEEC808D5B3D9297C33019CA09188CB9DC9C07A07E0B98150329F1F597")</f>
        <v>https://baanknet.com/view-property/258052/9DF35BAEEC808D5B3D9297C33019CA09188CB9DC9C07A07E0B98150329F1F597</v>
      </c>
      <c r="I1246" t="str">
        <f>HYPERLINK("https://baanknet.com/view-property/258052/9DF35BAEEC808D5B3D9297C33019CA09188CB9DC9C07A07E0B98150329F1F597", "Open")</f>
        <v>Open</v>
      </c>
      <c r="J1246" t="s">
        <v>3803</v>
      </c>
      <c r="L1246">
        <v>2790000</v>
      </c>
      <c r="M1246">
        <v>279000</v>
      </c>
    </row>
    <row r="1247" spans="1:13" x14ac:dyDescent="0.25">
      <c r="A1247" t="s">
        <v>4360</v>
      </c>
      <c r="B1247" t="s">
        <v>4361</v>
      </c>
      <c r="C1247" t="s">
        <v>571</v>
      </c>
      <c r="D1247" t="s">
        <v>4362</v>
      </c>
      <c r="E1247" t="s">
        <v>579</v>
      </c>
      <c r="F1247" t="s">
        <v>3836</v>
      </c>
      <c r="G1247" t="s">
        <v>4363</v>
      </c>
      <c r="H1247" t="str">
        <f>HYPERLINK("https://baanknet.com/view-property/254258/71869FDDA87D8739176B0537E95B6608779988746E5BDCC5469F21257A691ACF", "https://baanknet.com/view-property/254258/71869FDDA87D8739176B0537E95B6608779988746E5BDCC5469F21257A691ACF")</f>
        <v>https://baanknet.com/view-property/254258/71869FDDA87D8739176B0537E95B6608779988746E5BDCC5469F21257A691ACF</v>
      </c>
      <c r="I1247" t="str">
        <f>HYPERLINK("https://baanknet.com/view-property/254258/71869FDDA87D8739176B0537E95B6608779988746E5BDCC5469F21257A691ACF", "Open")</f>
        <v>Open</v>
      </c>
      <c r="J1247" t="s">
        <v>3803</v>
      </c>
      <c r="L1247">
        <v>1016000</v>
      </c>
      <c r="M1247">
        <v>101600</v>
      </c>
    </row>
    <row r="1248" spans="1:13" x14ac:dyDescent="0.25">
      <c r="A1248" t="s">
        <v>4364</v>
      </c>
      <c r="B1248" t="s">
        <v>4365</v>
      </c>
      <c r="C1248" t="s">
        <v>571</v>
      </c>
      <c r="D1248" t="s">
        <v>1619</v>
      </c>
      <c r="E1248" t="s">
        <v>579</v>
      </c>
      <c r="F1248" t="s">
        <v>3836</v>
      </c>
      <c r="G1248" t="s">
        <v>4366</v>
      </c>
      <c r="H1248" t="str">
        <f>HYPERLINK("https://baanknet.com/view-property/246558/006FACD67A9FB742AC3CC847C99F97A4FE39DC31EBD0BC36D5AD608E60E24093", "https://baanknet.com/view-property/246558/006FACD67A9FB742AC3CC847C99F97A4FE39DC31EBD0BC36D5AD608E60E24093")</f>
        <v>https://baanknet.com/view-property/246558/006FACD67A9FB742AC3CC847C99F97A4FE39DC31EBD0BC36D5AD608E60E24093</v>
      </c>
      <c r="I1248" t="str">
        <f>HYPERLINK("https://baanknet.com/view-property/246558/006FACD67A9FB742AC3CC847C99F97A4FE39DC31EBD0BC36D5AD608E60E24093", "Open")</f>
        <v>Open</v>
      </c>
      <c r="J1248" t="s">
        <v>3803</v>
      </c>
      <c r="L1248">
        <v>789000</v>
      </c>
      <c r="M1248">
        <v>78900</v>
      </c>
    </row>
    <row r="1249" spans="1:13" x14ac:dyDescent="0.25">
      <c r="A1249" t="s">
        <v>4367</v>
      </c>
      <c r="B1249" t="s">
        <v>4368</v>
      </c>
      <c r="C1249" t="s">
        <v>571</v>
      </c>
      <c r="D1249" t="s">
        <v>2506</v>
      </c>
      <c r="E1249" t="s">
        <v>579</v>
      </c>
      <c r="F1249" t="s">
        <v>3836</v>
      </c>
      <c r="G1249" t="s">
        <v>4369</v>
      </c>
      <c r="H1249" t="str">
        <f>HYPERLINK("https://baanknet.com/view-property/275010/07E00BA71B50041D429AB56A52B616D811C2EB85C304C5DE2688B802F74D8831", "https://baanknet.com/view-property/275010/07E00BA71B50041D429AB56A52B616D811C2EB85C304C5DE2688B802F74D8831")</f>
        <v>https://baanknet.com/view-property/275010/07E00BA71B50041D429AB56A52B616D811C2EB85C304C5DE2688B802F74D8831</v>
      </c>
      <c r="I1249" t="str">
        <f>HYPERLINK("https://baanknet.com/view-property/275010/07E00BA71B50041D429AB56A52B616D811C2EB85C304C5DE2688B802F74D8831", "Open")</f>
        <v>Open</v>
      </c>
      <c r="J1249" t="s">
        <v>3803</v>
      </c>
      <c r="L1249">
        <v>1387000</v>
      </c>
      <c r="M1249">
        <v>138700</v>
      </c>
    </row>
    <row r="1250" spans="1:13" x14ac:dyDescent="0.25">
      <c r="A1250" t="s">
        <v>4370</v>
      </c>
      <c r="B1250" t="s">
        <v>4371</v>
      </c>
      <c r="C1250" t="s">
        <v>571</v>
      </c>
      <c r="D1250" t="s">
        <v>2506</v>
      </c>
      <c r="E1250" t="s">
        <v>579</v>
      </c>
      <c r="F1250" t="s">
        <v>3836</v>
      </c>
      <c r="G1250" t="s">
        <v>4372</v>
      </c>
      <c r="H1250" t="str">
        <f>HYPERLINK("https://baanknet.com/view-property/274974/C3C4B0B86933B4E35934D30B6995C872A97CF5C1AA522E4999EB7B5433B13FAC", "https://baanknet.com/view-property/274974/C3C4B0B86933B4E35934D30B6995C872A97CF5C1AA522E4999EB7B5433B13FAC")</f>
        <v>https://baanknet.com/view-property/274974/C3C4B0B86933B4E35934D30B6995C872A97CF5C1AA522E4999EB7B5433B13FAC</v>
      </c>
      <c r="I1250" t="str">
        <f>HYPERLINK("https://baanknet.com/view-property/274974/C3C4B0B86933B4E35934D30B6995C872A97CF5C1AA522E4999EB7B5433B13FAC", "Open")</f>
        <v>Open</v>
      </c>
      <c r="J1250" t="s">
        <v>3803</v>
      </c>
      <c r="L1250">
        <v>1387000</v>
      </c>
      <c r="M1250">
        <v>138700</v>
      </c>
    </row>
    <row r="1251" spans="1:13" x14ac:dyDescent="0.25">
      <c r="A1251" t="s">
        <v>4373</v>
      </c>
      <c r="B1251" t="s">
        <v>4374</v>
      </c>
      <c r="C1251" t="s">
        <v>571</v>
      </c>
      <c r="D1251" t="s">
        <v>4375</v>
      </c>
      <c r="E1251" t="s">
        <v>579</v>
      </c>
      <c r="F1251" t="s">
        <v>3836</v>
      </c>
      <c r="G1251" t="s">
        <v>4376</v>
      </c>
      <c r="H1251" t="str">
        <f>HYPERLINK("https://baanknet.com/view-property/275002/AC1820F8DD1E6D784AA63C0F27D455491036334D10B60C404D13279F90C3E157", "https://baanknet.com/view-property/275002/AC1820F8DD1E6D784AA63C0F27D455491036334D10B60C404D13279F90C3E157")</f>
        <v>https://baanknet.com/view-property/275002/AC1820F8DD1E6D784AA63C0F27D455491036334D10B60C404D13279F90C3E157</v>
      </c>
      <c r="I1251" t="str">
        <f>HYPERLINK("https://baanknet.com/view-property/275002/AC1820F8DD1E6D784AA63C0F27D455491036334D10B60C404D13279F90C3E157", "Open")</f>
        <v>Open</v>
      </c>
      <c r="J1251" t="s">
        <v>3803</v>
      </c>
      <c r="L1251">
        <v>2610000</v>
      </c>
      <c r="M1251">
        <v>261000</v>
      </c>
    </row>
    <row r="1252" spans="1:13" x14ac:dyDescent="0.25">
      <c r="A1252" t="s">
        <v>4377</v>
      </c>
      <c r="B1252" t="s">
        <v>4378</v>
      </c>
      <c r="C1252" t="s">
        <v>571</v>
      </c>
      <c r="D1252" t="s">
        <v>4379</v>
      </c>
      <c r="E1252" t="s">
        <v>579</v>
      </c>
      <c r="F1252" t="s">
        <v>3836</v>
      </c>
      <c r="G1252" t="s">
        <v>4380</v>
      </c>
      <c r="H1252" t="str">
        <f>HYPERLINK("https://baanknet.com/view-property/217042/1E7749E4E031C0FC2DE4EA1FE80D1A7B77545A1C527B0F788740E07E70372FFC", "https://baanknet.com/view-property/217042/1E7749E4E031C0FC2DE4EA1FE80D1A7B77545A1C527B0F788740E07E70372FFC")</f>
        <v>https://baanknet.com/view-property/217042/1E7749E4E031C0FC2DE4EA1FE80D1A7B77545A1C527B0F788740E07E70372FFC</v>
      </c>
      <c r="I1252" t="str">
        <f>HYPERLINK("https://baanknet.com/view-property/217042/1E7749E4E031C0FC2DE4EA1FE80D1A7B77545A1C527B0F788740E07E70372FFC", "Open")</f>
        <v>Open</v>
      </c>
      <c r="J1252" t="s">
        <v>3803</v>
      </c>
      <c r="L1252">
        <v>15000000</v>
      </c>
      <c r="M1252">
        <v>1500000</v>
      </c>
    </row>
    <row r="1253" spans="1:13" x14ac:dyDescent="0.25">
      <c r="A1253" t="s">
        <v>4381</v>
      </c>
      <c r="B1253" t="s">
        <v>4382</v>
      </c>
      <c r="C1253" t="s">
        <v>571</v>
      </c>
      <c r="D1253" t="s">
        <v>4383</v>
      </c>
      <c r="E1253" t="s">
        <v>579</v>
      </c>
      <c r="F1253" t="s">
        <v>3836</v>
      </c>
      <c r="G1253" t="s">
        <v>4384</v>
      </c>
      <c r="H1253" t="str">
        <f>HYPERLINK("https://baanknet.com/view-property/273699/30938711E455073F0D23C529C750759A8E6C17CFD878F10E1621EF83DE3CC5B2", "https://baanknet.com/view-property/273699/30938711E455073F0D23C529C750759A8E6C17CFD878F10E1621EF83DE3CC5B2")</f>
        <v>https://baanknet.com/view-property/273699/30938711E455073F0D23C529C750759A8E6C17CFD878F10E1621EF83DE3CC5B2</v>
      </c>
      <c r="I1253" t="str">
        <f>HYPERLINK("https://baanknet.com/view-property/273699/30938711E455073F0D23C529C750759A8E6C17CFD878F10E1621EF83DE3CC5B2", "Open")</f>
        <v>Open</v>
      </c>
      <c r="J1253" t="s">
        <v>3803</v>
      </c>
      <c r="L1253">
        <v>13000000</v>
      </c>
      <c r="M1253">
        <v>1300000</v>
      </c>
    </row>
    <row r="1254" spans="1:13" x14ac:dyDescent="0.25">
      <c r="A1254" t="s">
        <v>4385</v>
      </c>
      <c r="B1254" t="s">
        <v>4386</v>
      </c>
      <c r="C1254" t="s">
        <v>571</v>
      </c>
      <c r="D1254" t="s">
        <v>4387</v>
      </c>
      <c r="E1254" t="s">
        <v>579</v>
      </c>
      <c r="F1254" t="s">
        <v>3836</v>
      </c>
      <c r="G1254" t="s">
        <v>4388</v>
      </c>
      <c r="H1254" t="str">
        <f>HYPERLINK("https://baanknet.com/view-property/235089/7675DB8B80691534E4A1DC9DA4E7BA481DD073AB7FBF282EDFD2E5C775F85D8F", "https://baanknet.com/view-property/235089/7675DB8B80691534E4A1DC9DA4E7BA481DD073AB7FBF282EDFD2E5C775F85D8F")</f>
        <v>https://baanknet.com/view-property/235089/7675DB8B80691534E4A1DC9DA4E7BA481DD073AB7FBF282EDFD2E5C775F85D8F</v>
      </c>
      <c r="I1254" t="str">
        <f>HYPERLINK("https://baanknet.com/view-property/235089/7675DB8B80691534E4A1DC9DA4E7BA481DD073AB7FBF282EDFD2E5C775F85D8F", "Open")</f>
        <v>Open</v>
      </c>
      <c r="J1254" t="s">
        <v>3803</v>
      </c>
      <c r="L1254">
        <v>7000000</v>
      </c>
      <c r="M1254">
        <v>700000</v>
      </c>
    </row>
    <row r="1255" spans="1:13" x14ac:dyDescent="0.25">
      <c r="A1255" t="s">
        <v>4389</v>
      </c>
      <c r="B1255" t="s">
        <v>4390</v>
      </c>
      <c r="C1255" t="s">
        <v>144</v>
      </c>
      <c r="D1255" t="s">
        <v>4391</v>
      </c>
      <c r="E1255" t="s">
        <v>579</v>
      </c>
      <c r="F1255" t="s">
        <v>3836</v>
      </c>
      <c r="G1255" t="s">
        <v>4392</v>
      </c>
      <c r="H1255" t="str">
        <f>HYPERLINK("https://baanknet.com/view-property/121430/BE351760EDA64E7BF189F9EC69078CFDB2C70CB301070BA894EAE88638607FDD", "https://baanknet.com/view-property/121430/BE351760EDA64E7BF189F9EC69078CFDB2C70CB301070BA894EAE88638607FDD")</f>
        <v>https://baanknet.com/view-property/121430/BE351760EDA64E7BF189F9EC69078CFDB2C70CB301070BA894EAE88638607FDD</v>
      </c>
      <c r="I1255" t="str">
        <f>HYPERLINK("https://baanknet.com/view-property/121430/BE351760EDA64E7BF189F9EC69078CFDB2C70CB301070BA894EAE88638607FDD", "Open")</f>
        <v>Open</v>
      </c>
      <c r="J1255" t="s">
        <v>3803</v>
      </c>
      <c r="L1255">
        <v>2090000</v>
      </c>
      <c r="M1255">
        <v>209000</v>
      </c>
    </row>
    <row r="1256" spans="1:13" x14ac:dyDescent="0.25">
      <c r="A1256" t="s">
        <v>4393</v>
      </c>
      <c r="B1256" t="s">
        <v>4394</v>
      </c>
      <c r="C1256" t="s">
        <v>144</v>
      </c>
      <c r="D1256" t="s">
        <v>4395</v>
      </c>
      <c r="E1256" t="s">
        <v>579</v>
      </c>
      <c r="F1256" t="s">
        <v>3836</v>
      </c>
      <c r="G1256" t="s">
        <v>4396</v>
      </c>
      <c r="H1256" t="str">
        <f>HYPERLINK("https://baanknet.com/view-property/124742/A655D69AFD5280B981596CF65B4903B5953BF4E0D3E959B35BCB723898442F7C", "https://baanknet.com/view-property/124742/A655D69AFD5280B981596CF65B4903B5953BF4E0D3E959B35BCB723898442F7C")</f>
        <v>https://baanknet.com/view-property/124742/A655D69AFD5280B981596CF65B4903B5953BF4E0D3E959B35BCB723898442F7C</v>
      </c>
      <c r="I1256" t="str">
        <f>HYPERLINK("https://baanknet.com/view-property/124742/A655D69AFD5280B981596CF65B4903B5953BF4E0D3E959B35BCB723898442F7C", "Open")</f>
        <v>Open</v>
      </c>
      <c r="J1256" t="s">
        <v>3803</v>
      </c>
      <c r="L1256">
        <v>6150000</v>
      </c>
      <c r="M1256">
        <v>615000</v>
      </c>
    </row>
    <row r="1257" spans="1:13" x14ac:dyDescent="0.25">
      <c r="A1257" t="s">
        <v>4397</v>
      </c>
      <c r="B1257" t="s">
        <v>4398</v>
      </c>
      <c r="C1257" t="s">
        <v>144</v>
      </c>
      <c r="D1257" t="s">
        <v>2425</v>
      </c>
      <c r="E1257" t="s">
        <v>579</v>
      </c>
      <c r="F1257" t="s">
        <v>3836</v>
      </c>
      <c r="G1257" t="s">
        <v>4399</v>
      </c>
      <c r="H1257" t="str">
        <f>HYPERLINK("https://baanknet.com/view-property/251649/96AB91665DED4608D372A624D56EF9956A2A183EB3D6EB3D7010CB7C2638DADA", "https://baanknet.com/view-property/251649/96AB91665DED4608D372A624D56EF9956A2A183EB3D6EB3D7010CB7C2638DADA")</f>
        <v>https://baanknet.com/view-property/251649/96AB91665DED4608D372A624D56EF9956A2A183EB3D6EB3D7010CB7C2638DADA</v>
      </c>
      <c r="I1257" t="str">
        <f>HYPERLINK("https://baanknet.com/view-property/251649/96AB91665DED4608D372A624D56EF9956A2A183EB3D6EB3D7010CB7C2638DADA", "Open")</f>
        <v>Open</v>
      </c>
      <c r="J1257" t="s">
        <v>3803</v>
      </c>
      <c r="L1257">
        <v>4760000</v>
      </c>
      <c r="M1257">
        <v>476000</v>
      </c>
    </row>
    <row r="1258" spans="1:13" x14ac:dyDescent="0.25">
      <c r="A1258" t="s">
        <v>4400</v>
      </c>
      <c r="B1258" t="s">
        <v>4401</v>
      </c>
      <c r="C1258" t="s">
        <v>144</v>
      </c>
      <c r="D1258" t="s">
        <v>2425</v>
      </c>
      <c r="E1258" t="s">
        <v>579</v>
      </c>
      <c r="F1258" t="s">
        <v>3836</v>
      </c>
      <c r="G1258" t="s">
        <v>4402</v>
      </c>
      <c r="H1258" t="str">
        <f>HYPERLINK("https://baanknet.com/view-property/251651/217715772EE30F0B82533373C52CC3623C879D39C8496BF72E80C4062A48C526", "https://baanknet.com/view-property/251651/217715772EE30F0B82533373C52CC3623C879D39C8496BF72E80C4062A48C526")</f>
        <v>https://baanknet.com/view-property/251651/217715772EE30F0B82533373C52CC3623C879D39C8496BF72E80C4062A48C526</v>
      </c>
      <c r="I1258" t="str">
        <f>HYPERLINK("https://baanknet.com/view-property/251651/217715772EE30F0B82533373C52CC3623C879D39C8496BF72E80C4062A48C526", "Open")</f>
        <v>Open</v>
      </c>
      <c r="J1258" t="s">
        <v>3803</v>
      </c>
      <c r="L1258">
        <v>4293000</v>
      </c>
      <c r="M1258">
        <v>429300</v>
      </c>
    </row>
    <row r="1259" spans="1:13" x14ac:dyDescent="0.25">
      <c r="A1259" t="s">
        <v>4403</v>
      </c>
      <c r="B1259" t="s">
        <v>4404</v>
      </c>
      <c r="C1259" t="s">
        <v>144</v>
      </c>
      <c r="D1259" t="s">
        <v>2425</v>
      </c>
      <c r="E1259" t="s">
        <v>579</v>
      </c>
      <c r="F1259" t="s">
        <v>3836</v>
      </c>
      <c r="G1259" t="s">
        <v>4405</v>
      </c>
      <c r="H1259" t="str">
        <f>HYPERLINK("https://baanknet.com/view-property/251650/1259FB60CC365854857E657382DAA5451422AC5610F582173974119CD98AFC4B", "https://baanknet.com/view-property/251650/1259FB60CC365854857E657382DAA5451422AC5610F582173974119CD98AFC4B")</f>
        <v>https://baanknet.com/view-property/251650/1259FB60CC365854857E657382DAA5451422AC5610F582173974119CD98AFC4B</v>
      </c>
      <c r="I1259" t="str">
        <f>HYPERLINK("https://baanknet.com/view-property/251650/1259FB60CC365854857E657382DAA5451422AC5610F582173974119CD98AFC4B", "Open")</f>
        <v>Open</v>
      </c>
      <c r="J1259" t="s">
        <v>3803</v>
      </c>
      <c r="L1259">
        <v>3864000</v>
      </c>
      <c r="M1259">
        <v>386400</v>
      </c>
    </row>
    <row r="1260" spans="1:13" x14ac:dyDescent="0.25">
      <c r="A1260" t="s">
        <v>4406</v>
      </c>
      <c r="B1260" t="s">
        <v>4407</v>
      </c>
      <c r="C1260" t="s">
        <v>144</v>
      </c>
      <c r="D1260" t="s">
        <v>2425</v>
      </c>
      <c r="E1260" t="s">
        <v>579</v>
      </c>
      <c r="F1260" t="s">
        <v>3836</v>
      </c>
      <c r="G1260" t="s">
        <v>4408</v>
      </c>
      <c r="H1260" t="str">
        <f>HYPERLINK("https://baanknet.com/view-property/251642/01042C991A54F51F1A7918E5561C451FCF1AF178DA7444633B4792331A990D63", "https://baanknet.com/view-property/251642/01042C991A54F51F1A7918E5561C451FCF1AF178DA7444633B4792331A990D63")</f>
        <v>https://baanknet.com/view-property/251642/01042C991A54F51F1A7918E5561C451FCF1AF178DA7444633B4792331A990D63</v>
      </c>
      <c r="I1260" t="str">
        <f>HYPERLINK("https://baanknet.com/view-property/251642/01042C991A54F51F1A7918E5561C451FCF1AF178DA7444633B4792331A990D63", "Open")</f>
        <v>Open</v>
      </c>
      <c r="J1260" t="s">
        <v>3803</v>
      </c>
      <c r="L1260">
        <v>3920000</v>
      </c>
      <c r="M1260">
        <v>392000</v>
      </c>
    </row>
    <row r="1261" spans="1:13" x14ac:dyDescent="0.25">
      <c r="A1261" t="s">
        <v>4409</v>
      </c>
      <c r="B1261" t="s">
        <v>4410</v>
      </c>
      <c r="C1261" t="s">
        <v>144</v>
      </c>
      <c r="D1261" t="s">
        <v>2425</v>
      </c>
      <c r="E1261" t="s">
        <v>579</v>
      </c>
      <c r="F1261" t="s">
        <v>3836</v>
      </c>
      <c r="G1261" t="s">
        <v>4411</v>
      </c>
      <c r="H1261" t="str">
        <f>HYPERLINK("https://baanknet.com/view-property/251641/A842E00D81CD9BF6AE2CED523A34EEA91C3A9C66F9A6102A09FEBDD60EFFAE2F", "https://baanknet.com/view-property/251641/A842E00D81CD9BF6AE2CED523A34EEA91C3A9C66F9A6102A09FEBDD60EFFAE2F")</f>
        <v>https://baanknet.com/view-property/251641/A842E00D81CD9BF6AE2CED523A34EEA91C3A9C66F9A6102A09FEBDD60EFFAE2F</v>
      </c>
      <c r="I1261" t="str">
        <f>HYPERLINK("https://baanknet.com/view-property/251641/A842E00D81CD9BF6AE2CED523A34EEA91C3A9C66F9A6102A09FEBDD60EFFAE2F", "Open")</f>
        <v>Open</v>
      </c>
      <c r="J1261" t="s">
        <v>3803</v>
      </c>
      <c r="L1261">
        <v>4310000</v>
      </c>
      <c r="M1261">
        <v>431000</v>
      </c>
    </row>
    <row r="1262" spans="1:13" x14ac:dyDescent="0.25">
      <c r="A1262" t="s">
        <v>4412</v>
      </c>
      <c r="B1262" t="s">
        <v>4413</v>
      </c>
      <c r="C1262" t="s">
        <v>144</v>
      </c>
      <c r="D1262" t="s">
        <v>1246</v>
      </c>
      <c r="E1262" t="s">
        <v>579</v>
      </c>
      <c r="F1262" t="s">
        <v>3836</v>
      </c>
      <c r="G1262" t="s">
        <v>4414</v>
      </c>
      <c r="H1262" t="str">
        <f>HYPERLINK("https://baanknet.com/view-property/251627/8570B6A5CAF8BFAD2C33F38D2B95E4CEE9DBA493F259D23D186605B8153B5242", "https://baanknet.com/view-property/251627/8570B6A5CAF8BFAD2C33F38D2B95E4CEE9DBA493F259D23D186605B8153B5242")</f>
        <v>https://baanknet.com/view-property/251627/8570B6A5CAF8BFAD2C33F38D2B95E4CEE9DBA493F259D23D186605B8153B5242</v>
      </c>
      <c r="I1262" t="str">
        <f>HYPERLINK("https://baanknet.com/view-property/251627/8570B6A5CAF8BFAD2C33F38D2B95E4CEE9DBA493F259D23D186605B8153B5242", "Open")</f>
        <v>Open</v>
      </c>
      <c r="J1262" t="s">
        <v>3803</v>
      </c>
      <c r="L1262">
        <v>5234000</v>
      </c>
      <c r="M1262">
        <v>523400</v>
      </c>
    </row>
    <row r="1263" spans="1:13" x14ac:dyDescent="0.25">
      <c r="A1263" t="s">
        <v>4415</v>
      </c>
      <c r="B1263" t="s">
        <v>4416</v>
      </c>
      <c r="C1263" t="s">
        <v>144</v>
      </c>
      <c r="D1263" t="s">
        <v>1246</v>
      </c>
      <c r="E1263" t="s">
        <v>579</v>
      </c>
      <c r="F1263" t="s">
        <v>3836</v>
      </c>
      <c r="G1263" t="s">
        <v>4417</v>
      </c>
      <c r="H1263" t="str">
        <f>HYPERLINK("https://baanknet.com/view-property/251628/3636DA9C7DF2C323F90106D845487AECBC3610A9C69968360342043D9E450764", "https://baanknet.com/view-property/251628/3636DA9C7DF2C323F90106D845487AECBC3610A9C69968360342043D9E450764")</f>
        <v>https://baanknet.com/view-property/251628/3636DA9C7DF2C323F90106D845487AECBC3610A9C69968360342043D9E450764</v>
      </c>
      <c r="I1263" t="str">
        <f>HYPERLINK("https://baanknet.com/view-property/251628/3636DA9C7DF2C323F90106D845487AECBC3610A9C69968360342043D9E450764", "Open")</f>
        <v>Open</v>
      </c>
      <c r="J1263" t="s">
        <v>3803</v>
      </c>
      <c r="L1263">
        <v>3900000</v>
      </c>
      <c r="M1263">
        <v>390000</v>
      </c>
    </row>
    <row r="1264" spans="1:13" x14ac:dyDescent="0.25">
      <c r="A1264" t="s">
        <v>4418</v>
      </c>
      <c r="B1264" t="s">
        <v>4419</v>
      </c>
      <c r="C1264" t="s">
        <v>144</v>
      </c>
      <c r="D1264" t="s">
        <v>4420</v>
      </c>
      <c r="E1264" t="s">
        <v>579</v>
      </c>
      <c r="F1264" t="s">
        <v>3836</v>
      </c>
      <c r="G1264" t="s">
        <v>4421</v>
      </c>
      <c r="H1264" t="str">
        <f>HYPERLINK("https://baanknet.com/view-property/266214/B8E9D598A14CCD9080BABAD7440FF1E436F6921E711E8656855B31AB83D04731", "https://baanknet.com/view-property/266214/B8E9D598A14CCD9080BABAD7440FF1E436F6921E711E8656855B31AB83D04731")</f>
        <v>https://baanknet.com/view-property/266214/B8E9D598A14CCD9080BABAD7440FF1E436F6921E711E8656855B31AB83D04731</v>
      </c>
      <c r="I1264" t="str">
        <f>HYPERLINK("https://baanknet.com/view-property/266214/B8E9D598A14CCD9080BABAD7440FF1E436F6921E711E8656855B31AB83D04731", "Open")</f>
        <v>Open</v>
      </c>
      <c r="J1264" t="s">
        <v>3803</v>
      </c>
      <c r="L1264">
        <v>2800000</v>
      </c>
      <c r="M1264">
        <v>280000</v>
      </c>
    </row>
    <row r="1265" spans="1:13" x14ac:dyDescent="0.25">
      <c r="A1265" t="s">
        <v>4422</v>
      </c>
      <c r="B1265" t="s">
        <v>4423</v>
      </c>
      <c r="C1265" t="s">
        <v>144</v>
      </c>
      <c r="D1265" t="s">
        <v>1246</v>
      </c>
      <c r="E1265" t="s">
        <v>579</v>
      </c>
      <c r="F1265" t="s">
        <v>3836</v>
      </c>
      <c r="G1265" t="s">
        <v>4424</v>
      </c>
      <c r="H1265" t="str">
        <f>HYPERLINK("https://baanknet.com/view-property/264813/97D3FCF1FFA484B3280998B348C1487433774765D52300D843B9C8271ADDEFBD", "https://baanknet.com/view-property/264813/97D3FCF1FFA484B3280998B348C1487433774765D52300D843B9C8271ADDEFBD")</f>
        <v>https://baanknet.com/view-property/264813/97D3FCF1FFA484B3280998B348C1487433774765D52300D843B9C8271ADDEFBD</v>
      </c>
      <c r="I1265" t="str">
        <f>HYPERLINK("https://baanknet.com/view-property/264813/97D3FCF1FFA484B3280998B348C1487433774765D52300D843B9C8271ADDEFBD", "Open")</f>
        <v>Open</v>
      </c>
      <c r="J1265" t="s">
        <v>3803</v>
      </c>
      <c r="L1265">
        <v>6000000</v>
      </c>
      <c r="M1265">
        <v>600000</v>
      </c>
    </row>
    <row r="1266" spans="1:13" x14ac:dyDescent="0.25">
      <c r="A1266" t="s">
        <v>4425</v>
      </c>
      <c r="B1266" t="s">
        <v>4426</v>
      </c>
      <c r="C1266" t="s">
        <v>144</v>
      </c>
      <c r="D1266" t="s">
        <v>1246</v>
      </c>
      <c r="E1266" t="s">
        <v>579</v>
      </c>
      <c r="F1266" t="s">
        <v>3836</v>
      </c>
      <c r="G1266" t="s">
        <v>4427</v>
      </c>
      <c r="H1266" t="str">
        <f>HYPERLINK("https://baanknet.com/view-property/242359/68D2A732C71D98968A76A02407198D868DAB6664C844E84D6A8C28F78872D10D", "https://baanknet.com/view-property/242359/68D2A732C71D98968A76A02407198D868DAB6664C844E84D6A8C28F78872D10D")</f>
        <v>https://baanknet.com/view-property/242359/68D2A732C71D98968A76A02407198D868DAB6664C844E84D6A8C28F78872D10D</v>
      </c>
      <c r="I1266" t="str">
        <f>HYPERLINK("https://baanknet.com/view-property/242359/68D2A732C71D98968A76A02407198D868DAB6664C844E84D6A8C28F78872D10D", "Open")</f>
        <v>Open</v>
      </c>
      <c r="J1266" t="s">
        <v>3803</v>
      </c>
      <c r="L1266">
        <v>3900000</v>
      </c>
      <c r="M1266">
        <v>390000</v>
      </c>
    </row>
    <row r="1267" spans="1:13" x14ac:dyDescent="0.25">
      <c r="A1267" t="s">
        <v>4428</v>
      </c>
      <c r="B1267" t="s">
        <v>4429</v>
      </c>
      <c r="C1267" t="s">
        <v>144</v>
      </c>
      <c r="D1267" t="s">
        <v>4430</v>
      </c>
      <c r="E1267" t="s">
        <v>579</v>
      </c>
      <c r="F1267" t="s">
        <v>3836</v>
      </c>
      <c r="G1267" t="s">
        <v>4431</v>
      </c>
      <c r="H1267" t="str">
        <f>HYPERLINK("https://baanknet.com/view-property/251636/8BB0C3D9AFB27C3BD188892FF303A927C8228985417A6FFD746D1780BF0E44F9", "https://baanknet.com/view-property/251636/8BB0C3D9AFB27C3BD188892FF303A927C8228985417A6FFD746D1780BF0E44F9")</f>
        <v>https://baanknet.com/view-property/251636/8BB0C3D9AFB27C3BD188892FF303A927C8228985417A6FFD746D1780BF0E44F9</v>
      </c>
      <c r="I1267" t="str">
        <f>HYPERLINK("https://baanknet.com/view-property/251636/8BB0C3D9AFB27C3BD188892FF303A927C8228985417A6FFD746D1780BF0E44F9", "Open")</f>
        <v>Open</v>
      </c>
      <c r="J1267" t="s">
        <v>3803</v>
      </c>
      <c r="L1267">
        <v>5840000</v>
      </c>
      <c r="M1267">
        <v>584000</v>
      </c>
    </row>
    <row r="1268" spans="1:13" x14ac:dyDescent="0.25">
      <c r="A1268" t="s">
        <v>4432</v>
      </c>
      <c r="B1268" t="s">
        <v>4433</v>
      </c>
      <c r="C1268" t="s">
        <v>144</v>
      </c>
      <c r="D1268" t="s">
        <v>4430</v>
      </c>
      <c r="E1268" t="s">
        <v>579</v>
      </c>
      <c r="F1268" t="s">
        <v>3836</v>
      </c>
      <c r="G1268" t="s">
        <v>4434</v>
      </c>
      <c r="H1268" t="str">
        <f>HYPERLINK("https://baanknet.com/view-property/251637/7EC8CC2C6EA6E43EA30AD4C43415E3868B39A883498D122493D08BA0DB2A1285", "https://baanknet.com/view-property/251637/7EC8CC2C6EA6E43EA30AD4C43415E3868B39A883498D122493D08BA0DB2A1285")</f>
        <v>https://baanknet.com/view-property/251637/7EC8CC2C6EA6E43EA30AD4C43415E3868B39A883498D122493D08BA0DB2A1285</v>
      </c>
      <c r="I1268" t="str">
        <f>HYPERLINK("https://baanknet.com/view-property/251637/7EC8CC2C6EA6E43EA30AD4C43415E3868B39A883498D122493D08BA0DB2A1285", "Open")</f>
        <v>Open</v>
      </c>
      <c r="J1268" t="s">
        <v>3803</v>
      </c>
      <c r="L1268">
        <v>6560000</v>
      </c>
      <c r="M1268">
        <v>656000</v>
      </c>
    </row>
    <row r="1269" spans="1:13" x14ac:dyDescent="0.25">
      <c r="A1269" t="s">
        <v>4435</v>
      </c>
      <c r="B1269" t="s">
        <v>4436</v>
      </c>
      <c r="C1269" t="s">
        <v>144</v>
      </c>
      <c r="D1269" t="s">
        <v>1246</v>
      </c>
      <c r="E1269" t="s">
        <v>579</v>
      </c>
      <c r="F1269" t="s">
        <v>3836</v>
      </c>
      <c r="G1269" t="s">
        <v>4437</v>
      </c>
      <c r="H1269" t="str">
        <f>HYPERLINK("https://baanknet.com/view-property/251635/E13DB553D0DA8466A0B0769FB0E8A364B97001F860EE954E0C00F3DE4D9125BF", "https://baanknet.com/view-property/251635/E13DB553D0DA8466A0B0769FB0E8A364B97001F860EE954E0C00F3DE4D9125BF")</f>
        <v>https://baanknet.com/view-property/251635/E13DB553D0DA8466A0B0769FB0E8A364B97001F860EE954E0C00F3DE4D9125BF</v>
      </c>
      <c r="I1269" t="str">
        <f>HYPERLINK("https://baanknet.com/view-property/251635/E13DB553D0DA8466A0B0769FB0E8A364B97001F860EE954E0C00F3DE4D9125BF", "Open")</f>
        <v>Open</v>
      </c>
      <c r="J1269" t="s">
        <v>3803</v>
      </c>
      <c r="L1269">
        <v>3700000</v>
      </c>
      <c r="M1269">
        <v>370000</v>
      </c>
    </row>
    <row r="1270" spans="1:13" x14ac:dyDescent="0.25">
      <c r="A1270" t="s">
        <v>4438</v>
      </c>
      <c r="B1270" t="s">
        <v>4439</v>
      </c>
      <c r="C1270" t="s">
        <v>144</v>
      </c>
      <c r="D1270" t="s">
        <v>1246</v>
      </c>
      <c r="E1270" t="s">
        <v>579</v>
      </c>
      <c r="F1270" t="s">
        <v>3836</v>
      </c>
      <c r="G1270" t="s">
        <v>4440</v>
      </c>
      <c r="H1270" t="str">
        <f>HYPERLINK("https://baanknet.com/view-property/254511/1AB2A63B976018D1549D48139E9C9FDC294834FC782D0FC76430E7EA8667D964", "https://baanknet.com/view-property/254511/1AB2A63B976018D1549D48139E9C9FDC294834FC782D0FC76430E7EA8667D964")</f>
        <v>https://baanknet.com/view-property/254511/1AB2A63B976018D1549D48139E9C9FDC294834FC782D0FC76430E7EA8667D964</v>
      </c>
      <c r="I1270" t="str">
        <f>HYPERLINK("https://baanknet.com/view-property/254511/1AB2A63B976018D1549D48139E9C9FDC294834FC782D0FC76430E7EA8667D964", "Open")</f>
        <v>Open</v>
      </c>
      <c r="J1270" t="s">
        <v>3803</v>
      </c>
      <c r="L1270">
        <v>2240000</v>
      </c>
      <c r="M1270">
        <v>224000</v>
      </c>
    </row>
    <row r="1271" spans="1:13" x14ac:dyDescent="0.25">
      <c r="A1271" t="s">
        <v>4441</v>
      </c>
      <c r="B1271" t="s">
        <v>4442</v>
      </c>
      <c r="C1271" t="s">
        <v>144</v>
      </c>
      <c r="D1271" t="s">
        <v>1246</v>
      </c>
      <c r="E1271" t="s">
        <v>579</v>
      </c>
      <c r="F1271" t="s">
        <v>3836</v>
      </c>
      <c r="G1271" t="s">
        <v>4443</v>
      </c>
      <c r="H1271" t="str">
        <f>HYPERLINK("https://baanknet.com/view-property/237402/4505525EDF5D4DEDEE8C79F9BFC45C0629426A275DD7FFE9F3575965801B7F3D", "https://baanknet.com/view-property/237402/4505525EDF5D4DEDEE8C79F9BFC45C0629426A275DD7FFE9F3575965801B7F3D")</f>
        <v>https://baanknet.com/view-property/237402/4505525EDF5D4DEDEE8C79F9BFC45C0629426A275DD7FFE9F3575965801B7F3D</v>
      </c>
      <c r="I1271" t="str">
        <f>HYPERLINK("https://baanknet.com/view-property/237402/4505525EDF5D4DEDEE8C79F9BFC45C0629426A275DD7FFE9F3575965801B7F3D", "Open")</f>
        <v>Open</v>
      </c>
      <c r="J1271" t="s">
        <v>3803</v>
      </c>
      <c r="L1271">
        <v>6800000</v>
      </c>
      <c r="M1271">
        <v>680000</v>
      </c>
    </row>
    <row r="1272" spans="1:13" x14ac:dyDescent="0.25">
      <c r="A1272" t="s">
        <v>4444</v>
      </c>
      <c r="B1272" t="s">
        <v>4445</v>
      </c>
      <c r="C1272" t="s">
        <v>144</v>
      </c>
      <c r="D1272" t="s">
        <v>1246</v>
      </c>
      <c r="E1272" t="s">
        <v>579</v>
      </c>
      <c r="F1272" t="s">
        <v>3836</v>
      </c>
      <c r="G1272" t="s">
        <v>4446</v>
      </c>
      <c r="H1272" t="str">
        <f>HYPERLINK("https://baanknet.com/view-property/283118/07F72FC213FBF9ED9617798E648A0587BD74398C65F44B8F0D4AD0B13B9DEBFE", "https://baanknet.com/view-property/283118/07F72FC213FBF9ED9617798E648A0587BD74398C65F44B8F0D4AD0B13B9DEBFE")</f>
        <v>https://baanknet.com/view-property/283118/07F72FC213FBF9ED9617798E648A0587BD74398C65F44B8F0D4AD0B13B9DEBFE</v>
      </c>
      <c r="I1272" t="str">
        <f>HYPERLINK("https://baanknet.com/view-property/283118/07F72FC213FBF9ED9617798E648A0587BD74398C65F44B8F0D4AD0B13B9DEBFE", "Open")</f>
        <v>Open</v>
      </c>
      <c r="J1272" t="s">
        <v>3803</v>
      </c>
      <c r="L1272">
        <v>2476000</v>
      </c>
      <c r="M1272">
        <v>247600</v>
      </c>
    </row>
    <row r="1273" spans="1:13" x14ac:dyDescent="0.25">
      <c r="A1273" t="s">
        <v>4447</v>
      </c>
      <c r="B1273" t="s">
        <v>4448</v>
      </c>
      <c r="C1273" t="s">
        <v>144</v>
      </c>
      <c r="D1273" t="s">
        <v>1246</v>
      </c>
      <c r="E1273" t="s">
        <v>579</v>
      </c>
      <c r="F1273" t="s">
        <v>3836</v>
      </c>
      <c r="G1273" t="s">
        <v>4449</v>
      </c>
      <c r="H1273" t="str">
        <f>HYPERLINK("https://baanknet.com/view-property/274616/BA5600E7CDB1441FA6CCA455F0F665A9326D70C9C912C262157C12FC8A7C2A70", "https://baanknet.com/view-property/274616/BA5600E7CDB1441FA6CCA455F0F665A9326D70C9C912C262157C12FC8A7C2A70")</f>
        <v>https://baanknet.com/view-property/274616/BA5600E7CDB1441FA6CCA455F0F665A9326D70C9C912C262157C12FC8A7C2A70</v>
      </c>
      <c r="I1273" t="str">
        <f>HYPERLINK("https://baanknet.com/view-property/274616/BA5600E7CDB1441FA6CCA455F0F665A9326D70C9C912C262157C12FC8A7C2A70", "Open")</f>
        <v>Open</v>
      </c>
      <c r="J1273" t="s">
        <v>3803</v>
      </c>
      <c r="L1273">
        <v>2700000</v>
      </c>
      <c r="M1273">
        <v>270000</v>
      </c>
    </row>
    <row r="1274" spans="1:13" x14ac:dyDescent="0.25">
      <c r="A1274" t="s">
        <v>4450</v>
      </c>
      <c r="B1274" t="s">
        <v>4451</v>
      </c>
      <c r="C1274" t="s">
        <v>144</v>
      </c>
      <c r="D1274" t="s">
        <v>1246</v>
      </c>
      <c r="E1274" t="s">
        <v>579</v>
      </c>
      <c r="F1274" t="s">
        <v>3836</v>
      </c>
      <c r="G1274" t="s">
        <v>4452</v>
      </c>
      <c r="H1274" t="str">
        <f>HYPERLINK("https://baanknet.com/view-property/274622/460EF925804807207C775A985DE9489E40130385296FA06432C4670731879728", "https://baanknet.com/view-property/274622/460EF925804807207C775A985DE9489E40130385296FA06432C4670731879728")</f>
        <v>https://baanknet.com/view-property/274622/460EF925804807207C775A985DE9489E40130385296FA06432C4670731879728</v>
      </c>
      <c r="I1274" t="str">
        <f>HYPERLINK("https://baanknet.com/view-property/274622/460EF925804807207C775A985DE9489E40130385296FA06432C4670731879728", "Open")</f>
        <v>Open</v>
      </c>
      <c r="J1274" t="s">
        <v>3803</v>
      </c>
      <c r="L1274">
        <v>3150000</v>
      </c>
      <c r="M1274">
        <v>315000</v>
      </c>
    </row>
    <row r="1275" spans="1:13" x14ac:dyDescent="0.25">
      <c r="A1275" t="s">
        <v>4453</v>
      </c>
      <c r="B1275" t="s">
        <v>4454</v>
      </c>
      <c r="C1275" t="s">
        <v>144</v>
      </c>
      <c r="D1275" t="s">
        <v>1246</v>
      </c>
      <c r="E1275" t="s">
        <v>579</v>
      </c>
      <c r="F1275" t="s">
        <v>3836</v>
      </c>
      <c r="G1275" t="s">
        <v>4455</v>
      </c>
      <c r="H1275" t="str">
        <f>HYPERLINK("https://baanknet.com/view-property/274620/5D69569CE06BAF49C78CD8C9E0F3B39F21BBA38401758A91E3934BB8C181082C", "https://baanknet.com/view-property/274620/5D69569CE06BAF49C78CD8C9E0F3B39F21BBA38401758A91E3934BB8C181082C")</f>
        <v>https://baanknet.com/view-property/274620/5D69569CE06BAF49C78CD8C9E0F3B39F21BBA38401758A91E3934BB8C181082C</v>
      </c>
      <c r="I1275" t="str">
        <f>HYPERLINK("https://baanknet.com/view-property/274620/5D69569CE06BAF49C78CD8C9E0F3B39F21BBA38401758A91E3934BB8C181082C", "Open")</f>
        <v>Open</v>
      </c>
      <c r="J1275" t="s">
        <v>3803</v>
      </c>
      <c r="L1275">
        <v>2700000</v>
      </c>
      <c r="M1275">
        <v>270000</v>
      </c>
    </row>
    <row r="1276" spans="1:13" x14ac:dyDescent="0.25">
      <c r="A1276" t="s">
        <v>4456</v>
      </c>
      <c r="B1276" t="s">
        <v>4457</v>
      </c>
      <c r="C1276" t="s">
        <v>144</v>
      </c>
      <c r="D1276" t="s">
        <v>1246</v>
      </c>
      <c r="E1276" t="s">
        <v>579</v>
      </c>
      <c r="F1276" t="s">
        <v>3836</v>
      </c>
      <c r="G1276" t="s">
        <v>4458</v>
      </c>
      <c r="H1276" t="str">
        <f>HYPERLINK("https://baanknet.com/view-property/274625/2EC5986A40D2035FC994763CD66F86A151C1B106898E0559C53BC79DBD7B43C4", "https://baanknet.com/view-property/274625/2EC5986A40D2035FC994763CD66F86A151C1B106898E0559C53BC79DBD7B43C4")</f>
        <v>https://baanknet.com/view-property/274625/2EC5986A40D2035FC994763CD66F86A151C1B106898E0559C53BC79DBD7B43C4</v>
      </c>
      <c r="I1276" t="str">
        <f>HYPERLINK("https://baanknet.com/view-property/274625/2EC5986A40D2035FC994763CD66F86A151C1B106898E0559C53BC79DBD7B43C4", "Open")</f>
        <v>Open</v>
      </c>
      <c r="J1276" t="s">
        <v>3803</v>
      </c>
      <c r="L1276">
        <v>2700000</v>
      </c>
      <c r="M1276">
        <v>270000</v>
      </c>
    </row>
    <row r="1277" spans="1:13" x14ac:dyDescent="0.25">
      <c r="A1277" t="s">
        <v>4459</v>
      </c>
      <c r="B1277" t="s">
        <v>4460</v>
      </c>
      <c r="C1277" t="s">
        <v>571</v>
      </c>
      <c r="D1277" t="s">
        <v>1619</v>
      </c>
      <c r="E1277" t="s">
        <v>579</v>
      </c>
      <c r="F1277" t="s">
        <v>3836</v>
      </c>
      <c r="G1277" t="s">
        <v>4461</v>
      </c>
      <c r="H1277" t="str">
        <f>HYPERLINK("https://baanknet.com/view-property/286677/DCABD39F9DF66853C78C92B2B7BF59E3C41AE05AAB5232833A22F1E079B6EE73", "https://baanknet.com/view-property/286677/DCABD39F9DF66853C78C92B2B7BF59E3C41AE05AAB5232833A22F1E079B6EE73")</f>
        <v>https://baanknet.com/view-property/286677/DCABD39F9DF66853C78C92B2B7BF59E3C41AE05AAB5232833A22F1E079B6EE73</v>
      </c>
      <c r="I1277" t="str">
        <f>HYPERLINK("https://baanknet.com/view-property/286677/DCABD39F9DF66853C78C92B2B7BF59E3C41AE05AAB5232833A22F1E079B6EE73", "Open")</f>
        <v>Open</v>
      </c>
      <c r="J1277" t="s">
        <v>3803</v>
      </c>
      <c r="L1277">
        <v>1476000</v>
      </c>
      <c r="M1277">
        <v>147600</v>
      </c>
    </row>
    <row r="1278" spans="1:13" x14ac:dyDescent="0.25">
      <c r="A1278" t="s">
        <v>4462</v>
      </c>
      <c r="B1278" t="s">
        <v>4463</v>
      </c>
      <c r="C1278" t="s">
        <v>571</v>
      </c>
      <c r="D1278" t="s">
        <v>4375</v>
      </c>
      <c r="E1278" t="s">
        <v>579</v>
      </c>
      <c r="F1278" t="s">
        <v>3836</v>
      </c>
      <c r="G1278" t="s">
        <v>4464</v>
      </c>
      <c r="H1278" t="str">
        <f>HYPERLINK("https://baanknet.com/view-property/286678/3A40A15684E06D88B1BCBACB5D610F93EEB2E43C7424ABB449BCB3F38E3C2ACC", "https://baanknet.com/view-property/286678/3A40A15684E06D88B1BCBACB5D610F93EEB2E43C7424ABB449BCB3F38E3C2ACC")</f>
        <v>https://baanknet.com/view-property/286678/3A40A15684E06D88B1BCBACB5D610F93EEB2E43C7424ABB449BCB3F38E3C2ACC</v>
      </c>
      <c r="I1278" t="str">
        <f>HYPERLINK("https://baanknet.com/view-property/286678/3A40A15684E06D88B1BCBACB5D610F93EEB2E43C7424ABB449BCB3F38E3C2ACC", "Open")</f>
        <v>Open</v>
      </c>
      <c r="J1278" t="s">
        <v>3803</v>
      </c>
      <c r="L1278">
        <v>2610000</v>
      </c>
      <c r="M1278">
        <v>261000</v>
      </c>
    </row>
    <row r="1279" spans="1:13" x14ac:dyDescent="0.25">
      <c r="A1279" t="s">
        <v>4465</v>
      </c>
      <c r="B1279" t="s">
        <v>4466</v>
      </c>
      <c r="C1279" t="s">
        <v>571</v>
      </c>
      <c r="D1279" t="s">
        <v>4467</v>
      </c>
      <c r="E1279" t="s">
        <v>579</v>
      </c>
      <c r="F1279" t="s">
        <v>3836</v>
      </c>
      <c r="G1279" t="s">
        <v>4468</v>
      </c>
      <c r="H1279" t="str">
        <f>HYPERLINK("https://baanknet.com/view-property/273671/24585B3E951BCBE19EE4E61AA92876F5445F35694A807B70008329CBC23843A6", "https://baanknet.com/view-property/273671/24585B3E951BCBE19EE4E61AA92876F5445F35694A807B70008329CBC23843A6")</f>
        <v>https://baanknet.com/view-property/273671/24585B3E951BCBE19EE4E61AA92876F5445F35694A807B70008329CBC23843A6</v>
      </c>
      <c r="I1279" t="str">
        <f>HYPERLINK("https://baanknet.com/view-property/273671/24585B3E951BCBE19EE4E61AA92876F5445F35694A807B70008329CBC23843A6", "Open")</f>
        <v>Open</v>
      </c>
      <c r="J1279" t="s">
        <v>3803</v>
      </c>
      <c r="L1279">
        <v>7425000</v>
      </c>
      <c r="M1279">
        <v>742500</v>
      </c>
    </row>
    <row r="1280" spans="1:13" x14ac:dyDescent="0.25">
      <c r="A1280" t="s">
        <v>4469</v>
      </c>
      <c r="B1280" t="s">
        <v>4470</v>
      </c>
      <c r="C1280" t="s">
        <v>144</v>
      </c>
      <c r="D1280" t="s">
        <v>4471</v>
      </c>
      <c r="E1280" t="s">
        <v>579</v>
      </c>
      <c r="F1280" t="s">
        <v>3836</v>
      </c>
      <c r="G1280" t="s">
        <v>4472</v>
      </c>
      <c r="H1280" t="str">
        <f>HYPERLINK("https://baanknet.com/view-property/104212/AE5AF0B6BD1EDF1AB7D18C37095752773219F5166EF8D3925C1271951DBEA419", "https://baanknet.com/view-property/104212/AE5AF0B6BD1EDF1AB7D18C37095752773219F5166EF8D3925C1271951DBEA419")</f>
        <v>https://baanknet.com/view-property/104212/AE5AF0B6BD1EDF1AB7D18C37095752773219F5166EF8D3925C1271951DBEA419</v>
      </c>
      <c r="I1280" t="str">
        <f>HYPERLINK("https://baanknet.com/view-property/104212/AE5AF0B6BD1EDF1AB7D18C37095752773219F5166EF8D3925C1271951DBEA419", "Open")</f>
        <v>Open</v>
      </c>
      <c r="J1280" t="s">
        <v>3803</v>
      </c>
      <c r="L1280">
        <v>2191000</v>
      </c>
      <c r="M1280">
        <v>219100</v>
      </c>
    </row>
    <row r="1281" spans="1:13" x14ac:dyDescent="0.25">
      <c r="A1281" t="s">
        <v>4473</v>
      </c>
      <c r="B1281" t="s">
        <v>4474</v>
      </c>
      <c r="C1281" t="s">
        <v>144</v>
      </c>
      <c r="D1281" t="s">
        <v>3368</v>
      </c>
      <c r="E1281" t="s">
        <v>579</v>
      </c>
      <c r="F1281" t="s">
        <v>3836</v>
      </c>
      <c r="G1281" t="s">
        <v>4475</v>
      </c>
      <c r="H1281" t="str">
        <f>HYPERLINK("https://baanknet.com/view-property/207993/FEE903ADD01D9A6D4DBF3C3A71ACB220FCDF75CE8F9DE6DB075D18A9D2237B8D", "https://baanknet.com/view-property/207993/FEE903ADD01D9A6D4DBF3C3A71ACB220FCDF75CE8F9DE6DB075D18A9D2237B8D")</f>
        <v>https://baanknet.com/view-property/207993/FEE903ADD01D9A6D4DBF3C3A71ACB220FCDF75CE8F9DE6DB075D18A9D2237B8D</v>
      </c>
      <c r="I1281" t="str">
        <f>HYPERLINK("https://baanknet.com/view-property/207993/FEE903ADD01D9A6D4DBF3C3A71ACB220FCDF75CE8F9DE6DB075D18A9D2237B8D", "Open")</f>
        <v>Open</v>
      </c>
      <c r="J1281" t="s">
        <v>3803</v>
      </c>
      <c r="L1281">
        <v>846000</v>
      </c>
      <c r="M1281">
        <v>84600</v>
      </c>
    </row>
    <row r="1282" spans="1:13" x14ac:dyDescent="0.25">
      <c r="A1282" t="s">
        <v>4476</v>
      </c>
      <c r="B1282" t="s">
        <v>4477</v>
      </c>
      <c r="C1282" t="s">
        <v>144</v>
      </c>
      <c r="D1282" t="s">
        <v>3368</v>
      </c>
      <c r="E1282" t="s">
        <v>579</v>
      </c>
      <c r="F1282" t="s">
        <v>3836</v>
      </c>
      <c r="G1282" t="s">
        <v>4478</v>
      </c>
      <c r="H1282" t="str">
        <f>HYPERLINK("https://baanknet.com/view-property/207990/861733C30ED2CA04882D90FE67AA825F354BC88FF6CAD231825605BBB24C9B43", "https://baanknet.com/view-property/207990/861733C30ED2CA04882D90FE67AA825F354BC88FF6CAD231825605BBB24C9B43")</f>
        <v>https://baanknet.com/view-property/207990/861733C30ED2CA04882D90FE67AA825F354BC88FF6CAD231825605BBB24C9B43</v>
      </c>
      <c r="I1282" t="str">
        <f>HYPERLINK("https://baanknet.com/view-property/207990/861733C30ED2CA04882D90FE67AA825F354BC88FF6CAD231825605BBB24C9B43", "Open")</f>
        <v>Open</v>
      </c>
      <c r="J1282" t="s">
        <v>3803</v>
      </c>
      <c r="L1282">
        <v>841200</v>
      </c>
      <c r="M1282">
        <v>84120</v>
      </c>
    </row>
    <row r="1283" spans="1:13" x14ac:dyDescent="0.25">
      <c r="A1283" t="s">
        <v>4479</v>
      </c>
      <c r="B1283" t="s">
        <v>4480</v>
      </c>
      <c r="C1283" t="s">
        <v>144</v>
      </c>
      <c r="D1283" t="s">
        <v>4481</v>
      </c>
      <c r="E1283" t="s">
        <v>579</v>
      </c>
      <c r="F1283" t="s">
        <v>3836</v>
      </c>
      <c r="G1283" t="s">
        <v>4482</v>
      </c>
      <c r="H1283" t="str">
        <f>HYPERLINK("https://baanknet.com/view-property/67991/491E05FEEB6349BE77060C872E1AA7D65A84771467E9F01564DFBBC8372B4AA0", "https://baanknet.com/view-property/67991/491E05FEEB6349BE77060C872E1AA7D65A84771467E9F01564DFBBC8372B4AA0")</f>
        <v>https://baanknet.com/view-property/67991/491E05FEEB6349BE77060C872E1AA7D65A84771467E9F01564DFBBC8372B4AA0</v>
      </c>
      <c r="I1283" t="str">
        <f>HYPERLINK("https://baanknet.com/view-property/67991/491E05FEEB6349BE77060C872E1AA7D65A84771467E9F01564DFBBC8372B4AA0", "Open")</f>
        <v>Open</v>
      </c>
      <c r="J1283" t="s">
        <v>3803</v>
      </c>
      <c r="L1283">
        <v>1988000</v>
      </c>
      <c r="M1283">
        <v>198800</v>
      </c>
    </row>
    <row r="1284" spans="1:13" x14ac:dyDescent="0.25">
      <c r="A1284" t="s">
        <v>4483</v>
      </c>
      <c r="B1284" t="s">
        <v>4484</v>
      </c>
      <c r="C1284" t="s">
        <v>144</v>
      </c>
      <c r="D1284" t="s">
        <v>4471</v>
      </c>
      <c r="E1284" t="s">
        <v>579</v>
      </c>
      <c r="F1284" t="s">
        <v>3836</v>
      </c>
      <c r="G1284" t="s">
        <v>4485</v>
      </c>
      <c r="H1284" t="str">
        <f>HYPERLINK("https://baanknet.com/view-property/118720/D14E4A483FBE73CCD1289A7C0B5E7C7F3AD4F0ECB0FC8B224D597EBD1A5ABDF1", "https://baanknet.com/view-property/118720/D14E4A483FBE73CCD1289A7C0B5E7C7F3AD4F0ECB0FC8B224D597EBD1A5ABDF1")</f>
        <v>https://baanknet.com/view-property/118720/D14E4A483FBE73CCD1289A7C0B5E7C7F3AD4F0ECB0FC8B224D597EBD1A5ABDF1</v>
      </c>
      <c r="I1284" t="str">
        <f>HYPERLINK("https://baanknet.com/view-property/118720/D14E4A483FBE73CCD1289A7C0B5E7C7F3AD4F0ECB0FC8B224D597EBD1A5ABDF1", "Open")</f>
        <v>Open</v>
      </c>
      <c r="J1284" t="s">
        <v>3803</v>
      </c>
      <c r="L1284">
        <v>2299000</v>
      </c>
      <c r="M1284">
        <v>229900</v>
      </c>
    </row>
    <row r="1285" spans="1:13" x14ac:dyDescent="0.25">
      <c r="A1285" t="s">
        <v>4486</v>
      </c>
      <c r="B1285" t="s">
        <v>4487</v>
      </c>
      <c r="C1285" t="s">
        <v>144</v>
      </c>
      <c r="D1285" t="s">
        <v>4471</v>
      </c>
      <c r="E1285" t="s">
        <v>579</v>
      </c>
      <c r="F1285" t="s">
        <v>3836</v>
      </c>
      <c r="G1285" t="s">
        <v>4488</v>
      </c>
      <c r="H1285" t="str">
        <f>HYPERLINK("https://baanknet.com/view-property/113956/E2D3C1A93D7211B0ACC1A5FA34FAE7F3DFC49567B745BF09BA8A907C8A08318A", "https://baanknet.com/view-property/113956/E2D3C1A93D7211B0ACC1A5FA34FAE7F3DFC49567B745BF09BA8A907C8A08318A")</f>
        <v>https://baanknet.com/view-property/113956/E2D3C1A93D7211B0ACC1A5FA34FAE7F3DFC49567B745BF09BA8A907C8A08318A</v>
      </c>
      <c r="I1285" t="str">
        <f>HYPERLINK("https://baanknet.com/view-property/113956/E2D3C1A93D7211B0ACC1A5FA34FAE7F3DFC49567B745BF09BA8A907C8A08318A", "Open")</f>
        <v>Open</v>
      </c>
      <c r="J1285" t="s">
        <v>3803</v>
      </c>
      <c r="L1285">
        <v>3110000</v>
      </c>
      <c r="M1285">
        <v>311000</v>
      </c>
    </row>
    <row r="1286" spans="1:13" x14ac:dyDescent="0.25">
      <c r="A1286" t="s">
        <v>4489</v>
      </c>
      <c r="B1286" t="s">
        <v>4490</v>
      </c>
      <c r="C1286" t="s">
        <v>571</v>
      </c>
      <c r="D1286" t="s">
        <v>578</v>
      </c>
      <c r="E1286" t="s">
        <v>579</v>
      </c>
      <c r="F1286" t="s">
        <v>580</v>
      </c>
      <c r="G1286" t="s">
        <v>4491</v>
      </c>
      <c r="H1286" t="str">
        <f>HYPERLINK("https://baanknet.com/view-property/232399/E0CA1F428B87BFFEA743F6D9503ACF2A583EBE72F3014084CE89BF4EB3C7B60F", "https://baanknet.com/view-property/232399/E0CA1F428B87BFFEA743F6D9503ACF2A583EBE72F3014084CE89BF4EB3C7B60F")</f>
        <v>https://baanknet.com/view-property/232399/E0CA1F428B87BFFEA743F6D9503ACF2A583EBE72F3014084CE89BF4EB3C7B60F</v>
      </c>
      <c r="I1286" t="str">
        <f>HYPERLINK("https://baanknet.com/view-property/232399/E0CA1F428B87BFFEA743F6D9503ACF2A583EBE72F3014084CE89BF4EB3C7B60F", "Open")</f>
        <v>Open</v>
      </c>
      <c r="J1286" t="s">
        <v>3803</v>
      </c>
      <c r="L1286">
        <v>4910000</v>
      </c>
      <c r="M1286">
        <v>491000</v>
      </c>
    </row>
    <row r="1287" spans="1:13" x14ac:dyDescent="0.25">
      <c r="A1287" t="s">
        <v>4492</v>
      </c>
      <c r="B1287" t="s">
        <v>4493</v>
      </c>
      <c r="C1287" t="s">
        <v>571</v>
      </c>
      <c r="D1287" t="s">
        <v>578</v>
      </c>
      <c r="E1287" t="s">
        <v>579</v>
      </c>
      <c r="F1287" t="s">
        <v>580</v>
      </c>
      <c r="G1287" t="s">
        <v>4494</v>
      </c>
      <c r="H1287" t="str">
        <f>HYPERLINK("https://baanknet.com/view-property/232421/09A58140C4A22CB79936DA8E87A305B12E98DEFF89664CF7209432A18B5469DF", "https://baanknet.com/view-property/232421/09A58140C4A22CB79936DA8E87A305B12E98DEFF89664CF7209432A18B5469DF")</f>
        <v>https://baanknet.com/view-property/232421/09A58140C4A22CB79936DA8E87A305B12E98DEFF89664CF7209432A18B5469DF</v>
      </c>
      <c r="I1287" t="str">
        <f>HYPERLINK("https://baanknet.com/view-property/232421/09A58140C4A22CB79936DA8E87A305B12E98DEFF89664CF7209432A18B5469DF", "Open")</f>
        <v>Open</v>
      </c>
      <c r="J1287" t="s">
        <v>3803</v>
      </c>
      <c r="L1287">
        <v>6070000</v>
      </c>
      <c r="M1287">
        <v>607000</v>
      </c>
    </row>
    <row r="1288" spans="1:13" x14ac:dyDescent="0.25">
      <c r="A1288" t="s">
        <v>4495</v>
      </c>
      <c r="B1288" t="s">
        <v>4496</v>
      </c>
      <c r="C1288" t="s">
        <v>571</v>
      </c>
      <c r="D1288" t="s">
        <v>1968</v>
      </c>
      <c r="E1288" t="s">
        <v>579</v>
      </c>
      <c r="F1288" t="s">
        <v>580</v>
      </c>
      <c r="G1288" t="s">
        <v>4497</v>
      </c>
      <c r="H1288" t="str">
        <f>HYPERLINK("https://baanknet.com/view-property/287492/19C35CA7FB8B1988EE4BA7B59061978C5E04B4E8FD2967E6C5429A4844B348F1", "https://baanknet.com/view-property/287492/19C35CA7FB8B1988EE4BA7B59061978C5E04B4E8FD2967E6C5429A4844B348F1")</f>
        <v>https://baanknet.com/view-property/287492/19C35CA7FB8B1988EE4BA7B59061978C5E04B4E8FD2967E6C5429A4844B348F1</v>
      </c>
      <c r="I1288" t="str">
        <f>HYPERLINK("https://baanknet.com/view-property/287492/19C35CA7FB8B1988EE4BA7B59061978C5E04B4E8FD2967E6C5429A4844B348F1", "Open")</f>
        <v>Open</v>
      </c>
      <c r="J1288" t="s">
        <v>3803</v>
      </c>
      <c r="L1288">
        <v>1674000</v>
      </c>
      <c r="M1288">
        <v>167400</v>
      </c>
    </row>
    <row r="1289" spans="1:13" x14ac:dyDescent="0.25">
      <c r="A1289" t="s">
        <v>4498</v>
      </c>
      <c r="B1289" t="s">
        <v>4499</v>
      </c>
      <c r="C1289" t="s">
        <v>571</v>
      </c>
      <c r="D1289" t="s">
        <v>4500</v>
      </c>
      <c r="E1289" t="s">
        <v>579</v>
      </c>
      <c r="F1289" t="s">
        <v>585</v>
      </c>
      <c r="G1289" t="s">
        <v>4501</v>
      </c>
      <c r="H1289" t="str">
        <f>HYPERLINK("https://baanknet.com/view-property/284226/194EAA0B46BA8EA81DB2ECA49A5C6B6D9F05BB22AD25C95B3043D45A02298AB4", "https://baanknet.com/view-property/284226/194EAA0B46BA8EA81DB2ECA49A5C6B6D9F05BB22AD25C95B3043D45A02298AB4")</f>
        <v>https://baanknet.com/view-property/284226/194EAA0B46BA8EA81DB2ECA49A5C6B6D9F05BB22AD25C95B3043D45A02298AB4</v>
      </c>
      <c r="I1289" t="str">
        <f>HYPERLINK("https://baanknet.com/view-property/284226/194EAA0B46BA8EA81DB2ECA49A5C6B6D9F05BB22AD25C95B3043D45A02298AB4", "Open")</f>
        <v>Open</v>
      </c>
      <c r="J1289" t="s">
        <v>3803</v>
      </c>
      <c r="L1289">
        <v>652000</v>
      </c>
      <c r="M1289">
        <v>65200</v>
      </c>
    </row>
    <row r="1290" spans="1:13" x14ac:dyDescent="0.25">
      <c r="A1290" t="s">
        <v>4502</v>
      </c>
      <c r="B1290" t="s">
        <v>4503</v>
      </c>
      <c r="C1290" t="s">
        <v>571</v>
      </c>
      <c r="D1290" t="s">
        <v>4500</v>
      </c>
      <c r="E1290" t="s">
        <v>579</v>
      </c>
      <c r="F1290" t="s">
        <v>585</v>
      </c>
      <c r="G1290" t="s">
        <v>4504</v>
      </c>
      <c r="H1290" t="str">
        <f>HYPERLINK("https://baanknet.com/view-property/284223/CF85DB6A19CA73D85988E7686865F8C49A6A0F9F20E1F4D2DAAB2FE1A9187CD4", "https://baanknet.com/view-property/284223/CF85DB6A19CA73D85988E7686865F8C49A6A0F9F20E1F4D2DAAB2FE1A9187CD4")</f>
        <v>https://baanknet.com/view-property/284223/CF85DB6A19CA73D85988E7686865F8C49A6A0F9F20E1F4D2DAAB2FE1A9187CD4</v>
      </c>
      <c r="I1290" t="str">
        <f>HYPERLINK("https://baanknet.com/view-property/284223/CF85DB6A19CA73D85988E7686865F8C49A6A0F9F20E1F4D2DAAB2FE1A9187CD4", "Open")</f>
        <v>Open</v>
      </c>
      <c r="J1290" t="s">
        <v>3803</v>
      </c>
      <c r="L1290">
        <v>1868000</v>
      </c>
      <c r="M1290">
        <v>186800</v>
      </c>
    </row>
    <row r="1291" spans="1:13" x14ac:dyDescent="0.25">
      <c r="A1291" t="s">
        <v>4505</v>
      </c>
      <c r="B1291" t="s">
        <v>4506</v>
      </c>
      <c r="C1291" t="s">
        <v>571</v>
      </c>
      <c r="D1291" t="s">
        <v>4507</v>
      </c>
      <c r="E1291" t="s">
        <v>579</v>
      </c>
      <c r="F1291" t="s">
        <v>585</v>
      </c>
      <c r="G1291" t="s">
        <v>4508</v>
      </c>
      <c r="H1291" t="str">
        <f>HYPERLINK("https://baanknet.com/view-property/64683/D58E2F56E15187F60FBF27AA121ED35696C843C48CBE5AD28233850AF50A27D0", "https://baanknet.com/view-property/64683/D58E2F56E15187F60FBF27AA121ED35696C843C48CBE5AD28233850AF50A27D0")</f>
        <v>https://baanknet.com/view-property/64683/D58E2F56E15187F60FBF27AA121ED35696C843C48CBE5AD28233850AF50A27D0</v>
      </c>
      <c r="I1291" t="str">
        <f>HYPERLINK("https://baanknet.com/view-property/64683/D58E2F56E15187F60FBF27AA121ED35696C843C48CBE5AD28233850AF50A27D0", "Open")</f>
        <v>Open</v>
      </c>
      <c r="J1291" t="s">
        <v>3803</v>
      </c>
      <c r="L1291">
        <v>4900000</v>
      </c>
      <c r="M1291">
        <v>490000</v>
      </c>
    </row>
    <row r="1292" spans="1:13" x14ac:dyDescent="0.25">
      <c r="A1292" t="s">
        <v>4509</v>
      </c>
      <c r="B1292" t="s">
        <v>4510</v>
      </c>
      <c r="C1292" t="s">
        <v>571</v>
      </c>
      <c r="D1292" t="s">
        <v>4511</v>
      </c>
      <c r="E1292" t="s">
        <v>579</v>
      </c>
      <c r="F1292" t="s">
        <v>585</v>
      </c>
      <c r="G1292" t="s">
        <v>4512</v>
      </c>
      <c r="H1292" t="str">
        <f>HYPERLINK("https://baanknet.com/view-property/284338/6BE2007E7319315D6E6A6C75AFD7C6C11A4032F595693503B0066FB9FF01DCD7", "https://baanknet.com/view-property/284338/6BE2007E7319315D6E6A6C75AFD7C6C11A4032F595693503B0066FB9FF01DCD7")</f>
        <v>https://baanknet.com/view-property/284338/6BE2007E7319315D6E6A6C75AFD7C6C11A4032F595693503B0066FB9FF01DCD7</v>
      </c>
      <c r="I1292" t="str">
        <f>HYPERLINK("https://baanknet.com/view-property/284338/6BE2007E7319315D6E6A6C75AFD7C6C11A4032F595693503B0066FB9FF01DCD7", "Open")</f>
        <v>Open</v>
      </c>
      <c r="J1292" t="s">
        <v>3803</v>
      </c>
      <c r="L1292">
        <v>1007000</v>
      </c>
      <c r="M1292">
        <v>100700</v>
      </c>
    </row>
    <row r="1293" spans="1:13" x14ac:dyDescent="0.25">
      <c r="A1293" t="s">
        <v>4513</v>
      </c>
      <c r="B1293" t="s">
        <v>4514</v>
      </c>
      <c r="C1293" t="s">
        <v>571</v>
      </c>
      <c r="D1293" t="s">
        <v>2117</v>
      </c>
      <c r="E1293" t="s">
        <v>579</v>
      </c>
      <c r="F1293" t="s">
        <v>585</v>
      </c>
      <c r="G1293" t="s">
        <v>4515</v>
      </c>
      <c r="H1293" t="str">
        <f>HYPERLINK("https://baanknet.com/view-property/284903/D6D53511F525DC7CF299A1A7069AA554DD515C2F16910A57F2855DCEA838DA65", "https://baanknet.com/view-property/284903/D6D53511F525DC7CF299A1A7069AA554DD515C2F16910A57F2855DCEA838DA65")</f>
        <v>https://baanknet.com/view-property/284903/D6D53511F525DC7CF299A1A7069AA554DD515C2F16910A57F2855DCEA838DA65</v>
      </c>
      <c r="I1293" t="str">
        <f>HYPERLINK("https://baanknet.com/view-property/284903/D6D53511F525DC7CF299A1A7069AA554DD515C2F16910A57F2855DCEA838DA65", "Open")</f>
        <v>Open</v>
      </c>
      <c r="J1293" t="s">
        <v>3803</v>
      </c>
      <c r="L1293">
        <v>1530000</v>
      </c>
      <c r="M1293">
        <v>153000</v>
      </c>
    </row>
    <row r="1294" spans="1:13" x14ac:dyDescent="0.25">
      <c r="A1294" t="s">
        <v>4516</v>
      </c>
      <c r="B1294" t="s">
        <v>4517</v>
      </c>
      <c r="C1294" t="s">
        <v>332</v>
      </c>
      <c r="D1294" t="s">
        <v>1003</v>
      </c>
      <c r="E1294" t="s">
        <v>579</v>
      </c>
      <c r="F1294" t="s">
        <v>585</v>
      </c>
      <c r="G1294" t="s">
        <v>4518</v>
      </c>
      <c r="H1294" t="str">
        <f>HYPERLINK("https://baanknet.com/view-property/284574/0A4248D28FA2E481A478C5F74961B3255A823DF8D821E19E57F5372C2DCA5427", "https://baanknet.com/view-property/284574/0A4248D28FA2E481A478C5F74961B3255A823DF8D821E19E57F5372C2DCA5427")</f>
        <v>https://baanknet.com/view-property/284574/0A4248D28FA2E481A478C5F74961B3255A823DF8D821E19E57F5372C2DCA5427</v>
      </c>
      <c r="I1294" t="str">
        <f>HYPERLINK("https://baanknet.com/view-property/284574/0A4248D28FA2E481A478C5F74961B3255A823DF8D821E19E57F5372C2DCA5427", "Open")</f>
        <v>Open</v>
      </c>
      <c r="J1294" t="s">
        <v>3803</v>
      </c>
      <c r="L1294">
        <v>1543000</v>
      </c>
      <c r="M1294">
        <v>154300</v>
      </c>
    </row>
    <row r="1295" spans="1:13" x14ac:dyDescent="0.25">
      <c r="A1295" t="s">
        <v>4519</v>
      </c>
      <c r="B1295" t="s">
        <v>4520</v>
      </c>
      <c r="C1295" t="s">
        <v>571</v>
      </c>
      <c r="D1295" t="s">
        <v>157</v>
      </c>
      <c r="E1295" t="s">
        <v>579</v>
      </c>
      <c r="F1295" t="s">
        <v>585</v>
      </c>
      <c r="G1295" t="s">
        <v>4521</v>
      </c>
      <c r="H1295" t="str">
        <f>HYPERLINK("https://baanknet.com/view-property/254682/D642F3B602B0E7840C608E783E569C5BBB0BCD83C290B0B08108DD2ED49778CC", "https://baanknet.com/view-property/254682/D642F3B602B0E7840C608E783E569C5BBB0BCD83C290B0B08108DD2ED49778CC")</f>
        <v>https://baanknet.com/view-property/254682/D642F3B602B0E7840C608E783E569C5BBB0BCD83C290B0B08108DD2ED49778CC</v>
      </c>
      <c r="I1295" t="str">
        <f>HYPERLINK("https://baanknet.com/view-property/254682/D642F3B602B0E7840C608E783E569C5BBB0BCD83C290B0B08108DD2ED49778CC", "Open")</f>
        <v>Open</v>
      </c>
      <c r="J1295" t="s">
        <v>3803</v>
      </c>
      <c r="L1295">
        <v>5846000</v>
      </c>
      <c r="M1295">
        <v>584600</v>
      </c>
    </row>
    <row r="1296" spans="1:13" x14ac:dyDescent="0.25">
      <c r="A1296" t="s">
        <v>4522</v>
      </c>
      <c r="B1296" t="s">
        <v>4523</v>
      </c>
      <c r="C1296" t="s">
        <v>571</v>
      </c>
      <c r="D1296" t="s">
        <v>2086</v>
      </c>
      <c r="E1296" t="s">
        <v>579</v>
      </c>
      <c r="F1296" t="s">
        <v>585</v>
      </c>
      <c r="G1296" t="s">
        <v>4524</v>
      </c>
      <c r="H1296" t="str">
        <f>HYPERLINK("https://baanknet.com/view-property/284925/B9A006644AC424DCFD729BE36D05E01AE180E58B4CB334A151C923355D2F78BF", "https://baanknet.com/view-property/284925/B9A006644AC424DCFD729BE36D05E01AE180E58B4CB334A151C923355D2F78BF")</f>
        <v>https://baanknet.com/view-property/284925/B9A006644AC424DCFD729BE36D05E01AE180E58B4CB334A151C923355D2F78BF</v>
      </c>
      <c r="I1296" t="str">
        <f>HYPERLINK("https://baanknet.com/view-property/284925/B9A006644AC424DCFD729BE36D05E01AE180E58B4CB334A151C923355D2F78BF", "Open")</f>
        <v>Open</v>
      </c>
      <c r="J1296" t="s">
        <v>3803</v>
      </c>
      <c r="L1296">
        <v>14566000</v>
      </c>
      <c r="M1296">
        <v>1456600</v>
      </c>
    </row>
    <row r="1297" spans="1:13" x14ac:dyDescent="0.25">
      <c r="A1297" t="s">
        <v>4525</v>
      </c>
      <c r="B1297" t="s">
        <v>4526</v>
      </c>
      <c r="C1297" t="s">
        <v>571</v>
      </c>
      <c r="D1297" t="s">
        <v>4527</v>
      </c>
      <c r="E1297" t="s">
        <v>579</v>
      </c>
      <c r="F1297" t="s">
        <v>585</v>
      </c>
      <c r="G1297" t="s">
        <v>4528</v>
      </c>
      <c r="H1297" t="str">
        <f>HYPERLINK("https://baanknet.com/view-property/276800/53DF845966B339D297ED1DCF47ABA781B457A565D3507FD33C79B52403457523", "https://baanknet.com/view-property/276800/53DF845966B339D297ED1DCF47ABA781B457A565D3507FD33C79B52403457523")</f>
        <v>https://baanknet.com/view-property/276800/53DF845966B339D297ED1DCF47ABA781B457A565D3507FD33C79B52403457523</v>
      </c>
      <c r="I1297" t="str">
        <f>HYPERLINK("https://baanknet.com/view-property/276800/53DF845966B339D297ED1DCF47ABA781B457A565D3507FD33C79B52403457523", "Open")</f>
        <v>Open</v>
      </c>
      <c r="J1297" t="s">
        <v>3803</v>
      </c>
      <c r="L1297">
        <v>2617200</v>
      </c>
      <c r="M1297">
        <v>261720</v>
      </c>
    </row>
    <row r="1298" spans="1:13" x14ac:dyDescent="0.25">
      <c r="A1298" t="s">
        <v>4529</v>
      </c>
      <c r="B1298" t="s">
        <v>4530</v>
      </c>
      <c r="C1298" t="s">
        <v>571</v>
      </c>
      <c r="D1298" t="s">
        <v>149</v>
      </c>
      <c r="E1298" t="s">
        <v>579</v>
      </c>
      <c r="F1298" t="s">
        <v>585</v>
      </c>
      <c r="G1298" t="s">
        <v>4531</v>
      </c>
      <c r="H1298" t="str">
        <f>HYPERLINK("https://baanknet.com/view-property/169859/6A69867118CCACB38A078E727FFF701829D71C5D5D05B4B01B5424BA9633BAE7", "https://baanknet.com/view-property/169859/6A69867118CCACB38A078E727FFF701829D71C5D5D05B4B01B5424BA9633BAE7")</f>
        <v>https://baanknet.com/view-property/169859/6A69867118CCACB38A078E727FFF701829D71C5D5D05B4B01B5424BA9633BAE7</v>
      </c>
      <c r="I1298" t="str">
        <f>HYPERLINK("https://baanknet.com/view-property/169859/6A69867118CCACB38A078E727FFF701829D71C5D5D05B4B01B5424BA9633BAE7", "Open")</f>
        <v>Open</v>
      </c>
      <c r="J1298" t="s">
        <v>3803</v>
      </c>
      <c r="L1298">
        <v>1486000</v>
      </c>
      <c r="M1298">
        <v>148600</v>
      </c>
    </row>
    <row r="1299" spans="1:13" x14ac:dyDescent="0.25">
      <c r="A1299" t="s">
        <v>4532</v>
      </c>
      <c r="B1299" t="s">
        <v>4533</v>
      </c>
      <c r="C1299" t="s">
        <v>571</v>
      </c>
      <c r="D1299" t="s">
        <v>4534</v>
      </c>
      <c r="E1299" t="s">
        <v>579</v>
      </c>
      <c r="F1299" t="s">
        <v>585</v>
      </c>
      <c r="G1299" t="s">
        <v>4535</v>
      </c>
      <c r="H1299" t="str">
        <f>HYPERLINK("https://baanknet.com/view-property/119585/93A33DA37838C95FA4A38AD7AF59762A42B2FA4AA1EBE72BA215A12EDF362285", "https://baanknet.com/view-property/119585/93A33DA37838C95FA4A38AD7AF59762A42B2FA4AA1EBE72BA215A12EDF362285")</f>
        <v>https://baanknet.com/view-property/119585/93A33DA37838C95FA4A38AD7AF59762A42B2FA4AA1EBE72BA215A12EDF362285</v>
      </c>
      <c r="I1299" t="str">
        <f>HYPERLINK("https://baanknet.com/view-property/119585/93A33DA37838C95FA4A38AD7AF59762A42B2FA4AA1EBE72BA215A12EDF362285", "Open")</f>
        <v>Open</v>
      </c>
      <c r="J1299" t="s">
        <v>3803</v>
      </c>
      <c r="L1299">
        <v>750000</v>
      </c>
      <c r="M1299">
        <v>75000</v>
      </c>
    </row>
    <row r="1300" spans="1:13" x14ac:dyDescent="0.25">
      <c r="A1300" t="s">
        <v>4536</v>
      </c>
      <c r="B1300" t="s">
        <v>4537</v>
      </c>
      <c r="C1300" t="s">
        <v>571</v>
      </c>
      <c r="D1300" t="s">
        <v>4538</v>
      </c>
      <c r="E1300" t="s">
        <v>579</v>
      </c>
      <c r="F1300" t="s">
        <v>585</v>
      </c>
      <c r="G1300" t="s">
        <v>4539</v>
      </c>
      <c r="H1300" t="str">
        <f>HYPERLINK("https://baanknet.com/view-property/276751/378968DC513D022D22968BBB09B5EF475FF21EBB047793EB0B4BF238DF4407F3", "https://baanknet.com/view-property/276751/378968DC513D022D22968BBB09B5EF475FF21EBB047793EB0B4BF238DF4407F3")</f>
        <v>https://baanknet.com/view-property/276751/378968DC513D022D22968BBB09B5EF475FF21EBB047793EB0B4BF238DF4407F3</v>
      </c>
      <c r="I1300" t="str">
        <f>HYPERLINK("https://baanknet.com/view-property/276751/378968DC513D022D22968BBB09B5EF475FF21EBB047793EB0B4BF238DF4407F3", "Open")</f>
        <v>Open</v>
      </c>
      <c r="J1300" t="s">
        <v>3803</v>
      </c>
      <c r="L1300">
        <v>1486800</v>
      </c>
      <c r="M1300">
        <v>148680</v>
      </c>
    </row>
    <row r="1301" spans="1:13" x14ac:dyDescent="0.25">
      <c r="A1301" t="s">
        <v>4540</v>
      </c>
      <c r="B1301" t="s">
        <v>4541</v>
      </c>
      <c r="C1301" t="s">
        <v>332</v>
      </c>
      <c r="D1301" t="s">
        <v>4542</v>
      </c>
      <c r="E1301" t="s">
        <v>579</v>
      </c>
      <c r="F1301" t="s">
        <v>585</v>
      </c>
      <c r="G1301" t="s">
        <v>4543</v>
      </c>
      <c r="H1301" t="str">
        <f>HYPERLINK("https://baanknet.com/view-property/264801/BDC354D9C024B5984C792042752756AB548EE3D4968DE59D8D7E36148EBCC7EC", "https://baanknet.com/view-property/264801/BDC354D9C024B5984C792042752756AB548EE3D4968DE59D8D7E36148EBCC7EC")</f>
        <v>https://baanknet.com/view-property/264801/BDC354D9C024B5984C792042752756AB548EE3D4968DE59D8D7E36148EBCC7EC</v>
      </c>
      <c r="I1301" t="str">
        <f>HYPERLINK("https://baanknet.com/view-property/264801/BDC354D9C024B5984C792042752756AB548EE3D4968DE59D8D7E36148EBCC7EC", "Open")</f>
        <v>Open</v>
      </c>
      <c r="J1301" t="s">
        <v>3803</v>
      </c>
      <c r="L1301">
        <v>3605000</v>
      </c>
      <c r="M1301">
        <v>360500</v>
      </c>
    </row>
    <row r="1302" spans="1:13" x14ac:dyDescent="0.25">
      <c r="A1302" t="s">
        <v>4544</v>
      </c>
      <c r="B1302" t="s">
        <v>4545</v>
      </c>
      <c r="C1302" t="s">
        <v>571</v>
      </c>
      <c r="D1302" t="s">
        <v>4546</v>
      </c>
      <c r="E1302" t="s">
        <v>579</v>
      </c>
      <c r="F1302" t="s">
        <v>585</v>
      </c>
      <c r="G1302" t="s">
        <v>4547</v>
      </c>
      <c r="H1302" t="str">
        <f>HYPERLINK("https://baanknet.com/view-property/285302/EB9C6A0AC6F44CBBAFF0C7504B138C2E2C447ECEA398EC207496DF2E81CA2084", "https://baanknet.com/view-property/285302/EB9C6A0AC6F44CBBAFF0C7504B138C2E2C447ECEA398EC207496DF2E81CA2084")</f>
        <v>https://baanknet.com/view-property/285302/EB9C6A0AC6F44CBBAFF0C7504B138C2E2C447ECEA398EC207496DF2E81CA2084</v>
      </c>
      <c r="I1302" t="str">
        <f>HYPERLINK("https://baanknet.com/view-property/285302/EB9C6A0AC6F44CBBAFF0C7504B138C2E2C447ECEA398EC207496DF2E81CA2084", "Open")</f>
        <v>Open</v>
      </c>
      <c r="J1302" t="s">
        <v>3803</v>
      </c>
      <c r="L1302">
        <v>4172000</v>
      </c>
      <c r="M1302">
        <v>417200</v>
      </c>
    </row>
    <row r="1303" spans="1:13" x14ac:dyDescent="0.25">
      <c r="A1303" t="s">
        <v>4548</v>
      </c>
      <c r="B1303" t="s">
        <v>4549</v>
      </c>
      <c r="C1303" t="s">
        <v>332</v>
      </c>
      <c r="D1303" t="s">
        <v>4078</v>
      </c>
      <c r="E1303" t="s">
        <v>579</v>
      </c>
      <c r="F1303" t="s">
        <v>585</v>
      </c>
      <c r="G1303" t="s">
        <v>4550</v>
      </c>
      <c r="H1303" t="str">
        <f>HYPERLINK("https://baanknet.com/view-property/285144/3FF260147D9E6B16811A08D118345EBD9416E21C2229BF525BCD7972D2C9454B", "https://baanknet.com/view-property/285144/3FF260147D9E6B16811A08D118345EBD9416E21C2229BF525BCD7972D2C9454B")</f>
        <v>https://baanknet.com/view-property/285144/3FF260147D9E6B16811A08D118345EBD9416E21C2229BF525BCD7972D2C9454B</v>
      </c>
      <c r="I1303" t="str">
        <f>HYPERLINK("https://baanknet.com/view-property/285144/3FF260147D9E6B16811A08D118345EBD9416E21C2229BF525BCD7972D2C9454B", "Open")</f>
        <v>Open</v>
      </c>
      <c r="J1303" t="s">
        <v>3803</v>
      </c>
      <c r="L1303">
        <v>3100000</v>
      </c>
      <c r="M1303">
        <v>310000</v>
      </c>
    </row>
    <row r="1304" spans="1:13" x14ac:dyDescent="0.25">
      <c r="A1304" t="s">
        <v>4551</v>
      </c>
      <c r="B1304" t="s">
        <v>4552</v>
      </c>
      <c r="C1304" t="s">
        <v>332</v>
      </c>
      <c r="D1304" t="s">
        <v>4553</v>
      </c>
      <c r="E1304" t="s">
        <v>579</v>
      </c>
      <c r="F1304" t="s">
        <v>585</v>
      </c>
      <c r="G1304" t="s">
        <v>4554</v>
      </c>
      <c r="H1304" t="str">
        <f>HYPERLINK("https://baanknet.com/view-property/285232/FCAF4861A6416A4F4B8832B3D0BC2A19DCA44F9207966926913DBD2B39660CA2", "https://baanknet.com/view-property/285232/FCAF4861A6416A4F4B8832B3D0BC2A19DCA44F9207966926913DBD2B39660CA2")</f>
        <v>https://baanknet.com/view-property/285232/FCAF4861A6416A4F4B8832B3D0BC2A19DCA44F9207966926913DBD2B39660CA2</v>
      </c>
      <c r="I1304" t="str">
        <f>HYPERLINK("https://baanknet.com/view-property/285232/FCAF4861A6416A4F4B8832B3D0BC2A19DCA44F9207966926913DBD2B39660CA2", "Open")</f>
        <v>Open</v>
      </c>
      <c r="J1304" t="s">
        <v>3803</v>
      </c>
      <c r="L1304">
        <v>1600000</v>
      </c>
      <c r="M1304">
        <v>160000</v>
      </c>
    </row>
    <row r="1305" spans="1:13" x14ac:dyDescent="0.25">
      <c r="A1305" t="s">
        <v>4555</v>
      </c>
      <c r="B1305" t="s">
        <v>4556</v>
      </c>
      <c r="C1305" t="s">
        <v>332</v>
      </c>
      <c r="D1305" t="s">
        <v>4557</v>
      </c>
      <c r="E1305" t="s">
        <v>579</v>
      </c>
      <c r="F1305" t="s">
        <v>585</v>
      </c>
      <c r="G1305" t="s">
        <v>4558</v>
      </c>
      <c r="H1305" t="str">
        <f>HYPERLINK("https://baanknet.com/view-property/285220/93E123E104B8AB41E001085EE59EF4AD41605DF6956C3FE4082CD11D8DD60917", "https://baanknet.com/view-property/285220/93E123E104B8AB41E001085EE59EF4AD41605DF6956C3FE4082CD11D8DD60917")</f>
        <v>https://baanknet.com/view-property/285220/93E123E104B8AB41E001085EE59EF4AD41605DF6956C3FE4082CD11D8DD60917</v>
      </c>
      <c r="I1305" t="str">
        <f>HYPERLINK("https://baanknet.com/view-property/285220/93E123E104B8AB41E001085EE59EF4AD41605DF6956C3FE4082CD11D8DD60917", "Open")</f>
        <v>Open</v>
      </c>
      <c r="J1305" t="s">
        <v>3803</v>
      </c>
      <c r="L1305">
        <v>2600000</v>
      </c>
      <c r="M1305">
        <v>260000</v>
      </c>
    </row>
    <row r="1306" spans="1:13" x14ac:dyDescent="0.25">
      <c r="A1306" t="s">
        <v>4559</v>
      </c>
      <c r="B1306" t="s">
        <v>4560</v>
      </c>
      <c r="C1306" t="s">
        <v>121</v>
      </c>
      <c r="D1306" t="s">
        <v>4561</v>
      </c>
      <c r="E1306" t="s">
        <v>579</v>
      </c>
      <c r="F1306" t="s">
        <v>585</v>
      </c>
      <c r="G1306" t="s">
        <v>4562</v>
      </c>
      <c r="H1306" t="str">
        <f>HYPERLINK("https://baanknet.com/view-property/213047/0D4697BF0F92D51C013E1CB3205BB6E375D73B36C156668522A749D26BC62C77", "https://baanknet.com/view-property/213047/0D4697BF0F92D51C013E1CB3205BB6E375D73B36C156668522A749D26BC62C77")</f>
        <v>https://baanknet.com/view-property/213047/0D4697BF0F92D51C013E1CB3205BB6E375D73B36C156668522A749D26BC62C77</v>
      </c>
      <c r="I1306" t="str">
        <f>HYPERLINK("https://baanknet.com/view-property/213047/0D4697BF0F92D51C013E1CB3205BB6E375D73B36C156668522A749D26BC62C77", "Open")</f>
        <v>Open</v>
      </c>
      <c r="J1306" t="s">
        <v>3803</v>
      </c>
      <c r="L1306">
        <v>1479240</v>
      </c>
      <c r="M1306">
        <v>147924</v>
      </c>
    </row>
    <row r="1307" spans="1:13" x14ac:dyDescent="0.25">
      <c r="A1307" t="s">
        <v>4563</v>
      </c>
      <c r="B1307" t="s">
        <v>4564</v>
      </c>
      <c r="C1307" t="s">
        <v>332</v>
      </c>
      <c r="D1307" t="s">
        <v>1246</v>
      </c>
      <c r="E1307" t="s">
        <v>579</v>
      </c>
      <c r="F1307" t="s">
        <v>585</v>
      </c>
      <c r="G1307" t="s">
        <v>4565</v>
      </c>
      <c r="H1307" t="str">
        <f>HYPERLINK("https://baanknet.com/view-property/285579/FB34EED22025E4F5178F2F3B5288B3A61F818AE559317EBEFAE63AD41E17EB0D", "https://baanknet.com/view-property/285579/FB34EED22025E4F5178F2F3B5288B3A61F818AE559317EBEFAE63AD41E17EB0D")</f>
        <v>https://baanknet.com/view-property/285579/FB34EED22025E4F5178F2F3B5288B3A61F818AE559317EBEFAE63AD41E17EB0D</v>
      </c>
      <c r="I1307" t="str">
        <f>HYPERLINK("https://baanknet.com/view-property/285579/FB34EED22025E4F5178F2F3B5288B3A61F818AE559317EBEFAE63AD41E17EB0D", "Open")</f>
        <v>Open</v>
      </c>
      <c r="J1307" t="s">
        <v>3803</v>
      </c>
      <c r="L1307">
        <v>17000000</v>
      </c>
      <c r="M1307">
        <v>1700000</v>
      </c>
    </row>
    <row r="1308" spans="1:13" x14ac:dyDescent="0.25">
      <c r="A1308" t="s">
        <v>4566</v>
      </c>
      <c r="B1308" t="s">
        <v>4567</v>
      </c>
      <c r="C1308" t="s">
        <v>571</v>
      </c>
      <c r="D1308" t="s">
        <v>1246</v>
      </c>
      <c r="E1308" t="s">
        <v>579</v>
      </c>
      <c r="F1308" t="s">
        <v>585</v>
      </c>
      <c r="G1308" t="s">
        <v>4568</v>
      </c>
      <c r="H1308" t="str">
        <f>HYPERLINK("https://baanknet.com/view-property/285668/72061EBF4E9BDA5332E61958F7B8EFC396970C189CE32205BDC2E1317EEA18C9", "https://baanknet.com/view-property/285668/72061EBF4E9BDA5332E61958F7B8EFC396970C189CE32205BDC2E1317EEA18C9")</f>
        <v>https://baanknet.com/view-property/285668/72061EBF4E9BDA5332E61958F7B8EFC396970C189CE32205BDC2E1317EEA18C9</v>
      </c>
      <c r="I1308" t="str">
        <f>HYPERLINK("https://baanknet.com/view-property/285668/72061EBF4E9BDA5332E61958F7B8EFC396970C189CE32205BDC2E1317EEA18C9", "Open")</f>
        <v>Open</v>
      </c>
      <c r="J1308" t="s">
        <v>3803</v>
      </c>
      <c r="L1308">
        <v>7500000</v>
      </c>
      <c r="M1308">
        <v>750000</v>
      </c>
    </row>
    <row r="1309" spans="1:13" x14ac:dyDescent="0.25">
      <c r="A1309" t="s">
        <v>4569</v>
      </c>
      <c r="B1309" t="s">
        <v>4570</v>
      </c>
      <c r="C1309" t="s">
        <v>332</v>
      </c>
      <c r="D1309" t="s">
        <v>4542</v>
      </c>
      <c r="E1309" t="s">
        <v>579</v>
      </c>
      <c r="F1309" t="s">
        <v>585</v>
      </c>
      <c r="G1309" t="s">
        <v>4571</v>
      </c>
      <c r="H1309" t="str">
        <f>HYPERLINK("https://baanknet.com/view-property/282661/E84C4485B96DE0CCDB09A88D89AA99A0E67A0499B5FBAD06CEDC76F82B377E1C", "https://baanknet.com/view-property/282661/E84C4485B96DE0CCDB09A88D89AA99A0E67A0499B5FBAD06CEDC76F82B377E1C")</f>
        <v>https://baanknet.com/view-property/282661/E84C4485B96DE0CCDB09A88D89AA99A0E67A0499B5FBAD06CEDC76F82B377E1C</v>
      </c>
      <c r="I1309" t="str">
        <f>HYPERLINK("https://baanknet.com/view-property/282661/E84C4485B96DE0CCDB09A88D89AA99A0E67A0499B5FBAD06CEDC76F82B377E1C", "Open")</f>
        <v>Open</v>
      </c>
      <c r="J1309" t="s">
        <v>3803</v>
      </c>
      <c r="L1309">
        <v>5076000</v>
      </c>
      <c r="M1309">
        <v>507600</v>
      </c>
    </row>
    <row r="1310" spans="1:13" x14ac:dyDescent="0.25">
      <c r="A1310" t="s">
        <v>4572</v>
      </c>
      <c r="B1310" t="s">
        <v>4573</v>
      </c>
      <c r="C1310" t="s">
        <v>332</v>
      </c>
      <c r="D1310" t="s">
        <v>4542</v>
      </c>
      <c r="E1310" t="s">
        <v>579</v>
      </c>
      <c r="F1310" t="s">
        <v>585</v>
      </c>
      <c r="G1310" t="s">
        <v>4574</v>
      </c>
      <c r="H1310" t="str">
        <f>HYPERLINK("https://baanknet.com/view-property/279015/4BB27638E40BC2D8835532EA6176705CFE18052F4D00D05E5977B2DD8A8A04FD", "https://baanknet.com/view-property/279015/4BB27638E40BC2D8835532EA6176705CFE18052F4D00D05E5977B2DD8A8A04FD")</f>
        <v>https://baanknet.com/view-property/279015/4BB27638E40BC2D8835532EA6176705CFE18052F4D00D05E5977B2DD8A8A04FD</v>
      </c>
      <c r="I1310" t="str">
        <f>HYPERLINK("https://baanknet.com/view-property/279015/4BB27638E40BC2D8835532EA6176705CFE18052F4D00D05E5977B2DD8A8A04FD", "Open")</f>
        <v>Open</v>
      </c>
      <c r="J1310" t="s">
        <v>3803</v>
      </c>
      <c r="L1310">
        <v>5730000</v>
      </c>
      <c r="M1310">
        <v>573000</v>
      </c>
    </row>
    <row r="1311" spans="1:13" x14ac:dyDescent="0.25">
      <c r="A1311" t="s">
        <v>4575</v>
      </c>
      <c r="B1311" t="s">
        <v>4576</v>
      </c>
      <c r="C1311" t="s">
        <v>332</v>
      </c>
      <c r="D1311" t="s">
        <v>4542</v>
      </c>
      <c r="E1311" t="s">
        <v>579</v>
      </c>
      <c r="F1311" t="s">
        <v>585</v>
      </c>
      <c r="G1311" t="s">
        <v>4577</v>
      </c>
      <c r="H1311" t="str">
        <f>HYPERLINK("https://baanknet.com/view-property/279025/B5E4DF5FB6DF03674D83E92A86D4AADABF5A9597B4358B2200B1F465AB939C9D", "https://baanknet.com/view-property/279025/B5E4DF5FB6DF03674D83E92A86D4AADABF5A9597B4358B2200B1F465AB939C9D")</f>
        <v>https://baanknet.com/view-property/279025/B5E4DF5FB6DF03674D83E92A86D4AADABF5A9597B4358B2200B1F465AB939C9D</v>
      </c>
      <c r="I1311" t="str">
        <f>HYPERLINK("https://baanknet.com/view-property/279025/B5E4DF5FB6DF03674D83E92A86D4AADABF5A9597B4358B2200B1F465AB939C9D", "Open")</f>
        <v>Open</v>
      </c>
      <c r="J1311" t="s">
        <v>3803</v>
      </c>
      <c r="L1311">
        <v>5272000</v>
      </c>
      <c r="M1311">
        <v>527200</v>
      </c>
    </row>
    <row r="1312" spans="1:13" x14ac:dyDescent="0.25">
      <c r="A1312" t="s">
        <v>4578</v>
      </c>
      <c r="B1312" t="s">
        <v>4579</v>
      </c>
      <c r="C1312" t="s">
        <v>332</v>
      </c>
      <c r="D1312" t="s">
        <v>4580</v>
      </c>
      <c r="E1312" t="s">
        <v>579</v>
      </c>
      <c r="F1312" t="s">
        <v>585</v>
      </c>
      <c r="G1312" t="s">
        <v>4581</v>
      </c>
      <c r="H1312" t="str">
        <f>HYPERLINK("https://baanknet.com/view-property/276747/0FDA3B9789EB9EEA186CEB98D52B159CD6E1CF0805FF504D22FA3CE4812935C9", "https://baanknet.com/view-property/276747/0FDA3B9789EB9EEA186CEB98D52B159CD6E1CF0805FF504D22FA3CE4812935C9")</f>
        <v>https://baanknet.com/view-property/276747/0FDA3B9789EB9EEA186CEB98D52B159CD6E1CF0805FF504D22FA3CE4812935C9</v>
      </c>
      <c r="I1312" t="str">
        <f>HYPERLINK("https://baanknet.com/view-property/276747/0FDA3B9789EB9EEA186CEB98D52B159CD6E1CF0805FF504D22FA3CE4812935C9", "Open")</f>
        <v>Open</v>
      </c>
      <c r="J1312" t="s">
        <v>3803</v>
      </c>
      <c r="L1312">
        <v>2960000</v>
      </c>
      <c r="M1312">
        <v>296000</v>
      </c>
    </row>
    <row r="1313" spans="1:13" x14ac:dyDescent="0.25">
      <c r="A1313" t="s">
        <v>4582</v>
      </c>
      <c r="B1313" t="s">
        <v>4583</v>
      </c>
      <c r="C1313" t="s">
        <v>332</v>
      </c>
      <c r="D1313" t="s">
        <v>4542</v>
      </c>
      <c r="E1313" t="s">
        <v>579</v>
      </c>
      <c r="F1313" t="s">
        <v>585</v>
      </c>
      <c r="G1313" t="s">
        <v>4584</v>
      </c>
      <c r="H1313" t="str">
        <f>HYPERLINK("https://baanknet.com/view-property/281331/119E4E8C149AE74EBA8703476B6B78C0715125D8C2384BB41449098AB1D40C6F", "https://baanknet.com/view-property/281331/119E4E8C149AE74EBA8703476B6B78C0715125D8C2384BB41449098AB1D40C6F")</f>
        <v>https://baanknet.com/view-property/281331/119E4E8C149AE74EBA8703476B6B78C0715125D8C2384BB41449098AB1D40C6F</v>
      </c>
      <c r="I1313" t="str">
        <f>HYPERLINK("https://baanknet.com/view-property/281331/119E4E8C149AE74EBA8703476B6B78C0715125D8C2384BB41449098AB1D40C6F", "Open")</f>
        <v>Open</v>
      </c>
      <c r="J1313" t="s">
        <v>3803</v>
      </c>
      <c r="L1313">
        <v>10500000</v>
      </c>
      <c r="M1313">
        <v>1050000</v>
      </c>
    </row>
    <row r="1314" spans="1:13" x14ac:dyDescent="0.25">
      <c r="A1314" t="s">
        <v>4585</v>
      </c>
      <c r="B1314" t="s">
        <v>4586</v>
      </c>
      <c r="C1314" t="s">
        <v>332</v>
      </c>
      <c r="D1314" t="s">
        <v>4587</v>
      </c>
      <c r="E1314" t="s">
        <v>579</v>
      </c>
      <c r="F1314" t="s">
        <v>585</v>
      </c>
      <c r="G1314" t="s">
        <v>4588</v>
      </c>
      <c r="H1314" t="str">
        <f>HYPERLINK("https://baanknet.com/view-property/218460/935D287F04FE955C8F926846C4A159DCF130E31C56413895604797F6D0B0DC3B", "https://baanknet.com/view-property/218460/935D287F04FE955C8F926846C4A159DCF130E31C56413895604797F6D0B0DC3B")</f>
        <v>https://baanknet.com/view-property/218460/935D287F04FE955C8F926846C4A159DCF130E31C56413895604797F6D0B0DC3B</v>
      </c>
      <c r="I1314" t="str">
        <f>HYPERLINK("https://baanknet.com/view-property/218460/935D287F04FE955C8F926846C4A159DCF130E31C56413895604797F6D0B0DC3B", "Open")</f>
        <v>Open</v>
      </c>
      <c r="J1314" t="s">
        <v>3803</v>
      </c>
      <c r="L1314">
        <v>19500000</v>
      </c>
      <c r="M1314">
        <v>1950000</v>
      </c>
    </row>
    <row r="1315" spans="1:13" x14ac:dyDescent="0.25">
      <c r="A1315" t="s">
        <v>4589</v>
      </c>
      <c r="B1315" t="s">
        <v>4590</v>
      </c>
      <c r="C1315" t="s">
        <v>144</v>
      </c>
      <c r="D1315" t="s">
        <v>526</v>
      </c>
      <c r="E1315" t="s">
        <v>579</v>
      </c>
      <c r="F1315" t="s">
        <v>585</v>
      </c>
      <c r="G1315" t="s">
        <v>4591</v>
      </c>
      <c r="H1315" t="str">
        <f>HYPERLINK("https://baanknet.com/view-property/284989/548CD6A2DD8B4EC08DEAD85F432523003EE99F1A1E52FF6C0DAD6F8BD1399460", "https://baanknet.com/view-property/284989/548CD6A2DD8B4EC08DEAD85F432523003EE99F1A1E52FF6C0DAD6F8BD1399460")</f>
        <v>https://baanknet.com/view-property/284989/548CD6A2DD8B4EC08DEAD85F432523003EE99F1A1E52FF6C0DAD6F8BD1399460</v>
      </c>
      <c r="I1315" t="str">
        <f>HYPERLINK("https://baanknet.com/view-property/284989/548CD6A2DD8B4EC08DEAD85F432523003EE99F1A1E52FF6C0DAD6F8BD1399460", "Open")</f>
        <v>Open</v>
      </c>
      <c r="J1315" t="s">
        <v>3803</v>
      </c>
      <c r="L1315">
        <v>6150000</v>
      </c>
      <c r="M1315">
        <v>615000</v>
      </c>
    </row>
    <row r="1316" spans="1:13" x14ac:dyDescent="0.25">
      <c r="A1316" t="s">
        <v>4592</v>
      </c>
      <c r="B1316" t="s">
        <v>4593</v>
      </c>
      <c r="C1316" t="s">
        <v>332</v>
      </c>
      <c r="D1316" t="s">
        <v>3225</v>
      </c>
      <c r="E1316" t="s">
        <v>579</v>
      </c>
      <c r="F1316" t="s">
        <v>585</v>
      </c>
      <c r="G1316" t="s">
        <v>4594</v>
      </c>
      <c r="H1316" t="str">
        <f>HYPERLINK("https://baanknet.com/view-property/89801/EACCA785B8E71F09BE790A6D7FB50F9A80F879CAFD4C1F78802E0DC7F6A5498E", "https://baanknet.com/view-property/89801/EACCA785B8E71F09BE790A6D7FB50F9A80F879CAFD4C1F78802E0DC7F6A5498E")</f>
        <v>https://baanknet.com/view-property/89801/EACCA785B8E71F09BE790A6D7FB50F9A80F879CAFD4C1F78802E0DC7F6A5498E</v>
      </c>
      <c r="I1316" t="str">
        <f>HYPERLINK("https://baanknet.com/view-property/89801/EACCA785B8E71F09BE790A6D7FB50F9A80F879CAFD4C1F78802E0DC7F6A5498E", "Open")</f>
        <v>Open</v>
      </c>
      <c r="J1316" t="s">
        <v>3803</v>
      </c>
      <c r="L1316">
        <v>10749000</v>
      </c>
      <c r="M1316">
        <v>1074900</v>
      </c>
    </row>
    <row r="1317" spans="1:13" x14ac:dyDescent="0.25">
      <c r="A1317" t="s">
        <v>4595</v>
      </c>
      <c r="B1317" t="s">
        <v>4596</v>
      </c>
      <c r="C1317" t="s">
        <v>571</v>
      </c>
      <c r="D1317" t="s">
        <v>1892</v>
      </c>
      <c r="E1317" t="s">
        <v>579</v>
      </c>
      <c r="F1317" t="s">
        <v>585</v>
      </c>
      <c r="G1317" t="s">
        <v>4597</v>
      </c>
      <c r="H1317" t="str">
        <f>HYPERLINK("https://baanknet.com/view-property/285979/48EF0938E84B54A0281EA76067057CD01057E0B19A7AAB9613DCC9D563A5E6CC", "https://baanknet.com/view-property/285979/48EF0938E84B54A0281EA76067057CD01057E0B19A7AAB9613DCC9D563A5E6CC")</f>
        <v>https://baanknet.com/view-property/285979/48EF0938E84B54A0281EA76067057CD01057E0B19A7AAB9613DCC9D563A5E6CC</v>
      </c>
      <c r="I1317" t="str">
        <f>HYPERLINK("https://baanknet.com/view-property/285979/48EF0938E84B54A0281EA76067057CD01057E0B19A7AAB9613DCC9D563A5E6CC", "Open")</f>
        <v>Open</v>
      </c>
      <c r="J1317" t="s">
        <v>3803</v>
      </c>
      <c r="L1317">
        <v>5000000</v>
      </c>
      <c r="M1317">
        <v>500000</v>
      </c>
    </row>
    <row r="1318" spans="1:13" x14ac:dyDescent="0.25">
      <c r="A1318" t="s">
        <v>4598</v>
      </c>
      <c r="B1318" t="s">
        <v>4599</v>
      </c>
      <c r="C1318" t="s">
        <v>571</v>
      </c>
      <c r="D1318" t="s">
        <v>1051</v>
      </c>
      <c r="E1318" t="s">
        <v>579</v>
      </c>
      <c r="F1318" t="s">
        <v>585</v>
      </c>
      <c r="G1318" t="s">
        <v>4600</v>
      </c>
      <c r="H1318" t="str">
        <f>HYPERLINK("https://baanknet.com/view-property/285962/5BCD22F69CEF8299C8E73DFC8C28B11A79E55E9187ECD6A8988CE1EA23CF0B25", "https://baanknet.com/view-property/285962/5BCD22F69CEF8299C8E73DFC8C28B11A79E55E9187ECD6A8988CE1EA23CF0B25")</f>
        <v>https://baanknet.com/view-property/285962/5BCD22F69CEF8299C8E73DFC8C28B11A79E55E9187ECD6A8988CE1EA23CF0B25</v>
      </c>
      <c r="I1318" t="str">
        <f>HYPERLINK("https://baanknet.com/view-property/285962/5BCD22F69CEF8299C8E73DFC8C28B11A79E55E9187ECD6A8988CE1EA23CF0B25", "Open")</f>
        <v>Open</v>
      </c>
      <c r="J1318" t="s">
        <v>3803</v>
      </c>
      <c r="L1318">
        <v>2716000</v>
      </c>
      <c r="M1318">
        <v>271600</v>
      </c>
    </row>
    <row r="1319" spans="1:13" x14ac:dyDescent="0.25">
      <c r="A1319" t="s">
        <v>4601</v>
      </c>
      <c r="B1319" t="s">
        <v>4602</v>
      </c>
      <c r="C1319" t="s">
        <v>332</v>
      </c>
      <c r="D1319" t="s">
        <v>3681</v>
      </c>
      <c r="E1319" t="s">
        <v>579</v>
      </c>
      <c r="F1319" t="s">
        <v>585</v>
      </c>
      <c r="G1319" t="s">
        <v>4603</v>
      </c>
      <c r="H1319" t="str">
        <f>HYPERLINK("https://baanknet.com/view-property/227528/25E0BE90BF5EA47E3082BBEEC9F77A19E9EAF3B20104EDBF73C1A0FCC260CCED", "https://baanknet.com/view-property/227528/25E0BE90BF5EA47E3082BBEEC9F77A19E9EAF3B20104EDBF73C1A0FCC260CCED")</f>
        <v>https://baanknet.com/view-property/227528/25E0BE90BF5EA47E3082BBEEC9F77A19E9EAF3B20104EDBF73C1A0FCC260CCED</v>
      </c>
      <c r="I1319" t="str">
        <f>HYPERLINK("https://baanknet.com/view-property/227528/25E0BE90BF5EA47E3082BBEEC9F77A19E9EAF3B20104EDBF73C1A0FCC260CCED", "Open")</f>
        <v>Open</v>
      </c>
      <c r="J1319" t="s">
        <v>3803</v>
      </c>
      <c r="L1319">
        <v>3970000</v>
      </c>
      <c r="M1319">
        <v>397000</v>
      </c>
    </row>
    <row r="1320" spans="1:13" x14ac:dyDescent="0.25">
      <c r="A1320" t="s">
        <v>4604</v>
      </c>
      <c r="B1320" t="s">
        <v>4605</v>
      </c>
      <c r="C1320" t="s">
        <v>332</v>
      </c>
      <c r="D1320" t="s">
        <v>3681</v>
      </c>
      <c r="E1320" t="s">
        <v>579</v>
      </c>
      <c r="F1320" t="s">
        <v>585</v>
      </c>
      <c r="G1320" t="s">
        <v>4606</v>
      </c>
      <c r="H1320" t="str">
        <f>HYPERLINK("https://baanknet.com/view-property/227530/2B69D2D23C5C24562B324C7ED055BB6625962321BD057A34979A0BABD404092A", "https://baanknet.com/view-property/227530/2B69D2D23C5C24562B324C7ED055BB6625962321BD057A34979A0BABD404092A")</f>
        <v>https://baanknet.com/view-property/227530/2B69D2D23C5C24562B324C7ED055BB6625962321BD057A34979A0BABD404092A</v>
      </c>
      <c r="I1320" t="str">
        <f>HYPERLINK("https://baanknet.com/view-property/227530/2B69D2D23C5C24562B324C7ED055BB6625962321BD057A34979A0BABD404092A", "Open")</f>
        <v>Open</v>
      </c>
      <c r="J1320" t="s">
        <v>3803</v>
      </c>
      <c r="L1320">
        <v>2702000</v>
      </c>
      <c r="M1320">
        <v>270200</v>
      </c>
    </row>
    <row r="1321" spans="1:13" x14ac:dyDescent="0.25">
      <c r="A1321" t="s">
        <v>4607</v>
      </c>
      <c r="B1321" t="s">
        <v>4608</v>
      </c>
      <c r="C1321" t="s">
        <v>332</v>
      </c>
      <c r="D1321" t="s">
        <v>4387</v>
      </c>
      <c r="E1321" t="s">
        <v>579</v>
      </c>
      <c r="F1321" t="s">
        <v>585</v>
      </c>
      <c r="G1321" t="s">
        <v>4609</v>
      </c>
      <c r="H1321" t="str">
        <f>HYPERLINK("https://baanknet.com/view-property/1496/5F565E374B244DA429E6DF06E2D824D8B27E339DD7EA2917B75DF60B12BD03A2", "https://baanknet.com/view-property/1496/5F565E374B244DA429E6DF06E2D824D8B27E339DD7EA2917B75DF60B12BD03A2")</f>
        <v>https://baanknet.com/view-property/1496/5F565E374B244DA429E6DF06E2D824D8B27E339DD7EA2917B75DF60B12BD03A2</v>
      </c>
      <c r="I1321" t="str">
        <f>HYPERLINK("https://baanknet.com/view-property/1496/5F565E374B244DA429E6DF06E2D824D8B27E339DD7EA2917B75DF60B12BD03A2", "Open")</f>
        <v>Open</v>
      </c>
      <c r="J1321" t="s">
        <v>3803</v>
      </c>
      <c r="L1321">
        <v>20000000</v>
      </c>
      <c r="M1321">
        <v>2000000</v>
      </c>
    </row>
    <row r="1322" spans="1:13" x14ac:dyDescent="0.25">
      <c r="A1322" t="s">
        <v>4610</v>
      </c>
      <c r="B1322" t="s">
        <v>4611</v>
      </c>
      <c r="C1322" t="s">
        <v>332</v>
      </c>
      <c r="D1322" t="s">
        <v>4387</v>
      </c>
      <c r="E1322" t="s">
        <v>579</v>
      </c>
      <c r="F1322" t="s">
        <v>585</v>
      </c>
      <c r="G1322" t="s">
        <v>4612</v>
      </c>
      <c r="H1322" t="str">
        <f>HYPERLINK("https://baanknet.com/view-property/1518/5ED0C53F88B4122FB5C6BF18AF83AD6528543A52873DF3C1B52B52C7ADF07D64", "https://baanknet.com/view-property/1518/5ED0C53F88B4122FB5C6BF18AF83AD6528543A52873DF3C1B52B52C7ADF07D64")</f>
        <v>https://baanknet.com/view-property/1518/5ED0C53F88B4122FB5C6BF18AF83AD6528543A52873DF3C1B52B52C7ADF07D64</v>
      </c>
      <c r="I1322" t="str">
        <f>HYPERLINK("https://baanknet.com/view-property/1518/5ED0C53F88B4122FB5C6BF18AF83AD6528543A52873DF3C1B52B52C7ADF07D64", "Open")</f>
        <v>Open</v>
      </c>
      <c r="J1322" t="s">
        <v>3803</v>
      </c>
      <c r="L1322">
        <v>8574000</v>
      </c>
      <c r="M1322">
        <v>857400</v>
      </c>
    </row>
    <row r="1323" spans="1:13" x14ac:dyDescent="0.25">
      <c r="A1323" t="s">
        <v>4613</v>
      </c>
      <c r="B1323" t="s">
        <v>4614</v>
      </c>
      <c r="C1323" t="s">
        <v>332</v>
      </c>
      <c r="D1323" t="s">
        <v>4615</v>
      </c>
      <c r="E1323" t="s">
        <v>579</v>
      </c>
      <c r="F1323" t="s">
        <v>585</v>
      </c>
      <c r="G1323" t="s">
        <v>4616</v>
      </c>
      <c r="H1323" t="str">
        <f>HYPERLINK("https://baanknet.com/view-property/285855/EEAA19FD2CDE53D7FFEB71CE7B6FBB1FE8DF6D2BAFF24E8DB711DD40F6C76B98", "https://baanknet.com/view-property/285855/EEAA19FD2CDE53D7FFEB71CE7B6FBB1FE8DF6D2BAFF24E8DB711DD40F6C76B98")</f>
        <v>https://baanknet.com/view-property/285855/EEAA19FD2CDE53D7FFEB71CE7B6FBB1FE8DF6D2BAFF24E8DB711DD40F6C76B98</v>
      </c>
      <c r="I1323" t="str">
        <f>HYPERLINK("https://baanknet.com/view-property/285855/EEAA19FD2CDE53D7FFEB71CE7B6FBB1FE8DF6D2BAFF24E8DB711DD40F6C76B98", "Open")</f>
        <v>Open</v>
      </c>
      <c r="J1323" t="s">
        <v>3803</v>
      </c>
      <c r="L1323">
        <v>18000000</v>
      </c>
      <c r="M1323">
        <v>1800000</v>
      </c>
    </row>
    <row r="1324" spans="1:13" x14ac:dyDescent="0.25">
      <c r="A1324" t="s">
        <v>4617</v>
      </c>
      <c r="B1324" t="s">
        <v>4618</v>
      </c>
      <c r="C1324" t="s">
        <v>332</v>
      </c>
      <c r="D1324" t="s">
        <v>3818</v>
      </c>
      <c r="E1324" t="s">
        <v>579</v>
      </c>
      <c r="F1324" t="s">
        <v>585</v>
      </c>
      <c r="G1324" t="s">
        <v>4619</v>
      </c>
      <c r="H1324" t="str">
        <f>HYPERLINK("https://baanknet.com/view-property/264364/7060544D6DADDEF5B6A25E93199A6442A67F6B0C08642D2FA3973EFCC5573ECB", "https://baanknet.com/view-property/264364/7060544D6DADDEF5B6A25E93199A6442A67F6B0C08642D2FA3973EFCC5573ECB")</f>
        <v>https://baanknet.com/view-property/264364/7060544D6DADDEF5B6A25E93199A6442A67F6B0C08642D2FA3973EFCC5573ECB</v>
      </c>
      <c r="I1324" t="str">
        <f>HYPERLINK("https://baanknet.com/view-property/264364/7060544D6DADDEF5B6A25E93199A6442A67F6B0C08642D2FA3973EFCC5573ECB", "Open")</f>
        <v>Open</v>
      </c>
      <c r="J1324" t="s">
        <v>3803</v>
      </c>
      <c r="L1324">
        <v>4200000</v>
      </c>
      <c r="M1324">
        <v>420000</v>
      </c>
    </row>
    <row r="1325" spans="1:13" x14ac:dyDescent="0.25">
      <c r="A1325" t="s">
        <v>4620</v>
      </c>
      <c r="B1325" t="s">
        <v>4621</v>
      </c>
      <c r="C1325" t="s">
        <v>15</v>
      </c>
      <c r="D1325" t="s">
        <v>4622</v>
      </c>
      <c r="E1325" t="s">
        <v>579</v>
      </c>
      <c r="F1325" t="s">
        <v>585</v>
      </c>
      <c r="G1325" t="s">
        <v>4623</v>
      </c>
      <c r="H1325" t="str">
        <f>HYPERLINK("https://baanknet.com/view-property/187251/F2325C484E1DE1D288DA9586BFFDF631D673BE34BE907BF28ADE47E50E5F7C87", "https://baanknet.com/view-property/187251/F2325C484E1DE1D288DA9586BFFDF631D673BE34BE907BF28ADE47E50E5F7C87")</f>
        <v>https://baanknet.com/view-property/187251/F2325C484E1DE1D288DA9586BFFDF631D673BE34BE907BF28ADE47E50E5F7C87</v>
      </c>
      <c r="I1325" t="str">
        <f>HYPERLINK("https://baanknet.com/view-property/187251/F2325C484E1DE1D288DA9586BFFDF631D673BE34BE907BF28ADE47E50E5F7C87", "Open")</f>
        <v>Open</v>
      </c>
      <c r="J1325" t="s">
        <v>3803</v>
      </c>
      <c r="L1325">
        <v>4115000</v>
      </c>
      <c r="M1325">
        <v>411500</v>
      </c>
    </row>
    <row r="1326" spans="1:13" x14ac:dyDescent="0.25">
      <c r="A1326" t="s">
        <v>4624</v>
      </c>
      <c r="B1326" t="s">
        <v>4625</v>
      </c>
      <c r="C1326" t="s">
        <v>15</v>
      </c>
      <c r="D1326" t="s">
        <v>4626</v>
      </c>
      <c r="E1326" t="s">
        <v>579</v>
      </c>
      <c r="F1326" t="s">
        <v>585</v>
      </c>
      <c r="G1326" t="s">
        <v>4627</v>
      </c>
      <c r="H1326" t="str">
        <f>HYPERLINK("https://baanknet.com/view-property/171242/B9B1B6F7B114B47EB123D06D3B67F9C371BE22C04EDFF1FB2AF2BFE2886EFF5C", "https://baanknet.com/view-property/171242/B9B1B6F7B114B47EB123D06D3B67F9C371BE22C04EDFF1FB2AF2BFE2886EFF5C")</f>
        <v>https://baanknet.com/view-property/171242/B9B1B6F7B114B47EB123D06D3B67F9C371BE22C04EDFF1FB2AF2BFE2886EFF5C</v>
      </c>
      <c r="I1326" t="str">
        <f>HYPERLINK("https://baanknet.com/view-property/171242/B9B1B6F7B114B47EB123D06D3B67F9C371BE22C04EDFF1FB2AF2BFE2886EFF5C", "Open")</f>
        <v>Open</v>
      </c>
      <c r="J1326" t="s">
        <v>3803</v>
      </c>
      <c r="L1326">
        <v>3704000</v>
      </c>
      <c r="M1326">
        <v>370400</v>
      </c>
    </row>
    <row r="1327" spans="1:13" x14ac:dyDescent="0.25">
      <c r="A1327" t="s">
        <v>4628</v>
      </c>
      <c r="B1327" t="s">
        <v>4629</v>
      </c>
      <c r="C1327" t="s">
        <v>332</v>
      </c>
      <c r="D1327" t="s">
        <v>32</v>
      </c>
      <c r="E1327" t="s">
        <v>579</v>
      </c>
      <c r="F1327" t="s">
        <v>585</v>
      </c>
      <c r="G1327" t="s">
        <v>4630</v>
      </c>
      <c r="H1327" t="str">
        <f>HYPERLINK("https://baanknet.com/view-property/237699/2EDE9190050D9C425442136D6E8AE7FA37C82E239EB189EF0F3F13A558059D6E", "https://baanknet.com/view-property/237699/2EDE9190050D9C425442136D6E8AE7FA37C82E239EB189EF0F3F13A558059D6E")</f>
        <v>https://baanknet.com/view-property/237699/2EDE9190050D9C425442136D6E8AE7FA37C82E239EB189EF0F3F13A558059D6E</v>
      </c>
      <c r="I1327" t="str">
        <f>HYPERLINK("https://baanknet.com/view-property/237699/2EDE9190050D9C425442136D6E8AE7FA37C82E239EB189EF0F3F13A558059D6E", "Open")</f>
        <v>Open</v>
      </c>
      <c r="J1327" t="s">
        <v>3803</v>
      </c>
      <c r="L1327">
        <v>8500000</v>
      </c>
      <c r="M1327">
        <v>850000</v>
      </c>
    </row>
    <row r="1328" spans="1:13" x14ac:dyDescent="0.25">
      <c r="A1328" t="s">
        <v>4631</v>
      </c>
      <c r="B1328" t="s">
        <v>4632</v>
      </c>
      <c r="C1328" t="s">
        <v>332</v>
      </c>
      <c r="D1328" t="s">
        <v>32</v>
      </c>
      <c r="E1328" t="s">
        <v>579</v>
      </c>
      <c r="F1328" t="s">
        <v>585</v>
      </c>
      <c r="G1328" t="s">
        <v>4633</v>
      </c>
      <c r="H1328" t="str">
        <f>HYPERLINK("https://baanknet.com/view-property/237881/9AD44795EFB16AB8B01BB9207F40FC038C1241A0F4EB10EB915F17A7BCD270D1", "https://baanknet.com/view-property/237881/9AD44795EFB16AB8B01BB9207F40FC038C1241A0F4EB10EB915F17A7BCD270D1")</f>
        <v>https://baanknet.com/view-property/237881/9AD44795EFB16AB8B01BB9207F40FC038C1241A0F4EB10EB915F17A7BCD270D1</v>
      </c>
      <c r="I1328" t="str">
        <f>HYPERLINK("https://baanknet.com/view-property/237881/9AD44795EFB16AB8B01BB9207F40FC038C1241A0F4EB10EB915F17A7BCD270D1", "Open")</f>
        <v>Open</v>
      </c>
      <c r="J1328" t="s">
        <v>3803</v>
      </c>
      <c r="L1328">
        <v>3700000</v>
      </c>
      <c r="M1328">
        <v>370000</v>
      </c>
    </row>
    <row r="1329" spans="1:13" x14ac:dyDescent="0.25">
      <c r="A1329" t="s">
        <v>4634</v>
      </c>
      <c r="B1329" t="s">
        <v>4635</v>
      </c>
      <c r="C1329" t="s">
        <v>332</v>
      </c>
      <c r="D1329" t="s">
        <v>4636</v>
      </c>
      <c r="E1329" t="s">
        <v>579</v>
      </c>
      <c r="F1329" t="s">
        <v>585</v>
      </c>
      <c r="G1329" t="s">
        <v>4637</v>
      </c>
      <c r="H1329" t="str">
        <f>HYPERLINK("https://baanknet.com/view-property/239020/B8BA995F4187FB704F6135FDF64950C4FF2E07B80CF84E3BD9D608CF479A5708", "https://baanknet.com/view-property/239020/B8BA995F4187FB704F6135FDF64950C4FF2E07B80CF84E3BD9D608CF479A5708")</f>
        <v>https://baanknet.com/view-property/239020/B8BA995F4187FB704F6135FDF64950C4FF2E07B80CF84E3BD9D608CF479A5708</v>
      </c>
      <c r="I1329" t="str">
        <f>HYPERLINK("https://baanknet.com/view-property/239020/B8BA995F4187FB704F6135FDF64950C4FF2E07B80CF84E3BD9D608CF479A5708", "Open")</f>
        <v>Open</v>
      </c>
      <c r="J1329" t="s">
        <v>3803</v>
      </c>
      <c r="L1329">
        <v>2500000</v>
      </c>
      <c r="M1329">
        <v>250000</v>
      </c>
    </row>
    <row r="1330" spans="1:13" x14ac:dyDescent="0.25">
      <c r="A1330" t="s">
        <v>4638</v>
      </c>
      <c r="B1330" t="s">
        <v>4639</v>
      </c>
      <c r="C1330" t="s">
        <v>332</v>
      </c>
      <c r="D1330" t="s">
        <v>3213</v>
      </c>
      <c r="E1330" t="s">
        <v>579</v>
      </c>
      <c r="F1330" t="s">
        <v>585</v>
      </c>
      <c r="G1330" t="s">
        <v>4640</v>
      </c>
      <c r="H1330" t="str">
        <f>HYPERLINK("https://baanknet.com/view-property/130323/B0574276E2D6F4B50F39C71858C6BFD875DDF2C3A52C8139246A0534F544B1C0", "https://baanknet.com/view-property/130323/B0574276E2D6F4B50F39C71858C6BFD875DDF2C3A52C8139246A0534F544B1C0")</f>
        <v>https://baanknet.com/view-property/130323/B0574276E2D6F4B50F39C71858C6BFD875DDF2C3A52C8139246A0534F544B1C0</v>
      </c>
      <c r="I1330" t="str">
        <f>HYPERLINK("https://baanknet.com/view-property/130323/B0574276E2D6F4B50F39C71858C6BFD875DDF2C3A52C8139246A0534F544B1C0", "Open")</f>
        <v>Open</v>
      </c>
      <c r="J1330" t="s">
        <v>3803</v>
      </c>
      <c r="L1330">
        <v>2741000</v>
      </c>
      <c r="M1330">
        <v>274100</v>
      </c>
    </row>
    <row r="1331" spans="1:13" x14ac:dyDescent="0.25">
      <c r="A1331" t="s">
        <v>4641</v>
      </c>
      <c r="B1331" t="s">
        <v>4642</v>
      </c>
      <c r="C1331" t="s">
        <v>332</v>
      </c>
      <c r="D1331" t="s">
        <v>102</v>
      </c>
      <c r="E1331" t="s">
        <v>579</v>
      </c>
      <c r="F1331" t="s">
        <v>585</v>
      </c>
      <c r="G1331" t="s">
        <v>4643</v>
      </c>
      <c r="H1331" t="str">
        <f>HYPERLINK("https://baanknet.com/view-property/223036/F348534A6237BEE7FFD963EB80F21E202BEA934B45A927D611F8F2106E992779", "https://baanknet.com/view-property/223036/F348534A6237BEE7FFD963EB80F21E202BEA934B45A927D611F8F2106E992779")</f>
        <v>https://baanknet.com/view-property/223036/F348534A6237BEE7FFD963EB80F21E202BEA934B45A927D611F8F2106E992779</v>
      </c>
      <c r="I1331" t="str">
        <f>HYPERLINK("https://baanknet.com/view-property/223036/F348534A6237BEE7FFD963EB80F21E202BEA934B45A927D611F8F2106E992779", "Open")</f>
        <v>Open</v>
      </c>
      <c r="J1331" t="s">
        <v>3803</v>
      </c>
      <c r="L1331">
        <v>2303000</v>
      </c>
      <c r="M1331">
        <v>230300</v>
      </c>
    </row>
    <row r="1332" spans="1:13" x14ac:dyDescent="0.25">
      <c r="A1332" t="s">
        <v>4644</v>
      </c>
      <c r="B1332" t="s">
        <v>4645</v>
      </c>
      <c r="C1332" t="s">
        <v>571</v>
      </c>
      <c r="D1332" t="s">
        <v>4546</v>
      </c>
      <c r="E1332" t="s">
        <v>579</v>
      </c>
      <c r="F1332" t="s">
        <v>585</v>
      </c>
      <c r="G1332" t="s">
        <v>4646</v>
      </c>
      <c r="H1332" t="str">
        <f>HYPERLINK("https://baanknet.com/view-property/38792/49307F61829DABF227B43C6D2BBCBEFFB1FEC13BF73A53710C9B4113178EABDD", "https://baanknet.com/view-property/38792/49307F61829DABF227B43C6D2BBCBEFFB1FEC13BF73A53710C9B4113178EABDD")</f>
        <v>https://baanknet.com/view-property/38792/49307F61829DABF227B43C6D2BBCBEFFB1FEC13BF73A53710C9B4113178EABDD</v>
      </c>
      <c r="I1332" t="str">
        <f>HYPERLINK("https://baanknet.com/view-property/38792/49307F61829DABF227B43C6D2BBCBEFFB1FEC13BF73A53710C9B4113178EABDD", "Open")</f>
        <v>Open</v>
      </c>
      <c r="J1332" t="s">
        <v>3803</v>
      </c>
    </row>
    <row r="1333" spans="1:13" x14ac:dyDescent="0.25">
      <c r="A1333" t="s">
        <v>4647</v>
      </c>
      <c r="B1333" t="s">
        <v>4648</v>
      </c>
      <c r="C1333" t="s">
        <v>571</v>
      </c>
      <c r="D1333" t="s">
        <v>4649</v>
      </c>
      <c r="E1333" t="s">
        <v>579</v>
      </c>
      <c r="F1333" t="s">
        <v>585</v>
      </c>
      <c r="G1333" t="s">
        <v>4650</v>
      </c>
      <c r="H1333" t="str">
        <f>HYPERLINK("https://baanknet.com/view-property/182050/B3BC61EC438B160D4E658147A6E5D0A9FBBC9C3BD2C210E504F2DD294495A0BA", "https://baanknet.com/view-property/182050/B3BC61EC438B160D4E658147A6E5D0A9FBBC9C3BD2C210E504F2DD294495A0BA")</f>
        <v>https://baanknet.com/view-property/182050/B3BC61EC438B160D4E658147A6E5D0A9FBBC9C3BD2C210E504F2DD294495A0BA</v>
      </c>
      <c r="I1333" t="str">
        <f>HYPERLINK("https://baanknet.com/view-property/182050/B3BC61EC438B160D4E658147A6E5D0A9FBBC9C3BD2C210E504F2DD294495A0BA", "Open")</f>
        <v>Open</v>
      </c>
      <c r="J1333" t="s">
        <v>3803</v>
      </c>
      <c r="L1333">
        <v>7000000</v>
      </c>
      <c r="M1333">
        <v>700000</v>
      </c>
    </row>
    <row r="1334" spans="1:13" x14ac:dyDescent="0.25">
      <c r="A1334" t="s">
        <v>4651</v>
      </c>
      <c r="B1334" t="s">
        <v>4652</v>
      </c>
      <c r="C1334" t="s">
        <v>332</v>
      </c>
      <c r="D1334" t="s">
        <v>4653</v>
      </c>
      <c r="E1334" t="s">
        <v>579</v>
      </c>
      <c r="F1334" t="s">
        <v>585</v>
      </c>
      <c r="G1334" t="s">
        <v>4654</v>
      </c>
      <c r="H1334" t="str">
        <f>HYPERLINK("https://baanknet.com/view-property/250131/8C9D2FD9D89F72CC07EF43FA4AC871E82BD05056CC47235F0B1778F52839E797", "https://baanknet.com/view-property/250131/8C9D2FD9D89F72CC07EF43FA4AC871E82BD05056CC47235F0B1778F52839E797")</f>
        <v>https://baanknet.com/view-property/250131/8C9D2FD9D89F72CC07EF43FA4AC871E82BD05056CC47235F0B1778F52839E797</v>
      </c>
      <c r="I1334" t="str">
        <f>HYPERLINK("https://baanknet.com/view-property/250131/8C9D2FD9D89F72CC07EF43FA4AC871E82BD05056CC47235F0B1778F52839E797", "Open")</f>
        <v>Open</v>
      </c>
      <c r="J1334" t="s">
        <v>3803</v>
      </c>
      <c r="L1334">
        <v>3774000</v>
      </c>
      <c r="M1334">
        <v>377400</v>
      </c>
    </row>
    <row r="1335" spans="1:13" x14ac:dyDescent="0.25">
      <c r="A1335" t="s">
        <v>4655</v>
      </c>
      <c r="B1335" t="s">
        <v>4656</v>
      </c>
      <c r="C1335" t="s">
        <v>571</v>
      </c>
      <c r="D1335" t="s">
        <v>4657</v>
      </c>
      <c r="E1335" t="s">
        <v>579</v>
      </c>
      <c r="F1335" t="s">
        <v>585</v>
      </c>
      <c r="G1335" t="s">
        <v>4658</v>
      </c>
      <c r="H1335" t="str">
        <f>HYPERLINK("https://baanknet.com/view-property/212765/E334D04EC51A96C3A2ED23FFBE11791B41EC97717F4409197C40AE90F56EAD6F", "https://baanknet.com/view-property/212765/E334D04EC51A96C3A2ED23FFBE11791B41EC97717F4409197C40AE90F56EAD6F")</f>
        <v>https://baanknet.com/view-property/212765/E334D04EC51A96C3A2ED23FFBE11791B41EC97717F4409197C40AE90F56EAD6F</v>
      </c>
      <c r="I1335" t="str">
        <f>HYPERLINK("https://baanknet.com/view-property/212765/E334D04EC51A96C3A2ED23FFBE11791B41EC97717F4409197C40AE90F56EAD6F", "Open")</f>
        <v>Open</v>
      </c>
      <c r="J1335" t="s">
        <v>3803</v>
      </c>
      <c r="L1335">
        <v>1900000</v>
      </c>
      <c r="M1335">
        <v>190000</v>
      </c>
    </row>
    <row r="1336" spans="1:13" x14ac:dyDescent="0.25">
      <c r="A1336" t="s">
        <v>4659</v>
      </c>
      <c r="B1336" t="s">
        <v>4660</v>
      </c>
      <c r="C1336" t="s">
        <v>571</v>
      </c>
      <c r="D1336" t="s">
        <v>4661</v>
      </c>
      <c r="E1336" t="s">
        <v>579</v>
      </c>
      <c r="F1336" t="s">
        <v>585</v>
      </c>
      <c r="G1336" t="s">
        <v>4662</v>
      </c>
      <c r="H1336" t="str">
        <f>HYPERLINK("https://baanknet.com/view-property/279547/1C6D89A83157C6FFE5D1E21238A38C4E39850C316C02172ED68F95A2D44715C5", "https://baanknet.com/view-property/279547/1C6D89A83157C6FFE5D1E21238A38C4E39850C316C02172ED68F95A2D44715C5")</f>
        <v>https://baanknet.com/view-property/279547/1C6D89A83157C6FFE5D1E21238A38C4E39850C316C02172ED68F95A2D44715C5</v>
      </c>
      <c r="I1336" t="str">
        <f>HYPERLINK("https://baanknet.com/view-property/279547/1C6D89A83157C6FFE5D1E21238A38C4E39850C316C02172ED68F95A2D44715C5", "Open")</f>
        <v>Open</v>
      </c>
      <c r="J1336" t="s">
        <v>3803</v>
      </c>
      <c r="L1336">
        <v>18000000</v>
      </c>
      <c r="M1336">
        <v>1800000</v>
      </c>
    </row>
    <row r="1337" spans="1:13" x14ac:dyDescent="0.25">
      <c r="A1337" t="s">
        <v>4663</v>
      </c>
      <c r="B1337" t="s">
        <v>4664</v>
      </c>
      <c r="C1337" t="s">
        <v>571</v>
      </c>
      <c r="D1337" t="s">
        <v>4665</v>
      </c>
      <c r="E1337" t="s">
        <v>579</v>
      </c>
      <c r="F1337" t="s">
        <v>585</v>
      </c>
      <c r="G1337" t="s">
        <v>4666</v>
      </c>
      <c r="H1337" t="str">
        <f>HYPERLINK("https://baanknet.com/view-property/212755/BBAE68ED9CEA501F0FC868EFC4B9AA9FEDB878EE93C8830C38FF68CB907FCB46", "https://baanknet.com/view-property/212755/BBAE68ED9CEA501F0FC868EFC4B9AA9FEDB878EE93C8830C38FF68CB907FCB46")</f>
        <v>https://baanknet.com/view-property/212755/BBAE68ED9CEA501F0FC868EFC4B9AA9FEDB878EE93C8830C38FF68CB907FCB46</v>
      </c>
      <c r="I1337" t="str">
        <f>HYPERLINK("https://baanknet.com/view-property/212755/BBAE68ED9CEA501F0FC868EFC4B9AA9FEDB878EE93C8830C38FF68CB907FCB46", "Open")</f>
        <v>Open</v>
      </c>
      <c r="J1337" t="s">
        <v>3803</v>
      </c>
      <c r="L1337">
        <v>2102000</v>
      </c>
      <c r="M1337">
        <v>210200</v>
      </c>
    </row>
    <row r="1338" spans="1:13" x14ac:dyDescent="0.25">
      <c r="A1338" t="s">
        <v>4667</v>
      </c>
      <c r="B1338" t="s">
        <v>4668</v>
      </c>
      <c r="C1338" t="s">
        <v>332</v>
      </c>
      <c r="D1338" t="s">
        <v>4669</v>
      </c>
      <c r="E1338" t="s">
        <v>579</v>
      </c>
      <c r="F1338" t="s">
        <v>585</v>
      </c>
      <c r="G1338" t="s">
        <v>4670</v>
      </c>
      <c r="H1338" t="str">
        <f>HYPERLINK("https://baanknet.com/view-property/252269/8410FC8182AF2A0DECDA1BE15D98BA527F8F226604276F481206166542A33BF3", "https://baanknet.com/view-property/252269/8410FC8182AF2A0DECDA1BE15D98BA527F8F226604276F481206166542A33BF3")</f>
        <v>https://baanknet.com/view-property/252269/8410FC8182AF2A0DECDA1BE15D98BA527F8F226604276F481206166542A33BF3</v>
      </c>
      <c r="I1338" t="str">
        <f>HYPERLINK("https://baanknet.com/view-property/252269/8410FC8182AF2A0DECDA1BE15D98BA527F8F226604276F481206166542A33BF3", "Open")</f>
        <v>Open</v>
      </c>
      <c r="J1338" t="s">
        <v>3803</v>
      </c>
      <c r="L1338">
        <v>4800000</v>
      </c>
      <c r="M1338">
        <v>480000</v>
      </c>
    </row>
    <row r="1339" spans="1:13" x14ac:dyDescent="0.25">
      <c r="A1339" t="s">
        <v>4671</v>
      </c>
      <c r="B1339" t="s">
        <v>4672</v>
      </c>
      <c r="C1339" t="s">
        <v>571</v>
      </c>
      <c r="D1339" t="s">
        <v>845</v>
      </c>
      <c r="E1339" t="s">
        <v>579</v>
      </c>
      <c r="F1339" t="s">
        <v>585</v>
      </c>
      <c r="G1339" t="s">
        <v>4673</v>
      </c>
      <c r="H1339" t="str">
        <f>HYPERLINK("https://baanknet.com/view-property/215730/55CEECB6F8BD67AB75A84E5CEC9597631AE5C230A0D19CCF1F6B66A5B2496A11", "https://baanknet.com/view-property/215730/55CEECB6F8BD67AB75A84E5CEC9597631AE5C230A0D19CCF1F6B66A5B2496A11")</f>
        <v>https://baanknet.com/view-property/215730/55CEECB6F8BD67AB75A84E5CEC9597631AE5C230A0D19CCF1F6B66A5B2496A11</v>
      </c>
      <c r="I1339" t="str">
        <f>HYPERLINK("https://baanknet.com/view-property/215730/55CEECB6F8BD67AB75A84E5CEC9597631AE5C230A0D19CCF1F6B66A5B2496A11", "Open")</f>
        <v>Open</v>
      </c>
      <c r="J1339" t="s">
        <v>3803</v>
      </c>
      <c r="L1339">
        <v>2250000</v>
      </c>
      <c r="M1339">
        <v>225000</v>
      </c>
    </row>
    <row r="1340" spans="1:13" x14ac:dyDescent="0.25">
      <c r="A1340" t="s">
        <v>4674</v>
      </c>
      <c r="B1340" t="s">
        <v>4675</v>
      </c>
      <c r="C1340" t="s">
        <v>332</v>
      </c>
      <c r="D1340" t="s">
        <v>3243</v>
      </c>
      <c r="E1340" t="s">
        <v>579</v>
      </c>
      <c r="F1340" t="s">
        <v>585</v>
      </c>
      <c r="G1340" t="s">
        <v>4676</v>
      </c>
      <c r="H1340" t="str">
        <f>HYPERLINK("https://baanknet.com/view-property/259174/B424DBC290B7D85FEA949379B34DF945CAC4E7CB129A5C4F78C895ADA86114D8", "https://baanknet.com/view-property/259174/B424DBC290B7D85FEA949379B34DF945CAC4E7CB129A5C4F78C895ADA86114D8")</f>
        <v>https://baanknet.com/view-property/259174/B424DBC290B7D85FEA949379B34DF945CAC4E7CB129A5C4F78C895ADA86114D8</v>
      </c>
      <c r="I1340" t="str">
        <f>HYPERLINK("https://baanknet.com/view-property/259174/B424DBC290B7D85FEA949379B34DF945CAC4E7CB129A5C4F78C895ADA86114D8", "Open")</f>
        <v>Open</v>
      </c>
      <c r="J1340" t="s">
        <v>3803</v>
      </c>
      <c r="L1340">
        <v>7900000</v>
      </c>
      <c r="M1340">
        <v>790000</v>
      </c>
    </row>
    <row r="1341" spans="1:13" x14ac:dyDescent="0.25">
      <c r="A1341" t="s">
        <v>4677</v>
      </c>
      <c r="B1341" t="s">
        <v>4678</v>
      </c>
      <c r="C1341" t="s">
        <v>332</v>
      </c>
      <c r="D1341" t="s">
        <v>4679</v>
      </c>
      <c r="E1341" t="s">
        <v>579</v>
      </c>
      <c r="F1341" t="s">
        <v>585</v>
      </c>
      <c r="G1341" t="s">
        <v>4680</v>
      </c>
      <c r="H1341" t="str">
        <f>HYPERLINK("https://baanknet.com/view-property/285616/FAB8A3737B6B38ED56BFF452D5CFE3B855EA76114AC03AF10A3D8ED5F7E9FE01", "https://baanknet.com/view-property/285616/FAB8A3737B6B38ED56BFF452D5CFE3B855EA76114AC03AF10A3D8ED5F7E9FE01")</f>
        <v>https://baanknet.com/view-property/285616/FAB8A3737B6B38ED56BFF452D5CFE3B855EA76114AC03AF10A3D8ED5F7E9FE01</v>
      </c>
      <c r="I1341" t="str">
        <f>HYPERLINK("https://baanknet.com/view-property/285616/FAB8A3737B6B38ED56BFF452D5CFE3B855EA76114AC03AF10A3D8ED5F7E9FE01", "Open")</f>
        <v>Open</v>
      </c>
      <c r="J1341" t="s">
        <v>3803</v>
      </c>
      <c r="L1341">
        <v>1927000</v>
      </c>
      <c r="M1341">
        <v>192700</v>
      </c>
    </row>
    <row r="1342" spans="1:13" x14ac:dyDescent="0.25">
      <c r="A1342" t="s">
        <v>4681</v>
      </c>
      <c r="B1342" t="s">
        <v>4682</v>
      </c>
      <c r="C1342" t="s">
        <v>332</v>
      </c>
      <c r="D1342" t="s">
        <v>4683</v>
      </c>
      <c r="E1342" t="s">
        <v>579</v>
      </c>
      <c r="F1342" t="s">
        <v>585</v>
      </c>
      <c r="G1342" t="s">
        <v>4684</v>
      </c>
      <c r="H1342" t="str">
        <f>HYPERLINK("https://baanknet.com/view-property/285609/6518C71B9E459B9A707192FA2EDB412C58DC110E755E7F160FE35917A5290359", "https://baanknet.com/view-property/285609/6518C71B9E459B9A707192FA2EDB412C58DC110E755E7F160FE35917A5290359")</f>
        <v>https://baanknet.com/view-property/285609/6518C71B9E459B9A707192FA2EDB412C58DC110E755E7F160FE35917A5290359</v>
      </c>
      <c r="I1342" t="str">
        <f>HYPERLINK("https://baanknet.com/view-property/285609/6518C71B9E459B9A707192FA2EDB412C58DC110E755E7F160FE35917A5290359", "Open")</f>
        <v>Open</v>
      </c>
      <c r="J1342" t="s">
        <v>3803</v>
      </c>
      <c r="L1342">
        <v>1845000</v>
      </c>
      <c r="M1342">
        <v>184500</v>
      </c>
    </row>
    <row r="1343" spans="1:13" x14ac:dyDescent="0.25">
      <c r="A1343" t="s">
        <v>4685</v>
      </c>
      <c r="B1343" t="s">
        <v>4686</v>
      </c>
      <c r="C1343" t="s">
        <v>571</v>
      </c>
      <c r="D1343" t="s">
        <v>1300</v>
      </c>
      <c r="E1343" t="s">
        <v>579</v>
      </c>
      <c r="F1343" t="s">
        <v>585</v>
      </c>
      <c r="G1343" t="s">
        <v>4687</v>
      </c>
      <c r="H1343" t="str">
        <f>HYPERLINK("https://baanknet.com/view-property/273317/1792AEAAA91BF952C7C64EAAAB3AB3C33D2F7CB9EA54FB546FE761AF1E9E0000", "https://baanknet.com/view-property/273317/1792AEAAA91BF952C7C64EAAAB3AB3C33D2F7CB9EA54FB546FE761AF1E9E0000")</f>
        <v>https://baanknet.com/view-property/273317/1792AEAAA91BF952C7C64EAAAB3AB3C33D2F7CB9EA54FB546FE761AF1E9E0000</v>
      </c>
      <c r="I1343" t="str">
        <f>HYPERLINK("https://baanknet.com/view-property/273317/1792AEAAA91BF952C7C64EAAAB3AB3C33D2F7CB9EA54FB546FE761AF1E9E0000", "Open")</f>
        <v>Open</v>
      </c>
      <c r="J1343" t="s">
        <v>3803</v>
      </c>
      <c r="L1343">
        <v>4891000</v>
      </c>
      <c r="M1343">
        <v>489100</v>
      </c>
    </row>
    <row r="1344" spans="1:13" x14ac:dyDescent="0.25">
      <c r="A1344" t="s">
        <v>4688</v>
      </c>
      <c r="B1344" t="s">
        <v>4689</v>
      </c>
      <c r="C1344" t="s">
        <v>571</v>
      </c>
      <c r="D1344" t="s">
        <v>845</v>
      </c>
      <c r="E1344" t="s">
        <v>579</v>
      </c>
      <c r="F1344" t="s">
        <v>585</v>
      </c>
      <c r="G1344" t="s">
        <v>4690</v>
      </c>
      <c r="H1344" t="str">
        <f>HYPERLINK("https://baanknet.com/view-property/278151/A803C6871C9596B8B4E151B29323F4D064C494B788156C91C994DA3CB9CC3D21", "https://baanknet.com/view-property/278151/A803C6871C9596B8B4E151B29323F4D064C494B788156C91C994DA3CB9CC3D21")</f>
        <v>https://baanknet.com/view-property/278151/A803C6871C9596B8B4E151B29323F4D064C494B788156C91C994DA3CB9CC3D21</v>
      </c>
      <c r="I1344" t="str">
        <f>HYPERLINK("https://baanknet.com/view-property/278151/A803C6871C9596B8B4E151B29323F4D064C494B788156C91C994DA3CB9CC3D21", "Open")</f>
        <v>Open</v>
      </c>
      <c r="J1344" t="s">
        <v>3803</v>
      </c>
      <c r="L1344">
        <v>2252000</v>
      </c>
      <c r="M1344">
        <v>225200</v>
      </c>
    </row>
    <row r="1345" spans="1:13" x14ac:dyDescent="0.25">
      <c r="A1345" t="s">
        <v>4691</v>
      </c>
      <c r="B1345" t="s">
        <v>4692</v>
      </c>
      <c r="C1345" t="s">
        <v>571</v>
      </c>
      <c r="D1345" t="s">
        <v>1300</v>
      </c>
      <c r="E1345" t="s">
        <v>579</v>
      </c>
      <c r="F1345" t="s">
        <v>585</v>
      </c>
      <c r="G1345" t="s">
        <v>4693</v>
      </c>
      <c r="H1345" t="str">
        <f>HYPERLINK("https://baanknet.com/view-property/269374/E653F53F1416B06AB107F4BF7BB51291A34A28592621FF7FA41D0C602EDE829B", "https://baanknet.com/view-property/269374/E653F53F1416B06AB107F4BF7BB51291A34A28592621FF7FA41D0C602EDE829B")</f>
        <v>https://baanknet.com/view-property/269374/E653F53F1416B06AB107F4BF7BB51291A34A28592621FF7FA41D0C602EDE829B</v>
      </c>
      <c r="I1345" t="str">
        <f>HYPERLINK("https://baanknet.com/view-property/269374/E653F53F1416B06AB107F4BF7BB51291A34A28592621FF7FA41D0C602EDE829B", "Open")</f>
        <v>Open</v>
      </c>
      <c r="J1345" t="s">
        <v>3803</v>
      </c>
      <c r="L1345">
        <v>2662000</v>
      </c>
      <c r="M1345">
        <v>266200</v>
      </c>
    </row>
    <row r="1346" spans="1:13" x14ac:dyDescent="0.25">
      <c r="A1346" t="s">
        <v>4694</v>
      </c>
      <c r="B1346" t="s">
        <v>4695</v>
      </c>
      <c r="C1346" t="s">
        <v>571</v>
      </c>
      <c r="D1346" t="s">
        <v>710</v>
      </c>
      <c r="E1346" t="s">
        <v>579</v>
      </c>
      <c r="F1346" t="s">
        <v>585</v>
      </c>
      <c r="G1346" t="s">
        <v>4696</v>
      </c>
      <c r="H1346" t="str">
        <f>HYPERLINK("https://baanknet.com/view-property/273330/55EB97FD699F52DA38D0190E21B11EE16CFFB589AB85E1301338B43A9211EC03", "https://baanknet.com/view-property/273330/55EB97FD699F52DA38D0190E21B11EE16CFFB589AB85E1301338B43A9211EC03")</f>
        <v>https://baanknet.com/view-property/273330/55EB97FD699F52DA38D0190E21B11EE16CFFB589AB85E1301338B43A9211EC03</v>
      </c>
      <c r="I1346" t="str">
        <f>HYPERLINK("https://baanknet.com/view-property/273330/55EB97FD699F52DA38D0190E21B11EE16CFFB589AB85E1301338B43A9211EC03", "Open")</f>
        <v>Open</v>
      </c>
      <c r="J1346" t="s">
        <v>3803</v>
      </c>
      <c r="L1346">
        <v>3383000</v>
      </c>
      <c r="M1346">
        <v>338300</v>
      </c>
    </row>
    <row r="1347" spans="1:13" x14ac:dyDescent="0.25">
      <c r="A1347" t="s">
        <v>4697</v>
      </c>
      <c r="B1347" t="s">
        <v>4698</v>
      </c>
      <c r="C1347" t="s">
        <v>332</v>
      </c>
      <c r="D1347" t="s">
        <v>4542</v>
      </c>
      <c r="E1347" t="s">
        <v>579</v>
      </c>
      <c r="F1347" t="s">
        <v>585</v>
      </c>
      <c r="G1347" t="s">
        <v>4699</v>
      </c>
      <c r="H1347" t="str">
        <f>HYPERLINK("https://baanknet.com/view-property/264707/7C180A6FE97F0BA0BE2B37E87137CD8C1FA684520720A6C68E8D67CCAF50C873", "https://baanknet.com/view-property/264707/7C180A6FE97F0BA0BE2B37E87137CD8C1FA684520720A6C68E8D67CCAF50C873")</f>
        <v>https://baanknet.com/view-property/264707/7C180A6FE97F0BA0BE2B37E87137CD8C1FA684520720A6C68E8D67CCAF50C873</v>
      </c>
      <c r="I1347" t="str">
        <f>HYPERLINK("https://baanknet.com/view-property/264707/7C180A6FE97F0BA0BE2B37E87137CD8C1FA684520720A6C68E8D67CCAF50C873", "Open")</f>
        <v>Open</v>
      </c>
      <c r="J1347" t="s">
        <v>3803</v>
      </c>
      <c r="L1347">
        <v>3070000</v>
      </c>
      <c r="M1347">
        <v>307000</v>
      </c>
    </row>
    <row r="1348" spans="1:13" x14ac:dyDescent="0.25">
      <c r="A1348" t="s">
        <v>4700</v>
      </c>
      <c r="B1348" t="s">
        <v>4701</v>
      </c>
      <c r="C1348" t="s">
        <v>332</v>
      </c>
      <c r="D1348" t="s">
        <v>56</v>
      </c>
      <c r="E1348" t="s">
        <v>579</v>
      </c>
      <c r="F1348" t="s">
        <v>585</v>
      </c>
      <c r="G1348" t="s">
        <v>4702</v>
      </c>
      <c r="H1348" t="str">
        <f>HYPERLINK("https://baanknet.com/view-property/263299/5FB34FBD66B7C537EE7D3A16EE07C179B5F54D2B1EBBAD7B91C4E9D14448A95E", "https://baanknet.com/view-property/263299/5FB34FBD66B7C537EE7D3A16EE07C179B5F54D2B1EBBAD7B91C4E9D14448A95E")</f>
        <v>https://baanknet.com/view-property/263299/5FB34FBD66B7C537EE7D3A16EE07C179B5F54D2B1EBBAD7B91C4E9D14448A95E</v>
      </c>
      <c r="I1348" t="str">
        <f>HYPERLINK("https://baanknet.com/view-property/263299/5FB34FBD66B7C537EE7D3A16EE07C179B5F54D2B1EBBAD7B91C4E9D14448A95E", "Open")</f>
        <v>Open</v>
      </c>
      <c r="J1348" t="s">
        <v>3803</v>
      </c>
      <c r="L1348">
        <v>29100000</v>
      </c>
      <c r="M1348">
        <v>2910000</v>
      </c>
    </row>
    <row r="1349" spans="1:13" x14ac:dyDescent="0.25">
      <c r="A1349" t="s">
        <v>4703</v>
      </c>
      <c r="B1349" t="s">
        <v>4704</v>
      </c>
      <c r="C1349" t="s">
        <v>332</v>
      </c>
      <c r="D1349" t="s">
        <v>1310</v>
      </c>
      <c r="E1349" t="s">
        <v>579</v>
      </c>
      <c r="F1349" t="s">
        <v>585</v>
      </c>
      <c r="G1349" t="s">
        <v>4705</v>
      </c>
      <c r="H1349" t="str">
        <f>HYPERLINK("https://baanknet.com/view-property/285952/17B0D4E1F306B74D779A146944CE9237FA9C610A0B5F12EDB06D5858DC52F1A8", "https://baanknet.com/view-property/285952/17B0D4E1F306B74D779A146944CE9237FA9C610A0B5F12EDB06D5858DC52F1A8")</f>
        <v>https://baanknet.com/view-property/285952/17B0D4E1F306B74D779A146944CE9237FA9C610A0B5F12EDB06D5858DC52F1A8</v>
      </c>
      <c r="I1349" t="str">
        <f>HYPERLINK("https://baanknet.com/view-property/285952/17B0D4E1F306B74D779A146944CE9237FA9C610A0B5F12EDB06D5858DC52F1A8", "Open")</f>
        <v>Open</v>
      </c>
      <c r="J1349" t="s">
        <v>3803</v>
      </c>
      <c r="L1349">
        <v>15100000</v>
      </c>
      <c r="M1349">
        <v>1510000</v>
      </c>
    </row>
    <row r="1350" spans="1:13" x14ac:dyDescent="0.25">
      <c r="A1350" t="s">
        <v>4706</v>
      </c>
      <c r="B1350" t="s">
        <v>4707</v>
      </c>
      <c r="C1350" t="s">
        <v>571</v>
      </c>
      <c r="D1350" t="s">
        <v>3344</v>
      </c>
      <c r="E1350" t="s">
        <v>579</v>
      </c>
      <c r="F1350" t="s">
        <v>585</v>
      </c>
      <c r="G1350" t="s">
        <v>4708</v>
      </c>
      <c r="H1350" t="str">
        <f>HYPERLINK("https://baanknet.com/view-property/286595/EF93139FC404D249E560E65BBC87D529307945730C95A861E0C595A5A1E7E04F", "https://baanknet.com/view-property/286595/EF93139FC404D249E560E65BBC87D529307945730C95A861E0C595A5A1E7E04F")</f>
        <v>https://baanknet.com/view-property/286595/EF93139FC404D249E560E65BBC87D529307945730C95A861E0C595A5A1E7E04F</v>
      </c>
      <c r="I1350" t="str">
        <f>HYPERLINK("https://baanknet.com/view-property/286595/EF93139FC404D249E560E65BBC87D529307945730C95A861E0C595A5A1E7E04F", "Open")</f>
        <v>Open</v>
      </c>
      <c r="J1350" t="s">
        <v>3803</v>
      </c>
      <c r="L1350">
        <v>8040000</v>
      </c>
      <c r="M1350">
        <v>804000</v>
      </c>
    </row>
    <row r="1351" spans="1:13" x14ac:dyDescent="0.25">
      <c r="A1351" t="s">
        <v>4709</v>
      </c>
      <c r="B1351" t="s">
        <v>4710</v>
      </c>
      <c r="C1351" t="s">
        <v>571</v>
      </c>
      <c r="D1351" t="s">
        <v>3278</v>
      </c>
      <c r="E1351" t="s">
        <v>579</v>
      </c>
      <c r="F1351" t="s">
        <v>585</v>
      </c>
      <c r="G1351" t="s">
        <v>4711</v>
      </c>
      <c r="H1351" t="str">
        <f>HYPERLINK("https://baanknet.com/view-property/286597/BD54F4C19E3F090F3074EF9ADBDA4C9F41003397E19C35BCE4026A0526093CC9", "https://baanknet.com/view-property/286597/BD54F4C19E3F090F3074EF9ADBDA4C9F41003397E19C35BCE4026A0526093CC9")</f>
        <v>https://baanknet.com/view-property/286597/BD54F4C19E3F090F3074EF9ADBDA4C9F41003397E19C35BCE4026A0526093CC9</v>
      </c>
      <c r="I1351" t="str">
        <f>HYPERLINK("https://baanknet.com/view-property/286597/BD54F4C19E3F090F3074EF9ADBDA4C9F41003397E19C35BCE4026A0526093CC9", "Open")</f>
        <v>Open</v>
      </c>
      <c r="J1351" t="s">
        <v>3803</v>
      </c>
      <c r="L1351">
        <v>2700000</v>
      </c>
      <c r="M1351">
        <v>270000</v>
      </c>
    </row>
    <row r="1352" spans="1:13" x14ac:dyDescent="0.25">
      <c r="A1352" t="s">
        <v>4712</v>
      </c>
      <c r="B1352" t="s">
        <v>4713</v>
      </c>
      <c r="C1352" t="s">
        <v>332</v>
      </c>
      <c r="D1352" t="s">
        <v>4714</v>
      </c>
      <c r="E1352" t="s">
        <v>579</v>
      </c>
      <c r="F1352" t="s">
        <v>585</v>
      </c>
      <c r="G1352" t="s">
        <v>4715</v>
      </c>
      <c r="H1352" t="str">
        <f>HYPERLINK("https://baanknet.com/view-property/227786/291BD7AFAF6D0060BB793431D70585DF2AB23106225BB992C0087B3D99472F73", "https://baanknet.com/view-property/227786/291BD7AFAF6D0060BB793431D70585DF2AB23106225BB992C0087B3D99472F73")</f>
        <v>https://baanknet.com/view-property/227786/291BD7AFAF6D0060BB793431D70585DF2AB23106225BB992C0087B3D99472F73</v>
      </c>
      <c r="I1352" t="str">
        <f>HYPERLINK("https://baanknet.com/view-property/227786/291BD7AFAF6D0060BB793431D70585DF2AB23106225BB992C0087B3D99472F73", "Open")</f>
        <v>Open</v>
      </c>
      <c r="J1352" t="s">
        <v>3803</v>
      </c>
      <c r="L1352">
        <v>3650000</v>
      </c>
      <c r="M1352">
        <v>365000</v>
      </c>
    </row>
    <row r="1353" spans="1:13" x14ac:dyDescent="0.25">
      <c r="A1353" t="s">
        <v>4716</v>
      </c>
      <c r="B1353" t="s">
        <v>4717</v>
      </c>
      <c r="C1353" t="s">
        <v>332</v>
      </c>
      <c r="D1353" t="s">
        <v>4714</v>
      </c>
      <c r="E1353" t="s">
        <v>579</v>
      </c>
      <c r="F1353" t="s">
        <v>585</v>
      </c>
      <c r="G1353" t="s">
        <v>4718</v>
      </c>
      <c r="H1353" t="str">
        <f>HYPERLINK("https://baanknet.com/view-property/227814/4A60B03531C7FC0E1D696FFB5258817436B1F4E927B013AAE38B66408F527594", "https://baanknet.com/view-property/227814/4A60B03531C7FC0E1D696FFB5258817436B1F4E927B013AAE38B66408F527594")</f>
        <v>https://baanknet.com/view-property/227814/4A60B03531C7FC0E1D696FFB5258817436B1F4E927B013AAE38B66408F527594</v>
      </c>
      <c r="I1353" t="str">
        <f>HYPERLINK("https://baanknet.com/view-property/227814/4A60B03531C7FC0E1D696FFB5258817436B1F4E927B013AAE38B66408F527594", "Open")</f>
        <v>Open</v>
      </c>
      <c r="J1353" t="s">
        <v>3803</v>
      </c>
      <c r="L1353">
        <v>1050000</v>
      </c>
      <c r="M1353">
        <v>105000</v>
      </c>
    </row>
    <row r="1354" spans="1:13" x14ac:dyDescent="0.25">
      <c r="A1354" t="s">
        <v>4719</v>
      </c>
      <c r="B1354" t="s">
        <v>4720</v>
      </c>
      <c r="C1354" t="s">
        <v>332</v>
      </c>
      <c r="D1354" t="s">
        <v>4714</v>
      </c>
      <c r="E1354" t="s">
        <v>579</v>
      </c>
      <c r="F1354" t="s">
        <v>585</v>
      </c>
      <c r="G1354" t="s">
        <v>4721</v>
      </c>
      <c r="H1354" t="str">
        <f>HYPERLINK("https://baanknet.com/view-property/227800/F900C2E54DCA4A684DAB420A584DAACE832C7B3514050C001EC6F8856421AC53", "https://baanknet.com/view-property/227800/F900C2E54DCA4A684DAB420A584DAACE832C7B3514050C001EC6F8856421AC53")</f>
        <v>https://baanknet.com/view-property/227800/F900C2E54DCA4A684DAB420A584DAACE832C7B3514050C001EC6F8856421AC53</v>
      </c>
      <c r="I1354" t="str">
        <f>HYPERLINK("https://baanknet.com/view-property/227800/F900C2E54DCA4A684DAB420A584DAACE832C7B3514050C001EC6F8856421AC53", "Open")</f>
        <v>Open</v>
      </c>
      <c r="J1354" t="s">
        <v>3803</v>
      </c>
      <c r="L1354">
        <v>535000</v>
      </c>
      <c r="M1354">
        <v>53500</v>
      </c>
    </row>
    <row r="1355" spans="1:13" x14ac:dyDescent="0.25">
      <c r="A1355" t="s">
        <v>4722</v>
      </c>
      <c r="B1355" t="s">
        <v>4723</v>
      </c>
      <c r="C1355" t="s">
        <v>332</v>
      </c>
      <c r="D1355" t="s">
        <v>907</v>
      </c>
      <c r="E1355" t="s">
        <v>579</v>
      </c>
      <c r="F1355" t="s">
        <v>585</v>
      </c>
      <c r="G1355" t="s">
        <v>4724</v>
      </c>
      <c r="H1355" t="str">
        <f>HYPERLINK("https://baanknet.com/view-property/286649/565EC8C9472124EC3AB0CFA6B8BB11685A4AEBCB4CC9F2FC967DD3DD98F69125", "https://baanknet.com/view-property/286649/565EC8C9472124EC3AB0CFA6B8BB11685A4AEBCB4CC9F2FC967DD3DD98F69125")</f>
        <v>https://baanknet.com/view-property/286649/565EC8C9472124EC3AB0CFA6B8BB11685A4AEBCB4CC9F2FC967DD3DD98F69125</v>
      </c>
      <c r="I1355" t="str">
        <f>HYPERLINK("https://baanknet.com/view-property/286649/565EC8C9472124EC3AB0CFA6B8BB11685A4AEBCB4CC9F2FC967DD3DD98F69125", "Open")</f>
        <v>Open</v>
      </c>
      <c r="J1355" t="s">
        <v>3803</v>
      </c>
      <c r="L1355">
        <v>15400000</v>
      </c>
      <c r="M1355">
        <v>1540000</v>
      </c>
    </row>
    <row r="1356" spans="1:13" x14ac:dyDescent="0.25">
      <c r="A1356" t="s">
        <v>4725</v>
      </c>
      <c r="B1356" t="s">
        <v>4726</v>
      </c>
      <c r="C1356" t="s">
        <v>332</v>
      </c>
      <c r="D1356" t="s">
        <v>907</v>
      </c>
      <c r="E1356" t="s">
        <v>579</v>
      </c>
      <c r="F1356" t="s">
        <v>585</v>
      </c>
      <c r="G1356" t="s">
        <v>4727</v>
      </c>
      <c r="H1356" t="str">
        <f>HYPERLINK("https://baanknet.com/view-property/286634/D1DC0531BA084609944170CCDD67962416206600BDA932FB7E09FC6B4F30DD6A", "https://baanknet.com/view-property/286634/D1DC0531BA084609944170CCDD67962416206600BDA932FB7E09FC6B4F30DD6A")</f>
        <v>https://baanknet.com/view-property/286634/D1DC0531BA084609944170CCDD67962416206600BDA932FB7E09FC6B4F30DD6A</v>
      </c>
      <c r="I1356" t="str">
        <f>HYPERLINK("https://baanknet.com/view-property/286634/D1DC0531BA084609944170CCDD67962416206600BDA932FB7E09FC6B4F30DD6A", "Open")</f>
        <v>Open</v>
      </c>
      <c r="J1356" t="s">
        <v>3803</v>
      </c>
      <c r="L1356">
        <v>49600000</v>
      </c>
      <c r="M1356">
        <v>4960000</v>
      </c>
    </row>
    <row r="1357" spans="1:13" x14ac:dyDescent="0.25">
      <c r="A1357" t="s">
        <v>4728</v>
      </c>
      <c r="B1357" t="s">
        <v>4729</v>
      </c>
      <c r="C1357" t="s">
        <v>332</v>
      </c>
      <c r="D1357" t="s">
        <v>3879</v>
      </c>
      <c r="E1357" t="s">
        <v>579</v>
      </c>
      <c r="F1357" t="s">
        <v>585</v>
      </c>
      <c r="G1357" t="s">
        <v>4730</v>
      </c>
      <c r="H1357" t="str">
        <f>HYPERLINK("https://baanknet.com/view-property/266964/29373D80E916A5947AC2F35859864CB650CDE198BF84FEF824A4FB6051086490", "https://baanknet.com/view-property/266964/29373D80E916A5947AC2F35859864CB650CDE198BF84FEF824A4FB6051086490")</f>
        <v>https://baanknet.com/view-property/266964/29373D80E916A5947AC2F35859864CB650CDE198BF84FEF824A4FB6051086490</v>
      </c>
      <c r="I1357" t="str">
        <f>HYPERLINK("https://baanknet.com/view-property/266964/29373D80E916A5947AC2F35859864CB650CDE198BF84FEF824A4FB6051086490", "Open")</f>
        <v>Open</v>
      </c>
      <c r="J1357" t="s">
        <v>3803</v>
      </c>
      <c r="L1357">
        <v>9500000</v>
      </c>
      <c r="M1357">
        <v>950000</v>
      </c>
    </row>
    <row r="1358" spans="1:13" x14ac:dyDescent="0.25">
      <c r="A1358" t="s">
        <v>4731</v>
      </c>
      <c r="B1358" t="s">
        <v>4732</v>
      </c>
      <c r="C1358" t="s">
        <v>332</v>
      </c>
      <c r="D1358" t="s">
        <v>4542</v>
      </c>
      <c r="E1358" t="s">
        <v>579</v>
      </c>
      <c r="F1358" t="s">
        <v>585</v>
      </c>
      <c r="G1358" t="s">
        <v>4733</v>
      </c>
      <c r="H1358" t="str">
        <f>HYPERLINK("https://baanknet.com/view-property/268521/25B70FF03F0F201895B49ED08C0B22DA3F09905C9F79E0C6F19A4E5D5A15DBB2", "https://baanknet.com/view-property/268521/25B70FF03F0F201895B49ED08C0B22DA3F09905C9F79E0C6F19A4E5D5A15DBB2")</f>
        <v>https://baanknet.com/view-property/268521/25B70FF03F0F201895B49ED08C0B22DA3F09905C9F79E0C6F19A4E5D5A15DBB2</v>
      </c>
      <c r="I1358" t="str">
        <f>HYPERLINK("https://baanknet.com/view-property/268521/25B70FF03F0F201895B49ED08C0B22DA3F09905C9F79E0C6F19A4E5D5A15DBB2", "Open")</f>
        <v>Open</v>
      </c>
      <c r="J1358" t="s">
        <v>3803</v>
      </c>
      <c r="L1358">
        <v>2502000</v>
      </c>
      <c r="M1358">
        <v>250200</v>
      </c>
    </row>
    <row r="1359" spans="1:13" x14ac:dyDescent="0.25">
      <c r="A1359" t="s">
        <v>4734</v>
      </c>
      <c r="B1359" t="s">
        <v>4735</v>
      </c>
      <c r="C1359" t="s">
        <v>332</v>
      </c>
      <c r="D1359" t="s">
        <v>4542</v>
      </c>
      <c r="E1359" t="s">
        <v>579</v>
      </c>
      <c r="F1359" t="s">
        <v>585</v>
      </c>
      <c r="G1359" t="s">
        <v>4736</v>
      </c>
      <c r="H1359" t="str">
        <f>HYPERLINK("https://baanknet.com/view-property/282282/67E7ECE3B943BC1A4BBE6070362291E721AB79C652446C1B526364E8E28B88DB", "https://baanknet.com/view-property/282282/67E7ECE3B943BC1A4BBE6070362291E721AB79C652446C1B526364E8E28B88DB")</f>
        <v>https://baanknet.com/view-property/282282/67E7ECE3B943BC1A4BBE6070362291E721AB79C652446C1B526364E8E28B88DB</v>
      </c>
      <c r="I1359" t="str">
        <f>HYPERLINK("https://baanknet.com/view-property/282282/67E7ECE3B943BC1A4BBE6070362291E721AB79C652446C1B526364E8E28B88DB", "Open")</f>
        <v>Open</v>
      </c>
      <c r="J1359" t="s">
        <v>3803</v>
      </c>
      <c r="L1359">
        <v>12250000</v>
      </c>
      <c r="M1359">
        <v>1225000</v>
      </c>
    </row>
    <row r="1360" spans="1:13" x14ac:dyDescent="0.25">
      <c r="A1360" t="s">
        <v>4737</v>
      </c>
      <c r="B1360" t="s">
        <v>4738</v>
      </c>
      <c r="C1360" t="s">
        <v>387</v>
      </c>
      <c r="D1360" t="s">
        <v>4739</v>
      </c>
      <c r="E1360" t="s">
        <v>579</v>
      </c>
      <c r="F1360" t="s">
        <v>585</v>
      </c>
      <c r="G1360" t="s">
        <v>4740</v>
      </c>
      <c r="H1360" t="str">
        <f>HYPERLINK("https://baanknet.com/view-property/170497/DAF21C4470AA4C27962AC3F26BC261F376593424CCDF468FE328B21DC6D8C786", "https://baanknet.com/view-property/170497/DAF21C4470AA4C27962AC3F26BC261F376593424CCDF468FE328B21DC6D8C786")</f>
        <v>https://baanknet.com/view-property/170497/DAF21C4470AA4C27962AC3F26BC261F376593424CCDF468FE328B21DC6D8C786</v>
      </c>
      <c r="I1360" t="str">
        <f>HYPERLINK("https://baanknet.com/view-property/170497/DAF21C4470AA4C27962AC3F26BC261F376593424CCDF468FE328B21DC6D8C786", "Open")</f>
        <v>Open</v>
      </c>
      <c r="J1360" t="s">
        <v>3803</v>
      </c>
      <c r="L1360">
        <v>4375000</v>
      </c>
      <c r="M1360">
        <v>437500</v>
      </c>
    </row>
    <row r="1361" spans="1:13" x14ac:dyDescent="0.25">
      <c r="A1361" t="s">
        <v>4741</v>
      </c>
      <c r="B1361" t="s">
        <v>4742</v>
      </c>
      <c r="C1361" t="s">
        <v>387</v>
      </c>
      <c r="D1361" t="s">
        <v>4743</v>
      </c>
      <c r="E1361" t="s">
        <v>579</v>
      </c>
      <c r="F1361" t="s">
        <v>585</v>
      </c>
      <c r="G1361" t="s">
        <v>4744</v>
      </c>
      <c r="H1361" t="str">
        <f>HYPERLINK("https://baanknet.com/view-property/253208/FA2217131D36D80B9611BD96F6B3CC7C3CD4EE9A97D8A335F20C8E12646328A6", "https://baanknet.com/view-property/253208/FA2217131D36D80B9611BD96F6B3CC7C3CD4EE9A97D8A335F20C8E12646328A6")</f>
        <v>https://baanknet.com/view-property/253208/FA2217131D36D80B9611BD96F6B3CC7C3CD4EE9A97D8A335F20C8E12646328A6</v>
      </c>
      <c r="I1361" t="str">
        <f>HYPERLINK("https://baanknet.com/view-property/253208/FA2217131D36D80B9611BD96F6B3CC7C3CD4EE9A97D8A335F20C8E12646328A6", "Open")</f>
        <v>Open</v>
      </c>
      <c r="J1361" t="s">
        <v>3803</v>
      </c>
      <c r="L1361">
        <v>4650000</v>
      </c>
      <c r="M1361">
        <v>465000</v>
      </c>
    </row>
    <row r="1362" spans="1:13" x14ac:dyDescent="0.25">
      <c r="A1362" t="s">
        <v>4745</v>
      </c>
      <c r="B1362" t="s">
        <v>4746</v>
      </c>
      <c r="C1362" t="s">
        <v>387</v>
      </c>
      <c r="D1362" t="s">
        <v>2425</v>
      </c>
      <c r="E1362" t="s">
        <v>579</v>
      </c>
      <c r="F1362" t="s">
        <v>585</v>
      </c>
      <c r="G1362" t="s">
        <v>4747</v>
      </c>
      <c r="H1362" t="str">
        <f>HYPERLINK("https://baanknet.com/view-property/253209/C7842BAA623BE06BDB42DDCD3C48A5EEE28BC64E112F3282C564DD63A4B5803A", "https://baanknet.com/view-property/253209/C7842BAA623BE06BDB42DDCD3C48A5EEE28BC64E112F3282C564DD63A4B5803A")</f>
        <v>https://baanknet.com/view-property/253209/C7842BAA623BE06BDB42DDCD3C48A5EEE28BC64E112F3282C564DD63A4B5803A</v>
      </c>
      <c r="I1362" t="str">
        <f>HYPERLINK("https://baanknet.com/view-property/253209/C7842BAA623BE06BDB42DDCD3C48A5EEE28BC64E112F3282C564DD63A4B5803A", "Open")</f>
        <v>Open</v>
      </c>
      <c r="J1362" t="s">
        <v>3803</v>
      </c>
      <c r="L1362">
        <v>2900000</v>
      </c>
      <c r="M1362">
        <v>290000</v>
      </c>
    </row>
    <row r="1363" spans="1:13" x14ac:dyDescent="0.25">
      <c r="A1363" t="s">
        <v>4748</v>
      </c>
      <c r="B1363" t="s">
        <v>4749</v>
      </c>
      <c r="C1363" t="s">
        <v>387</v>
      </c>
      <c r="D1363" t="s">
        <v>1246</v>
      </c>
      <c r="E1363" t="s">
        <v>579</v>
      </c>
      <c r="F1363" t="s">
        <v>585</v>
      </c>
      <c r="G1363" t="s">
        <v>4750</v>
      </c>
      <c r="H1363" t="str">
        <f>HYPERLINK("https://baanknet.com/view-property/214839/DC8AD976FA5131430A671B6B625EF4ED3337A60A4E4853EAA3103BAA6824AF12", "https://baanknet.com/view-property/214839/DC8AD976FA5131430A671B6B625EF4ED3337A60A4E4853EAA3103BAA6824AF12")</f>
        <v>https://baanknet.com/view-property/214839/DC8AD976FA5131430A671B6B625EF4ED3337A60A4E4853EAA3103BAA6824AF12</v>
      </c>
      <c r="I1363" t="str">
        <f>HYPERLINK("https://baanknet.com/view-property/214839/DC8AD976FA5131430A671B6B625EF4ED3337A60A4E4853EAA3103BAA6824AF12", "Open")</f>
        <v>Open</v>
      </c>
      <c r="J1363" t="s">
        <v>3803</v>
      </c>
      <c r="L1363">
        <v>4300000</v>
      </c>
      <c r="M1363">
        <v>430000</v>
      </c>
    </row>
    <row r="1364" spans="1:13" x14ac:dyDescent="0.25">
      <c r="A1364" t="s">
        <v>4751</v>
      </c>
      <c r="B1364" t="s">
        <v>4752</v>
      </c>
      <c r="C1364" t="s">
        <v>387</v>
      </c>
      <c r="D1364" t="s">
        <v>4430</v>
      </c>
      <c r="E1364" t="s">
        <v>579</v>
      </c>
      <c r="F1364" t="s">
        <v>585</v>
      </c>
      <c r="G1364" t="s">
        <v>4753</v>
      </c>
      <c r="H1364" t="str">
        <f>HYPERLINK("https://baanknet.com/view-property/214850/35B06C0488D1402F3F82543A3573F3E79B930F4DE62A836432FA0ED409F07001", "https://baanknet.com/view-property/214850/35B06C0488D1402F3F82543A3573F3E79B930F4DE62A836432FA0ED409F07001")</f>
        <v>https://baanknet.com/view-property/214850/35B06C0488D1402F3F82543A3573F3E79B930F4DE62A836432FA0ED409F07001</v>
      </c>
      <c r="I1364" t="str">
        <f>HYPERLINK("https://baanknet.com/view-property/214850/35B06C0488D1402F3F82543A3573F3E79B930F4DE62A836432FA0ED409F07001", "Open")</f>
        <v>Open</v>
      </c>
      <c r="J1364" t="s">
        <v>3803</v>
      </c>
      <c r="L1364">
        <v>2200000</v>
      </c>
      <c r="M1364">
        <v>220000</v>
      </c>
    </row>
    <row r="1365" spans="1:13" x14ac:dyDescent="0.25">
      <c r="A1365" t="s">
        <v>4754</v>
      </c>
      <c r="B1365" t="s">
        <v>4755</v>
      </c>
      <c r="C1365" t="s">
        <v>571</v>
      </c>
      <c r="D1365" t="s">
        <v>4756</v>
      </c>
      <c r="E1365" t="s">
        <v>579</v>
      </c>
      <c r="F1365" t="s">
        <v>585</v>
      </c>
      <c r="G1365" t="s">
        <v>4757</v>
      </c>
      <c r="H1365" t="str">
        <f>HYPERLINK("https://baanknet.com/view-property/287461/45F52841604FC0DC4E2D4C89CCF73FD0DC309A72B6896FD8966419A667BEC6D8", "https://baanknet.com/view-property/287461/45F52841604FC0DC4E2D4C89CCF73FD0DC309A72B6896FD8966419A667BEC6D8")</f>
        <v>https://baanknet.com/view-property/287461/45F52841604FC0DC4E2D4C89CCF73FD0DC309A72B6896FD8966419A667BEC6D8</v>
      </c>
      <c r="I1365" t="str">
        <f>HYPERLINK("https://baanknet.com/view-property/287461/45F52841604FC0DC4E2D4C89CCF73FD0DC309A72B6896FD8966419A667BEC6D8", "Open")</f>
        <v>Open</v>
      </c>
      <c r="J1365" t="s">
        <v>3803</v>
      </c>
      <c r="L1365">
        <v>3351000</v>
      </c>
      <c r="M1365">
        <v>335100</v>
      </c>
    </row>
    <row r="1366" spans="1:13" x14ac:dyDescent="0.25">
      <c r="A1366" t="s">
        <v>4758</v>
      </c>
      <c r="B1366" t="s">
        <v>4759</v>
      </c>
      <c r="C1366" t="s">
        <v>571</v>
      </c>
      <c r="D1366" t="s">
        <v>4760</v>
      </c>
      <c r="E1366" t="s">
        <v>579</v>
      </c>
      <c r="F1366" t="s">
        <v>574</v>
      </c>
      <c r="G1366" t="s">
        <v>4761</v>
      </c>
      <c r="H1366" t="str">
        <f>HYPERLINK("https://baanknet.com/view-property/284014/7F11ACC771FD66766D18708ED4AE9CA9E4D3A165DDE3F79C39E0C8FBA7878DE1", "https://baanknet.com/view-property/284014/7F11ACC771FD66766D18708ED4AE9CA9E4D3A165DDE3F79C39E0C8FBA7878DE1")</f>
        <v>https://baanknet.com/view-property/284014/7F11ACC771FD66766D18708ED4AE9CA9E4D3A165DDE3F79C39E0C8FBA7878DE1</v>
      </c>
      <c r="I1366" t="str">
        <f>HYPERLINK("https://baanknet.com/view-property/284014/7F11ACC771FD66766D18708ED4AE9CA9E4D3A165DDE3F79C39E0C8FBA7878DE1", "Open")</f>
        <v>Open</v>
      </c>
      <c r="J1366" t="s">
        <v>3803</v>
      </c>
      <c r="L1366">
        <v>2576000</v>
      </c>
      <c r="M1366">
        <v>257600</v>
      </c>
    </row>
    <row r="1367" spans="1:13" x14ac:dyDescent="0.25">
      <c r="A1367" t="s">
        <v>4762</v>
      </c>
      <c r="B1367" t="s">
        <v>4763</v>
      </c>
      <c r="C1367" t="s">
        <v>571</v>
      </c>
      <c r="D1367" t="s">
        <v>179</v>
      </c>
      <c r="E1367" t="s">
        <v>579</v>
      </c>
      <c r="F1367" t="s">
        <v>574</v>
      </c>
      <c r="G1367" t="s">
        <v>4764</v>
      </c>
      <c r="H1367" t="str">
        <f>HYPERLINK("https://baanknet.com/view-property/284876/B948D1751AE2AB8726D09BE754094F743B7741FD3EB0C1E04B3CE556787BA829", "https://baanknet.com/view-property/284876/B948D1751AE2AB8726D09BE754094F743B7741FD3EB0C1E04B3CE556787BA829")</f>
        <v>https://baanknet.com/view-property/284876/B948D1751AE2AB8726D09BE754094F743B7741FD3EB0C1E04B3CE556787BA829</v>
      </c>
      <c r="I1367" t="str">
        <f>HYPERLINK("https://baanknet.com/view-property/284876/B948D1751AE2AB8726D09BE754094F743B7741FD3EB0C1E04B3CE556787BA829", "Open")</f>
        <v>Open</v>
      </c>
      <c r="J1367" t="s">
        <v>3803</v>
      </c>
      <c r="L1367">
        <v>947000</v>
      </c>
      <c r="M1367">
        <v>94700</v>
      </c>
    </row>
    <row r="1368" spans="1:13" x14ac:dyDescent="0.25">
      <c r="A1368" t="s">
        <v>4765</v>
      </c>
      <c r="B1368" t="s">
        <v>4766</v>
      </c>
      <c r="C1368" t="s">
        <v>571</v>
      </c>
      <c r="D1368" t="s">
        <v>4767</v>
      </c>
      <c r="E1368" t="s">
        <v>579</v>
      </c>
      <c r="F1368" t="s">
        <v>574</v>
      </c>
      <c r="G1368" t="s">
        <v>4768</v>
      </c>
      <c r="H1368" t="str">
        <f>HYPERLINK("https://baanknet.com/view-property/284880/0E16600808D2745A5147065FB435BC43BE0F25EC105374B43E23F7001953DF9C", "https://baanknet.com/view-property/284880/0E16600808D2745A5147065FB435BC43BE0F25EC105374B43E23F7001953DF9C")</f>
        <v>https://baanknet.com/view-property/284880/0E16600808D2745A5147065FB435BC43BE0F25EC105374B43E23F7001953DF9C</v>
      </c>
      <c r="I1368" t="str">
        <f>HYPERLINK("https://baanknet.com/view-property/284880/0E16600808D2745A5147065FB435BC43BE0F25EC105374B43E23F7001953DF9C", "Open")</f>
        <v>Open</v>
      </c>
      <c r="J1368" t="s">
        <v>3803</v>
      </c>
      <c r="L1368">
        <v>4200000</v>
      </c>
      <c r="M1368">
        <v>420000</v>
      </c>
    </row>
    <row r="1369" spans="1:13" x14ac:dyDescent="0.25">
      <c r="A1369" t="s">
        <v>4769</v>
      </c>
      <c r="B1369" t="s">
        <v>4770</v>
      </c>
      <c r="C1369" t="s">
        <v>571</v>
      </c>
      <c r="D1369" t="s">
        <v>4771</v>
      </c>
      <c r="E1369" t="s">
        <v>579</v>
      </c>
      <c r="F1369" t="s">
        <v>574</v>
      </c>
      <c r="G1369" t="s">
        <v>4772</v>
      </c>
      <c r="H1369" t="str">
        <f>HYPERLINK("https://baanknet.com/view-property/239657/9382D321C6FF78B28719883772A52983F4DBF5D3A9AD2986B6EB85F704E2ABF0", "https://baanknet.com/view-property/239657/9382D321C6FF78B28719883772A52983F4DBF5D3A9AD2986B6EB85F704E2ABF0")</f>
        <v>https://baanknet.com/view-property/239657/9382D321C6FF78B28719883772A52983F4DBF5D3A9AD2986B6EB85F704E2ABF0</v>
      </c>
      <c r="I1369" t="str">
        <f>HYPERLINK("https://baanknet.com/view-property/239657/9382D321C6FF78B28719883772A52983F4DBF5D3A9AD2986B6EB85F704E2ABF0", "Open")</f>
        <v>Open</v>
      </c>
      <c r="J1369" t="s">
        <v>3803</v>
      </c>
      <c r="L1369">
        <v>3120000</v>
      </c>
      <c r="M1369">
        <v>312000</v>
      </c>
    </row>
    <row r="1370" spans="1:13" x14ac:dyDescent="0.25">
      <c r="A1370" t="s">
        <v>4773</v>
      </c>
      <c r="B1370" t="s">
        <v>4774</v>
      </c>
      <c r="C1370" t="s">
        <v>571</v>
      </c>
      <c r="D1370" t="s">
        <v>4771</v>
      </c>
      <c r="E1370" t="s">
        <v>579</v>
      </c>
      <c r="F1370" t="s">
        <v>574</v>
      </c>
      <c r="G1370" t="s">
        <v>4775</v>
      </c>
      <c r="H1370" t="str">
        <f>HYPERLINK("https://baanknet.com/view-property/239659/DBC1A66075CACDBC288DA00C28E080EAC1EAF88BEC884827A535DFD06F68B23A", "https://baanknet.com/view-property/239659/DBC1A66075CACDBC288DA00C28E080EAC1EAF88BEC884827A535DFD06F68B23A")</f>
        <v>https://baanknet.com/view-property/239659/DBC1A66075CACDBC288DA00C28E080EAC1EAF88BEC884827A535DFD06F68B23A</v>
      </c>
      <c r="I1370" t="str">
        <f>HYPERLINK("https://baanknet.com/view-property/239659/DBC1A66075CACDBC288DA00C28E080EAC1EAF88BEC884827A535DFD06F68B23A", "Open")</f>
        <v>Open</v>
      </c>
      <c r="J1370" t="s">
        <v>3803</v>
      </c>
      <c r="L1370">
        <v>1640000</v>
      </c>
      <c r="M1370">
        <v>164000</v>
      </c>
    </row>
    <row r="1371" spans="1:13" x14ac:dyDescent="0.25">
      <c r="A1371" t="s">
        <v>4776</v>
      </c>
      <c r="B1371" t="s">
        <v>4777</v>
      </c>
      <c r="C1371" t="s">
        <v>571</v>
      </c>
      <c r="D1371" t="s">
        <v>4778</v>
      </c>
      <c r="E1371" t="s">
        <v>579</v>
      </c>
      <c r="F1371" t="s">
        <v>574</v>
      </c>
      <c r="G1371" t="s">
        <v>4779</v>
      </c>
      <c r="H1371" t="str">
        <f>HYPERLINK("https://baanknet.com/view-property/285006/6F1407234B445D58A57B3D603CFACE9421EB08C19896D241F8E6894ADD374A10", "https://baanknet.com/view-property/285006/6F1407234B445D58A57B3D603CFACE9421EB08C19896D241F8E6894ADD374A10")</f>
        <v>https://baanknet.com/view-property/285006/6F1407234B445D58A57B3D603CFACE9421EB08C19896D241F8E6894ADD374A10</v>
      </c>
      <c r="I1371" t="str">
        <f>HYPERLINK("https://baanknet.com/view-property/285006/6F1407234B445D58A57B3D603CFACE9421EB08C19896D241F8E6894ADD374A10", "Open")</f>
        <v>Open</v>
      </c>
      <c r="J1371" t="s">
        <v>3803</v>
      </c>
      <c r="L1371">
        <v>1440000</v>
      </c>
      <c r="M1371">
        <v>144000</v>
      </c>
    </row>
    <row r="1372" spans="1:13" x14ac:dyDescent="0.25">
      <c r="A1372" t="s">
        <v>4780</v>
      </c>
      <c r="B1372" t="s">
        <v>4781</v>
      </c>
      <c r="C1372" t="s">
        <v>571</v>
      </c>
      <c r="D1372" t="s">
        <v>1839</v>
      </c>
      <c r="E1372" t="s">
        <v>579</v>
      </c>
      <c r="F1372" t="s">
        <v>574</v>
      </c>
      <c r="G1372" t="s">
        <v>4782</v>
      </c>
      <c r="H1372" t="str">
        <f>HYPERLINK("https://baanknet.com/view-property/285448/99AA7CEA2C34865FC82B69EBAF5175A182BAAC0B8EF41C4EB1258A029BC450B1", "https://baanknet.com/view-property/285448/99AA7CEA2C34865FC82B69EBAF5175A182BAAC0B8EF41C4EB1258A029BC450B1")</f>
        <v>https://baanknet.com/view-property/285448/99AA7CEA2C34865FC82B69EBAF5175A182BAAC0B8EF41C4EB1258A029BC450B1</v>
      </c>
      <c r="I1372" t="str">
        <f>HYPERLINK("https://baanknet.com/view-property/285448/99AA7CEA2C34865FC82B69EBAF5175A182BAAC0B8EF41C4EB1258A029BC450B1", "Open")</f>
        <v>Open</v>
      </c>
      <c r="J1372" t="s">
        <v>3803</v>
      </c>
      <c r="L1372">
        <v>2601000</v>
      </c>
      <c r="M1372">
        <v>260100</v>
      </c>
    </row>
    <row r="1373" spans="1:13" x14ac:dyDescent="0.25">
      <c r="A1373" t="s">
        <v>4783</v>
      </c>
      <c r="B1373" t="s">
        <v>4784</v>
      </c>
      <c r="C1373" t="s">
        <v>571</v>
      </c>
      <c r="D1373" t="s">
        <v>157</v>
      </c>
      <c r="E1373" t="s">
        <v>579</v>
      </c>
      <c r="F1373" t="s">
        <v>574</v>
      </c>
      <c r="G1373" t="s">
        <v>4785</v>
      </c>
      <c r="H1373" t="str">
        <f>HYPERLINK("https://baanknet.com/view-property/285720/7ADF07DC90FECCC9EF6AE442C98AB85491E72BBBF3E2477C832E4F3BFEACCB2F", "https://baanknet.com/view-property/285720/7ADF07DC90FECCC9EF6AE442C98AB85491E72BBBF3E2477C832E4F3BFEACCB2F")</f>
        <v>https://baanknet.com/view-property/285720/7ADF07DC90FECCC9EF6AE442C98AB85491E72BBBF3E2477C832E4F3BFEACCB2F</v>
      </c>
      <c r="I1373" t="str">
        <f>HYPERLINK("https://baanknet.com/view-property/285720/7ADF07DC90FECCC9EF6AE442C98AB85491E72BBBF3E2477C832E4F3BFEACCB2F", "Open")</f>
        <v>Open</v>
      </c>
      <c r="J1373" t="s">
        <v>3803</v>
      </c>
      <c r="L1373">
        <v>7550000</v>
      </c>
      <c r="M1373">
        <v>755000</v>
      </c>
    </row>
    <row r="1374" spans="1:13" x14ac:dyDescent="0.25">
      <c r="A1374" t="s">
        <v>4786</v>
      </c>
      <c r="B1374" t="s">
        <v>4787</v>
      </c>
      <c r="C1374" t="s">
        <v>571</v>
      </c>
      <c r="D1374" t="s">
        <v>4788</v>
      </c>
      <c r="E1374" t="s">
        <v>579</v>
      </c>
      <c r="F1374" t="s">
        <v>574</v>
      </c>
      <c r="G1374" t="s">
        <v>4789</v>
      </c>
      <c r="H1374" t="str">
        <f>HYPERLINK("https://baanknet.com/view-property/285776/87DC55851C051604F992D8B9933D25C764BCB494532E9BF9555AA22820E3682F", "https://baanknet.com/view-property/285776/87DC55851C051604F992D8B9933D25C764BCB494532E9BF9555AA22820E3682F")</f>
        <v>https://baanknet.com/view-property/285776/87DC55851C051604F992D8B9933D25C764BCB494532E9BF9555AA22820E3682F</v>
      </c>
      <c r="I1374" t="str">
        <f>HYPERLINK("https://baanknet.com/view-property/285776/87DC55851C051604F992D8B9933D25C764BCB494532E9BF9555AA22820E3682F", "Open")</f>
        <v>Open</v>
      </c>
      <c r="J1374" t="s">
        <v>3803</v>
      </c>
      <c r="L1374">
        <v>1691000</v>
      </c>
      <c r="M1374">
        <v>169100</v>
      </c>
    </row>
    <row r="1375" spans="1:13" x14ac:dyDescent="0.25">
      <c r="A1375" t="s">
        <v>4790</v>
      </c>
      <c r="B1375" t="s">
        <v>4791</v>
      </c>
      <c r="C1375" t="s">
        <v>571</v>
      </c>
      <c r="D1375" t="s">
        <v>4542</v>
      </c>
      <c r="E1375" t="s">
        <v>579</v>
      </c>
      <c r="F1375" t="s">
        <v>574</v>
      </c>
      <c r="G1375" t="s">
        <v>4792</v>
      </c>
      <c r="H1375" t="str">
        <f>HYPERLINK("https://baanknet.com/view-property/243341/FE42B034DC934BAB67C13771ECD63F51CACC5CD2E7B76F2F445446E2D1E83594", "https://baanknet.com/view-property/243341/FE42B034DC934BAB67C13771ECD63F51CACC5CD2E7B76F2F445446E2D1E83594")</f>
        <v>https://baanknet.com/view-property/243341/FE42B034DC934BAB67C13771ECD63F51CACC5CD2E7B76F2F445446E2D1E83594</v>
      </c>
      <c r="I1375" t="str">
        <f>HYPERLINK("https://baanknet.com/view-property/243341/FE42B034DC934BAB67C13771ECD63F51CACC5CD2E7B76F2F445446E2D1E83594", "Open")</f>
        <v>Open</v>
      </c>
      <c r="J1375" t="s">
        <v>3803</v>
      </c>
      <c r="L1375">
        <v>2707000</v>
      </c>
      <c r="M1375">
        <v>271000</v>
      </c>
    </row>
    <row r="1376" spans="1:13" x14ac:dyDescent="0.25">
      <c r="A1376" t="s">
        <v>4793</v>
      </c>
      <c r="B1376" t="s">
        <v>4794</v>
      </c>
      <c r="C1376" t="s">
        <v>571</v>
      </c>
      <c r="D1376" t="s">
        <v>4795</v>
      </c>
      <c r="E1376" t="s">
        <v>579</v>
      </c>
      <c r="F1376" t="s">
        <v>574</v>
      </c>
      <c r="G1376" t="s">
        <v>4796</v>
      </c>
      <c r="H1376" t="str">
        <f>HYPERLINK("https://baanknet.com/view-property/275983/7D6F1AA2A4006833757C5FF0E0C22E73A57AF3F1DD44A5BCCC6F09AF6BDEE74F", "https://baanknet.com/view-property/275983/7D6F1AA2A4006833757C5FF0E0C22E73A57AF3F1DD44A5BCCC6F09AF6BDEE74F")</f>
        <v>https://baanknet.com/view-property/275983/7D6F1AA2A4006833757C5FF0E0C22E73A57AF3F1DD44A5BCCC6F09AF6BDEE74F</v>
      </c>
      <c r="I1376" t="str">
        <f>HYPERLINK("https://baanknet.com/view-property/275983/7D6F1AA2A4006833757C5FF0E0C22E73A57AF3F1DD44A5BCCC6F09AF6BDEE74F", "Open")</f>
        <v>Open</v>
      </c>
      <c r="J1376" t="s">
        <v>3803</v>
      </c>
      <c r="L1376">
        <v>3350000</v>
      </c>
      <c r="M1376">
        <v>335000</v>
      </c>
    </row>
    <row r="1377" spans="1:13" x14ac:dyDescent="0.25">
      <c r="A1377" t="s">
        <v>4797</v>
      </c>
      <c r="B1377" t="s">
        <v>4798</v>
      </c>
      <c r="C1377" t="s">
        <v>571</v>
      </c>
      <c r="D1377" t="s">
        <v>4799</v>
      </c>
      <c r="E1377" t="s">
        <v>579</v>
      </c>
      <c r="F1377" t="s">
        <v>574</v>
      </c>
      <c r="G1377" t="s">
        <v>4800</v>
      </c>
      <c r="H1377" t="str">
        <f>HYPERLINK("https://baanknet.com/view-property/282054/90A1ED1E1DA6C80F3073972B35C23320B4FC18726F6C838A08EBE1D23510BB3A", "https://baanknet.com/view-property/282054/90A1ED1E1DA6C80F3073972B35C23320B4FC18726F6C838A08EBE1D23510BB3A")</f>
        <v>https://baanknet.com/view-property/282054/90A1ED1E1DA6C80F3073972B35C23320B4FC18726F6C838A08EBE1D23510BB3A</v>
      </c>
      <c r="I1377" t="str">
        <f>HYPERLINK("https://baanknet.com/view-property/282054/90A1ED1E1DA6C80F3073972B35C23320B4FC18726F6C838A08EBE1D23510BB3A", "Open")</f>
        <v>Open</v>
      </c>
      <c r="J1377" t="s">
        <v>3803</v>
      </c>
      <c r="L1377">
        <v>1895000</v>
      </c>
      <c r="M1377">
        <v>189500</v>
      </c>
    </row>
    <row r="1378" spans="1:13" x14ac:dyDescent="0.25">
      <c r="A1378" t="s">
        <v>4801</v>
      </c>
      <c r="B1378" t="s">
        <v>4802</v>
      </c>
      <c r="C1378" t="s">
        <v>571</v>
      </c>
      <c r="D1378" t="s">
        <v>4471</v>
      </c>
      <c r="E1378" t="s">
        <v>579</v>
      </c>
      <c r="F1378" t="s">
        <v>574</v>
      </c>
      <c r="G1378" t="s">
        <v>4803</v>
      </c>
      <c r="H1378" t="str">
        <f>HYPERLINK("https://baanknet.com/view-property/207664/069618660DB4B1C7779885B07BCB89F9BF1FED37D2B2B08F85F238EFFBF83927", "https://baanknet.com/view-property/207664/069618660DB4B1C7779885B07BCB89F9BF1FED37D2B2B08F85F238EFFBF83927")</f>
        <v>https://baanknet.com/view-property/207664/069618660DB4B1C7779885B07BCB89F9BF1FED37D2B2B08F85F238EFFBF83927</v>
      </c>
      <c r="I1378" t="str">
        <f>HYPERLINK("https://baanknet.com/view-property/207664/069618660DB4B1C7779885B07BCB89F9BF1FED37D2B2B08F85F238EFFBF83927", "Open")</f>
        <v>Open</v>
      </c>
      <c r="J1378" t="s">
        <v>3803</v>
      </c>
      <c r="L1378">
        <v>1560000</v>
      </c>
      <c r="M1378">
        <v>156000</v>
      </c>
    </row>
    <row r="1379" spans="1:13" x14ac:dyDescent="0.25">
      <c r="A1379" t="s">
        <v>4804</v>
      </c>
      <c r="B1379" t="s">
        <v>4805</v>
      </c>
      <c r="C1379" t="s">
        <v>571</v>
      </c>
      <c r="D1379" t="s">
        <v>4806</v>
      </c>
      <c r="E1379" t="s">
        <v>579</v>
      </c>
      <c r="F1379" t="s">
        <v>574</v>
      </c>
      <c r="G1379" t="s">
        <v>4807</v>
      </c>
      <c r="H1379" t="str">
        <f>HYPERLINK("https://baanknet.com/view-property/67152/1EE9E2BE06B2F6D233C285ED4A61FB95A2F6086ACFE8C66EDE2B670654A89E1D", "https://baanknet.com/view-property/67152/1EE9E2BE06B2F6D233C285ED4A61FB95A2F6086ACFE8C66EDE2B670654A89E1D")</f>
        <v>https://baanknet.com/view-property/67152/1EE9E2BE06B2F6D233C285ED4A61FB95A2F6086ACFE8C66EDE2B670654A89E1D</v>
      </c>
      <c r="I1379" t="str">
        <f>HYPERLINK("https://baanknet.com/view-property/67152/1EE9E2BE06B2F6D233C285ED4A61FB95A2F6086ACFE8C66EDE2B670654A89E1D", "Open")</f>
        <v>Open</v>
      </c>
      <c r="J1379" t="s">
        <v>3803</v>
      </c>
      <c r="L1379">
        <v>1700000</v>
      </c>
      <c r="M1379">
        <v>170000</v>
      </c>
    </row>
    <row r="1380" spans="1:13" x14ac:dyDescent="0.25">
      <c r="A1380" t="s">
        <v>4808</v>
      </c>
      <c r="B1380" t="s">
        <v>4809</v>
      </c>
      <c r="C1380" t="s">
        <v>571</v>
      </c>
      <c r="D1380" t="s">
        <v>4810</v>
      </c>
      <c r="E1380" t="s">
        <v>579</v>
      </c>
      <c r="F1380" t="s">
        <v>574</v>
      </c>
      <c r="G1380" t="s">
        <v>4811</v>
      </c>
      <c r="H1380" t="str">
        <f>HYPERLINK("https://baanknet.com/view-property/286140/56DA9BAAA84786BBC4392D7458AC657A785D70BC806D70D5FA82EC389AFAD0E3", "https://baanknet.com/view-property/286140/56DA9BAAA84786BBC4392D7458AC657A785D70BC806D70D5FA82EC389AFAD0E3")</f>
        <v>https://baanknet.com/view-property/286140/56DA9BAAA84786BBC4392D7458AC657A785D70BC806D70D5FA82EC389AFAD0E3</v>
      </c>
      <c r="I1380" t="str">
        <f>HYPERLINK("https://baanknet.com/view-property/286140/56DA9BAAA84786BBC4392D7458AC657A785D70BC806D70D5FA82EC389AFAD0E3", "Open")</f>
        <v>Open</v>
      </c>
      <c r="J1380" t="s">
        <v>3803</v>
      </c>
      <c r="L1380">
        <v>2687000</v>
      </c>
      <c r="M1380">
        <v>268700</v>
      </c>
    </row>
    <row r="1381" spans="1:13" x14ac:dyDescent="0.25">
      <c r="A1381" t="s">
        <v>4812</v>
      </c>
      <c r="B1381" t="s">
        <v>4813</v>
      </c>
      <c r="C1381" t="s">
        <v>571</v>
      </c>
      <c r="D1381" t="s">
        <v>4814</v>
      </c>
      <c r="E1381" t="s">
        <v>579</v>
      </c>
      <c r="F1381" t="s">
        <v>574</v>
      </c>
      <c r="G1381" t="s">
        <v>4815</v>
      </c>
      <c r="H1381" t="str">
        <f>HYPERLINK("https://baanknet.com/view-property/231623/0AB1CF8E22FF753F100688BDB1440E1FAAABE841282EE5AE7E0EB8D0BBE7370F", "https://baanknet.com/view-property/231623/0AB1CF8E22FF753F100688BDB1440E1FAAABE841282EE5AE7E0EB8D0BBE7370F")</f>
        <v>https://baanknet.com/view-property/231623/0AB1CF8E22FF753F100688BDB1440E1FAAABE841282EE5AE7E0EB8D0BBE7370F</v>
      </c>
      <c r="I1381" t="str">
        <f>HYPERLINK("https://baanknet.com/view-property/231623/0AB1CF8E22FF753F100688BDB1440E1FAAABE841282EE5AE7E0EB8D0BBE7370F", "Open")</f>
        <v>Open</v>
      </c>
      <c r="J1381" t="s">
        <v>3803</v>
      </c>
      <c r="L1381">
        <v>4900000</v>
      </c>
      <c r="M1381">
        <v>490000</v>
      </c>
    </row>
    <row r="1382" spans="1:13" x14ac:dyDescent="0.25">
      <c r="A1382" t="s">
        <v>4816</v>
      </c>
      <c r="B1382" t="s">
        <v>4817</v>
      </c>
      <c r="C1382" t="s">
        <v>571</v>
      </c>
      <c r="D1382" t="s">
        <v>3351</v>
      </c>
      <c r="E1382" t="s">
        <v>579</v>
      </c>
      <c r="F1382" t="s">
        <v>574</v>
      </c>
      <c r="G1382" t="s">
        <v>4818</v>
      </c>
      <c r="H1382" t="str">
        <f>HYPERLINK("https://baanknet.com/view-property/282058/E897DA64F9ABDD3E69422FBCC92CCDD38BC9EB720BB823A6EBAF2D85B9733009", "https://baanknet.com/view-property/282058/E897DA64F9ABDD3E69422FBCC92CCDD38BC9EB720BB823A6EBAF2D85B9733009")</f>
        <v>https://baanknet.com/view-property/282058/E897DA64F9ABDD3E69422FBCC92CCDD38BC9EB720BB823A6EBAF2D85B9733009</v>
      </c>
      <c r="I1382" t="str">
        <f>HYPERLINK("https://baanknet.com/view-property/282058/E897DA64F9ABDD3E69422FBCC92CCDD38BC9EB720BB823A6EBAF2D85B9733009", "Open")</f>
        <v>Open</v>
      </c>
      <c r="J1382" t="s">
        <v>3803</v>
      </c>
      <c r="L1382">
        <v>3524000</v>
      </c>
      <c r="M1382">
        <v>352400</v>
      </c>
    </row>
    <row r="1383" spans="1:13" x14ac:dyDescent="0.25">
      <c r="A1383" t="s">
        <v>4819</v>
      </c>
      <c r="B1383" t="s">
        <v>4820</v>
      </c>
      <c r="C1383" t="s">
        <v>571</v>
      </c>
      <c r="D1383" t="s">
        <v>4821</v>
      </c>
      <c r="E1383" t="s">
        <v>579</v>
      </c>
      <c r="F1383" t="s">
        <v>574</v>
      </c>
      <c r="G1383" t="s">
        <v>4822</v>
      </c>
      <c r="H1383" t="str">
        <f>HYPERLINK("https://baanknet.com/view-property/268333/23EDE456CF0348ABC65A6998CE8E70CC169E447895D2D01578163B023A017FDC", "https://baanknet.com/view-property/268333/23EDE456CF0348ABC65A6998CE8E70CC169E447895D2D01578163B023A017FDC")</f>
        <v>https://baanknet.com/view-property/268333/23EDE456CF0348ABC65A6998CE8E70CC169E447895D2D01578163B023A017FDC</v>
      </c>
      <c r="I1383" t="str">
        <f>HYPERLINK("https://baanknet.com/view-property/268333/23EDE456CF0348ABC65A6998CE8E70CC169E447895D2D01578163B023A017FDC", "Open")</f>
        <v>Open</v>
      </c>
      <c r="J1383" t="s">
        <v>3803</v>
      </c>
      <c r="L1383">
        <v>4410000</v>
      </c>
      <c r="M1383">
        <v>441000</v>
      </c>
    </row>
    <row r="1384" spans="1:13" x14ac:dyDescent="0.25">
      <c r="A1384" t="s">
        <v>4823</v>
      </c>
      <c r="B1384" t="s">
        <v>4824</v>
      </c>
      <c r="C1384" t="s">
        <v>571</v>
      </c>
      <c r="D1384" t="s">
        <v>4542</v>
      </c>
      <c r="E1384" t="s">
        <v>579</v>
      </c>
      <c r="F1384" t="s">
        <v>574</v>
      </c>
      <c r="G1384" t="s">
        <v>4825</v>
      </c>
      <c r="H1384" t="str">
        <f>HYPERLINK("https://baanknet.com/view-property/255518/E74FF7C8CE3248A133B9C87D971E93C9FBBD56452CC19ADB4FDD3B613CA96AF5", "https://baanknet.com/view-property/255518/E74FF7C8CE3248A133B9C87D971E93C9FBBD56452CC19ADB4FDD3B613CA96AF5")</f>
        <v>https://baanknet.com/view-property/255518/E74FF7C8CE3248A133B9C87D971E93C9FBBD56452CC19ADB4FDD3B613CA96AF5</v>
      </c>
      <c r="I1384" t="str">
        <f>HYPERLINK("https://baanknet.com/view-property/255518/E74FF7C8CE3248A133B9C87D971E93C9FBBD56452CC19ADB4FDD3B613CA96AF5", "Open")</f>
        <v>Open</v>
      </c>
      <c r="J1384" t="s">
        <v>3803</v>
      </c>
      <c r="L1384">
        <v>55100000</v>
      </c>
      <c r="M1384">
        <v>5510000</v>
      </c>
    </row>
    <row r="1385" spans="1:13" x14ac:dyDescent="0.25">
      <c r="A1385" t="s">
        <v>4826</v>
      </c>
      <c r="B1385" t="s">
        <v>4827</v>
      </c>
      <c r="C1385" t="s">
        <v>571</v>
      </c>
      <c r="D1385" t="s">
        <v>4828</v>
      </c>
      <c r="E1385" t="s">
        <v>579</v>
      </c>
      <c r="F1385" t="s">
        <v>574</v>
      </c>
      <c r="G1385" t="s">
        <v>4829</v>
      </c>
      <c r="H1385" t="str">
        <f>HYPERLINK("https://baanknet.com/view-property/264494/DF32D63692CA9AB07BCD718D92DA4C8C23EB7133F8E0FDA39EBEE14C0B97993F", "https://baanknet.com/view-property/264494/DF32D63692CA9AB07BCD718D92DA4C8C23EB7133F8E0FDA39EBEE14C0B97993F")</f>
        <v>https://baanknet.com/view-property/264494/DF32D63692CA9AB07BCD718D92DA4C8C23EB7133F8E0FDA39EBEE14C0B97993F</v>
      </c>
      <c r="I1385" t="str">
        <f>HYPERLINK("https://baanknet.com/view-property/264494/DF32D63692CA9AB07BCD718D92DA4C8C23EB7133F8E0FDA39EBEE14C0B97993F", "Open")</f>
        <v>Open</v>
      </c>
      <c r="J1385" t="s">
        <v>3803</v>
      </c>
      <c r="L1385">
        <v>2115000</v>
      </c>
      <c r="M1385">
        <v>212000</v>
      </c>
    </row>
    <row r="1386" spans="1:13" x14ac:dyDescent="0.25">
      <c r="A1386" t="s">
        <v>4830</v>
      </c>
      <c r="B1386" t="s">
        <v>4831</v>
      </c>
      <c r="C1386" t="s">
        <v>571</v>
      </c>
      <c r="D1386" t="s">
        <v>4832</v>
      </c>
      <c r="E1386" t="s">
        <v>579</v>
      </c>
      <c r="F1386" t="s">
        <v>574</v>
      </c>
      <c r="G1386" t="s">
        <v>4833</v>
      </c>
      <c r="H1386" t="str">
        <f>HYPERLINK("https://baanknet.com/view-property/108087/A04C254C9D34B88F6ECC9C6491E6D809A062F38B9E54ADDCF43C0112E2AB24FB", "https://baanknet.com/view-property/108087/A04C254C9D34B88F6ECC9C6491E6D809A062F38B9E54ADDCF43C0112E2AB24FB")</f>
        <v>https://baanknet.com/view-property/108087/A04C254C9D34B88F6ECC9C6491E6D809A062F38B9E54ADDCF43C0112E2AB24FB</v>
      </c>
      <c r="I1386" t="str">
        <f>HYPERLINK("https://baanknet.com/view-property/108087/A04C254C9D34B88F6ECC9C6491E6D809A062F38B9E54ADDCF43C0112E2AB24FB", "Open")</f>
        <v>Open</v>
      </c>
      <c r="J1386" t="s">
        <v>3803</v>
      </c>
    </row>
    <row r="1387" spans="1:13" x14ac:dyDescent="0.25">
      <c r="A1387" t="s">
        <v>4834</v>
      </c>
      <c r="B1387" t="s">
        <v>4835</v>
      </c>
      <c r="C1387" t="s">
        <v>571</v>
      </c>
      <c r="D1387" t="s">
        <v>1481</v>
      </c>
      <c r="E1387" t="s">
        <v>579</v>
      </c>
      <c r="F1387" t="s">
        <v>574</v>
      </c>
      <c r="G1387" t="s">
        <v>4836</v>
      </c>
      <c r="H1387" t="str">
        <f>HYPERLINK("https://baanknet.com/view-property/183606/707B7437F095E171437E14A7EB09301C5698F748BB72FD044A03DB86D63B9FD0", "https://baanknet.com/view-property/183606/707B7437F095E171437E14A7EB09301C5698F748BB72FD044A03DB86D63B9FD0")</f>
        <v>https://baanknet.com/view-property/183606/707B7437F095E171437E14A7EB09301C5698F748BB72FD044A03DB86D63B9FD0</v>
      </c>
      <c r="I1387" t="str">
        <f>HYPERLINK("https://baanknet.com/view-property/183606/707B7437F095E171437E14A7EB09301C5698F748BB72FD044A03DB86D63B9FD0", "Open")</f>
        <v>Open</v>
      </c>
      <c r="J1387" t="s">
        <v>3803</v>
      </c>
      <c r="L1387">
        <v>2000000</v>
      </c>
      <c r="M1387">
        <v>200000</v>
      </c>
    </row>
    <row r="1388" spans="1:13" x14ac:dyDescent="0.25">
      <c r="A1388" t="s">
        <v>4837</v>
      </c>
      <c r="B1388" t="s">
        <v>4838</v>
      </c>
      <c r="C1388" t="s">
        <v>571</v>
      </c>
      <c r="D1388" t="s">
        <v>1481</v>
      </c>
      <c r="E1388" t="s">
        <v>579</v>
      </c>
      <c r="F1388" t="s">
        <v>574</v>
      </c>
      <c r="G1388" t="s">
        <v>4839</v>
      </c>
      <c r="H1388" t="str">
        <f>HYPERLINK("https://baanknet.com/view-property/183927/7C7C76F0B122C14193F3630DAB26C37E873EC47073CFABD95EA5802A2D34D573", "https://baanknet.com/view-property/183927/7C7C76F0B122C14193F3630DAB26C37E873EC47073CFABD95EA5802A2D34D573")</f>
        <v>https://baanknet.com/view-property/183927/7C7C76F0B122C14193F3630DAB26C37E873EC47073CFABD95EA5802A2D34D573</v>
      </c>
      <c r="I1388" t="str">
        <f>HYPERLINK("https://baanknet.com/view-property/183927/7C7C76F0B122C14193F3630DAB26C37E873EC47073CFABD95EA5802A2D34D573", "Open")</f>
        <v>Open</v>
      </c>
      <c r="J1388" t="s">
        <v>3803</v>
      </c>
      <c r="L1388">
        <v>1278000</v>
      </c>
      <c r="M1388">
        <v>127800</v>
      </c>
    </row>
    <row r="1389" spans="1:13" x14ac:dyDescent="0.25">
      <c r="A1389" t="s">
        <v>4840</v>
      </c>
      <c r="B1389" t="s">
        <v>4841</v>
      </c>
      <c r="C1389" t="s">
        <v>571</v>
      </c>
      <c r="D1389" t="s">
        <v>1310</v>
      </c>
      <c r="E1389" t="s">
        <v>579</v>
      </c>
      <c r="F1389" t="s">
        <v>574</v>
      </c>
      <c r="G1389" t="s">
        <v>4842</v>
      </c>
      <c r="H1389" t="str">
        <f>HYPERLINK("https://baanknet.com/view-property/237793/7C8B81099A6E209772D84552F6E12D3FC4B15DD40E208A36039FF309108F0C71", "https://baanknet.com/view-property/237793/7C8B81099A6E209772D84552F6E12D3FC4B15DD40E208A36039FF309108F0C71")</f>
        <v>https://baanknet.com/view-property/237793/7C8B81099A6E209772D84552F6E12D3FC4B15DD40E208A36039FF309108F0C71</v>
      </c>
      <c r="I1389" t="str">
        <f>HYPERLINK("https://baanknet.com/view-property/237793/7C8B81099A6E209772D84552F6E12D3FC4B15DD40E208A36039FF309108F0C71", "Open")</f>
        <v>Open</v>
      </c>
      <c r="J1389" t="s">
        <v>3803</v>
      </c>
      <c r="L1389">
        <v>33900000</v>
      </c>
      <c r="M1389">
        <v>3390000</v>
      </c>
    </row>
    <row r="1390" spans="1:13" x14ac:dyDescent="0.25">
      <c r="A1390" t="s">
        <v>4843</v>
      </c>
      <c r="B1390" t="s">
        <v>4844</v>
      </c>
      <c r="C1390" t="s">
        <v>571</v>
      </c>
      <c r="D1390" t="s">
        <v>1310</v>
      </c>
      <c r="E1390" t="s">
        <v>579</v>
      </c>
      <c r="F1390" t="s">
        <v>574</v>
      </c>
      <c r="G1390" t="s">
        <v>4845</v>
      </c>
      <c r="H1390" t="str">
        <f>HYPERLINK("https://baanknet.com/view-property/237798/FCDF88E313AE36C4FBE174759E9E25F081F9119F7887190D01C0FF39E358747C", "https://baanknet.com/view-property/237798/FCDF88E313AE36C4FBE174759E9E25F081F9119F7887190D01C0FF39E358747C")</f>
        <v>https://baanknet.com/view-property/237798/FCDF88E313AE36C4FBE174759E9E25F081F9119F7887190D01C0FF39E358747C</v>
      </c>
      <c r="I1390" t="str">
        <f>HYPERLINK("https://baanknet.com/view-property/237798/FCDF88E313AE36C4FBE174759E9E25F081F9119F7887190D01C0FF39E358747C", "Open")</f>
        <v>Open</v>
      </c>
      <c r="J1390" t="s">
        <v>3803</v>
      </c>
      <c r="L1390">
        <v>34700000</v>
      </c>
      <c r="M1390">
        <v>3470000</v>
      </c>
    </row>
    <row r="1391" spans="1:13" x14ac:dyDescent="0.25">
      <c r="A1391" t="s">
        <v>4846</v>
      </c>
      <c r="B1391" t="s">
        <v>4847</v>
      </c>
      <c r="C1391" t="s">
        <v>571</v>
      </c>
      <c r="D1391" t="s">
        <v>4246</v>
      </c>
      <c r="E1391" t="s">
        <v>579</v>
      </c>
      <c r="F1391" t="s">
        <v>574</v>
      </c>
      <c r="G1391" t="s">
        <v>4848</v>
      </c>
      <c r="H1391" t="str">
        <f>HYPERLINK("https://baanknet.com/view-property/221307/32C4A173F5A050CD43E1DDDD2AB45966C9A67DC77436D0EACE6A10E4E5CA1345", "https://baanknet.com/view-property/221307/32C4A173F5A050CD43E1DDDD2AB45966C9A67DC77436D0EACE6A10E4E5CA1345")</f>
        <v>https://baanknet.com/view-property/221307/32C4A173F5A050CD43E1DDDD2AB45966C9A67DC77436D0EACE6A10E4E5CA1345</v>
      </c>
      <c r="I1391" t="str">
        <f>HYPERLINK("https://baanknet.com/view-property/221307/32C4A173F5A050CD43E1DDDD2AB45966C9A67DC77436D0EACE6A10E4E5CA1345", "Open")</f>
        <v>Open</v>
      </c>
      <c r="J1391" t="s">
        <v>3803</v>
      </c>
      <c r="L1391">
        <v>2300000</v>
      </c>
      <c r="M1391">
        <v>230000</v>
      </c>
    </row>
    <row r="1392" spans="1:13" x14ac:dyDescent="0.25">
      <c r="A1392" t="s">
        <v>4849</v>
      </c>
      <c r="B1392" t="s">
        <v>4850</v>
      </c>
      <c r="C1392" t="s">
        <v>571</v>
      </c>
      <c r="D1392" t="s">
        <v>4246</v>
      </c>
      <c r="E1392" t="s">
        <v>579</v>
      </c>
      <c r="F1392" t="s">
        <v>574</v>
      </c>
      <c r="G1392" t="s">
        <v>4851</v>
      </c>
      <c r="H1392" t="str">
        <f>HYPERLINK("https://baanknet.com/view-property/221303/4D755333768832FD764AED766631653439D8E2C3E48D4947CD004BA51A52B386", "https://baanknet.com/view-property/221303/4D755333768832FD764AED766631653439D8E2C3E48D4947CD004BA51A52B386")</f>
        <v>https://baanknet.com/view-property/221303/4D755333768832FD764AED766631653439D8E2C3E48D4947CD004BA51A52B386</v>
      </c>
      <c r="I1392" t="str">
        <f>HYPERLINK("https://baanknet.com/view-property/221303/4D755333768832FD764AED766631653439D8E2C3E48D4947CD004BA51A52B386", "Open")</f>
        <v>Open</v>
      </c>
      <c r="J1392" t="s">
        <v>3803</v>
      </c>
      <c r="L1392">
        <v>2300000</v>
      </c>
      <c r="M1392">
        <v>230000</v>
      </c>
    </row>
    <row r="1393" spans="1:13" x14ac:dyDescent="0.25">
      <c r="A1393" t="s">
        <v>4852</v>
      </c>
      <c r="B1393" t="s">
        <v>4853</v>
      </c>
      <c r="C1393" t="s">
        <v>571</v>
      </c>
      <c r="D1393" t="s">
        <v>1293</v>
      </c>
      <c r="E1393" t="s">
        <v>579</v>
      </c>
      <c r="F1393" t="s">
        <v>574</v>
      </c>
      <c r="G1393" t="s">
        <v>4854</v>
      </c>
      <c r="H1393" t="str">
        <f>HYPERLINK("https://baanknet.com/view-property/252741/C858E85A6580D59227009881B79E3777531C20CA631E9361A5562E96FD06C1E2", "https://baanknet.com/view-property/252741/C858E85A6580D59227009881B79E3777531C20CA631E9361A5562E96FD06C1E2")</f>
        <v>https://baanknet.com/view-property/252741/C858E85A6580D59227009881B79E3777531C20CA631E9361A5562E96FD06C1E2</v>
      </c>
      <c r="I1393" t="str">
        <f>HYPERLINK("https://baanknet.com/view-property/252741/C858E85A6580D59227009881B79E3777531C20CA631E9361A5562E96FD06C1E2", "Open")</f>
        <v>Open</v>
      </c>
      <c r="J1393" t="s">
        <v>3803</v>
      </c>
      <c r="L1393">
        <v>2400000</v>
      </c>
      <c r="M1393">
        <v>240000</v>
      </c>
    </row>
    <row r="1394" spans="1:13" x14ac:dyDescent="0.25">
      <c r="A1394" t="s">
        <v>4855</v>
      </c>
      <c r="B1394" t="s">
        <v>4856</v>
      </c>
      <c r="C1394" t="s">
        <v>571</v>
      </c>
      <c r="D1394" t="s">
        <v>533</v>
      </c>
      <c r="E1394" t="s">
        <v>579</v>
      </c>
      <c r="F1394" t="s">
        <v>574</v>
      </c>
      <c r="G1394" t="s">
        <v>4857</v>
      </c>
      <c r="H1394" t="str">
        <f>HYPERLINK("https://baanknet.com/view-property/202639/3C77E5A708A5075187174D2EF5E6F6E4D49EC6A765A32B0E122E744D3814674D", "https://baanknet.com/view-property/202639/3C77E5A708A5075187174D2EF5E6F6E4D49EC6A765A32B0E122E744D3814674D")</f>
        <v>https://baanknet.com/view-property/202639/3C77E5A708A5075187174D2EF5E6F6E4D49EC6A765A32B0E122E744D3814674D</v>
      </c>
      <c r="I1394" t="str">
        <f>HYPERLINK("https://baanknet.com/view-property/202639/3C77E5A708A5075187174D2EF5E6F6E4D49EC6A765A32B0E122E744D3814674D", "Open")</f>
        <v>Open</v>
      </c>
      <c r="J1394" t="s">
        <v>3803</v>
      </c>
      <c r="L1394">
        <v>1300000</v>
      </c>
      <c r="M1394">
        <v>130000</v>
      </c>
    </row>
    <row r="1395" spans="1:13" x14ac:dyDescent="0.25">
      <c r="A1395" t="s">
        <v>4858</v>
      </c>
      <c r="B1395" t="s">
        <v>4859</v>
      </c>
      <c r="C1395" t="s">
        <v>571</v>
      </c>
      <c r="D1395" t="s">
        <v>346</v>
      </c>
      <c r="E1395" t="s">
        <v>579</v>
      </c>
      <c r="F1395" t="s">
        <v>574</v>
      </c>
      <c r="G1395" t="s">
        <v>4860</v>
      </c>
      <c r="H1395" t="str">
        <f>HYPERLINK("https://baanknet.com/view-property/32536/4D6FF43FC092753055C65FA6265CE34B14A8B23A1F7834110EBD6610232C4876", "https://baanknet.com/view-property/32536/4D6FF43FC092753055C65FA6265CE34B14A8B23A1F7834110EBD6610232C4876")</f>
        <v>https://baanknet.com/view-property/32536/4D6FF43FC092753055C65FA6265CE34B14A8B23A1F7834110EBD6610232C4876</v>
      </c>
      <c r="I1395" t="str">
        <f>HYPERLINK("https://baanknet.com/view-property/32536/4D6FF43FC092753055C65FA6265CE34B14A8B23A1F7834110EBD6610232C4876", "Open")</f>
        <v>Open</v>
      </c>
      <c r="J1395" t="s">
        <v>3803</v>
      </c>
      <c r="L1395">
        <v>2776000</v>
      </c>
      <c r="M1395">
        <v>277600</v>
      </c>
    </row>
    <row r="1396" spans="1:13" x14ac:dyDescent="0.25">
      <c r="A1396" t="s">
        <v>4861</v>
      </c>
      <c r="B1396" t="s">
        <v>4862</v>
      </c>
      <c r="C1396" t="s">
        <v>571</v>
      </c>
      <c r="D1396" t="s">
        <v>4863</v>
      </c>
      <c r="E1396" t="s">
        <v>579</v>
      </c>
      <c r="F1396" t="s">
        <v>574</v>
      </c>
      <c r="G1396" t="s">
        <v>4864</v>
      </c>
      <c r="H1396" t="str">
        <f>HYPERLINK("https://baanknet.com/view-property/267124/B9C224BBE70E34DE6A728F6CFA159081BC73BF01B6F128997AA2E017E6FE3CCE", "https://baanknet.com/view-property/267124/B9C224BBE70E34DE6A728F6CFA159081BC73BF01B6F128997AA2E017E6FE3CCE")</f>
        <v>https://baanknet.com/view-property/267124/B9C224BBE70E34DE6A728F6CFA159081BC73BF01B6F128997AA2E017E6FE3CCE</v>
      </c>
      <c r="I1396" t="str">
        <f>HYPERLINK("https://baanknet.com/view-property/267124/B9C224BBE70E34DE6A728F6CFA159081BC73BF01B6F128997AA2E017E6FE3CCE", "Open")</f>
        <v>Open</v>
      </c>
      <c r="J1396" t="s">
        <v>3803</v>
      </c>
      <c r="L1396">
        <v>1800000</v>
      </c>
      <c r="M1396">
        <v>180000</v>
      </c>
    </row>
    <row r="1397" spans="1:13" x14ac:dyDescent="0.25">
      <c r="A1397" t="s">
        <v>4865</v>
      </c>
      <c r="B1397" t="s">
        <v>4866</v>
      </c>
      <c r="C1397" t="s">
        <v>571</v>
      </c>
      <c r="D1397" t="s">
        <v>4863</v>
      </c>
      <c r="E1397" t="s">
        <v>579</v>
      </c>
      <c r="F1397" t="s">
        <v>574</v>
      </c>
      <c r="G1397" t="s">
        <v>4867</v>
      </c>
      <c r="H1397" t="str">
        <f>HYPERLINK("https://baanknet.com/view-property/261335/61894B93DD64C6F901281BA2A58A313CB8020E16F4FA34E486C7A3620606C12D", "https://baanknet.com/view-property/261335/61894B93DD64C6F901281BA2A58A313CB8020E16F4FA34E486C7A3620606C12D")</f>
        <v>https://baanknet.com/view-property/261335/61894B93DD64C6F901281BA2A58A313CB8020E16F4FA34E486C7A3620606C12D</v>
      </c>
      <c r="I1397" t="str">
        <f>HYPERLINK("https://baanknet.com/view-property/261335/61894B93DD64C6F901281BA2A58A313CB8020E16F4FA34E486C7A3620606C12D", "Open")</f>
        <v>Open</v>
      </c>
      <c r="J1397" t="s">
        <v>3803</v>
      </c>
      <c r="L1397">
        <v>2000000</v>
      </c>
      <c r="M1397">
        <v>200000</v>
      </c>
    </row>
    <row r="1398" spans="1:13" x14ac:dyDescent="0.25">
      <c r="A1398" t="s">
        <v>4868</v>
      </c>
      <c r="B1398" t="s">
        <v>4869</v>
      </c>
      <c r="C1398" t="s">
        <v>571</v>
      </c>
      <c r="D1398" t="s">
        <v>346</v>
      </c>
      <c r="E1398" t="s">
        <v>579</v>
      </c>
      <c r="F1398" t="s">
        <v>574</v>
      </c>
      <c r="G1398" t="s">
        <v>4870</v>
      </c>
      <c r="H1398" t="str">
        <f>HYPERLINK("https://baanknet.com/view-property/75615/B974F04D470607790FF866985493A78D2B5AF55B6DE0C94B585DC381DC9B68BA", "https://baanknet.com/view-property/75615/B974F04D470607790FF866985493A78D2B5AF55B6DE0C94B585DC381DC9B68BA")</f>
        <v>https://baanknet.com/view-property/75615/B974F04D470607790FF866985493A78D2B5AF55B6DE0C94B585DC381DC9B68BA</v>
      </c>
      <c r="I1398" t="str">
        <f>HYPERLINK("https://baanknet.com/view-property/75615/B974F04D470607790FF866985493A78D2B5AF55B6DE0C94B585DC381DC9B68BA", "Open")</f>
        <v>Open</v>
      </c>
      <c r="J1398" t="s">
        <v>3803</v>
      </c>
      <c r="L1398">
        <v>3234330</v>
      </c>
      <c r="M1398">
        <v>323433</v>
      </c>
    </row>
    <row r="1399" spans="1:13" x14ac:dyDescent="0.25">
      <c r="A1399" t="s">
        <v>4871</v>
      </c>
      <c r="B1399" t="s">
        <v>4872</v>
      </c>
      <c r="C1399" t="s">
        <v>332</v>
      </c>
      <c r="D1399" t="s">
        <v>4095</v>
      </c>
      <c r="E1399" t="s">
        <v>579</v>
      </c>
      <c r="F1399" t="s">
        <v>574</v>
      </c>
      <c r="G1399" t="s">
        <v>4873</v>
      </c>
      <c r="H1399" t="str">
        <f>HYPERLINK("https://baanknet.com/view-property/283827/4038E24554B22786F59140A35A98A5BAE0F1241F011A4FA6521A8B0A7A8CB54D", "https://baanknet.com/view-property/283827/4038E24554B22786F59140A35A98A5BAE0F1241F011A4FA6521A8B0A7A8CB54D")</f>
        <v>https://baanknet.com/view-property/283827/4038E24554B22786F59140A35A98A5BAE0F1241F011A4FA6521A8B0A7A8CB54D</v>
      </c>
      <c r="I1399" t="str">
        <f>HYPERLINK("https://baanknet.com/view-property/283827/4038E24554B22786F59140A35A98A5BAE0F1241F011A4FA6521A8B0A7A8CB54D", "Open")</f>
        <v>Open</v>
      </c>
      <c r="J1399" t="s">
        <v>3803</v>
      </c>
      <c r="L1399">
        <v>2600000</v>
      </c>
      <c r="M1399">
        <v>260000</v>
      </c>
    </row>
    <row r="1400" spans="1:13" x14ac:dyDescent="0.25">
      <c r="A1400" t="s">
        <v>4874</v>
      </c>
      <c r="B1400" t="s">
        <v>4875</v>
      </c>
      <c r="C1400" t="s">
        <v>589</v>
      </c>
      <c r="D1400" t="s">
        <v>4876</v>
      </c>
      <c r="E1400" t="s">
        <v>579</v>
      </c>
      <c r="F1400" t="s">
        <v>574</v>
      </c>
      <c r="G1400" t="s">
        <v>4877</v>
      </c>
      <c r="H1400" t="str">
        <f>HYPERLINK("https://baanknet.com/view-property/257261/CBB17E44333AFBC8478F595C6B5544189F7627D3C16E624E36D13B199E70034F", "https://baanknet.com/view-property/257261/CBB17E44333AFBC8478F595C6B5544189F7627D3C16E624E36D13B199E70034F")</f>
        <v>https://baanknet.com/view-property/257261/CBB17E44333AFBC8478F595C6B5544189F7627D3C16E624E36D13B199E70034F</v>
      </c>
      <c r="I1400" t="str">
        <f>HYPERLINK("https://baanknet.com/view-property/257261/CBB17E44333AFBC8478F595C6B5544189F7627D3C16E624E36D13B199E70034F", "Open")</f>
        <v>Open</v>
      </c>
      <c r="J1400" t="s">
        <v>3803</v>
      </c>
      <c r="L1400">
        <v>1863000</v>
      </c>
      <c r="M1400">
        <v>186300</v>
      </c>
    </row>
    <row r="1401" spans="1:13" x14ac:dyDescent="0.25">
      <c r="A1401" t="s">
        <v>4878</v>
      </c>
      <c r="B1401" t="s">
        <v>4879</v>
      </c>
      <c r="C1401" t="s">
        <v>571</v>
      </c>
      <c r="D1401" t="s">
        <v>4880</v>
      </c>
      <c r="E1401" t="s">
        <v>579</v>
      </c>
      <c r="F1401" t="s">
        <v>574</v>
      </c>
      <c r="G1401" t="s">
        <v>4881</v>
      </c>
      <c r="H1401" t="str">
        <f>HYPERLINK("https://baanknet.com/view-property/286075/93C9DE6AA6CA1290258D02B760A9A172BDE10386EEAF9E30D3469D571B48BC63", "https://baanknet.com/view-property/286075/93C9DE6AA6CA1290258D02B760A9A172BDE10386EEAF9E30D3469D571B48BC63")</f>
        <v>https://baanknet.com/view-property/286075/93C9DE6AA6CA1290258D02B760A9A172BDE10386EEAF9E30D3469D571B48BC63</v>
      </c>
      <c r="I1401" t="str">
        <f>HYPERLINK("https://baanknet.com/view-property/286075/93C9DE6AA6CA1290258D02B760A9A172BDE10386EEAF9E30D3469D571B48BC63", "Open")</f>
        <v>Open</v>
      </c>
      <c r="J1401" t="s">
        <v>3803</v>
      </c>
      <c r="L1401">
        <v>3300000</v>
      </c>
      <c r="M1401">
        <v>330000</v>
      </c>
    </row>
    <row r="1402" spans="1:13" x14ac:dyDescent="0.25">
      <c r="A1402" t="s">
        <v>4882</v>
      </c>
      <c r="B1402" t="s">
        <v>4883</v>
      </c>
      <c r="C1402" t="s">
        <v>589</v>
      </c>
      <c r="D1402" t="s">
        <v>4884</v>
      </c>
      <c r="E1402" t="s">
        <v>579</v>
      </c>
      <c r="F1402" t="s">
        <v>574</v>
      </c>
      <c r="G1402" t="s">
        <v>4885</v>
      </c>
      <c r="H1402" t="str">
        <f>HYPERLINK("https://baanknet.com/view-property/276274/2B77142E25CE946804D344327FB5B15F9FE3298475F42ED7635C9869AE1C2975", "https://baanknet.com/view-property/276274/2B77142E25CE946804D344327FB5B15F9FE3298475F42ED7635C9869AE1C2975")</f>
        <v>https://baanknet.com/view-property/276274/2B77142E25CE946804D344327FB5B15F9FE3298475F42ED7635C9869AE1C2975</v>
      </c>
      <c r="I1402" t="str">
        <f>HYPERLINK("https://baanknet.com/view-property/276274/2B77142E25CE946804D344327FB5B15F9FE3298475F42ED7635C9869AE1C2975", "Open")</f>
        <v>Open</v>
      </c>
      <c r="J1402" t="s">
        <v>3803</v>
      </c>
      <c r="L1402">
        <v>2635000</v>
      </c>
      <c r="M1402">
        <v>263500</v>
      </c>
    </row>
    <row r="1403" spans="1:13" x14ac:dyDescent="0.25">
      <c r="A1403" t="s">
        <v>4886</v>
      </c>
      <c r="B1403" t="s">
        <v>4887</v>
      </c>
      <c r="C1403" t="s">
        <v>589</v>
      </c>
      <c r="D1403" t="s">
        <v>4888</v>
      </c>
      <c r="E1403" t="s">
        <v>579</v>
      </c>
      <c r="F1403" t="s">
        <v>574</v>
      </c>
      <c r="G1403" t="s">
        <v>4889</v>
      </c>
      <c r="H1403" t="str">
        <f>HYPERLINK("https://baanknet.com/view-property/252724/9DDF77A87FAB121E35E5D28564BE1531425914D9FCFE9395B65923BA27A7169C", "https://baanknet.com/view-property/252724/9DDF77A87FAB121E35E5D28564BE1531425914D9FCFE9395B65923BA27A7169C")</f>
        <v>https://baanknet.com/view-property/252724/9DDF77A87FAB121E35E5D28564BE1531425914D9FCFE9395B65923BA27A7169C</v>
      </c>
      <c r="I1403" t="str">
        <f>HYPERLINK("https://baanknet.com/view-property/252724/9DDF77A87FAB121E35E5D28564BE1531425914D9FCFE9395B65923BA27A7169C", "Open")</f>
        <v>Open</v>
      </c>
      <c r="J1403" t="s">
        <v>3803</v>
      </c>
      <c r="L1403">
        <v>831000</v>
      </c>
      <c r="M1403">
        <v>83100</v>
      </c>
    </row>
    <row r="1404" spans="1:13" x14ac:dyDescent="0.25">
      <c r="A1404" t="s">
        <v>4890</v>
      </c>
      <c r="B1404" t="s">
        <v>4891</v>
      </c>
      <c r="C1404" t="s">
        <v>589</v>
      </c>
      <c r="D1404" t="s">
        <v>4892</v>
      </c>
      <c r="E1404" t="s">
        <v>579</v>
      </c>
      <c r="F1404" t="s">
        <v>574</v>
      </c>
      <c r="G1404" t="s">
        <v>4893</v>
      </c>
      <c r="H1404" t="str">
        <f>HYPERLINK("https://baanknet.com/view-property/252764/AD80F28DACC4FE70231C9E7B75594FD900E3C2FE167C26856CA9B8BD1994B00E", "https://baanknet.com/view-property/252764/AD80F28DACC4FE70231C9E7B75594FD900E3C2FE167C26856CA9B8BD1994B00E")</f>
        <v>https://baanknet.com/view-property/252764/AD80F28DACC4FE70231C9E7B75594FD900E3C2FE167C26856CA9B8BD1994B00E</v>
      </c>
      <c r="I1404" t="str">
        <f>HYPERLINK("https://baanknet.com/view-property/252764/AD80F28DACC4FE70231C9E7B75594FD900E3C2FE167C26856CA9B8BD1994B00E", "Open")</f>
        <v>Open</v>
      </c>
      <c r="J1404" t="s">
        <v>3803</v>
      </c>
      <c r="L1404">
        <v>958000</v>
      </c>
      <c r="M1404">
        <v>95800</v>
      </c>
    </row>
    <row r="1405" spans="1:13" x14ac:dyDescent="0.25">
      <c r="A1405" t="s">
        <v>4894</v>
      </c>
      <c r="B1405" t="s">
        <v>4895</v>
      </c>
      <c r="C1405" t="s">
        <v>589</v>
      </c>
      <c r="D1405" t="s">
        <v>4888</v>
      </c>
      <c r="E1405" t="s">
        <v>579</v>
      </c>
      <c r="F1405" t="s">
        <v>574</v>
      </c>
      <c r="G1405" t="s">
        <v>4896</v>
      </c>
      <c r="H1405" t="str">
        <f>HYPERLINK("https://baanknet.com/view-property/201483/7780C1BE1EB466FC5920BCA9ACBEA870E4D67D530D747D30D2C51AB38756E813", "https://baanknet.com/view-property/201483/7780C1BE1EB466FC5920BCA9ACBEA870E4D67D530D747D30D2C51AB38756E813")</f>
        <v>https://baanknet.com/view-property/201483/7780C1BE1EB466FC5920BCA9ACBEA870E4D67D530D747D30D2C51AB38756E813</v>
      </c>
      <c r="I1405" t="str">
        <f>HYPERLINK("https://baanknet.com/view-property/201483/7780C1BE1EB466FC5920BCA9ACBEA870E4D67D530D747D30D2C51AB38756E813", "Open")</f>
        <v>Open</v>
      </c>
      <c r="J1405" t="s">
        <v>3803</v>
      </c>
      <c r="L1405">
        <v>899000</v>
      </c>
      <c r="M1405">
        <v>89900</v>
      </c>
    </row>
    <row r="1406" spans="1:13" x14ac:dyDescent="0.25">
      <c r="A1406" t="s">
        <v>4897</v>
      </c>
      <c r="B1406" t="s">
        <v>4898</v>
      </c>
      <c r="C1406" t="s">
        <v>589</v>
      </c>
      <c r="D1406" t="s">
        <v>4665</v>
      </c>
      <c r="E1406" t="s">
        <v>579</v>
      </c>
      <c r="F1406" t="s">
        <v>574</v>
      </c>
      <c r="G1406" t="s">
        <v>4899</v>
      </c>
      <c r="H1406" t="str">
        <f>HYPERLINK("https://baanknet.com/view-property/115104/7DBE7FCA0FD06146FDA1C3806A31C9CCF82E24C1A9E812BFC6C86E47C32D2F12", "https://baanknet.com/view-property/115104/7DBE7FCA0FD06146FDA1C3806A31C9CCF82E24C1A9E812BFC6C86E47C32D2F12")</f>
        <v>https://baanknet.com/view-property/115104/7DBE7FCA0FD06146FDA1C3806A31C9CCF82E24C1A9E812BFC6C86E47C32D2F12</v>
      </c>
      <c r="I1406" t="str">
        <f>HYPERLINK("https://baanknet.com/view-property/115104/7DBE7FCA0FD06146FDA1C3806A31C9CCF82E24C1A9E812BFC6C86E47C32D2F12", "Open")</f>
        <v>Open</v>
      </c>
      <c r="J1406" t="s">
        <v>3803</v>
      </c>
      <c r="L1406">
        <v>5767000</v>
      </c>
      <c r="M1406">
        <v>576700</v>
      </c>
    </row>
    <row r="1407" spans="1:13" x14ac:dyDescent="0.25">
      <c r="A1407" t="s">
        <v>4900</v>
      </c>
      <c r="B1407" t="s">
        <v>4901</v>
      </c>
      <c r="C1407" t="s">
        <v>589</v>
      </c>
      <c r="D1407" t="s">
        <v>3217</v>
      </c>
      <c r="E1407" t="s">
        <v>579</v>
      </c>
      <c r="F1407" t="s">
        <v>574</v>
      </c>
      <c r="G1407" t="s">
        <v>4902</v>
      </c>
      <c r="H1407" t="str">
        <f>HYPERLINK("https://baanknet.com/view-property/227154/0F073DB0F627693A3A7E0E53180AF7C12652DC8DB76C18AD0717ADFBCCE96966", "https://baanknet.com/view-property/227154/0F073DB0F627693A3A7E0E53180AF7C12652DC8DB76C18AD0717ADFBCCE96966")</f>
        <v>https://baanknet.com/view-property/227154/0F073DB0F627693A3A7E0E53180AF7C12652DC8DB76C18AD0717ADFBCCE96966</v>
      </c>
      <c r="I1407" t="str">
        <f>HYPERLINK("https://baanknet.com/view-property/227154/0F073DB0F627693A3A7E0E53180AF7C12652DC8DB76C18AD0717ADFBCCE96966", "Open")</f>
        <v>Open</v>
      </c>
      <c r="J1407" t="s">
        <v>3803</v>
      </c>
      <c r="L1407">
        <v>2307000</v>
      </c>
      <c r="M1407">
        <v>230700</v>
      </c>
    </row>
    <row r="1408" spans="1:13" x14ac:dyDescent="0.25">
      <c r="A1408" t="s">
        <v>4903</v>
      </c>
      <c r="B1408" t="s">
        <v>4904</v>
      </c>
      <c r="C1408" t="s">
        <v>571</v>
      </c>
      <c r="D1408" t="s">
        <v>4905</v>
      </c>
      <c r="E1408" t="s">
        <v>579</v>
      </c>
      <c r="F1408" t="s">
        <v>574</v>
      </c>
      <c r="G1408" t="s">
        <v>4906</v>
      </c>
      <c r="H1408" t="str">
        <f>HYPERLINK("https://baanknet.com/view-property/261030/30286DC6AC6E1B5EB6CAEC7E733F3C2DCCC9367F27437F793DF067253981F2D3", "https://baanknet.com/view-property/261030/30286DC6AC6E1B5EB6CAEC7E733F3C2DCCC9367F27437F793DF067253981F2D3")</f>
        <v>https://baanknet.com/view-property/261030/30286DC6AC6E1B5EB6CAEC7E733F3C2DCCC9367F27437F793DF067253981F2D3</v>
      </c>
      <c r="I1408" t="str">
        <f>HYPERLINK("https://baanknet.com/view-property/261030/30286DC6AC6E1B5EB6CAEC7E733F3C2DCCC9367F27437F793DF067253981F2D3", "Open")</f>
        <v>Open</v>
      </c>
      <c r="J1408" t="s">
        <v>3803</v>
      </c>
      <c r="L1408">
        <v>2392000</v>
      </c>
      <c r="M1408">
        <v>239200</v>
      </c>
    </row>
    <row r="1409" spans="1:13" x14ac:dyDescent="0.25">
      <c r="A1409" t="s">
        <v>4907</v>
      </c>
      <c r="B1409" t="s">
        <v>4908</v>
      </c>
      <c r="C1409" t="s">
        <v>387</v>
      </c>
      <c r="D1409" t="s">
        <v>4909</v>
      </c>
      <c r="E1409" t="s">
        <v>579</v>
      </c>
      <c r="F1409" t="s">
        <v>4159</v>
      </c>
      <c r="G1409" t="s">
        <v>4910</v>
      </c>
      <c r="H1409" t="str">
        <f>HYPERLINK("https://baanknet.com/view-property/284575/DE92BE4C2B6C4C3A45666E92241505A4E82FC4927101F5D1E5E8481B1327A895", "https://baanknet.com/view-property/284575/DE92BE4C2B6C4C3A45666E92241505A4E82FC4927101F5D1E5E8481B1327A895")</f>
        <v>https://baanknet.com/view-property/284575/DE92BE4C2B6C4C3A45666E92241505A4E82FC4927101F5D1E5E8481B1327A895</v>
      </c>
      <c r="I1409" t="str">
        <f>HYPERLINK("https://baanknet.com/view-property/284575/DE92BE4C2B6C4C3A45666E92241505A4E82FC4927101F5D1E5E8481B1327A895", "Open")</f>
        <v>Open</v>
      </c>
      <c r="J1409" t="s">
        <v>3803</v>
      </c>
      <c r="L1409">
        <v>1141000</v>
      </c>
      <c r="M1409">
        <v>114100</v>
      </c>
    </row>
    <row r="1410" spans="1:13" x14ac:dyDescent="0.25">
      <c r="A1410" t="s">
        <v>4911</v>
      </c>
      <c r="B1410" t="s">
        <v>4912</v>
      </c>
      <c r="C1410" t="s">
        <v>387</v>
      </c>
      <c r="D1410" t="s">
        <v>4913</v>
      </c>
      <c r="E1410" t="s">
        <v>579</v>
      </c>
      <c r="F1410" t="s">
        <v>4159</v>
      </c>
      <c r="G1410" t="s">
        <v>4914</v>
      </c>
      <c r="H1410" t="str">
        <f>HYPERLINK("https://baanknet.com/view-property/284585/D774B11A8CF21B3509A469F56A7A2F8898A539962FF53FDC1C6CC259CF37DBEA", "https://baanknet.com/view-property/284585/D774B11A8CF21B3509A469F56A7A2F8898A539962FF53FDC1C6CC259CF37DBEA")</f>
        <v>https://baanknet.com/view-property/284585/D774B11A8CF21B3509A469F56A7A2F8898A539962FF53FDC1C6CC259CF37DBEA</v>
      </c>
      <c r="I1410" t="str">
        <f>HYPERLINK("https://baanknet.com/view-property/284585/D774B11A8CF21B3509A469F56A7A2F8898A539962FF53FDC1C6CC259CF37DBEA", "Open")</f>
        <v>Open</v>
      </c>
      <c r="J1410" t="s">
        <v>3803</v>
      </c>
      <c r="L1410">
        <v>2019000</v>
      </c>
      <c r="M1410">
        <v>201900</v>
      </c>
    </row>
    <row r="1411" spans="1:13" x14ac:dyDescent="0.25">
      <c r="A1411" t="s">
        <v>4915</v>
      </c>
      <c r="B1411" t="s">
        <v>4916</v>
      </c>
      <c r="C1411" t="s">
        <v>387</v>
      </c>
      <c r="D1411" t="s">
        <v>4917</v>
      </c>
      <c r="E1411" t="s">
        <v>579</v>
      </c>
      <c r="F1411" t="s">
        <v>4159</v>
      </c>
      <c r="G1411" t="s">
        <v>4918</v>
      </c>
      <c r="H1411" t="str">
        <f>HYPERLINK("https://baanknet.com/view-property/284608/BFEFD8BD187FEF321CAECCA959F537045D19A111D1AF891501C5A438D5516E73", "https://baanknet.com/view-property/284608/BFEFD8BD187FEF321CAECCA959F537045D19A111D1AF891501C5A438D5516E73")</f>
        <v>https://baanknet.com/view-property/284608/BFEFD8BD187FEF321CAECCA959F537045D19A111D1AF891501C5A438D5516E73</v>
      </c>
      <c r="I1411" t="str">
        <f>HYPERLINK("https://baanknet.com/view-property/284608/BFEFD8BD187FEF321CAECCA959F537045D19A111D1AF891501C5A438D5516E73", "Open")</f>
        <v>Open</v>
      </c>
      <c r="J1411" t="s">
        <v>3803</v>
      </c>
      <c r="L1411">
        <v>597500</v>
      </c>
      <c r="M1411">
        <v>59750</v>
      </c>
    </row>
    <row r="1412" spans="1:13" x14ac:dyDescent="0.25">
      <c r="A1412" t="s">
        <v>4919</v>
      </c>
      <c r="B1412" t="s">
        <v>4920</v>
      </c>
      <c r="C1412" t="s">
        <v>387</v>
      </c>
      <c r="D1412" t="s">
        <v>4921</v>
      </c>
      <c r="E1412" t="s">
        <v>579</v>
      </c>
      <c r="F1412" t="s">
        <v>4159</v>
      </c>
      <c r="G1412" t="s">
        <v>4922</v>
      </c>
      <c r="H1412" t="str">
        <f>HYPERLINK("https://baanknet.com/view-property/267825/2A32F48E1B8586D62443D7CA36716275C4B5E771ECE2233848EF8ED8AE45A5D7", "https://baanknet.com/view-property/267825/2A32F48E1B8586D62443D7CA36716275C4B5E771ECE2233848EF8ED8AE45A5D7")</f>
        <v>https://baanknet.com/view-property/267825/2A32F48E1B8586D62443D7CA36716275C4B5E771ECE2233848EF8ED8AE45A5D7</v>
      </c>
      <c r="I1412" t="str">
        <f>HYPERLINK("https://baanknet.com/view-property/267825/2A32F48E1B8586D62443D7CA36716275C4B5E771ECE2233848EF8ED8AE45A5D7", "Open")</f>
        <v>Open</v>
      </c>
      <c r="J1412" t="s">
        <v>3803</v>
      </c>
      <c r="L1412">
        <v>3377000</v>
      </c>
      <c r="M1412">
        <v>337700</v>
      </c>
    </row>
    <row r="1413" spans="1:13" x14ac:dyDescent="0.25">
      <c r="A1413" t="s">
        <v>4923</v>
      </c>
      <c r="B1413" t="s">
        <v>4924</v>
      </c>
      <c r="C1413" t="s">
        <v>144</v>
      </c>
      <c r="D1413" t="s">
        <v>4925</v>
      </c>
      <c r="E1413" t="s">
        <v>579</v>
      </c>
      <c r="F1413" t="s">
        <v>4159</v>
      </c>
      <c r="G1413" t="s">
        <v>4926</v>
      </c>
      <c r="H1413" t="str">
        <f>HYPERLINK("https://baanknet.com/view-property/280957/B1D2BB8F9C5BFDE8617C50B87DFC688408D758A3362DCADF3728C96F02D6C459", "https://baanknet.com/view-property/280957/B1D2BB8F9C5BFDE8617C50B87DFC688408D758A3362DCADF3728C96F02D6C459")</f>
        <v>https://baanknet.com/view-property/280957/B1D2BB8F9C5BFDE8617C50B87DFC688408D758A3362DCADF3728C96F02D6C459</v>
      </c>
      <c r="I1413" t="str">
        <f>HYPERLINK("https://baanknet.com/view-property/280957/B1D2BB8F9C5BFDE8617C50B87DFC688408D758A3362DCADF3728C96F02D6C459", "Open")</f>
        <v>Open</v>
      </c>
      <c r="J1413" t="s">
        <v>3803</v>
      </c>
      <c r="L1413">
        <v>400000</v>
      </c>
      <c r="M1413">
        <v>40000</v>
      </c>
    </row>
    <row r="1414" spans="1:13" x14ac:dyDescent="0.25">
      <c r="A1414" t="s">
        <v>4927</v>
      </c>
      <c r="B1414" t="s">
        <v>4928</v>
      </c>
      <c r="C1414" t="s">
        <v>15</v>
      </c>
      <c r="D1414" t="s">
        <v>4929</v>
      </c>
      <c r="E1414" t="s">
        <v>4164</v>
      </c>
      <c r="F1414" t="s">
        <v>278</v>
      </c>
      <c r="G1414" t="s">
        <v>4930</v>
      </c>
      <c r="H1414" t="str">
        <f>HYPERLINK("https://baanknet.com/view-property/274047/B46F9B543D6505468CECAC3CDB245DDB10651E7BC6B8AF0DE7EFD1C75FA55F6A", "https://baanknet.com/view-property/274047/B46F9B543D6505468CECAC3CDB245DDB10651E7BC6B8AF0DE7EFD1C75FA55F6A")</f>
        <v>https://baanknet.com/view-property/274047/B46F9B543D6505468CECAC3CDB245DDB10651E7BC6B8AF0DE7EFD1C75FA55F6A</v>
      </c>
      <c r="I1414" t="str">
        <f>HYPERLINK("https://baanknet.com/view-property/274047/B46F9B543D6505468CECAC3CDB245DDB10651E7BC6B8AF0DE7EFD1C75FA55F6A", "Open")</f>
        <v>Open</v>
      </c>
      <c r="J1414" t="s">
        <v>3803</v>
      </c>
      <c r="L1414">
        <v>1700000</v>
      </c>
      <c r="M1414">
        <v>170000</v>
      </c>
    </row>
    <row r="1415" spans="1:13" x14ac:dyDescent="0.25">
      <c r="A1415" t="s">
        <v>4931</v>
      </c>
      <c r="B1415" t="s">
        <v>4932</v>
      </c>
      <c r="C1415" t="s">
        <v>15</v>
      </c>
      <c r="D1415" t="s">
        <v>4933</v>
      </c>
      <c r="E1415" t="s">
        <v>4164</v>
      </c>
      <c r="F1415" t="s">
        <v>278</v>
      </c>
      <c r="G1415" t="s">
        <v>4934</v>
      </c>
      <c r="H1415" t="str">
        <f>HYPERLINK("https://baanknet.com/view-property/212110/3430B5A2100327A6224259A03E3C3D9FB7AC1C06F21C9CE5D0FD44D90BD9DA68", "https://baanknet.com/view-property/212110/3430B5A2100327A6224259A03E3C3D9FB7AC1C06F21C9CE5D0FD44D90BD9DA68")</f>
        <v>https://baanknet.com/view-property/212110/3430B5A2100327A6224259A03E3C3D9FB7AC1C06F21C9CE5D0FD44D90BD9DA68</v>
      </c>
      <c r="I1415" t="str">
        <f>HYPERLINK("https://baanknet.com/view-property/212110/3430B5A2100327A6224259A03E3C3D9FB7AC1C06F21C9CE5D0FD44D90BD9DA68", "Open")</f>
        <v>Open</v>
      </c>
      <c r="J1415" t="s">
        <v>3803</v>
      </c>
      <c r="L1415">
        <v>1240000</v>
      </c>
      <c r="M1415">
        <v>124000</v>
      </c>
    </row>
    <row r="1416" spans="1:13" x14ac:dyDescent="0.25">
      <c r="A1416" t="s">
        <v>4935</v>
      </c>
      <c r="B1416" t="s">
        <v>4936</v>
      </c>
      <c r="C1416" t="s">
        <v>15</v>
      </c>
      <c r="D1416" t="s">
        <v>4933</v>
      </c>
      <c r="E1416" t="s">
        <v>4164</v>
      </c>
      <c r="F1416" t="s">
        <v>278</v>
      </c>
      <c r="G1416" t="s">
        <v>4937</v>
      </c>
      <c r="H1416" t="str">
        <f>HYPERLINK("https://baanknet.com/view-property/212122/5B5674812D5687949FDC9A731ACA3A1D2F0828DE8876A304474BC02AE6DC831D", "https://baanknet.com/view-property/212122/5B5674812D5687949FDC9A731ACA3A1D2F0828DE8876A304474BC02AE6DC831D")</f>
        <v>https://baanknet.com/view-property/212122/5B5674812D5687949FDC9A731ACA3A1D2F0828DE8876A304474BC02AE6DC831D</v>
      </c>
      <c r="I1416" t="str">
        <f>HYPERLINK("https://baanknet.com/view-property/212122/5B5674812D5687949FDC9A731ACA3A1D2F0828DE8876A304474BC02AE6DC831D", "Open")</f>
        <v>Open</v>
      </c>
      <c r="J1416" t="s">
        <v>3803</v>
      </c>
      <c r="L1416">
        <v>730000</v>
      </c>
      <c r="M1416">
        <v>73000</v>
      </c>
    </row>
    <row r="1417" spans="1:13" x14ac:dyDescent="0.25">
      <c r="A1417" t="s">
        <v>4938</v>
      </c>
      <c r="B1417" t="s">
        <v>4939</v>
      </c>
      <c r="C1417" t="s">
        <v>15</v>
      </c>
      <c r="D1417" t="s">
        <v>4940</v>
      </c>
      <c r="E1417" t="s">
        <v>4164</v>
      </c>
      <c r="F1417" t="s">
        <v>278</v>
      </c>
      <c r="G1417" t="s">
        <v>4941</v>
      </c>
      <c r="H1417" t="str">
        <f>HYPERLINK("https://baanknet.com/view-property/284909/EC8E5218A864F003338BAD2CD9C60BA31F01C745CAB7DD69360CE3986916DEE3", "https://baanknet.com/view-property/284909/EC8E5218A864F003338BAD2CD9C60BA31F01C745CAB7DD69360CE3986916DEE3")</f>
        <v>https://baanknet.com/view-property/284909/EC8E5218A864F003338BAD2CD9C60BA31F01C745CAB7DD69360CE3986916DEE3</v>
      </c>
      <c r="I1417" t="str">
        <f>HYPERLINK("https://baanknet.com/view-property/284909/EC8E5218A864F003338BAD2CD9C60BA31F01C745CAB7DD69360CE3986916DEE3", "Open")</f>
        <v>Open</v>
      </c>
      <c r="J1417" t="s">
        <v>3803</v>
      </c>
      <c r="L1417">
        <v>2070000</v>
      </c>
      <c r="M1417">
        <v>207000</v>
      </c>
    </row>
    <row r="1418" spans="1:13" x14ac:dyDescent="0.25">
      <c r="A1418" t="s">
        <v>4942</v>
      </c>
      <c r="B1418" t="s">
        <v>4943</v>
      </c>
      <c r="C1418" t="s">
        <v>15</v>
      </c>
      <c r="D1418" t="s">
        <v>3709</v>
      </c>
      <c r="E1418" t="s">
        <v>4164</v>
      </c>
      <c r="F1418" t="s">
        <v>278</v>
      </c>
      <c r="G1418" t="s">
        <v>4944</v>
      </c>
      <c r="H1418" t="str">
        <f>HYPERLINK("https://baanknet.com/view-property/254976/92432CD91CE53133F778C102F15EB585F9D6BA367E938CFCF463A38C4AF6A896", "https://baanknet.com/view-property/254976/92432CD91CE53133F778C102F15EB585F9D6BA367E938CFCF463A38C4AF6A896")</f>
        <v>https://baanknet.com/view-property/254976/92432CD91CE53133F778C102F15EB585F9D6BA367E938CFCF463A38C4AF6A896</v>
      </c>
      <c r="I1418" t="str">
        <f>HYPERLINK("https://baanknet.com/view-property/254976/92432CD91CE53133F778C102F15EB585F9D6BA367E938CFCF463A38C4AF6A896", "Open")</f>
        <v>Open</v>
      </c>
      <c r="J1418" t="s">
        <v>3803</v>
      </c>
      <c r="L1418">
        <v>2101000</v>
      </c>
      <c r="M1418">
        <v>210100</v>
      </c>
    </row>
    <row r="1419" spans="1:13" x14ac:dyDescent="0.25">
      <c r="A1419" t="s">
        <v>4945</v>
      </c>
      <c r="B1419" t="s">
        <v>4946</v>
      </c>
      <c r="C1419" t="s">
        <v>15</v>
      </c>
      <c r="D1419" t="s">
        <v>4947</v>
      </c>
      <c r="E1419" t="s">
        <v>4164</v>
      </c>
      <c r="F1419" t="s">
        <v>278</v>
      </c>
      <c r="G1419" t="s">
        <v>4948</v>
      </c>
      <c r="H1419" t="str">
        <f>HYPERLINK("https://baanknet.com/view-property/250228/3B6968CBF316326B3A316B6213C49E9C2F8AC8D271EFF5F79A9FDFF3A6F1F859", "https://baanknet.com/view-property/250228/3B6968CBF316326B3A316B6213C49E9C2F8AC8D271EFF5F79A9FDFF3A6F1F859")</f>
        <v>https://baanknet.com/view-property/250228/3B6968CBF316326B3A316B6213C49E9C2F8AC8D271EFF5F79A9FDFF3A6F1F859</v>
      </c>
      <c r="I1419" t="str">
        <f>HYPERLINK("https://baanknet.com/view-property/250228/3B6968CBF316326B3A316B6213C49E9C2F8AC8D271EFF5F79A9FDFF3A6F1F859", "Open")</f>
        <v>Open</v>
      </c>
      <c r="J1419" t="s">
        <v>3803</v>
      </c>
      <c r="L1419">
        <v>2350000</v>
      </c>
      <c r="M1419">
        <v>235000</v>
      </c>
    </row>
    <row r="1420" spans="1:13" x14ac:dyDescent="0.25">
      <c r="A1420" t="s">
        <v>4949</v>
      </c>
      <c r="B1420" t="s">
        <v>4950</v>
      </c>
      <c r="C1420" t="s">
        <v>15</v>
      </c>
      <c r="D1420" t="s">
        <v>4951</v>
      </c>
      <c r="E1420" t="s">
        <v>4164</v>
      </c>
      <c r="F1420" t="s">
        <v>278</v>
      </c>
      <c r="G1420" t="s">
        <v>4952</v>
      </c>
      <c r="H1420" t="str">
        <f>HYPERLINK("https://baanknet.com/view-property/245846/122CB9F2D1FE6DA8132C490316D90DAEEBC9E6CA85DAB37486F9741FCE25D350", "https://baanknet.com/view-property/245846/122CB9F2D1FE6DA8132C490316D90DAEEBC9E6CA85DAB37486F9741FCE25D350")</f>
        <v>https://baanknet.com/view-property/245846/122CB9F2D1FE6DA8132C490316D90DAEEBC9E6CA85DAB37486F9741FCE25D350</v>
      </c>
      <c r="I1420" t="str">
        <f>HYPERLINK("https://baanknet.com/view-property/245846/122CB9F2D1FE6DA8132C490316D90DAEEBC9E6CA85DAB37486F9741FCE25D350", "Open")</f>
        <v>Open</v>
      </c>
      <c r="J1420" t="s">
        <v>3803</v>
      </c>
      <c r="L1420">
        <v>2570000</v>
      </c>
      <c r="M1420">
        <v>257000</v>
      </c>
    </row>
    <row r="1421" spans="1:13" x14ac:dyDescent="0.25">
      <c r="A1421" t="s">
        <v>4953</v>
      </c>
      <c r="B1421" t="s">
        <v>4954</v>
      </c>
      <c r="C1421" t="s">
        <v>15</v>
      </c>
      <c r="D1421" t="s">
        <v>4955</v>
      </c>
      <c r="E1421" t="s">
        <v>4164</v>
      </c>
      <c r="F1421" t="s">
        <v>278</v>
      </c>
      <c r="G1421" t="s">
        <v>4956</v>
      </c>
      <c r="H1421" t="str">
        <f>HYPERLINK("https://baanknet.com/view-property/250788/A471295FE4E0050ACE5F9AFB00806861324A6A7C756301A389294A7CC80F27CD", "https://baanknet.com/view-property/250788/A471295FE4E0050ACE5F9AFB00806861324A6A7C756301A389294A7CC80F27CD")</f>
        <v>https://baanknet.com/view-property/250788/A471295FE4E0050ACE5F9AFB00806861324A6A7C756301A389294A7CC80F27CD</v>
      </c>
      <c r="I1421" t="str">
        <f>HYPERLINK("https://baanknet.com/view-property/250788/A471295FE4E0050ACE5F9AFB00806861324A6A7C756301A389294A7CC80F27CD", "Open")</f>
        <v>Open</v>
      </c>
      <c r="J1421" t="s">
        <v>3803</v>
      </c>
      <c r="L1421">
        <v>6300000</v>
      </c>
      <c r="M1421">
        <v>630000</v>
      </c>
    </row>
    <row r="1422" spans="1:13" x14ac:dyDescent="0.25">
      <c r="A1422" t="s">
        <v>4957</v>
      </c>
      <c r="B1422" t="s">
        <v>4958</v>
      </c>
      <c r="C1422" t="s">
        <v>15</v>
      </c>
      <c r="D1422" t="s">
        <v>900</v>
      </c>
      <c r="E1422" t="s">
        <v>4164</v>
      </c>
      <c r="F1422" t="s">
        <v>278</v>
      </c>
      <c r="G1422" t="s">
        <v>4959</v>
      </c>
      <c r="H1422" t="str">
        <f>HYPERLINK("https://baanknet.com/view-property/240886/0AAFF7A3C07A19B4E0AB33AC5195598756EBA740AD8EE58EB577698A4B4A3022", "https://baanknet.com/view-property/240886/0AAFF7A3C07A19B4E0AB33AC5195598756EBA740AD8EE58EB577698A4B4A3022")</f>
        <v>https://baanknet.com/view-property/240886/0AAFF7A3C07A19B4E0AB33AC5195598756EBA740AD8EE58EB577698A4B4A3022</v>
      </c>
      <c r="I1422" t="str">
        <f>HYPERLINK("https://baanknet.com/view-property/240886/0AAFF7A3C07A19B4E0AB33AC5195598756EBA740AD8EE58EB577698A4B4A3022", "Open")</f>
        <v>Open</v>
      </c>
      <c r="J1422" t="s">
        <v>3803</v>
      </c>
      <c r="L1422">
        <v>3500000</v>
      </c>
      <c r="M1422">
        <v>350000</v>
      </c>
    </row>
    <row r="1423" spans="1:13" x14ac:dyDescent="0.25">
      <c r="A1423" t="s">
        <v>4960</v>
      </c>
      <c r="B1423" t="s">
        <v>4961</v>
      </c>
      <c r="C1423" t="s">
        <v>15</v>
      </c>
      <c r="D1423" t="s">
        <v>4962</v>
      </c>
      <c r="E1423" t="s">
        <v>4164</v>
      </c>
      <c r="F1423" t="s">
        <v>278</v>
      </c>
      <c r="G1423" t="s">
        <v>4963</v>
      </c>
      <c r="H1423" t="str">
        <f>HYPERLINK("https://baanknet.com/view-property/206620/D38AD5D7357291B53542EC4D29402111B343D769767970D9A4EC9EA1B02442F6", "https://baanknet.com/view-property/206620/D38AD5D7357291B53542EC4D29402111B343D769767970D9A4EC9EA1B02442F6")</f>
        <v>https://baanknet.com/view-property/206620/D38AD5D7357291B53542EC4D29402111B343D769767970D9A4EC9EA1B02442F6</v>
      </c>
      <c r="I1423" t="str">
        <f>HYPERLINK("https://baanknet.com/view-property/206620/D38AD5D7357291B53542EC4D29402111B343D769767970D9A4EC9EA1B02442F6", "Open")</f>
        <v>Open</v>
      </c>
      <c r="J1423" t="s">
        <v>3803</v>
      </c>
      <c r="L1423">
        <v>8000000</v>
      </c>
      <c r="M1423">
        <v>800000</v>
      </c>
    </row>
    <row r="1424" spans="1:13" x14ac:dyDescent="0.25">
      <c r="A1424" t="s">
        <v>4964</v>
      </c>
      <c r="B1424" t="s">
        <v>4965</v>
      </c>
      <c r="C1424" t="s">
        <v>15</v>
      </c>
      <c r="D1424" t="s">
        <v>4580</v>
      </c>
      <c r="E1424" t="s">
        <v>4164</v>
      </c>
      <c r="F1424" t="s">
        <v>278</v>
      </c>
      <c r="G1424" t="s">
        <v>4966</v>
      </c>
      <c r="H1424" t="str">
        <f>HYPERLINK("https://baanknet.com/view-property/246677/66B28C810AC4A12C2037F46B93DEEC65099E626315395B32EE50B65EDC610163", "https://baanknet.com/view-property/246677/66B28C810AC4A12C2037F46B93DEEC65099E626315395B32EE50B65EDC610163")</f>
        <v>https://baanknet.com/view-property/246677/66B28C810AC4A12C2037F46B93DEEC65099E626315395B32EE50B65EDC610163</v>
      </c>
      <c r="I1424" t="str">
        <f>HYPERLINK("https://baanknet.com/view-property/246677/66B28C810AC4A12C2037F46B93DEEC65099E626315395B32EE50B65EDC610163", "Open")</f>
        <v>Open</v>
      </c>
      <c r="J1424" t="s">
        <v>3803</v>
      </c>
      <c r="L1424">
        <v>1180000</v>
      </c>
      <c r="M1424">
        <v>118000</v>
      </c>
    </row>
    <row r="1425" spans="1:13" x14ac:dyDescent="0.25">
      <c r="A1425" t="s">
        <v>4967</v>
      </c>
      <c r="B1425" t="s">
        <v>4968</v>
      </c>
      <c r="C1425" t="s">
        <v>15</v>
      </c>
      <c r="D1425" t="s">
        <v>4580</v>
      </c>
      <c r="E1425" t="s">
        <v>4164</v>
      </c>
      <c r="F1425" t="s">
        <v>278</v>
      </c>
      <c r="G1425" t="s">
        <v>4969</v>
      </c>
      <c r="H1425" t="str">
        <f>HYPERLINK("https://baanknet.com/view-property/200185/46A62D57C6635022FCEA526C3E42AB7DB01F41FFABD5458D017A09561188BAF1", "https://baanknet.com/view-property/200185/46A62D57C6635022FCEA526C3E42AB7DB01F41FFABD5458D017A09561188BAF1")</f>
        <v>https://baanknet.com/view-property/200185/46A62D57C6635022FCEA526C3E42AB7DB01F41FFABD5458D017A09561188BAF1</v>
      </c>
      <c r="I1425" t="str">
        <f>HYPERLINK("https://baanknet.com/view-property/200185/46A62D57C6635022FCEA526C3E42AB7DB01F41FFABD5458D017A09561188BAF1", "Open")</f>
        <v>Open</v>
      </c>
      <c r="J1425" t="s">
        <v>3803</v>
      </c>
      <c r="L1425">
        <v>800000</v>
      </c>
      <c r="M1425">
        <v>80000</v>
      </c>
    </row>
    <row r="1426" spans="1:13" x14ac:dyDescent="0.25">
      <c r="A1426" t="s">
        <v>4970</v>
      </c>
      <c r="B1426" t="s">
        <v>4971</v>
      </c>
      <c r="C1426" t="s">
        <v>15</v>
      </c>
      <c r="D1426" t="s">
        <v>4972</v>
      </c>
      <c r="E1426" t="s">
        <v>4164</v>
      </c>
      <c r="F1426" t="s">
        <v>278</v>
      </c>
      <c r="G1426" t="s">
        <v>4973</v>
      </c>
      <c r="H1426" t="str">
        <f>HYPERLINK("https://baanknet.com/view-property/246665/63A66CE300AB89F00F0B178F13086E24A6A460616B1BD411D6FAC66584A7CE2E", "https://baanknet.com/view-property/246665/63A66CE300AB89F00F0B178F13086E24A6A460616B1BD411D6FAC66584A7CE2E")</f>
        <v>https://baanknet.com/view-property/246665/63A66CE300AB89F00F0B178F13086E24A6A460616B1BD411D6FAC66584A7CE2E</v>
      </c>
      <c r="I1426" t="str">
        <f>HYPERLINK("https://baanknet.com/view-property/246665/63A66CE300AB89F00F0B178F13086E24A6A460616B1BD411D6FAC66584A7CE2E", "Open")</f>
        <v>Open</v>
      </c>
      <c r="J1426" t="s">
        <v>3803</v>
      </c>
      <c r="L1426">
        <v>2000000</v>
      </c>
      <c r="M1426">
        <v>200000</v>
      </c>
    </row>
    <row r="1427" spans="1:13" x14ac:dyDescent="0.25">
      <c r="A1427" t="s">
        <v>4974</v>
      </c>
      <c r="B1427" t="s">
        <v>4975</v>
      </c>
      <c r="C1427" t="s">
        <v>15</v>
      </c>
      <c r="D1427" t="s">
        <v>4976</v>
      </c>
      <c r="E1427" t="s">
        <v>4164</v>
      </c>
      <c r="F1427" t="s">
        <v>278</v>
      </c>
      <c r="G1427" t="s">
        <v>4977</v>
      </c>
      <c r="H1427" t="str">
        <f>HYPERLINK("https://baanknet.com/view-property/279798/392586CC83B8293A986C2B260A1399AB6A1B3C8E616F8A219FDDA1B7ABFF78FB", "https://baanknet.com/view-property/279798/392586CC83B8293A986C2B260A1399AB6A1B3C8E616F8A219FDDA1B7ABFF78FB")</f>
        <v>https://baanknet.com/view-property/279798/392586CC83B8293A986C2B260A1399AB6A1B3C8E616F8A219FDDA1B7ABFF78FB</v>
      </c>
      <c r="I1427" t="str">
        <f>HYPERLINK("https://baanknet.com/view-property/279798/392586CC83B8293A986C2B260A1399AB6A1B3C8E616F8A219FDDA1B7ABFF78FB", "Open")</f>
        <v>Open</v>
      </c>
      <c r="J1427" t="s">
        <v>3803</v>
      </c>
      <c r="L1427">
        <v>855000</v>
      </c>
      <c r="M1427">
        <v>85500</v>
      </c>
    </row>
    <row r="1428" spans="1:13" x14ac:dyDescent="0.25">
      <c r="A1428" t="s">
        <v>4978</v>
      </c>
      <c r="B1428" t="s">
        <v>4979</v>
      </c>
      <c r="C1428" t="s">
        <v>15</v>
      </c>
      <c r="D1428" t="s">
        <v>4980</v>
      </c>
      <c r="E1428" t="s">
        <v>4164</v>
      </c>
      <c r="F1428" t="s">
        <v>278</v>
      </c>
      <c r="G1428" t="s">
        <v>4981</v>
      </c>
      <c r="H1428" t="str">
        <f>HYPERLINK("https://baanknet.com/view-property/282224/92CFCCB90EEB12B0827B3EB918C92BBCFDA98D5C7947D0028CE964EE472B7AD3", "https://baanknet.com/view-property/282224/92CFCCB90EEB12B0827B3EB918C92BBCFDA98D5C7947D0028CE964EE472B7AD3")</f>
        <v>https://baanknet.com/view-property/282224/92CFCCB90EEB12B0827B3EB918C92BBCFDA98D5C7947D0028CE964EE472B7AD3</v>
      </c>
      <c r="I1428" t="str">
        <f>HYPERLINK("https://baanknet.com/view-property/282224/92CFCCB90EEB12B0827B3EB918C92BBCFDA98D5C7947D0028CE964EE472B7AD3", "Open")</f>
        <v>Open</v>
      </c>
      <c r="J1428" t="s">
        <v>3803</v>
      </c>
      <c r="L1428">
        <v>2300000</v>
      </c>
      <c r="M1428">
        <v>230000</v>
      </c>
    </row>
    <row r="1429" spans="1:13" x14ac:dyDescent="0.25">
      <c r="A1429" t="s">
        <v>4982</v>
      </c>
      <c r="B1429" t="s">
        <v>4983</v>
      </c>
      <c r="C1429" t="s">
        <v>15</v>
      </c>
      <c r="D1429" t="s">
        <v>3232</v>
      </c>
      <c r="E1429" t="s">
        <v>4164</v>
      </c>
      <c r="F1429" t="s">
        <v>278</v>
      </c>
      <c r="G1429" t="s">
        <v>4984</v>
      </c>
      <c r="H1429" t="str">
        <f>HYPERLINK("https://baanknet.com/view-property/247540/1D1D570C1491EA9255C0CCDFAD873D51B498E311A64AEEE16E774F77C0EB9193", "https://baanknet.com/view-property/247540/1D1D570C1491EA9255C0CCDFAD873D51B498E311A64AEEE16E774F77C0EB9193")</f>
        <v>https://baanknet.com/view-property/247540/1D1D570C1491EA9255C0CCDFAD873D51B498E311A64AEEE16E774F77C0EB9193</v>
      </c>
      <c r="I1429" t="str">
        <f>HYPERLINK("https://baanknet.com/view-property/247540/1D1D570C1491EA9255C0CCDFAD873D51B498E311A64AEEE16E774F77C0EB9193", "Open")</f>
        <v>Open</v>
      </c>
      <c r="J1429" t="s">
        <v>3803</v>
      </c>
      <c r="L1429">
        <v>700000</v>
      </c>
      <c r="M1429">
        <v>70000</v>
      </c>
    </row>
    <row r="1430" spans="1:13" x14ac:dyDescent="0.25">
      <c r="A1430" t="s">
        <v>4985</v>
      </c>
      <c r="B1430" t="s">
        <v>4986</v>
      </c>
      <c r="C1430" t="s">
        <v>15</v>
      </c>
      <c r="D1430" t="s">
        <v>3232</v>
      </c>
      <c r="E1430" t="s">
        <v>4164</v>
      </c>
      <c r="F1430" t="s">
        <v>278</v>
      </c>
      <c r="G1430" t="s">
        <v>4987</v>
      </c>
      <c r="H1430" t="str">
        <f>HYPERLINK("https://baanknet.com/view-property/240210/63A8C0FD318604A978212E708571250DBE666DA596237EC12E6CD21DACE757FD", "https://baanknet.com/view-property/240210/63A8C0FD318604A978212E708571250DBE666DA596237EC12E6CD21DACE757FD")</f>
        <v>https://baanknet.com/view-property/240210/63A8C0FD318604A978212E708571250DBE666DA596237EC12E6CD21DACE757FD</v>
      </c>
      <c r="I1430" t="str">
        <f>HYPERLINK("https://baanknet.com/view-property/240210/63A8C0FD318604A978212E708571250DBE666DA596237EC12E6CD21DACE757FD", "Open")</f>
        <v>Open</v>
      </c>
      <c r="J1430" t="s">
        <v>3803</v>
      </c>
      <c r="L1430">
        <v>1700000</v>
      </c>
      <c r="M1430">
        <v>170000</v>
      </c>
    </row>
    <row r="1431" spans="1:13" x14ac:dyDescent="0.25">
      <c r="A1431" t="s">
        <v>4988</v>
      </c>
      <c r="B1431" t="s">
        <v>4989</v>
      </c>
      <c r="C1431" t="s">
        <v>15</v>
      </c>
      <c r="D1431" t="s">
        <v>4990</v>
      </c>
      <c r="E1431" t="s">
        <v>4164</v>
      </c>
      <c r="F1431" t="s">
        <v>278</v>
      </c>
      <c r="G1431" t="s">
        <v>4991</v>
      </c>
      <c r="H1431" t="str">
        <f>HYPERLINK("https://baanknet.com/view-property/286300/AD560DB73597821980567DCCEBD8F36ED6FCB13DB6CB1C1D04DA40D2AD588683", "https://baanknet.com/view-property/286300/AD560DB73597821980567DCCEBD8F36ED6FCB13DB6CB1C1D04DA40D2AD588683")</f>
        <v>https://baanknet.com/view-property/286300/AD560DB73597821980567DCCEBD8F36ED6FCB13DB6CB1C1D04DA40D2AD588683</v>
      </c>
      <c r="I1431" t="str">
        <f>HYPERLINK("https://baanknet.com/view-property/286300/AD560DB73597821980567DCCEBD8F36ED6FCB13DB6CB1C1D04DA40D2AD588683", "Open")</f>
        <v>Open</v>
      </c>
      <c r="J1431" t="s">
        <v>3803</v>
      </c>
      <c r="L1431">
        <v>46500000</v>
      </c>
      <c r="M1431">
        <v>4650000</v>
      </c>
    </row>
    <row r="1432" spans="1:13" x14ac:dyDescent="0.25">
      <c r="A1432" t="s">
        <v>4992</v>
      </c>
      <c r="B1432" t="s">
        <v>4993</v>
      </c>
      <c r="C1432" t="s">
        <v>15</v>
      </c>
      <c r="D1432" t="s">
        <v>4990</v>
      </c>
      <c r="E1432" t="s">
        <v>4164</v>
      </c>
      <c r="F1432" t="s">
        <v>278</v>
      </c>
      <c r="G1432" t="s">
        <v>4994</v>
      </c>
      <c r="H1432" t="str">
        <f>HYPERLINK("https://baanknet.com/view-property/286483/4ECC6A818BFE2A927036C5B72D7BAC993278996C938871D25DFBD5F19790823E", "https://baanknet.com/view-property/286483/4ECC6A818BFE2A927036C5B72D7BAC993278996C938871D25DFBD5F19790823E")</f>
        <v>https://baanknet.com/view-property/286483/4ECC6A818BFE2A927036C5B72D7BAC993278996C938871D25DFBD5F19790823E</v>
      </c>
      <c r="I1432" t="str">
        <f>HYPERLINK("https://baanknet.com/view-property/286483/4ECC6A818BFE2A927036C5B72D7BAC993278996C938871D25DFBD5F19790823E", "Open")</f>
        <v>Open</v>
      </c>
      <c r="J1432" t="s">
        <v>3803</v>
      </c>
      <c r="L1432">
        <v>146700000</v>
      </c>
      <c r="M1432">
        <v>14670000</v>
      </c>
    </row>
    <row r="1433" spans="1:13" x14ac:dyDescent="0.25">
      <c r="A1433" t="s">
        <v>4995</v>
      </c>
      <c r="B1433" t="s">
        <v>4996</v>
      </c>
      <c r="C1433" t="s">
        <v>15</v>
      </c>
      <c r="D1433" t="s">
        <v>4997</v>
      </c>
      <c r="E1433" t="s">
        <v>4164</v>
      </c>
      <c r="F1433" t="s">
        <v>278</v>
      </c>
      <c r="G1433" t="s">
        <v>4998</v>
      </c>
      <c r="H1433" t="str">
        <f>HYPERLINK("https://baanknet.com/view-property/240954/6B973CE335A031E40ECF15F000793F266A34F7010E7C51FE574362E6558355B1", "https://baanknet.com/view-property/240954/6B973CE335A031E40ECF15F000793F266A34F7010E7C51FE574362E6558355B1")</f>
        <v>https://baanknet.com/view-property/240954/6B973CE335A031E40ECF15F000793F266A34F7010E7C51FE574362E6558355B1</v>
      </c>
      <c r="I1433" t="str">
        <f>HYPERLINK("https://baanknet.com/view-property/240954/6B973CE335A031E40ECF15F000793F266A34F7010E7C51FE574362E6558355B1", "Open")</f>
        <v>Open</v>
      </c>
      <c r="J1433" t="s">
        <v>3803</v>
      </c>
      <c r="L1433">
        <v>6900000</v>
      </c>
      <c r="M1433">
        <v>690000</v>
      </c>
    </row>
    <row r="1434" spans="1:13" x14ac:dyDescent="0.25">
      <c r="A1434" t="s">
        <v>4999</v>
      </c>
      <c r="B1434" t="s">
        <v>5000</v>
      </c>
      <c r="C1434" t="s">
        <v>15</v>
      </c>
      <c r="D1434" t="s">
        <v>32</v>
      </c>
      <c r="E1434" t="s">
        <v>4164</v>
      </c>
      <c r="F1434" t="s">
        <v>278</v>
      </c>
      <c r="G1434" t="s">
        <v>5001</v>
      </c>
      <c r="H1434" t="str">
        <f>HYPERLINK("https://baanknet.com/view-property/251364/E1729491D8F68D919439038CF03BCB4A1F1E989279F35801CF3089ED226A8624", "https://baanknet.com/view-property/251364/E1729491D8F68D919439038CF03BCB4A1F1E989279F35801CF3089ED226A8624")</f>
        <v>https://baanknet.com/view-property/251364/E1729491D8F68D919439038CF03BCB4A1F1E989279F35801CF3089ED226A8624</v>
      </c>
      <c r="I1434" t="str">
        <f>HYPERLINK("https://baanknet.com/view-property/251364/E1729491D8F68D919439038CF03BCB4A1F1E989279F35801CF3089ED226A8624", "Open")</f>
        <v>Open</v>
      </c>
      <c r="J1434" t="s">
        <v>3803</v>
      </c>
      <c r="L1434">
        <v>4877000</v>
      </c>
      <c r="M1434">
        <v>487700</v>
      </c>
    </row>
    <row r="1435" spans="1:13" x14ac:dyDescent="0.25">
      <c r="A1435" t="s">
        <v>5002</v>
      </c>
      <c r="B1435" t="s">
        <v>5003</v>
      </c>
      <c r="C1435" t="s">
        <v>15</v>
      </c>
      <c r="D1435" t="s">
        <v>32</v>
      </c>
      <c r="E1435" t="s">
        <v>4164</v>
      </c>
      <c r="F1435" t="s">
        <v>278</v>
      </c>
      <c r="G1435" t="s">
        <v>5004</v>
      </c>
      <c r="H1435" t="str">
        <f>HYPERLINK("https://baanknet.com/view-property/286298/B8A2DA398913B6E14DAF9359F8B4E95620C82762E5E0C60527799B0A5B1901F7", "https://baanknet.com/view-property/286298/B8A2DA398913B6E14DAF9359F8B4E95620C82762E5E0C60527799B0A5B1901F7")</f>
        <v>https://baanknet.com/view-property/286298/B8A2DA398913B6E14DAF9359F8B4E95620C82762E5E0C60527799B0A5B1901F7</v>
      </c>
      <c r="I1435" t="str">
        <f>HYPERLINK("https://baanknet.com/view-property/286298/B8A2DA398913B6E14DAF9359F8B4E95620C82762E5E0C60527799B0A5B1901F7", "Open")</f>
        <v>Open</v>
      </c>
      <c r="J1435" t="s">
        <v>3803</v>
      </c>
      <c r="L1435">
        <v>5953000</v>
      </c>
      <c r="M1435">
        <v>595300</v>
      </c>
    </row>
    <row r="1436" spans="1:13" x14ac:dyDescent="0.25">
      <c r="A1436" t="s">
        <v>5005</v>
      </c>
      <c r="B1436" t="s">
        <v>5006</v>
      </c>
      <c r="C1436" t="s">
        <v>15</v>
      </c>
      <c r="D1436" t="s">
        <v>3968</v>
      </c>
      <c r="E1436" t="s">
        <v>4164</v>
      </c>
      <c r="F1436" t="s">
        <v>278</v>
      </c>
      <c r="G1436" t="s">
        <v>5007</v>
      </c>
      <c r="H1436" t="str">
        <f>HYPERLINK("https://baanknet.com/view-property/256359/04898B0A3A275DBC4369F9DD948B6D103BB32222302771DA2747A37666B6CFDF", "https://baanknet.com/view-property/256359/04898B0A3A275DBC4369F9DD948B6D103BB32222302771DA2747A37666B6CFDF")</f>
        <v>https://baanknet.com/view-property/256359/04898B0A3A275DBC4369F9DD948B6D103BB32222302771DA2747A37666B6CFDF</v>
      </c>
      <c r="I1436" t="str">
        <f>HYPERLINK("https://baanknet.com/view-property/256359/04898B0A3A275DBC4369F9DD948B6D103BB32222302771DA2747A37666B6CFDF", "Open")</f>
        <v>Open</v>
      </c>
      <c r="J1436" t="s">
        <v>3803</v>
      </c>
      <c r="L1436">
        <v>3500000</v>
      </c>
      <c r="M1436">
        <v>350000</v>
      </c>
    </row>
    <row r="1437" spans="1:13" x14ac:dyDescent="0.25">
      <c r="A1437" t="s">
        <v>5008</v>
      </c>
      <c r="B1437" t="s">
        <v>5009</v>
      </c>
      <c r="C1437" t="s">
        <v>15</v>
      </c>
      <c r="D1437" t="s">
        <v>5010</v>
      </c>
      <c r="E1437" t="s">
        <v>4164</v>
      </c>
      <c r="F1437" t="s">
        <v>278</v>
      </c>
      <c r="G1437" t="s">
        <v>5011</v>
      </c>
      <c r="H1437" t="str">
        <f>HYPERLINK("https://baanknet.com/view-property/271993/F29BEF82AB3472E9F571BFE70D5B7FA360F4CCA6CDB07F98BAFDCCA12142E8CB", "https://baanknet.com/view-property/271993/F29BEF82AB3472E9F571BFE70D5B7FA360F4CCA6CDB07F98BAFDCCA12142E8CB")</f>
        <v>https://baanknet.com/view-property/271993/F29BEF82AB3472E9F571BFE70D5B7FA360F4CCA6CDB07F98BAFDCCA12142E8CB</v>
      </c>
      <c r="I1437" t="str">
        <f>HYPERLINK("https://baanknet.com/view-property/271993/F29BEF82AB3472E9F571BFE70D5B7FA360F4CCA6CDB07F98BAFDCCA12142E8CB", "Open")</f>
        <v>Open</v>
      </c>
      <c r="J1437" t="s">
        <v>3803</v>
      </c>
      <c r="L1437">
        <v>4800000</v>
      </c>
      <c r="M1437">
        <v>480000</v>
      </c>
    </row>
    <row r="1438" spans="1:13" x14ac:dyDescent="0.25">
      <c r="A1438" t="s">
        <v>5012</v>
      </c>
      <c r="B1438" t="s">
        <v>5013</v>
      </c>
      <c r="C1438" t="s">
        <v>15</v>
      </c>
      <c r="D1438" t="s">
        <v>5014</v>
      </c>
      <c r="E1438" t="s">
        <v>4164</v>
      </c>
      <c r="F1438" t="s">
        <v>278</v>
      </c>
      <c r="G1438" t="s">
        <v>5015</v>
      </c>
      <c r="H1438" t="str">
        <f>HYPERLINK("https://baanknet.com/view-property/252123/224EF45C167C12948A1CA78594E07DF6A2D8D65D6A30E806E29F84F86DC90B85", "https://baanknet.com/view-property/252123/224EF45C167C12948A1CA78594E07DF6A2D8D65D6A30E806E29F84F86DC90B85")</f>
        <v>https://baanknet.com/view-property/252123/224EF45C167C12948A1CA78594E07DF6A2D8D65D6A30E806E29F84F86DC90B85</v>
      </c>
      <c r="I1438" t="str">
        <f>HYPERLINK("https://baanknet.com/view-property/252123/224EF45C167C12948A1CA78594E07DF6A2D8D65D6A30E806E29F84F86DC90B85", "Open")</f>
        <v>Open</v>
      </c>
      <c r="J1438" t="s">
        <v>3803</v>
      </c>
      <c r="L1438">
        <v>2800000</v>
      </c>
      <c r="M1438">
        <v>280000</v>
      </c>
    </row>
    <row r="1439" spans="1:13" x14ac:dyDescent="0.25">
      <c r="A1439" t="s">
        <v>5016</v>
      </c>
      <c r="B1439" t="s">
        <v>5017</v>
      </c>
      <c r="C1439" t="s">
        <v>15</v>
      </c>
      <c r="D1439" t="s">
        <v>5018</v>
      </c>
      <c r="E1439" t="s">
        <v>4164</v>
      </c>
      <c r="F1439" t="s">
        <v>278</v>
      </c>
      <c r="G1439" t="s">
        <v>5019</v>
      </c>
      <c r="H1439" t="str">
        <f>HYPERLINK("https://baanknet.com/view-property/269039/8982B38FC32E631B8CF7673CBDDFC15AEB3136AA13A86C7E4B22FD3A0E2BEAAC", "https://baanknet.com/view-property/269039/8982B38FC32E631B8CF7673CBDDFC15AEB3136AA13A86C7E4B22FD3A0E2BEAAC")</f>
        <v>https://baanknet.com/view-property/269039/8982B38FC32E631B8CF7673CBDDFC15AEB3136AA13A86C7E4B22FD3A0E2BEAAC</v>
      </c>
      <c r="I1439" t="str">
        <f>HYPERLINK("https://baanknet.com/view-property/269039/8982B38FC32E631B8CF7673CBDDFC15AEB3136AA13A86C7E4B22FD3A0E2BEAAC", "Open")</f>
        <v>Open</v>
      </c>
      <c r="J1439" t="s">
        <v>3803</v>
      </c>
      <c r="L1439">
        <v>2700000</v>
      </c>
      <c r="M1439">
        <v>270000</v>
      </c>
    </row>
    <row r="1440" spans="1:13" x14ac:dyDescent="0.25">
      <c r="A1440" t="s">
        <v>5020</v>
      </c>
      <c r="B1440" t="s">
        <v>5021</v>
      </c>
      <c r="C1440" t="s">
        <v>15</v>
      </c>
      <c r="D1440" t="s">
        <v>5014</v>
      </c>
      <c r="E1440" t="s">
        <v>4164</v>
      </c>
      <c r="F1440" t="s">
        <v>278</v>
      </c>
      <c r="G1440" t="s">
        <v>5022</v>
      </c>
      <c r="H1440" t="str">
        <f>HYPERLINK("https://baanknet.com/view-property/280697/A785E53E28208DA53AE36EA22F059811E74EE48A76CF88F6D49E136C9C501DAC", "https://baanknet.com/view-property/280697/A785E53E28208DA53AE36EA22F059811E74EE48A76CF88F6D49E136C9C501DAC")</f>
        <v>https://baanknet.com/view-property/280697/A785E53E28208DA53AE36EA22F059811E74EE48A76CF88F6D49E136C9C501DAC</v>
      </c>
      <c r="I1440" t="str">
        <f>HYPERLINK("https://baanknet.com/view-property/280697/A785E53E28208DA53AE36EA22F059811E74EE48A76CF88F6D49E136C9C501DAC", "Open")</f>
        <v>Open</v>
      </c>
      <c r="J1440" t="s">
        <v>3803</v>
      </c>
      <c r="L1440">
        <v>1700000</v>
      </c>
      <c r="M1440">
        <v>170000</v>
      </c>
    </row>
    <row r="1441" spans="1:13" x14ac:dyDescent="0.25">
      <c r="A1441" t="s">
        <v>5023</v>
      </c>
      <c r="B1441" t="s">
        <v>5024</v>
      </c>
      <c r="C1441" t="s">
        <v>15</v>
      </c>
      <c r="D1441" t="s">
        <v>5025</v>
      </c>
      <c r="E1441" t="s">
        <v>4164</v>
      </c>
      <c r="F1441" t="s">
        <v>278</v>
      </c>
      <c r="G1441" t="s">
        <v>5026</v>
      </c>
      <c r="H1441" t="str">
        <f>HYPERLINK("https://baanknet.com/view-property/280202/08FFF705A46A20874603D167A326E2B31DEAD41709E16C55E72D31C5B8F10AF2", "https://baanknet.com/view-property/280202/08FFF705A46A20874603D167A326E2B31DEAD41709E16C55E72D31C5B8F10AF2")</f>
        <v>https://baanknet.com/view-property/280202/08FFF705A46A20874603D167A326E2B31DEAD41709E16C55E72D31C5B8F10AF2</v>
      </c>
      <c r="I1441" t="str">
        <f>HYPERLINK("https://baanknet.com/view-property/280202/08FFF705A46A20874603D167A326E2B31DEAD41709E16C55E72D31C5B8F10AF2", "Open")</f>
        <v>Open</v>
      </c>
      <c r="J1441" t="s">
        <v>3803</v>
      </c>
      <c r="L1441">
        <v>3580000</v>
      </c>
      <c r="M1441">
        <v>358000</v>
      </c>
    </row>
    <row r="1442" spans="1:13" x14ac:dyDescent="0.25">
      <c r="A1442" t="s">
        <v>5027</v>
      </c>
      <c r="B1442" t="s">
        <v>5028</v>
      </c>
      <c r="C1442" t="s">
        <v>15</v>
      </c>
      <c r="D1442" t="s">
        <v>5025</v>
      </c>
      <c r="E1442" t="s">
        <v>4164</v>
      </c>
      <c r="F1442" t="s">
        <v>278</v>
      </c>
      <c r="G1442" t="s">
        <v>5029</v>
      </c>
      <c r="H1442" t="str">
        <f>HYPERLINK("https://baanknet.com/view-property/243086/C5FD424E1914DADEA906DDE52F3321323B9C99275900CF39798B8D97ECC3D0E6", "https://baanknet.com/view-property/243086/C5FD424E1914DADEA906DDE52F3321323B9C99275900CF39798B8D97ECC3D0E6")</f>
        <v>https://baanknet.com/view-property/243086/C5FD424E1914DADEA906DDE52F3321323B9C99275900CF39798B8D97ECC3D0E6</v>
      </c>
      <c r="I1442" t="str">
        <f>HYPERLINK("https://baanknet.com/view-property/243086/C5FD424E1914DADEA906DDE52F3321323B9C99275900CF39798B8D97ECC3D0E6", "Open")</f>
        <v>Open</v>
      </c>
      <c r="J1442" t="s">
        <v>3803</v>
      </c>
      <c r="L1442">
        <v>3800000</v>
      </c>
      <c r="M1442">
        <v>380000</v>
      </c>
    </row>
    <row r="1443" spans="1:13" x14ac:dyDescent="0.25">
      <c r="A1443" t="s">
        <v>5030</v>
      </c>
      <c r="B1443" t="s">
        <v>5031</v>
      </c>
      <c r="C1443" t="s">
        <v>15</v>
      </c>
      <c r="D1443" t="s">
        <v>5032</v>
      </c>
      <c r="E1443" t="s">
        <v>4164</v>
      </c>
      <c r="F1443" t="s">
        <v>278</v>
      </c>
      <c r="G1443" t="s">
        <v>5033</v>
      </c>
      <c r="H1443" t="str">
        <f>HYPERLINK("https://baanknet.com/view-property/241010/EE9E3706885E1B08500832ED1AA241185A61B4773DAA85468EA78E26CADED371", "https://baanknet.com/view-property/241010/EE9E3706885E1B08500832ED1AA241185A61B4773DAA85468EA78E26CADED371")</f>
        <v>https://baanknet.com/view-property/241010/EE9E3706885E1B08500832ED1AA241185A61B4773DAA85468EA78E26CADED371</v>
      </c>
      <c r="I1443" t="str">
        <f>HYPERLINK("https://baanknet.com/view-property/241010/EE9E3706885E1B08500832ED1AA241185A61B4773DAA85468EA78E26CADED371", "Open")</f>
        <v>Open</v>
      </c>
      <c r="J1443" t="s">
        <v>3803</v>
      </c>
      <c r="L1443">
        <v>2760000</v>
      </c>
      <c r="M1443">
        <v>276000</v>
      </c>
    </row>
    <row r="1444" spans="1:13" x14ac:dyDescent="0.25">
      <c r="A1444" t="s">
        <v>5034</v>
      </c>
      <c r="B1444" t="s">
        <v>5035</v>
      </c>
      <c r="C1444" t="s">
        <v>15</v>
      </c>
      <c r="D1444" t="s">
        <v>5036</v>
      </c>
      <c r="E1444" t="s">
        <v>4164</v>
      </c>
      <c r="F1444" t="s">
        <v>278</v>
      </c>
      <c r="G1444" t="s">
        <v>5037</v>
      </c>
      <c r="H1444" t="str">
        <f>HYPERLINK("https://baanknet.com/view-property/243118/0A16C4717959D2FB9A3CBF66F5536AEC2BBEAF67F05BAAB42F874BB100C09B04", "https://baanknet.com/view-property/243118/0A16C4717959D2FB9A3CBF66F5536AEC2BBEAF67F05BAAB42F874BB100C09B04")</f>
        <v>https://baanknet.com/view-property/243118/0A16C4717959D2FB9A3CBF66F5536AEC2BBEAF67F05BAAB42F874BB100C09B04</v>
      </c>
      <c r="I1444" t="str">
        <f>HYPERLINK("https://baanknet.com/view-property/243118/0A16C4717959D2FB9A3CBF66F5536AEC2BBEAF67F05BAAB42F874BB100C09B04", "Open")</f>
        <v>Open</v>
      </c>
      <c r="J1444" t="s">
        <v>3803</v>
      </c>
      <c r="L1444">
        <v>4650000</v>
      </c>
      <c r="M1444">
        <v>465000</v>
      </c>
    </row>
    <row r="1445" spans="1:13" x14ac:dyDescent="0.25">
      <c r="A1445" t="s">
        <v>5038</v>
      </c>
      <c r="B1445" t="s">
        <v>5039</v>
      </c>
      <c r="C1445" t="s">
        <v>15</v>
      </c>
      <c r="D1445" t="s">
        <v>5040</v>
      </c>
      <c r="E1445" t="s">
        <v>4164</v>
      </c>
      <c r="F1445" t="s">
        <v>278</v>
      </c>
      <c r="G1445" t="s">
        <v>5041</v>
      </c>
      <c r="H1445" t="str">
        <f>HYPERLINK("https://baanknet.com/view-property/243107/1D764904B459AAD3DC1B01C9DABEAA46890ECB4EA6DD77787E6EB715B14B5320", "https://baanknet.com/view-property/243107/1D764904B459AAD3DC1B01C9DABEAA46890ECB4EA6DD77787E6EB715B14B5320")</f>
        <v>https://baanknet.com/view-property/243107/1D764904B459AAD3DC1B01C9DABEAA46890ECB4EA6DD77787E6EB715B14B5320</v>
      </c>
      <c r="I1445" t="str">
        <f>HYPERLINK("https://baanknet.com/view-property/243107/1D764904B459AAD3DC1B01C9DABEAA46890ECB4EA6DD77787E6EB715B14B5320", "Open")</f>
        <v>Open</v>
      </c>
      <c r="J1445" t="s">
        <v>3803</v>
      </c>
      <c r="L1445">
        <v>2000000</v>
      </c>
      <c r="M1445">
        <v>200000</v>
      </c>
    </row>
    <row r="1446" spans="1:13" x14ac:dyDescent="0.25">
      <c r="A1446" t="s">
        <v>5042</v>
      </c>
      <c r="B1446" t="s">
        <v>5043</v>
      </c>
      <c r="C1446" t="s">
        <v>15</v>
      </c>
      <c r="D1446" t="s">
        <v>5044</v>
      </c>
      <c r="E1446" t="s">
        <v>4164</v>
      </c>
      <c r="F1446" t="s">
        <v>278</v>
      </c>
      <c r="G1446" t="s">
        <v>5045</v>
      </c>
      <c r="H1446" t="str">
        <f>HYPERLINK("https://baanknet.com/view-property/282905/9C4E5BDC70CBE7A84FF028F7FA706BAC1C4F450B0F9914750A601082DF716EC0", "https://baanknet.com/view-property/282905/9C4E5BDC70CBE7A84FF028F7FA706BAC1C4F450B0F9914750A601082DF716EC0")</f>
        <v>https://baanknet.com/view-property/282905/9C4E5BDC70CBE7A84FF028F7FA706BAC1C4F450B0F9914750A601082DF716EC0</v>
      </c>
      <c r="I1446" t="str">
        <f>HYPERLINK("https://baanknet.com/view-property/282905/9C4E5BDC70CBE7A84FF028F7FA706BAC1C4F450B0F9914750A601082DF716EC0", "Open")</f>
        <v>Open</v>
      </c>
      <c r="J1446" t="s">
        <v>3803</v>
      </c>
      <c r="L1446">
        <v>2800000</v>
      </c>
      <c r="M1446">
        <v>280000</v>
      </c>
    </row>
    <row r="1447" spans="1:13" x14ac:dyDescent="0.25">
      <c r="A1447" t="s">
        <v>5046</v>
      </c>
      <c r="B1447" t="s">
        <v>5047</v>
      </c>
      <c r="C1447" t="s">
        <v>15</v>
      </c>
      <c r="D1447" t="s">
        <v>3968</v>
      </c>
      <c r="E1447" t="s">
        <v>4164</v>
      </c>
      <c r="F1447" t="s">
        <v>278</v>
      </c>
      <c r="G1447" t="s">
        <v>5048</v>
      </c>
      <c r="H1447" t="str">
        <f>HYPERLINK("https://baanknet.com/view-property/243099/D9D772D01419EE3BF55B7E5755E9E7A7B07B87438275986635EA3B6BF81F308C", "https://baanknet.com/view-property/243099/D9D772D01419EE3BF55B7E5755E9E7A7B07B87438275986635EA3B6BF81F308C")</f>
        <v>https://baanknet.com/view-property/243099/D9D772D01419EE3BF55B7E5755E9E7A7B07B87438275986635EA3B6BF81F308C</v>
      </c>
      <c r="I1447" t="str">
        <f>HYPERLINK("https://baanknet.com/view-property/243099/D9D772D01419EE3BF55B7E5755E9E7A7B07B87438275986635EA3B6BF81F308C", "Open")</f>
        <v>Open</v>
      </c>
      <c r="J1447" t="s">
        <v>3803</v>
      </c>
      <c r="L1447">
        <v>685000</v>
      </c>
      <c r="M1447">
        <v>68500</v>
      </c>
    </row>
    <row r="1448" spans="1:13" x14ac:dyDescent="0.25">
      <c r="A1448" t="s">
        <v>5049</v>
      </c>
      <c r="B1448" t="s">
        <v>5050</v>
      </c>
      <c r="C1448" t="s">
        <v>15</v>
      </c>
      <c r="D1448" t="s">
        <v>5051</v>
      </c>
      <c r="E1448" t="s">
        <v>4164</v>
      </c>
      <c r="F1448" t="s">
        <v>278</v>
      </c>
      <c r="G1448" t="s">
        <v>5052</v>
      </c>
      <c r="H1448" t="str">
        <f>HYPERLINK("https://baanknet.com/view-property/256389/27B791D47236F826ED41A0D9811A7138F35A822981939EA6571000CFBC5BC58D", "https://baanknet.com/view-property/256389/27B791D47236F826ED41A0D9811A7138F35A822981939EA6571000CFBC5BC58D")</f>
        <v>https://baanknet.com/view-property/256389/27B791D47236F826ED41A0D9811A7138F35A822981939EA6571000CFBC5BC58D</v>
      </c>
      <c r="I1448" t="str">
        <f>HYPERLINK("https://baanknet.com/view-property/256389/27B791D47236F826ED41A0D9811A7138F35A822981939EA6571000CFBC5BC58D", "Open")</f>
        <v>Open</v>
      </c>
      <c r="J1448" t="s">
        <v>3803</v>
      </c>
      <c r="L1448">
        <v>1530000</v>
      </c>
      <c r="M1448">
        <v>153000</v>
      </c>
    </row>
    <row r="1449" spans="1:13" x14ac:dyDescent="0.25">
      <c r="A1449" t="s">
        <v>5053</v>
      </c>
      <c r="B1449" t="s">
        <v>5054</v>
      </c>
      <c r="C1449" t="s">
        <v>15</v>
      </c>
      <c r="D1449" t="s">
        <v>5055</v>
      </c>
      <c r="E1449" t="s">
        <v>4164</v>
      </c>
      <c r="F1449" t="s">
        <v>278</v>
      </c>
      <c r="G1449" t="s">
        <v>5056</v>
      </c>
      <c r="H1449" t="str">
        <f>HYPERLINK("https://baanknet.com/view-property/243102/103A8854447D8AE79B60DD6C3061D0359358D4E4C566A5A50B972D899D4A74CB", "https://baanknet.com/view-property/243102/103A8854447D8AE79B60DD6C3061D0359358D4E4C566A5A50B972D899D4A74CB")</f>
        <v>https://baanknet.com/view-property/243102/103A8854447D8AE79B60DD6C3061D0359358D4E4C566A5A50B972D899D4A74CB</v>
      </c>
      <c r="I1449" t="str">
        <f>HYPERLINK("https://baanknet.com/view-property/243102/103A8854447D8AE79B60DD6C3061D0359358D4E4C566A5A50B972D899D4A74CB", "Open")</f>
        <v>Open</v>
      </c>
      <c r="J1449" t="s">
        <v>3803</v>
      </c>
      <c r="L1449">
        <v>1845000</v>
      </c>
      <c r="M1449">
        <v>184500</v>
      </c>
    </row>
    <row r="1450" spans="1:13" x14ac:dyDescent="0.25">
      <c r="A1450" t="s">
        <v>5057</v>
      </c>
      <c r="B1450" t="s">
        <v>5058</v>
      </c>
      <c r="C1450" t="s">
        <v>15</v>
      </c>
      <c r="D1450" t="s">
        <v>5032</v>
      </c>
      <c r="E1450" t="s">
        <v>4164</v>
      </c>
      <c r="F1450" t="s">
        <v>278</v>
      </c>
      <c r="G1450" t="s">
        <v>5059</v>
      </c>
      <c r="H1450" t="str">
        <f>HYPERLINK("https://baanknet.com/view-property/260490/5B305E583B2DF5658F4D6BD2164E188E23C0729707C3D295C0D45E436A5FBAEC", "https://baanknet.com/view-property/260490/5B305E583B2DF5658F4D6BD2164E188E23C0729707C3D295C0D45E436A5FBAEC")</f>
        <v>https://baanknet.com/view-property/260490/5B305E583B2DF5658F4D6BD2164E188E23C0729707C3D295C0D45E436A5FBAEC</v>
      </c>
      <c r="I1450" t="str">
        <f>HYPERLINK("https://baanknet.com/view-property/260490/5B305E583B2DF5658F4D6BD2164E188E23C0729707C3D295C0D45E436A5FBAEC", "Open")</f>
        <v>Open</v>
      </c>
      <c r="J1450" t="s">
        <v>3803</v>
      </c>
      <c r="L1450">
        <v>2900000</v>
      </c>
      <c r="M1450">
        <v>290000</v>
      </c>
    </row>
    <row r="1451" spans="1:13" x14ac:dyDescent="0.25">
      <c r="A1451" t="s">
        <v>5060</v>
      </c>
      <c r="B1451" t="s">
        <v>5061</v>
      </c>
      <c r="C1451" t="s">
        <v>15</v>
      </c>
      <c r="D1451" t="s">
        <v>3709</v>
      </c>
      <c r="E1451" t="s">
        <v>4164</v>
      </c>
      <c r="F1451" t="s">
        <v>278</v>
      </c>
      <c r="G1451" t="s">
        <v>5062</v>
      </c>
      <c r="H1451" t="str">
        <f>HYPERLINK("https://baanknet.com/view-property/269051/E35B330A256F69F484972B4FC93522AC0812E48713F7AEEF63BEA9F8B4B897CC", "https://baanknet.com/view-property/269051/E35B330A256F69F484972B4FC93522AC0812E48713F7AEEF63BEA9F8B4B897CC")</f>
        <v>https://baanknet.com/view-property/269051/E35B330A256F69F484972B4FC93522AC0812E48713F7AEEF63BEA9F8B4B897CC</v>
      </c>
      <c r="I1451" t="str">
        <f>HYPERLINK("https://baanknet.com/view-property/269051/E35B330A256F69F484972B4FC93522AC0812E48713F7AEEF63BEA9F8B4B897CC", "Open")</f>
        <v>Open</v>
      </c>
      <c r="J1451" t="s">
        <v>3803</v>
      </c>
      <c r="L1451">
        <v>3050000</v>
      </c>
      <c r="M1451">
        <v>305000</v>
      </c>
    </row>
    <row r="1452" spans="1:13" x14ac:dyDescent="0.25">
      <c r="A1452" t="s">
        <v>5063</v>
      </c>
      <c r="B1452" t="s">
        <v>5064</v>
      </c>
      <c r="C1452" t="s">
        <v>15</v>
      </c>
      <c r="D1452" t="s">
        <v>3709</v>
      </c>
      <c r="E1452" t="s">
        <v>4164</v>
      </c>
      <c r="F1452" t="s">
        <v>278</v>
      </c>
      <c r="G1452" t="s">
        <v>5065</v>
      </c>
      <c r="H1452" t="str">
        <f>HYPERLINK("https://baanknet.com/view-property/256394/146F3D217C6047E2EEFB4D565D5373E865FFEC7EE36DB5C0198D0A16EF8EBFBF", "https://baanknet.com/view-property/256394/146F3D217C6047E2EEFB4D565D5373E865FFEC7EE36DB5C0198D0A16EF8EBFBF")</f>
        <v>https://baanknet.com/view-property/256394/146F3D217C6047E2EEFB4D565D5373E865FFEC7EE36DB5C0198D0A16EF8EBFBF</v>
      </c>
      <c r="I1452" t="str">
        <f>HYPERLINK("https://baanknet.com/view-property/256394/146F3D217C6047E2EEFB4D565D5373E865FFEC7EE36DB5C0198D0A16EF8EBFBF", "Open")</f>
        <v>Open</v>
      </c>
      <c r="J1452" t="s">
        <v>3803</v>
      </c>
      <c r="L1452">
        <v>1250000</v>
      </c>
      <c r="M1452">
        <v>125000</v>
      </c>
    </row>
    <row r="1453" spans="1:13" x14ac:dyDescent="0.25">
      <c r="A1453" t="s">
        <v>5066</v>
      </c>
      <c r="B1453" t="s">
        <v>5067</v>
      </c>
      <c r="C1453" t="s">
        <v>15</v>
      </c>
      <c r="D1453" t="s">
        <v>5068</v>
      </c>
      <c r="E1453" t="s">
        <v>4164</v>
      </c>
      <c r="F1453" t="s">
        <v>278</v>
      </c>
      <c r="G1453" t="s">
        <v>5069</v>
      </c>
      <c r="H1453" t="str">
        <f>HYPERLINK("https://baanknet.com/view-property/280650/528CD744ED22B5FC26643DE572ED712831171B47DC2E6F9D2BA7B070D3580F2E", "https://baanknet.com/view-property/280650/528CD744ED22B5FC26643DE572ED712831171B47DC2E6F9D2BA7B070D3580F2E")</f>
        <v>https://baanknet.com/view-property/280650/528CD744ED22B5FC26643DE572ED712831171B47DC2E6F9D2BA7B070D3580F2E</v>
      </c>
      <c r="I1453" t="str">
        <f>HYPERLINK("https://baanknet.com/view-property/280650/528CD744ED22B5FC26643DE572ED712831171B47DC2E6F9D2BA7B070D3580F2E", "Open")</f>
        <v>Open</v>
      </c>
      <c r="J1453" t="s">
        <v>3803</v>
      </c>
      <c r="L1453">
        <v>3264000</v>
      </c>
      <c r="M1453">
        <v>326400</v>
      </c>
    </row>
    <row r="1454" spans="1:13" x14ac:dyDescent="0.25">
      <c r="A1454" t="s">
        <v>5070</v>
      </c>
      <c r="B1454" t="s">
        <v>5071</v>
      </c>
      <c r="C1454" t="s">
        <v>15</v>
      </c>
      <c r="D1454" t="s">
        <v>3968</v>
      </c>
      <c r="E1454" t="s">
        <v>4164</v>
      </c>
      <c r="F1454" t="s">
        <v>278</v>
      </c>
      <c r="G1454" t="s">
        <v>5072</v>
      </c>
      <c r="H1454" t="str">
        <f>HYPERLINK("https://baanknet.com/view-property/243019/4BF318663E119D042B54F7E2B1E90DE0044ECF388F01C16367BF17D64FE1A3F0", "https://baanknet.com/view-property/243019/4BF318663E119D042B54F7E2B1E90DE0044ECF388F01C16367BF17D64FE1A3F0")</f>
        <v>https://baanknet.com/view-property/243019/4BF318663E119D042B54F7E2B1E90DE0044ECF388F01C16367BF17D64FE1A3F0</v>
      </c>
      <c r="I1454" t="str">
        <f>HYPERLINK("https://baanknet.com/view-property/243019/4BF318663E119D042B54F7E2B1E90DE0044ECF388F01C16367BF17D64FE1A3F0", "Open")</f>
        <v>Open</v>
      </c>
      <c r="J1454" t="s">
        <v>3803</v>
      </c>
      <c r="L1454">
        <v>6100000</v>
      </c>
      <c r="M1454">
        <v>610000</v>
      </c>
    </row>
    <row r="1455" spans="1:13" x14ac:dyDescent="0.25">
      <c r="A1455" t="s">
        <v>5073</v>
      </c>
      <c r="B1455" t="s">
        <v>5074</v>
      </c>
      <c r="C1455" t="s">
        <v>15</v>
      </c>
      <c r="D1455" t="s">
        <v>102</v>
      </c>
      <c r="E1455" t="s">
        <v>4164</v>
      </c>
      <c r="F1455" t="s">
        <v>278</v>
      </c>
      <c r="G1455" t="s">
        <v>5075</v>
      </c>
      <c r="H1455" t="str">
        <f>HYPERLINK("https://baanknet.com/view-property/243087/30F10669441140C6FFD30B7BC50DE578A942B438453968010FE48F7D50E412C7", "https://baanknet.com/view-property/243087/30F10669441140C6FFD30B7BC50DE578A942B438453968010FE48F7D50E412C7")</f>
        <v>https://baanknet.com/view-property/243087/30F10669441140C6FFD30B7BC50DE578A942B438453968010FE48F7D50E412C7</v>
      </c>
      <c r="I1455" t="str">
        <f>HYPERLINK("https://baanknet.com/view-property/243087/30F10669441140C6FFD30B7BC50DE578A942B438453968010FE48F7D50E412C7", "Open")</f>
        <v>Open</v>
      </c>
      <c r="J1455" t="s">
        <v>3803</v>
      </c>
      <c r="L1455">
        <v>5300000</v>
      </c>
      <c r="M1455">
        <v>530000</v>
      </c>
    </row>
    <row r="1456" spans="1:13" x14ac:dyDescent="0.25">
      <c r="A1456" t="s">
        <v>5076</v>
      </c>
      <c r="B1456" t="s">
        <v>5077</v>
      </c>
      <c r="C1456" t="s">
        <v>15</v>
      </c>
      <c r="D1456" t="s">
        <v>3968</v>
      </c>
      <c r="E1456" t="s">
        <v>4164</v>
      </c>
      <c r="F1456" t="s">
        <v>278</v>
      </c>
      <c r="G1456" t="s">
        <v>5078</v>
      </c>
      <c r="H1456" t="str">
        <f>HYPERLINK("https://baanknet.com/view-property/243119/A6F920D5671D6E37E180B5783C98ADB61292392257637E2B62001A9D190FB5F2", "https://baanknet.com/view-property/243119/A6F920D5671D6E37E180B5783C98ADB61292392257637E2B62001A9D190FB5F2")</f>
        <v>https://baanknet.com/view-property/243119/A6F920D5671D6E37E180B5783C98ADB61292392257637E2B62001A9D190FB5F2</v>
      </c>
      <c r="I1456" t="str">
        <f>HYPERLINK("https://baanknet.com/view-property/243119/A6F920D5671D6E37E180B5783C98ADB61292392257637E2B62001A9D190FB5F2", "Open")</f>
        <v>Open</v>
      </c>
      <c r="J1456" t="s">
        <v>3803</v>
      </c>
      <c r="L1456">
        <v>2650000</v>
      </c>
      <c r="M1456">
        <v>265000</v>
      </c>
    </row>
    <row r="1457" spans="1:13" x14ac:dyDescent="0.25">
      <c r="A1457" t="s">
        <v>5079</v>
      </c>
      <c r="B1457" t="s">
        <v>5080</v>
      </c>
      <c r="C1457" t="s">
        <v>15</v>
      </c>
      <c r="D1457" t="s">
        <v>3968</v>
      </c>
      <c r="E1457" t="s">
        <v>4164</v>
      </c>
      <c r="F1457" t="s">
        <v>278</v>
      </c>
      <c r="G1457" t="s">
        <v>5081</v>
      </c>
      <c r="H1457" t="str">
        <f>HYPERLINK("https://baanknet.com/view-property/243038/CD8D0F0B0ED47547BED24AFE5D2356741E3E742CE8E48E2ECAD8EB13C156DA1A", "https://baanknet.com/view-property/243038/CD8D0F0B0ED47547BED24AFE5D2356741E3E742CE8E48E2ECAD8EB13C156DA1A")</f>
        <v>https://baanknet.com/view-property/243038/CD8D0F0B0ED47547BED24AFE5D2356741E3E742CE8E48E2ECAD8EB13C156DA1A</v>
      </c>
      <c r="I1457" t="str">
        <f>HYPERLINK("https://baanknet.com/view-property/243038/CD8D0F0B0ED47547BED24AFE5D2356741E3E742CE8E48E2ECAD8EB13C156DA1A", "Open")</f>
        <v>Open</v>
      </c>
      <c r="J1457" t="s">
        <v>3803</v>
      </c>
      <c r="L1457">
        <v>7600000</v>
      </c>
      <c r="M1457">
        <v>760000</v>
      </c>
    </row>
    <row r="1458" spans="1:13" x14ac:dyDescent="0.25">
      <c r="A1458" t="s">
        <v>5082</v>
      </c>
      <c r="B1458" t="s">
        <v>5083</v>
      </c>
      <c r="C1458" t="s">
        <v>15</v>
      </c>
      <c r="D1458" t="s">
        <v>5025</v>
      </c>
      <c r="E1458" t="s">
        <v>4164</v>
      </c>
      <c r="F1458" t="s">
        <v>278</v>
      </c>
      <c r="G1458" t="s">
        <v>5084</v>
      </c>
      <c r="H1458" t="str">
        <f>HYPERLINK("https://baanknet.com/view-property/243129/470F8B7DA22776D025EB7E8CF7857FB9BEC0C06E370DCF7431314F1ECDDAEF98", "https://baanknet.com/view-property/243129/470F8B7DA22776D025EB7E8CF7857FB9BEC0C06E370DCF7431314F1ECDDAEF98")</f>
        <v>https://baanknet.com/view-property/243129/470F8B7DA22776D025EB7E8CF7857FB9BEC0C06E370DCF7431314F1ECDDAEF98</v>
      </c>
      <c r="I1458" t="str">
        <f>HYPERLINK("https://baanknet.com/view-property/243129/470F8B7DA22776D025EB7E8CF7857FB9BEC0C06E370DCF7431314F1ECDDAEF98", "Open")</f>
        <v>Open</v>
      </c>
      <c r="J1458" t="s">
        <v>3803</v>
      </c>
      <c r="L1458">
        <v>4750000</v>
      </c>
      <c r="M1458">
        <v>475000</v>
      </c>
    </row>
    <row r="1459" spans="1:13" x14ac:dyDescent="0.25">
      <c r="A1459" t="s">
        <v>5085</v>
      </c>
      <c r="B1459" t="s">
        <v>5086</v>
      </c>
      <c r="C1459" t="s">
        <v>15</v>
      </c>
      <c r="D1459" t="s">
        <v>3968</v>
      </c>
      <c r="E1459" t="s">
        <v>4164</v>
      </c>
      <c r="F1459" t="s">
        <v>278</v>
      </c>
      <c r="G1459" t="s">
        <v>5087</v>
      </c>
      <c r="H1459" t="str">
        <f>HYPERLINK("https://baanknet.com/view-property/241001/1AB110CC3A105C3442D885CB93E158748EA33FC234E72E77F2C5A7E137DDF82C", "https://baanknet.com/view-property/241001/1AB110CC3A105C3442D885CB93E158748EA33FC234E72E77F2C5A7E137DDF82C")</f>
        <v>https://baanknet.com/view-property/241001/1AB110CC3A105C3442D885CB93E158748EA33FC234E72E77F2C5A7E137DDF82C</v>
      </c>
      <c r="I1459" t="str">
        <f>HYPERLINK("https://baanknet.com/view-property/241001/1AB110CC3A105C3442D885CB93E158748EA33FC234E72E77F2C5A7E137DDF82C", "Open")</f>
        <v>Open</v>
      </c>
      <c r="J1459" t="s">
        <v>3803</v>
      </c>
      <c r="L1459">
        <v>2600000</v>
      </c>
      <c r="M1459">
        <v>260000</v>
      </c>
    </row>
    <row r="1460" spans="1:13" x14ac:dyDescent="0.25">
      <c r="A1460" t="s">
        <v>5088</v>
      </c>
      <c r="B1460" t="s">
        <v>5089</v>
      </c>
      <c r="C1460" t="s">
        <v>15</v>
      </c>
      <c r="D1460" t="s">
        <v>3968</v>
      </c>
      <c r="E1460" t="s">
        <v>4164</v>
      </c>
      <c r="F1460" t="s">
        <v>278</v>
      </c>
      <c r="G1460" t="s">
        <v>5090</v>
      </c>
      <c r="H1460" t="str">
        <f>HYPERLINK("https://baanknet.com/view-property/243022/6ECD5661C0046BCCD36E769D54D03A6871016549C573BADFC15B9B7E921FF31E", "https://baanknet.com/view-property/243022/6ECD5661C0046BCCD36E769D54D03A6871016549C573BADFC15B9B7E921FF31E")</f>
        <v>https://baanknet.com/view-property/243022/6ECD5661C0046BCCD36E769D54D03A6871016549C573BADFC15B9B7E921FF31E</v>
      </c>
      <c r="I1460" t="str">
        <f>HYPERLINK("https://baanknet.com/view-property/243022/6ECD5661C0046BCCD36E769D54D03A6871016549C573BADFC15B9B7E921FF31E", "Open")</f>
        <v>Open</v>
      </c>
      <c r="J1460" t="s">
        <v>3803</v>
      </c>
      <c r="L1460">
        <v>2800000</v>
      </c>
      <c r="M1460">
        <v>280000</v>
      </c>
    </row>
    <row r="1461" spans="1:13" x14ac:dyDescent="0.25">
      <c r="A1461" t="s">
        <v>5091</v>
      </c>
      <c r="B1461" t="s">
        <v>5092</v>
      </c>
      <c r="C1461" t="s">
        <v>15</v>
      </c>
      <c r="D1461" t="s">
        <v>5093</v>
      </c>
      <c r="E1461" t="s">
        <v>4164</v>
      </c>
      <c r="F1461" t="s">
        <v>278</v>
      </c>
      <c r="G1461" t="s">
        <v>5094</v>
      </c>
      <c r="H1461" t="str">
        <f>HYPERLINK("https://baanknet.com/view-property/264210/3F2DE47F58695EB09B250A35E472A535CA8463DD3B39B1D2112739685421FCDB", "https://baanknet.com/view-property/264210/3F2DE47F58695EB09B250A35E472A535CA8463DD3B39B1D2112739685421FCDB")</f>
        <v>https://baanknet.com/view-property/264210/3F2DE47F58695EB09B250A35E472A535CA8463DD3B39B1D2112739685421FCDB</v>
      </c>
      <c r="I1461" t="str">
        <f>HYPERLINK("https://baanknet.com/view-property/264210/3F2DE47F58695EB09B250A35E472A535CA8463DD3B39B1D2112739685421FCDB", "Open")</f>
        <v>Open</v>
      </c>
      <c r="J1461" t="s">
        <v>3803</v>
      </c>
      <c r="L1461">
        <v>8000000</v>
      </c>
      <c r="M1461">
        <v>800000</v>
      </c>
    </row>
    <row r="1462" spans="1:13" x14ac:dyDescent="0.25">
      <c r="A1462" t="s">
        <v>5095</v>
      </c>
      <c r="B1462" t="s">
        <v>5096</v>
      </c>
      <c r="C1462" t="s">
        <v>15</v>
      </c>
      <c r="D1462" t="s">
        <v>5097</v>
      </c>
      <c r="E1462" t="s">
        <v>4164</v>
      </c>
      <c r="F1462" t="s">
        <v>5098</v>
      </c>
      <c r="G1462" t="s">
        <v>5099</v>
      </c>
      <c r="H1462" t="str">
        <f>HYPERLINK("https://baanknet.com/view-property/279289/00E61F61D60F93F22E582A2713F31CEE0BDB9BF176C2D08F2A2E7600B8E826CD", "https://baanknet.com/view-property/279289/00E61F61D60F93F22E582A2713F31CEE0BDB9BF176C2D08F2A2E7600B8E826CD")</f>
        <v>https://baanknet.com/view-property/279289/00E61F61D60F93F22E582A2713F31CEE0BDB9BF176C2D08F2A2E7600B8E826CD</v>
      </c>
      <c r="I1462" t="str">
        <f>HYPERLINK("https://baanknet.com/view-property/279289/00E61F61D60F93F22E582A2713F31CEE0BDB9BF176C2D08F2A2E7600B8E826CD", "Open")</f>
        <v>Open</v>
      </c>
      <c r="J1462" t="s">
        <v>3803</v>
      </c>
      <c r="L1462">
        <v>2500000</v>
      </c>
      <c r="M1462">
        <v>250000</v>
      </c>
    </row>
    <row r="1463" spans="1:13" x14ac:dyDescent="0.25">
      <c r="A1463" t="s">
        <v>5100</v>
      </c>
      <c r="B1463" t="s">
        <v>5101</v>
      </c>
      <c r="C1463" t="s">
        <v>15</v>
      </c>
      <c r="D1463" t="s">
        <v>212</v>
      </c>
      <c r="E1463" t="s">
        <v>4164</v>
      </c>
      <c r="F1463" t="s">
        <v>5098</v>
      </c>
      <c r="G1463" t="s">
        <v>5102</v>
      </c>
      <c r="H1463" t="str">
        <f>HYPERLINK("https://baanknet.com/view-property/250324/03FAAA479CF41CD77D681A5C1B025051FDF2CEF96F31A858C6FE046D9B44F9F3", "https://baanknet.com/view-property/250324/03FAAA479CF41CD77D681A5C1B025051FDF2CEF96F31A858C6FE046D9B44F9F3")</f>
        <v>https://baanknet.com/view-property/250324/03FAAA479CF41CD77D681A5C1B025051FDF2CEF96F31A858C6FE046D9B44F9F3</v>
      </c>
      <c r="I1463" t="str">
        <f>HYPERLINK("https://baanknet.com/view-property/250324/03FAAA479CF41CD77D681A5C1B025051FDF2CEF96F31A858C6FE046D9B44F9F3", "Open")</f>
        <v>Open</v>
      </c>
      <c r="J1463" t="s">
        <v>3803</v>
      </c>
      <c r="L1463">
        <v>945000</v>
      </c>
      <c r="M1463">
        <v>94500</v>
      </c>
    </row>
    <row r="1464" spans="1:13" x14ac:dyDescent="0.25">
      <c r="A1464" t="s">
        <v>5103</v>
      </c>
      <c r="B1464" t="s">
        <v>5104</v>
      </c>
      <c r="C1464" t="s">
        <v>15</v>
      </c>
      <c r="D1464" t="s">
        <v>198</v>
      </c>
      <c r="E1464" t="s">
        <v>4164</v>
      </c>
      <c r="F1464" t="s">
        <v>5098</v>
      </c>
      <c r="G1464" t="s">
        <v>5105</v>
      </c>
      <c r="H1464" t="str">
        <f>HYPERLINK("https://baanknet.com/view-property/199364/71482F8F6A0B2706F60D975FD777528327C0EE93FD173CE62E8FDBDE59D24910", "https://baanknet.com/view-property/199364/71482F8F6A0B2706F60D975FD777528327C0EE93FD173CE62E8FDBDE59D24910")</f>
        <v>https://baanknet.com/view-property/199364/71482F8F6A0B2706F60D975FD777528327C0EE93FD173CE62E8FDBDE59D24910</v>
      </c>
      <c r="I1464" t="str">
        <f>HYPERLINK("https://baanknet.com/view-property/199364/71482F8F6A0B2706F60D975FD777528327C0EE93FD173CE62E8FDBDE59D24910", "Open")</f>
        <v>Open</v>
      </c>
      <c r="J1464" t="s">
        <v>3803</v>
      </c>
      <c r="L1464">
        <v>2157000</v>
      </c>
      <c r="M1464">
        <v>215700</v>
      </c>
    </row>
    <row r="1465" spans="1:13" x14ac:dyDescent="0.25">
      <c r="A1465" t="s">
        <v>5106</v>
      </c>
      <c r="B1465" t="s">
        <v>5107</v>
      </c>
      <c r="C1465" t="s">
        <v>15</v>
      </c>
      <c r="D1465" t="s">
        <v>3103</v>
      </c>
      <c r="E1465" t="s">
        <v>4164</v>
      </c>
      <c r="F1465" t="s">
        <v>5098</v>
      </c>
      <c r="G1465" t="s">
        <v>5108</v>
      </c>
      <c r="H1465" t="str">
        <f>HYPERLINK("https://baanknet.com/view-property/278556/638976F5DE6C36390A328ED9515350250F2D11D1EB96DE7888D995972709CF5A", "https://baanknet.com/view-property/278556/638976F5DE6C36390A328ED9515350250F2D11D1EB96DE7888D995972709CF5A")</f>
        <v>https://baanknet.com/view-property/278556/638976F5DE6C36390A328ED9515350250F2D11D1EB96DE7888D995972709CF5A</v>
      </c>
      <c r="I1465" t="str">
        <f>HYPERLINK("https://baanknet.com/view-property/278556/638976F5DE6C36390A328ED9515350250F2D11D1EB96DE7888D995972709CF5A", "Open")</f>
        <v>Open</v>
      </c>
      <c r="J1465" t="s">
        <v>3803</v>
      </c>
      <c r="L1465">
        <v>1680000</v>
      </c>
      <c r="M1465">
        <v>168000</v>
      </c>
    </row>
    <row r="1466" spans="1:13" x14ac:dyDescent="0.25">
      <c r="A1466" t="s">
        <v>5109</v>
      </c>
      <c r="B1466" t="s">
        <v>5110</v>
      </c>
      <c r="C1466" t="s">
        <v>15</v>
      </c>
      <c r="D1466" t="s">
        <v>212</v>
      </c>
      <c r="E1466" t="s">
        <v>4164</v>
      </c>
      <c r="F1466" t="s">
        <v>5098</v>
      </c>
      <c r="G1466" t="s">
        <v>5111</v>
      </c>
      <c r="H1466" t="str">
        <f>HYPERLINK("https://baanknet.com/view-property/224338/378112047817595C152B29145BDFE54D2DF928332666FF178F64D5D4A8E73E45", "https://baanknet.com/view-property/224338/378112047817595C152B29145BDFE54D2DF928332666FF178F64D5D4A8E73E45")</f>
        <v>https://baanknet.com/view-property/224338/378112047817595C152B29145BDFE54D2DF928332666FF178F64D5D4A8E73E45</v>
      </c>
      <c r="I1466" t="str">
        <f>HYPERLINK("https://baanknet.com/view-property/224338/378112047817595C152B29145BDFE54D2DF928332666FF178F64D5D4A8E73E45", "Open")</f>
        <v>Open</v>
      </c>
      <c r="J1466" t="s">
        <v>3803</v>
      </c>
      <c r="L1466">
        <v>1235000</v>
      </c>
      <c r="M1466">
        <v>123500</v>
      </c>
    </row>
    <row r="1467" spans="1:13" x14ac:dyDescent="0.25">
      <c r="A1467" t="s">
        <v>5112</v>
      </c>
      <c r="B1467" t="s">
        <v>5113</v>
      </c>
      <c r="C1467" t="s">
        <v>15</v>
      </c>
      <c r="D1467" t="s">
        <v>212</v>
      </c>
      <c r="E1467" t="s">
        <v>4164</v>
      </c>
      <c r="F1467" t="s">
        <v>5098</v>
      </c>
      <c r="G1467" t="s">
        <v>5114</v>
      </c>
      <c r="H1467" t="str">
        <f>HYPERLINK("https://baanknet.com/view-property/250355/CC29F207826B31A6E14B3F968ACA929A3D0EB8FA75811B0F65F05A456333D110", "https://baanknet.com/view-property/250355/CC29F207826B31A6E14B3F968ACA929A3D0EB8FA75811B0F65F05A456333D110")</f>
        <v>https://baanknet.com/view-property/250355/CC29F207826B31A6E14B3F968ACA929A3D0EB8FA75811B0F65F05A456333D110</v>
      </c>
      <c r="I1467" t="str">
        <f>HYPERLINK("https://baanknet.com/view-property/250355/CC29F207826B31A6E14B3F968ACA929A3D0EB8FA75811B0F65F05A456333D110", "Open")</f>
        <v>Open</v>
      </c>
      <c r="J1467" t="s">
        <v>3803</v>
      </c>
      <c r="L1467">
        <v>2230000</v>
      </c>
      <c r="M1467">
        <v>223000</v>
      </c>
    </row>
    <row r="1468" spans="1:13" x14ac:dyDescent="0.25">
      <c r="A1468" t="s">
        <v>5115</v>
      </c>
      <c r="B1468" t="s">
        <v>5116</v>
      </c>
      <c r="C1468" t="s">
        <v>15</v>
      </c>
      <c r="D1468" t="s">
        <v>2976</v>
      </c>
      <c r="E1468" t="s">
        <v>4164</v>
      </c>
      <c r="F1468" t="s">
        <v>5098</v>
      </c>
      <c r="G1468" t="s">
        <v>5117</v>
      </c>
      <c r="H1468" t="str">
        <f>HYPERLINK("https://baanknet.com/view-property/205401/280EDA49F6A35DC0DF9C631E5BBAB4095805C42DF9BC0243516A8E2AE1773ABF", "https://baanknet.com/view-property/205401/280EDA49F6A35DC0DF9C631E5BBAB4095805C42DF9BC0243516A8E2AE1773ABF")</f>
        <v>https://baanknet.com/view-property/205401/280EDA49F6A35DC0DF9C631E5BBAB4095805C42DF9BC0243516A8E2AE1773ABF</v>
      </c>
      <c r="I1468" t="str">
        <f>HYPERLINK("https://baanknet.com/view-property/205401/280EDA49F6A35DC0DF9C631E5BBAB4095805C42DF9BC0243516A8E2AE1773ABF", "Open")</f>
        <v>Open</v>
      </c>
      <c r="J1468" t="s">
        <v>3803</v>
      </c>
      <c r="L1468">
        <v>2247000</v>
      </c>
      <c r="M1468">
        <v>224700</v>
      </c>
    </row>
    <row r="1469" spans="1:13" x14ac:dyDescent="0.25">
      <c r="A1469" t="s">
        <v>5118</v>
      </c>
      <c r="B1469" t="s">
        <v>5119</v>
      </c>
      <c r="C1469" t="s">
        <v>15</v>
      </c>
      <c r="D1469" t="s">
        <v>5120</v>
      </c>
      <c r="E1469" t="s">
        <v>4164</v>
      </c>
      <c r="F1469" t="s">
        <v>5098</v>
      </c>
      <c r="G1469" t="s">
        <v>5121</v>
      </c>
      <c r="H1469" t="str">
        <f>HYPERLINK("https://baanknet.com/view-property/229433/33CDC64A478EAACFFEEA9B7DE666CBF1DB561A692519685DC36A35F8F822F642", "https://baanknet.com/view-property/229433/33CDC64A478EAACFFEEA9B7DE666CBF1DB561A692519685DC36A35F8F822F642")</f>
        <v>https://baanknet.com/view-property/229433/33CDC64A478EAACFFEEA9B7DE666CBF1DB561A692519685DC36A35F8F822F642</v>
      </c>
      <c r="I1469" t="str">
        <f>HYPERLINK("https://baanknet.com/view-property/229433/33CDC64A478EAACFFEEA9B7DE666CBF1DB561A692519685DC36A35F8F822F642", "Open")</f>
        <v>Open</v>
      </c>
      <c r="J1469" t="s">
        <v>3803</v>
      </c>
      <c r="L1469">
        <v>1030000</v>
      </c>
      <c r="M1469">
        <v>103000</v>
      </c>
    </row>
    <row r="1470" spans="1:13" x14ac:dyDescent="0.25">
      <c r="A1470" t="s">
        <v>5122</v>
      </c>
      <c r="B1470" t="s">
        <v>5123</v>
      </c>
      <c r="C1470" t="s">
        <v>15</v>
      </c>
      <c r="D1470" t="s">
        <v>212</v>
      </c>
      <c r="E1470" t="s">
        <v>4164</v>
      </c>
      <c r="F1470" t="s">
        <v>5098</v>
      </c>
      <c r="G1470" t="s">
        <v>5124</v>
      </c>
      <c r="H1470" t="str">
        <f>HYPERLINK("https://baanknet.com/view-property/203031/DECA114B78C6FEF62AD238B8E7482EC3DB448CDDFAFE28F640AC049433DB2C13", "https://baanknet.com/view-property/203031/DECA114B78C6FEF62AD238B8E7482EC3DB448CDDFAFE28F640AC049433DB2C13")</f>
        <v>https://baanknet.com/view-property/203031/DECA114B78C6FEF62AD238B8E7482EC3DB448CDDFAFE28F640AC049433DB2C13</v>
      </c>
      <c r="I1470" t="str">
        <f>HYPERLINK("https://baanknet.com/view-property/203031/DECA114B78C6FEF62AD238B8E7482EC3DB448CDDFAFE28F640AC049433DB2C13", "Open")</f>
        <v>Open</v>
      </c>
      <c r="J1470" t="s">
        <v>3803</v>
      </c>
      <c r="L1470">
        <v>407700</v>
      </c>
      <c r="M1470">
        <v>40770</v>
      </c>
    </row>
    <row r="1471" spans="1:13" x14ac:dyDescent="0.25">
      <c r="A1471" t="s">
        <v>5125</v>
      </c>
      <c r="B1471" t="s">
        <v>5126</v>
      </c>
      <c r="C1471" t="s">
        <v>15</v>
      </c>
      <c r="D1471" t="s">
        <v>5127</v>
      </c>
      <c r="E1471" t="s">
        <v>4164</v>
      </c>
      <c r="F1471" t="s">
        <v>5098</v>
      </c>
      <c r="G1471" t="s">
        <v>5128</v>
      </c>
      <c r="H1471" t="str">
        <f>HYPERLINK("https://baanknet.com/view-property/265690/6B10F3C6F0C53D780FA98A2353DC0E6F61D37D896D7C168DAA20FB505463FA85", "https://baanknet.com/view-property/265690/6B10F3C6F0C53D780FA98A2353DC0E6F61D37D896D7C168DAA20FB505463FA85")</f>
        <v>https://baanknet.com/view-property/265690/6B10F3C6F0C53D780FA98A2353DC0E6F61D37D896D7C168DAA20FB505463FA85</v>
      </c>
      <c r="I1471" t="str">
        <f>HYPERLINK("https://baanknet.com/view-property/265690/6B10F3C6F0C53D780FA98A2353DC0E6F61D37D896D7C168DAA20FB505463FA85", "Open")</f>
        <v>Open</v>
      </c>
      <c r="J1471" t="s">
        <v>3803</v>
      </c>
      <c r="L1471">
        <v>2300000</v>
      </c>
      <c r="M1471">
        <v>230000</v>
      </c>
    </row>
    <row r="1472" spans="1:13" x14ac:dyDescent="0.25">
      <c r="A1472" t="s">
        <v>5129</v>
      </c>
      <c r="B1472" t="s">
        <v>5130</v>
      </c>
      <c r="C1472" t="s">
        <v>15</v>
      </c>
      <c r="D1472" t="s">
        <v>212</v>
      </c>
      <c r="E1472" t="s">
        <v>4164</v>
      </c>
      <c r="F1472" t="s">
        <v>5098</v>
      </c>
      <c r="G1472" t="s">
        <v>5131</v>
      </c>
      <c r="H1472" t="str">
        <f>HYPERLINK("https://baanknet.com/view-property/202495/CF5EC10407B699051546079A1A160EFD304642E173D2D5322BB2A9D93D6E0065", "https://baanknet.com/view-property/202495/CF5EC10407B699051546079A1A160EFD304642E173D2D5322BB2A9D93D6E0065")</f>
        <v>https://baanknet.com/view-property/202495/CF5EC10407B699051546079A1A160EFD304642E173D2D5322BB2A9D93D6E0065</v>
      </c>
      <c r="I1472" t="str">
        <f>HYPERLINK("https://baanknet.com/view-property/202495/CF5EC10407B699051546079A1A160EFD304642E173D2D5322BB2A9D93D6E0065", "Open")</f>
        <v>Open</v>
      </c>
      <c r="J1472" t="s">
        <v>3803</v>
      </c>
      <c r="L1472">
        <v>1138500</v>
      </c>
      <c r="M1472">
        <v>113850</v>
      </c>
    </row>
    <row r="1473" spans="1:13" x14ac:dyDescent="0.25">
      <c r="A1473" t="s">
        <v>5132</v>
      </c>
      <c r="B1473" t="s">
        <v>5133</v>
      </c>
      <c r="C1473" t="s">
        <v>15</v>
      </c>
      <c r="D1473" t="s">
        <v>212</v>
      </c>
      <c r="E1473" t="s">
        <v>4164</v>
      </c>
      <c r="F1473" t="s">
        <v>5098</v>
      </c>
      <c r="G1473" t="s">
        <v>5134</v>
      </c>
      <c r="H1473" t="str">
        <f>HYPERLINK("https://baanknet.com/view-property/191265/4F50DF089C95577D7D71D4E092446CA4CC41391D33127CDCD3DB2F33561F8166", "https://baanknet.com/view-property/191265/4F50DF089C95577D7D71D4E092446CA4CC41391D33127CDCD3DB2F33561F8166")</f>
        <v>https://baanknet.com/view-property/191265/4F50DF089C95577D7D71D4E092446CA4CC41391D33127CDCD3DB2F33561F8166</v>
      </c>
      <c r="I1473" t="str">
        <f>HYPERLINK("https://baanknet.com/view-property/191265/4F50DF089C95577D7D71D4E092446CA4CC41391D33127CDCD3DB2F33561F8166", "Open")</f>
        <v>Open</v>
      </c>
      <c r="J1473" t="s">
        <v>3803</v>
      </c>
      <c r="L1473">
        <v>2048000</v>
      </c>
      <c r="M1473">
        <v>204800</v>
      </c>
    </row>
    <row r="1474" spans="1:13" x14ac:dyDescent="0.25">
      <c r="A1474" t="s">
        <v>5135</v>
      </c>
      <c r="B1474" t="s">
        <v>5136</v>
      </c>
      <c r="C1474" t="s">
        <v>15</v>
      </c>
      <c r="D1474" t="s">
        <v>212</v>
      </c>
      <c r="E1474" t="s">
        <v>4164</v>
      </c>
      <c r="F1474" t="s">
        <v>5098</v>
      </c>
      <c r="G1474" t="s">
        <v>5137</v>
      </c>
      <c r="H1474" t="str">
        <f>HYPERLINK("https://baanknet.com/view-property/202507/C48D968ED9D68E285F9794B6E8CCAF85B476172717EDD7539822B99389E4C7B7", "https://baanknet.com/view-property/202507/C48D968ED9D68E285F9794B6E8CCAF85B476172717EDD7539822B99389E4C7B7")</f>
        <v>https://baanknet.com/view-property/202507/C48D968ED9D68E285F9794B6E8CCAF85B476172717EDD7539822B99389E4C7B7</v>
      </c>
      <c r="I1474" t="str">
        <f>HYPERLINK("https://baanknet.com/view-property/202507/C48D968ED9D68E285F9794B6E8CCAF85B476172717EDD7539822B99389E4C7B7", "Open")</f>
        <v>Open</v>
      </c>
      <c r="J1474" t="s">
        <v>3803</v>
      </c>
      <c r="L1474">
        <v>894600</v>
      </c>
      <c r="M1474">
        <v>89460</v>
      </c>
    </row>
    <row r="1475" spans="1:13" x14ac:dyDescent="0.25">
      <c r="A1475" t="s">
        <v>5138</v>
      </c>
      <c r="B1475" t="s">
        <v>5139</v>
      </c>
      <c r="C1475" t="s">
        <v>15</v>
      </c>
      <c r="D1475" t="s">
        <v>5140</v>
      </c>
      <c r="E1475" t="s">
        <v>4164</v>
      </c>
      <c r="F1475" t="s">
        <v>5098</v>
      </c>
      <c r="G1475" t="s">
        <v>5141</v>
      </c>
      <c r="H1475" t="str">
        <f>HYPERLINK("https://baanknet.com/view-property/224343/D66804C3BA42456F0736BBFC1F6B49F8DC9B771184FC671955E30F7D1D59618C", "https://baanknet.com/view-property/224343/D66804C3BA42456F0736BBFC1F6B49F8DC9B771184FC671955E30F7D1D59618C")</f>
        <v>https://baanknet.com/view-property/224343/D66804C3BA42456F0736BBFC1F6B49F8DC9B771184FC671955E30F7D1D59618C</v>
      </c>
      <c r="I1475" t="str">
        <f>HYPERLINK("https://baanknet.com/view-property/224343/D66804C3BA42456F0736BBFC1F6B49F8DC9B771184FC671955E30F7D1D59618C", "Open")</f>
        <v>Open</v>
      </c>
      <c r="J1475" t="s">
        <v>3803</v>
      </c>
      <c r="L1475">
        <v>1476000</v>
      </c>
      <c r="M1475">
        <v>147600</v>
      </c>
    </row>
    <row r="1476" spans="1:13" x14ac:dyDescent="0.25">
      <c r="A1476" t="s">
        <v>5142</v>
      </c>
      <c r="B1476" t="s">
        <v>5143</v>
      </c>
      <c r="C1476" t="s">
        <v>15</v>
      </c>
      <c r="D1476" t="s">
        <v>191</v>
      </c>
      <c r="E1476" t="s">
        <v>4164</v>
      </c>
      <c r="F1476" t="s">
        <v>5098</v>
      </c>
      <c r="G1476" t="s">
        <v>5144</v>
      </c>
      <c r="H1476" t="str">
        <f>HYPERLINK("https://baanknet.com/view-property/280572/B69254C56EF97B0B392A441A6511D5FC1085AB2AA226581A066E3AF8B959E556", "https://baanknet.com/view-property/280572/B69254C56EF97B0B392A441A6511D5FC1085AB2AA226581A066E3AF8B959E556")</f>
        <v>https://baanknet.com/view-property/280572/B69254C56EF97B0B392A441A6511D5FC1085AB2AA226581A066E3AF8B959E556</v>
      </c>
      <c r="I1476" t="str">
        <f>HYPERLINK("https://baanknet.com/view-property/280572/B69254C56EF97B0B392A441A6511D5FC1085AB2AA226581A066E3AF8B959E556", "Open")</f>
        <v>Open</v>
      </c>
      <c r="J1476" t="s">
        <v>3803</v>
      </c>
      <c r="L1476">
        <v>3522000</v>
      </c>
      <c r="M1476">
        <v>352200</v>
      </c>
    </row>
    <row r="1477" spans="1:13" x14ac:dyDescent="0.25">
      <c r="A1477" t="s">
        <v>5145</v>
      </c>
      <c r="B1477" t="s">
        <v>5146</v>
      </c>
      <c r="C1477" t="s">
        <v>15</v>
      </c>
      <c r="D1477" t="s">
        <v>208</v>
      </c>
      <c r="E1477" t="s">
        <v>4164</v>
      </c>
      <c r="F1477" t="s">
        <v>5098</v>
      </c>
      <c r="G1477" t="s">
        <v>5147</v>
      </c>
      <c r="H1477" t="str">
        <f>HYPERLINK("https://baanknet.com/view-property/282621/7F47991A2DE6755E9121A44AB585B8B1C27D08F23AF8504CFA28D89C905DA74C", "https://baanknet.com/view-property/282621/7F47991A2DE6755E9121A44AB585B8B1C27D08F23AF8504CFA28D89C905DA74C")</f>
        <v>https://baanknet.com/view-property/282621/7F47991A2DE6755E9121A44AB585B8B1C27D08F23AF8504CFA28D89C905DA74C</v>
      </c>
      <c r="I1477" t="str">
        <f>HYPERLINK("https://baanknet.com/view-property/282621/7F47991A2DE6755E9121A44AB585B8B1C27D08F23AF8504CFA28D89C905DA74C", "Open")</f>
        <v>Open</v>
      </c>
      <c r="J1477" t="s">
        <v>3803</v>
      </c>
      <c r="L1477">
        <v>1640000</v>
      </c>
      <c r="M1477">
        <v>164000</v>
      </c>
    </row>
    <row r="1478" spans="1:13" x14ac:dyDescent="0.25">
      <c r="A1478" t="s">
        <v>5148</v>
      </c>
      <c r="B1478" t="s">
        <v>5149</v>
      </c>
      <c r="C1478" t="s">
        <v>15</v>
      </c>
      <c r="D1478" t="s">
        <v>212</v>
      </c>
      <c r="E1478" t="s">
        <v>4164</v>
      </c>
      <c r="F1478" t="s">
        <v>5098</v>
      </c>
      <c r="G1478" t="s">
        <v>5150</v>
      </c>
      <c r="H1478" t="str">
        <f>HYPERLINK("https://baanknet.com/view-property/202467/A70EFB2193982C189816AA47E968839EEF76121A6D44F5A700F1A6CC7A5C5F8A", "https://baanknet.com/view-property/202467/A70EFB2193982C189816AA47E968839EEF76121A6D44F5A700F1A6CC7A5C5F8A")</f>
        <v>https://baanknet.com/view-property/202467/A70EFB2193982C189816AA47E968839EEF76121A6D44F5A700F1A6CC7A5C5F8A</v>
      </c>
      <c r="I1478" t="str">
        <f>HYPERLINK("https://baanknet.com/view-property/202467/A70EFB2193982C189816AA47E968839EEF76121A6D44F5A700F1A6CC7A5C5F8A", "Open")</f>
        <v>Open</v>
      </c>
      <c r="J1478" t="s">
        <v>3803</v>
      </c>
      <c r="L1478">
        <v>3163000</v>
      </c>
      <c r="M1478">
        <v>316300</v>
      </c>
    </row>
    <row r="1479" spans="1:13" x14ac:dyDescent="0.25">
      <c r="A1479" t="s">
        <v>5151</v>
      </c>
      <c r="B1479" t="s">
        <v>5152</v>
      </c>
      <c r="C1479" t="s">
        <v>15</v>
      </c>
      <c r="D1479" t="s">
        <v>212</v>
      </c>
      <c r="E1479" t="s">
        <v>4164</v>
      </c>
      <c r="F1479" t="s">
        <v>5098</v>
      </c>
      <c r="G1479" t="s">
        <v>5153</v>
      </c>
      <c r="H1479" t="str">
        <f>HYPERLINK("https://baanknet.com/view-property/204842/364093B4948A1125B624F69286EDF295F56AC6C7156C7FA4716B39F8AC0F3C4B", "https://baanknet.com/view-property/204842/364093B4948A1125B624F69286EDF295F56AC6C7156C7FA4716B39F8AC0F3C4B")</f>
        <v>https://baanknet.com/view-property/204842/364093B4948A1125B624F69286EDF295F56AC6C7156C7FA4716B39F8AC0F3C4B</v>
      </c>
      <c r="I1479" t="str">
        <f>HYPERLINK("https://baanknet.com/view-property/204842/364093B4948A1125B624F69286EDF295F56AC6C7156C7FA4716B39F8AC0F3C4B", "Open")</f>
        <v>Open</v>
      </c>
      <c r="J1479" t="s">
        <v>3803</v>
      </c>
      <c r="L1479">
        <v>455500</v>
      </c>
      <c r="M1479">
        <v>45550</v>
      </c>
    </row>
    <row r="1480" spans="1:13" x14ac:dyDescent="0.25">
      <c r="A1480" t="s">
        <v>5154</v>
      </c>
      <c r="B1480" t="s">
        <v>5155</v>
      </c>
      <c r="C1480" t="s">
        <v>15</v>
      </c>
      <c r="D1480" t="s">
        <v>212</v>
      </c>
      <c r="E1480" t="s">
        <v>4164</v>
      </c>
      <c r="F1480" t="s">
        <v>5098</v>
      </c>
      <c r="G1480" t="s">
        <v>5156</v>
      </c>
      <c r="H1480" t="str">
        <f>HYPERLINK("https://baanknet.com/view-property/224385/E7A7D47FA65E006045FA007702B8D9A85C65A893D7F24672E15AC04667D2F5DF", "https://baanknet.com/view-property/224385/E7A7D47FA65E006045FA007702B8D9A85C65A893D7F24672E15AC04667D2F5DF")</f>
        <v>https://baanknet.com/view-property/224385/E7A7D47FA65E006045FA007702B8D9A85C65A893D7F24672E15AC04667D2F5DF</v>
      </c>
      <c r="I1480" t="str">
        <f>HYPERLINK("https://baanknet.com/view-property/224385/E7A7D47FA65E006045FA007702B8D9A85C65A893D7F24672E15AC04667D2F5DF", "Open")</f>
        <v>Open</v>
      </c>
      <c r="J1480" t="s">
        <v>3803</v>
      </c>
      <c r="L1480">
        <v>2188000</v>
      </c>
      <c r="M1480">
        <v>218800</v>
      </c>
    </row>
    <row r="1481" spans="1:13" x14ac:dyDescent="0.25">
      <c r="A1481" t="s">
        <v>5157</v>
      </c>
      <c r="B1481" t="s">
        <v>5158</v>
      </c>
      <c r="C1481" t="s">
        <v>15</v>
      </c>
      <c r="D1481" t="s">
        <v>198</v>
      </c>
      <c r="E1481" t="s">
        <v>4164</v>
      </c>
      <c r="F1481" t="s">
        <v>5098</v>
      </c>
      <c r="G1481" t="s">
        <v>5159</v>
      </c>
      <c r="H1481" t="str">
        <f>HYPERLINK("https://baanknet.com/view-property/272680/D5679B5B00DE51C510D66B335DE2BF9844C48B14AE743C4D7DC9520F35344A80", "https://baanknet.com/view-property/272680/D5679B5B00DE51C510D66B335DE2BF9844C48B14AE743C4D7DC9520F35344A80")</f>
        <v>https://baanknet.com/view-property/272680/D5679B5B00DE51C510D66B335DE2BF9844C48B14AE743C4D7DC9520F35344A80</v>
      </c>
      <c r="I1481" t="str">
        <f>HYPERLINK("https://baanknet.com/view-property/272680/D5679B5B00DE51C510D66B335DE2BF9844C48B14AE743C4D7DC9520F35344A80", "Open")</f>
        <v>Open</v>
      </c>
      <c r="J1481" t="s">
        <v>3803</v>
      </c>
      <c r="L1481">
        <v>729000</v>
      </c>
      <c r="M1481">
        <v>72900</v>
      </c>
    </row>
    <row r="1482" spans="1:13" x14ac:dyDescent="0.25">
      <c r="A1482" t="s">
        <v>5160</v>
      </c>
      <c r="B1482" t="s">
        <v>5161</v>
      </c>
      <c r="C1482" t="s">
        <v>15</v>
      </c>
      <c r="D1482" t="s">
        <v>187</v>
      </c>
      <c r="E1482" t="s">
        <v>4164</v>
      </c>
      <c r="F1482" t="s">
        <v>5098</v>
      </c>
      <c r="G1482" t="s">
        <v>5162</v>
      </c>
      <c r="H1482" t="str">
        <f>HYPERLINK("https://baanknet.com/view-property/250019/28276CB41FE31CBC2A92414C606D14A8F000E3C209D09FB934A3AE6E32DFBE6B", "https://baanknet.com/view-property/250019/28276CB41FE31CBC2A92414C606D14A8F000E3C209D09FB934A3AE6E32DFBE6B")</f>
        <v>https://baanknet.com/view-property/250019/28276CB41FE31CBC2A92414C606D14A8F000E3C209D09FB934A3AE6E32DFBE6B</v>
      </c>
      <c r="I1482" t="str">
        <f>HYPERLINK("https://baanknet.com/view-property/250019/28276CB41FE31CBC2A92414C606D14A8F000E3C209D09FB934A3AE6E32DFBE6B", "Open")</f>
        <v>Open</v>
      </c>
      <c r="J1482" t="s">
        <v>3803</v>
      </c>
      <c r="L1482">
        <v>2047000</v>
      </c>
      <c r="M1482">
        <v>204700</v>
      </c>
    </row>
    <row r="1483" spans="1:13" x14ac:dyDescent="0.25">
      <c r="A1483" t="s">
        <v>5163</v>
      </c>
      <c r="B1483" t="s">
        <v>5164</v>
      </c>
      <c r="C1483" t="s">
        <v>15</v>
      </c>
      <c r="D1483" t="s">
        <v>212</v>
      </c>
      <c r="E1483" t="s">
        <v>4164</v>
      </c>
      <c r="F1483" t="s">
        <v>5098</v>
      </c>
      <c r="G1483" t="s">
        <v>5165</v>
      </c>
      <c r="H1483" t="str">
        <f>HYPERLINK("https://baanknet.com/view-property/250053/CB1A1789946D0599691B642A8BD7141E4734C47DE4297F7DED0E35F71E87AB8E", "https://baanknet.com/view-property/250053/CB1A1789946D0599691B642A8BD7141E4734C47DE4297F7DED0E35F71E87AB8E")</f>
        <v>https://baanknet.com/view-property/250053/CB1A1789946D0599691B642A8BD7141E4734C47DE4297F7DED0E35F71E87AB8E</v>
      </c>
      <c r="I1483" t="str">
        <f>HYPERLINK("https://baanknet.com/view-property/250053/CB1A1789946D0599691B642A8BD7141E4734C47DE4297F7DED0E35F71E87AB8E", "Open")</f>
        <v>Open</v>
      </c>
      <c r="J1483" t="s">
        <v>3803</v>
      </c>
      <c r="L1483">
        <v>844000</v>
      </c>
      <c r="M1483">
        <v>84400</v>
      </c>
    </row>
    <row r="1484" spans="1:13" x14ac:dyDescent="0.25">
      <c r="A1484" t="s">
        <v>5166</v>
      </c>
      <c r="B1484" t="s">
        <v>5167</v>
      </c>
      <c r="C1484" t="s">
        <v>15</v>
      </c>
      <c r="D1484" t="s">
        <v>5127</v>
      </c>
      <c r="E1484" t="s">
        <v>4164</v>
      </c>
      <c r="F1484" t="s">
        <v>5098</v>
      </c>
      <c r="G1484" t="s">
        <v>5168</v>
      </c>
      <c r="H1484" t="str">
        <f>HYPERLINK("https://baanknet.com/view-property/225636/A0830217B6545FB1064F67D5324CB727D9A5E92CE6779B100753EC755E2CEA8E", "https://baanknet.com/view-property/225636/A0830217B6545FB1064F67D5324CB727D9A5E92CE6779B100753EC755E2CEA8E")</f>
        <v>https://baanknet.com/view-property/225636/A0830217B6545FB1064F67D5324CB727D9A5E92CE6779B100753EC755E2CEA8E</v>
      </c>
      <c r="I1484" t="str">
        <f>HYPERLINK("https://baanknet.com/view-property/225636/A0830217B6545FB1064F67D5324CB727D9A5E92CE6779B100753EC755E2CEA8E", "Open")</f>
        <v>Open</v>
      </c>
      <c r="J1484" t="s">
        <v>3803</v>
      </c>
      <c r="L1484">
        <v>1530000</v>
      </c>
      <c r="M1484">
        <v>153000</v>
      </c>
    </row>
    <row r="1485" spans="1:13" x14ac:dyDescent="0.25">
      <c r="A1485" t="s">
        <v>5169</v>
      </c>
      <c r="B1485" t="s">
        <v>5170</v>
      </c>
      <c r="C1485" t="s">
        <v>15</v>
      </c>
      <c r="D1485" t="s">
        <v>5171</v>
      </c>
      <c r="E1485" t="s">
        <v>4164</v>
      </c>
      <c r="F1485" t="s">
        <v>5098</v>
      </c>
      <c r="G1485" t="s">
        <v>5172</v>
      </c>
      <c r="H1485" t="str">
        <f>HYPERLINK("https://baanknet.com/view-property/202444/1E96AE9C538B021336C077C280744050FE0F3537EF1D679DE5B8C6025E73E3BD", "https://baanknet.com/view-property/202444/1E96AE9C538B021336C077C280744050FE0F3537EF1D679DE5B8C6025E73E3BD")</f>
        <v>https://baanknet.com/view-property/202444/1E96AE9C538B021336C077C280744050FE0F3537EF1D679DE5B8C6025E73E3BD</v>
      </c>
      <c r="I1485" t="str">
        <f>HYPERLINK("https://baanknet.com/view-property/202444/1E96AE9C538B021336C077C280744050FE0F3537EF1D679DE5B8C6025E73E3BD", "Open")</f>
        <v>Open</v>
      </c>
      <c r="J1485" t="s">
        <v>3803</v>
      </c>
      <c r="L1485">
        <v>1894000</v>
      </c>
      <c r="M1485">
        <v>189400</v>
      </c>
    </row>
    <row r="1486" spans="1:13" x14ac:dyDescent="0.25">
      <c r="A1486" t="s">
        <v>5173</v>
      </c>
      <c r="B1486" t="s">
        <v>5174</v>
      </c>
      <c r="C1486" t="s">
        <v>15</v>
      </c>
      <c r="D1486" t="s">
        <v>157</v>
      </c>
      <c r="E1486" t="s">
        <v>4164</v>
      </c>
      <c r="F1486" t="s">
        <v>5098</v>
      </c>
      <c r="G1486" t="s">
        <v>5175</v>
      </c>
      <c r="H1486" t="str">
        <f>HYPERLINK("https://baanknet.com/view-property/199353/D7BA897D7F943D0AEE48CECDF1D2ECB8A4CB27347CA90405A4BBFA28E78714C5", "https://baanknet.com/view-property/199353/D7BA897D7F943D0AEE48CECDF1D2ECB8A4CB27347CA90405A4BBFA28E78714C5")</f>
        <v>https://baanknet.com/view-property/199353/D7BA897D7F943D0AEE48CECDF1D2ECB8A4CB27347CA90405A4BBFA28E78714C5</v>
      </c>
      <c r="I1486" t="str">
        <f>HYPERLINK("https://baanknet.com/view-property/199353/D7BA897D7F943D0AEE48CECDF1D2ECB8A4CB27347CA90405A4BBFA28E78714C5", "Open")</f>
        <v>Open</v>
      </c>
      <c r="J1486" t="s">
        <v>3803</v>
      </c>
      <c r="L1486">
        <v>2115000</v>
      </c>
      <c r="M1486">
        <v>211500</v>
      </c>
    </row>
    <row r="1487" spans="1:13" x14ac:dyDescent="0.25">
      <c r="A1487" t="s">
        <v>5176</v>
      </c>
      <c r="B1487" t="s">
        <v>5177</v>
      </c>
      <c r="C1487" t="s">
        <v>15</v>
      </c>
      <c r="D1487" t="s">
        <v>187</v>
      </c>
      <c r="E1487" t="s">
        <v>4164</v>
      </c>
      <c r="F1487" t="s">
        <v>5098</v>
      </c>
      <c r="G1487" t="s">
        <v>5178</v>
      </c>
      <c r="H1487" t="str">
        <f>HYPERLINK("https://baanknet.com/view-property/250006/5C45DE3CA342C603D5A52DBFC37676ED8F3C5ABF1AAAE59D4F6FC0BEAF8192BD", "https://baanknet.com/view-property/250006/5C45DE3CA342C603D5A52DBFC37676ED8F3C5ABF1AAAE59D4F6FC0BEAF8192BD")</f>
        <v>https://baanknet.com/view-property/250006/5C45DE3CA342C603D5A52DBFC37676ED8F3C5ABF1AAAE59D4F6FC0BEAF8192BD</v>
      </c>
      <c r="I1487" t="str">
        <f>HYPERLINK("https://baanknet.com/view-property/250006/5C45DE3CA342C603D5A52DBFC37676ED8F3C5ABF1AAAE59D4F6FC0BEAF8192BD", "Open")</f>
        <v>Open</v>
      </c>
      <c r="J1487" t="s">
        <v>3803</v>
      </c>
      <c r="L1487">
        <v>2400000</v>
      </c>
      <c r="M1487">
        <v>240000</v>
      </c>
    </row>
    <row r="1488" spans="1:13" x14ac:dyDescent="0.25">
      <c r="A1488" t="s">
        <v>5179</v>
      </c>
      <c r="B1488" t="s">
        <v>5180</v>
      </c>
      <c r="C1488" t="s">
        <v>15</v>
      </c>
      <c r="D1488" t="s">
        <v>208</v>
      </c>
      <c r="E1488" t="s">
        <v>4164</v>
      </c>
      <c r="F1488" t="s">
        <v>5098</v>
      </c>
      <c r="G1488" t="s">
        <v>5181</v>
      </c>
      <c r="H1488" t="str">
        <f>HYPERLINK("https://baanknet.com/view-property/199102/F02929C8C1868750C8DD711A30F9D16D26E476D37B33FA13C2C1B372208982A9", "https://baanknet.com/view-property/199102/F02929C8C1868750C8DD711A30F9D16D26E476D37B33FA13C2C1B372208982A9")</f>
        <v>https://baanknet.com/view-property/199102/F02929C8C1868750C8DD711A30F9D16D26E476D37B33FA13C2C1B372208982A9</v>
      </c>
      <c r="I1488" t="str">
        <f>HYPERLINK("https://baanknet.com/view-property/199102/F02929C8C1868750C8DD711A30F9D16D26E476D37B33FA13C2C1B372208982A9", "Open")</f>
        <v>Open</v>
      </c>
      <c r="J1488" t="s">
        <v>3803</v>
      </c>
      <c r="L1488">
        <v>9924000</v>
      </c>
      <c r="M1488">
        <v>992400</v>
      </c>
    </row>
    <row r="1489" spans="1:13" x14ac:dyDescent="0.25">
      <c r="A1489" t="s">
        <v>5182</v>
      </c>
      <c r="B1489" t="s">
        <v>5183</v>
      </c>
      <c r="C1489" t="s">
        <v>15</v>
      </c>
      <c r="D1489" t="s">
        <v>292</v>
      </c>
      <c r="E1489" t="s">
        <v>596</v>
      </c>
      <c r="F1489" t="s">
        <v>3831</v>
      </c>
      <c r="G1489" t="s">
        <v>5184</v>
      </c>
      <c r="H1489" t="str">
        <f>HYPERLINK("https://baanknet.com/view-property/239263/059217B2DFD95F635A67452865D7E7A756059EA60D0D17516FF289AA383D2577", "https://baanknet.com/view-property/239263/059217B2DFD95F635A67452865D7E7A756059EA60D0D17516FF289AA383D2577")</f>
        <v>https://baanknet.com/view-property/239263/059217B2DFD95F635A67452865D7E7A756059EA60D0D17516FF289AA383D2577</v>
      </c>
      <c r="I1489" t="str">
        <f>HYPERLINK("https://baanknet.com/view-property/239263/059217B2DFD95F635A67452865D7E7A756059EA60D0D17516FF289AA383D2577", "Open")</f>
        <v>Open</v>
      </c>
      <c r="J1489" t="s">
        <v>3803</v>
      </c>
      <c r="L1489">
        <v>1800000</v>
      </c>
      <c r="M1489">
        <v>180000</v>
      </c>
    </row>
    <row r="1490" spans="1:13" x14ac:dyDescent="0.25">
      <c r="A1490" t="s">
        <v>5185</v>
      </c>
      <c r="B1490" t="s">
        <v>5186</v>
      </c>
      <c r="C1490" t="s">
        <v>15</v>
      </c>
      <c r="D1490" t="s">
        <v>3351</v>
      </c>
      <c r="E1490" t="s">
        <v>596</v>
      </c>
      <c r="F1490" t="s">
        <v>3831</v>
      </c>
      <c r="G1490" t="s">
        <v>5187</v>
      </c>
      <c r="H1490" t="str">
        <f>HYPERLINK("https://baanknet.com/view-property/258335/0D5EBDA53A4681D8478D69D474B887498882DFE80863758045C50EFCAD851D6B", "https://baanknet.com/view-property/258335/0D5EBDA53A4681D8478D69D474B887498882DFE80863758045C50EFCAD851D6B")</f>
        <v>https://baanknet.com/view-property/258335/0D5EBDA53A4681D8478D69D474B887498882DFE80863758045C50EFCAD851D6B</v>
      </c>
      <c r="I1490" t="str">
        <f>HYPERLINK("https://baanknet.com/view-property/258335/0D5EBDA53A4681D8478D69D474B887498882DFE80863758045C50EFCAD851D6B", "Open")</f>
        <v>Open</v>
      </c>
      <c r="J1490" t="s">
        <v>3803</v>
      </c>
      <c r="L1490">
        <v>3700000</v>
      </c>
      <c r="M1490">
        <v>370000</v>
      </c>
    </row>
    <row r="1491" spans="1:13" x14ac:dyDescent="0.25">
      <c r="A1491" t="s">
        <v>5188</v>
      </c>
      <c r="B1491" t="s">
        <v>5189</v>
      </c>
      <c r="C1491" t="s">
        <v>15</v>
      </c>
      <c r="D1491" t="s">
        <v>937</v>
      </c>
      <c r="E1491" t="s">
        <v>596</v>
      </c>
      <c r="F1491" t="s">
        <v>3831</v>
      </c>
      <c r="G1491" t="s">
        <v>5190</v>
      </c>
      <c r="H1491" t="str">
        <f>HYPERLINK("https://baanknet.com/view-property/239245/CB108BF0B74DD08A01E80574D20554C8D85C5B12DE5628322AC12305BF3800D2", "https://baanknet.com/view-property/239245/CB108BF0B74DD08A01E80574D20554C8D85C5B12DE5628322AC12305BF3800D2")</f>
        <v>https://baanknet.com/view-property/239245/CB108BF0B74DD08A01E80574D20554C8D85C5B12DE5628322AC12305BF3800D2</v>
      </c>
      <c r="I1491" t="str">
        <f>HYPERLINK("https://baanknet.com/view-property/239245/CB108BF0B74DD08A01E80574D20554C8D85C5B12DE5628322AC12305BF3800D2", "Open")</f>
        <v>Open</v>
      </c>
      <c r="J1491" t="s">
        <v>3803</v>
      </c>
      <c r="L1491">
        <v>2025000</v>
      </c>
      <c r="M1491">
        <v>202500</v>
      </c>
    </row>
    <row r="1492" spans="1:13" x14ac:dyDescent="0.25">
      <c r="A1492" t="s">
        <v>5191</v>
      </c>
      <c r="B1492" t="s">
        <v>5192</v>
      </c>
      <c r="C1492" t="s">
        <v>15</v>
      </c>
      <c r="D1492" t="s">
        <v>5193</v>
      </c>
      <c r="E1492" t="s">
        <v>596</v>
      </c>
      <c r="F1492" t="s">
        <v>3831</v>
      </c>
      <c r="G1492" t="s">
        <v>5194</v>
      </c>
      <c r="H1492" t="str">
        <f>HYPERLINK("https://baanknet.com/view-property/275786/1AD9F86B7DFAE9389AC3ABB8E1168861A3E13DCD5C7BFB67CF7FB9602BA5D02C", "https://baanknet.com/view-property/275786/1AD9F86B7DFAE9389AC3ABB8E1168861A3E13DCD5C7BFB67CF7FB9602BA5D02C")</f>
        <v>https://baanknet.com/view-property/275786/1AD9F86B7DFAE9389AC3ABB8E1168861A3E13DCD5C7BFB67CF7FB9602BA5D02C</v>
      </c>
      <c r="I1492" t="str">
        <f>HYPERLINK("https://baanknet.com/view-property/275786/1AD9F86B7DFAE9389AC3ABB8E1168861A3E13DCD5C7BFB67CF7FB9602BA5D02C", "Open")</f>
        <v>Open</v>
      </c>
      <c r="J1492" t="s">
        <v>3803</v>
      </c>
      <c r="L1492">
        <v>2435000</v>
      </c>
      <c r="M1492">
        <v>243500</v>
      </c>
    </row>
    <row r="1493" spans="1:13" x14ac:dyDescent="0.25">
      <c r="A1493" t="s">
        <v>5195</v>
      </c>
      <c r="B1493" t="s">
        <v>5196</v>
      </c>
      <c r="C1493" t="s">
        <v>15</v>
      </c>
      <c r="D1493" t="s">
        <v>4471</v>
      </c>
      <c r="E1493" t="s">
        <v>596</v>
      </c>
      <c r="F1493" t="s">
        <v>3831</v>
      </c>
      <c r="G1493" t="s">
        <v>5197</v>
      </c>
      <c r="H1493" t="str">
        <f>HYPERLINK("https://baanknet.com/view-property/263439/4A0EEC66CA152EED93775C87CE243ECF7FC529D8EEA0B20C4593BC22C3A37BCF", "https://baanknet.com/view-property/263439/4A0EEC66CA152EED93775C87CE243ECF7FC529D8EEA0B20C4593BC22C3A37BCF")</f>
        <v>https://baanknet.com/view-property/263439/4A0EEC66CA152EED93775C87CE243ECF7FC529D8EEA0B20C4593BC22C3A37BCF</v>
      </c>
      <c r="I1493" t="str">
        <f>HYPERLINK("https://baanknet.com/view-property/263439/4A0EEC66CA152EED93775C87CE243ECF7FC529D8EEA0B20C4593BC22C3A37BCF", "Open")</f>
        <v>Open</v>
      </c>
      <c r="J1493" t="s">
        <v>3803</v>
      </c>
      <c r="L1493">
        <v>7800000</v>
      </c>
      <c r="M1493">
        <v>780000</v>
      </c>
    </row>
    <row r="1494" spans="1:13" x14ac:dyDescent="0.25">
      <c r="A1494" t="s">
        <v>5198</v>
      </c>
      <c r="B1494" t="s">
        <v>5199</v>
      </c>
      <c r="C1494" t="s">
        <v>15</v>
      </c>
      <c r="D1494" t="s">
        <v>4799</v>
      </c>
      <c r="E1494" t="s">
        <v>596</v>
      </c>
      <c r="F1494" t="s">
        <v>3831</v>
      </c>
      <c r="G1494" t="s">
        <v>5200</v>
      </c>
      <c r="H1494" t="str">
        <f>HYPERLINK("https://baanknet.com/view-property/239370/FD7C9F944B8A9427EABA953D2CB43BD7FA6DAD3077393D473F5AC0AEA8708328", "https://baanknet.com/view-property/239370/FD7C9F944B8A9427EABA953D2CB43BD7FA6DAD3077393D473F5AC0AEA8708328")</f>
        <v>https://baanknet.com/view-property/239370/FD7C9F944B8A9427EABA953D2CB43BD7FA6DAD3077393D473F5AC0AEA8708328</v>
      </c>
      <c r="I1494" t="str">
        <f>HYPERLINK("https://baanknet.com/view-property/239370/FD7C9F944B8A9427EABA953D2CB43BD7FA6DAD3077393D473F5AC0AEA8708328", "Open")</f>
        <v>Open</v>
      </c>
      <c r="J1494" t="s">
        <v>3803</v>
      </c>
      <c r="L1494">
        <v>1950000</v>
      </c>
      <c r="M1494">
        <v>195000</v>
      </c>
    </row>
    <row r="1495" spans="1:13" x14ac:dyDescent="0.25">
      <c r="A1495" t="s">
        <v>5201</v>
      </c>
      <c r="B1495" t="s">
        <v>5202</v>
      </c>
      <c r="C1495" t="s">
        <v>15</v>
      </c>
      <c r="D1495" t="s">
        <v>4471</v>
      </c>
      <c r="E1495" t="s">
        <v>596</v>
      </c>
      <c r="F1495" t="s">
        <v>3831</v>
      </c>
      <c r="G1495" t="s">
        <v>5203</v>
      </c>
      <c r="H1495" t="str">
        <f>HYPERLINK("https://baanknet.com/view-property/239360/9FE8AE121E3A457297266543C0BA4FFB18C0A0310B03EAF0499ACCF1309F436F", "https://baanknet.com/view-property/239360/9FE8AE121E3A457297266543C0BA4FFB18C0A0310B03EAF0499ACCF1309F436F")</f>
        <v>https://baanknet.com/view-property/239360/9FE8AE121E3A457297266543C0BA4FFB18C0A0310B03EAF0499ACCF1309F436F</v>
      </c>
      <c r="I1495" t="str">
        <f>HYPERLINK("https://baanknet.com/view-property/239360/9FE8AE121E3A457297266543C0BA4FFB18C0A0310B03EAF0499ACCF1309F436F", "Open")</f>
        <v>Open</v>
      </c>
      <c r="J1495" t="s">
        <v>3803</v>
      </c>
      <c r="L1495">
        <v>2000000</v>
      </c>
      <c r="M1495">
        <v>200000</v>
      </c>
    </row>
    <row r="1496" spans="1:13" x14ac:dyDescent="0.25">
      <c r="A1496" t="s">
        <v>5204</v>
      </c>
      <c r="B1496" t="s">
        <v>5205</v>
      </c>
      <c r="C1496" t="s">
        <v>15</v>
      </c>
      <c r="D1496" t="s">
        <v>5206</v>
      </c>
      <c r="E1496" t="s">
        <v>596</v>
      </c>
      <c r="F1496" t="s">
        <v>3831</v>
      </c>
      <c r="G1496" t="s">
        <v>5207</v>
      </c>
      <c r="H1496" t="str">
        <f>HYPERLINK("https://baanknet.com/view-property/239261/E97FF71E02DEC2D6679AAF9AFDFF80D4BFF6416D9CF182C9564E3C222B90CCB3", "https://baanknet.com/view-property/239261/E97FF71E02DEC2D6679AAF9AFDFF80D4BFF6416D9CF182C9564E3C222B90CCB3")</f>
        <v>https://baanknet.com/view-property/239261/E97FF71E02DEC2D6679AAF9AFDFF80D4BFF6416D9CF182C9564E3C222B90CCB3</v>
      </c>
      <c r="I1496" t="str">
        <f>HYPERLINK("https://baanknet.com/view-property/239261/E97FF71E02DEC2D6679AAF9AFDFF80D4BFF6416D9CF182C9564E3C222B90CCB3", "Open")</f>
        <v>Open</v>
      </c>
      <c r="J1496" t="s">
        <v>3803</v>
      </c>
      <c r="L1496">
        <v>1300000</v>
      </c>
      <c r="M1496">
        <v>130000</v>
      </c>
    </row>
    <row r="1497" spans="1:13" x14ac:dyDescent="0.25">
      <c r="A1497" t="s">
        <v>5208</v>
      </c>
      <c r="B1497" t="s">
        <v>5209</v>
      </c>
      <c r="C1497" t="s">
        <v>15</v>
      </c>
      <c r="D1497" t="s">
        <v>1993</v>
      </c>
      <c r="E1497" t="s">
        <v>596</v>
      </c>
      <c r="F1497" t="s">
        <v>3831</v>
      </c>
      <c r="G1497" t="s">
        <v>5210</v>
      </c>
      <c r="H1497" t="str">
        <f>HYPERLINK("https://baanknet.com/view-property/239318/EFE240B8A66FD0995B6EC130C4C6AA8FED2F1B471BA5D82179F4F61AC2F6096C", "https://baanknet.com/view-property/239318/EFE240B8A66FD0995B6EC130C4C6AA8FED2F1B471BA5D82179F4F61AC2F6096C")</f>
        <v>https://baanknet.com/view-property/239318/EFE240B8A66FD0995B6EC130C4C6AA8FED2F1B471BA5D82179F4F61AC2F6096C</v>
      </c>
      <c r="I1497" t="str">
        <f>HYPERLINK("https://baanknet.com/view-property/239318/EFE240B8A66FD0995B6EC130C4C6AA8FED2F1B471BA5D82179F4F61AC2F6096C", "Open")</f>
        <v>Open</v>
      </c>
      <c r="J1497" t="s">
        <v>3803</v>
      </c>
      <c r="L1497">
        <v>2210000</v>
      </c>
      <c r="M1497">
        <v>221000</v>
      </c>
    </row>
    <row r="1498" spans="1:13" x14ac:dyDescent="0.25">
      <c r="A1498" t="s">
        <v>5211</v>
      </c>
      <c r="B1498" t="s">
        <v>5212</v>
      </c>
      <c r="C1498" t="s">
        <v>15</v>
      </c>
      <c r="D1498" t="s">
        <v>5213</v>
      </c>
      <c r="E1498" t="s">
        <v>596</v>
      </c>
      <c r="F1498" t="s">
        <v>3831</v>
      </c>
      <c r="G1498" t="s">
        <v>5214</v>
      </c>
      <c r="H1498" t="str">
        <f>HYPERLINK("https://baanknet.com/view-property/191701/A44910E9A85FD8720D6C83007A4CAB7EECA184603326056A3A6482B1984C87BD", "https://baanknet.com/view-property/191701/A44910E9A85FD8720D6C83007A4CAB7EECA184603326056A3A6482B1984C87BD")</f>
        <v>https://baanknet.com/view-property/191701/A44910E9A85FD8720D6C83007A4CAB7EECA184603326056A3A6482B1984C87BD</v>
      </c>
      <c r="I1498" t="str">
        <f>HYPERLINK("https://baanknet.com/view-property/191701/A44910E9A85FD8720D6C83007A4CAB7EECA184603326056A3A6482B1984C87BD", "Open")</f>
        <v>Open</v>
      </c>
      <c r="J1498" t="s">
        <v>3803</v>
      </c>
      <c r="L1498">
        <v>3500000</v>
      </c>
      <c r="M1498">
        <v>350000</v>
      </c>
    </row>
    <row r="1499" spans="1:13" x14ac:dyDescent="0.25">
      <c r="A1499" t="s">
        <v>5215</v>
      </c>
      <c r="B1499" t="s">
        <v>5216</v>
      </c>
      <c r="C1499" t="s">
        <v>15</v>
      </c>
      <c r="D1499" t="s">
        <v>873</v>
      </c>
      <c r="E1499" t="s">
        <v>596</v>
      </c>
      <c r="F1499" t="s">
        <v>3831</v>
      </c>
      <c r="G1499" t="s">
        <v>5217</v>
      </c>
      <c r="H1499" t="str">
        <f>HYPERLINK("https://baanknet.com/view-property/239272/B0B32C792D1F322D5CF5B46EAFFBDA862475C9086D0DC953C1D21F471C214C06", "https://baanknet.com/view-property/239272/B0B32C792D1F322D5CF5B46EAFFBDA862475C9086D0DC953C1D21F471C214C06")</f>
        <v>https://baanknet.com/view-property/239272/B0B32C792D1F322D5CF5B46EAFFBDA862475C9086D0DC953C1D21F471C214C06</v>
      </c>
      <c r="I1499" t="str">
        <f>HYPERLINK("https://baanknet.com/view-property/239272/B0B32C792D1F322D5CF5B46EAFFBDA862475C9086D0DC953C1D21F471C214C06", "Open")</f>
        <v>Open</v>
      </c>
      <c r="J1499" t="s">
        <v>3803</v>
      </c>
      <c r="L1499">
        <v>1380000</v>
      </c>
      <c r="M1499">
        <v>138000</v>
      </c>
    </row>
    <row r="1500" spans="1:13" x14ac:dyDescent="0.25">
      <c r="A1500" t="s">
        <v>5218</v>
      </c>
      <c r="B1500" t="s">
        <v>5219</v>
      </c>
      <c r="C1500" t="s">
        <v>15</v>
      </c>
      <c r="D1500" t="s">
        <v>333</v>
      </c>
      <c r="E1500" t="s">
        <v>596</v>
      </c>
      <c r="F1500" t="s">
        <v>3831</v>
      </c>
      <c r="G1500" t="s">
        <v>5220</v>
      </c>
      <c r="H1500" t="str">
        <f>HYPERLINK("https://baanknet.com/view-property/239264/CCA73C86B32002806443787099F6ACB7FE1FF231874DE0D39900ADEFA780FD73", "https://baanknet.com/view-property/239264/CCA73C86B32002806443787099F6ACB7FE1FF231874DE0D39900ADEFA780FD73")</f>
        <v>https://baanknet.com/view-property/239264/CCA73C86B32002806443787099F6ACB7FE1FF231874DE0D39900ADEFA780FD73</v>
      </c>
      <c r="I1500" t="str">
        <f>HYPERLINK("https://baanknet.com/view-property/239264/CCA73C86B32002806443787099F6ACB7FE1FF231874DE0D39900ADEFA780FD73", "Open")</f>
        <v>Open</v>
      </c>
      <c r="J1500" t="s">
        <v>3803</v>
      </c>
      <c r="L1500">
        <v>3150000</v>
      </c>
      <c r="M1500">
        <v>315000</v>
      </c>
    </row>
    <row r="1501" spans="1:13" x14ac:dyDescent="0.25">
      <c r="A1501" t="s">
        <v>5221</v>
      </c>
      <c r="B1501" t="s">
        <v>5222</v>
      </c>
      <c r="C1501" t="s">
        <v>15</v>
      </c>
      <c r="D1501" t="s">
        <v>3351</v>
      </c>
      <c r="E1501" t="s">
        <v>596</v>
      </c>
      <c r="F1501" t="s">
        <v>3831</v>
      </c>
      <c r="G1501" t="s">
        <v>5223</v>
      </c>
      <c r="H1501" t="str">
        <f>HYPERLINK("https://baanknet.com/view-property/280790/1976087B8D8A087BA9B36AFEDCD92DA7E73F06E413636EE16D33682F063FCB81", "https://baanknet.com/view-property/280790/1976087B8D8A087BA9B36AFEDCD92DA7E73F06E413636EE16D33682F063FCB81")</f>
        <v>https://baanknet.com/view-property/280790/1976087B8D8A087BA9B36AFEDCD92DA7E73F06E413636EE16D33682F063FCB81</v>
      </c>
      <c r="I1501" t="str">
        <f>HYPERLINK("https://baanknet.com/view-property/280790/1976087B8D8A087BA9B36AFEDCD92DA7E73F06E413636EE16D33682F063FCB81", "Open")</f>
        <v>Open</v>
      </c>
      <c r="J1501" t="s">
        <v>3803</v>
      </c>
      <c r="L1501">
        <v>5804000</v>
      </c>
      <c r="M1501">
        <v>580400</v>
      </c>
    </row>
    <row r="1502" spans="1:13" x14ac:dyDescent="0.25">
      <c r="A1502" t="s">
        <v>5224</v>
      </c>
      <c r="B1502" t="s">
        <v>5225</v>
      </c>
      <c r="C1502" t="s">
        <v>15</v>
      </c>
      <c r="D1502" t="s">
        <v>3351</v>
      </c>
      <c r="E1502" t="s">
        <v>596</v>
      </c>
      <c r="F1502" t="s">
        <v>3831</v>
      </c>
      <c r="G1502" t="s">
        <v>5226</v>
      </c>
      <c r="H1502" t="str">
        <f>HYPERLINK("https://baanknet.com/view-property/280792/FC6199C2E50F728E5D8387E4CCDE4A3B2FB4D7E53923B530A6C1D81CDB6B04BD", "https://baanknet.com/view-property/280792/FC6199C2E50F728E5D8387E4CCDE4A3B2FB4D7E53923B530A6C1D81CDB6B04BD")</f>
        <v>https://baanknet.com/view-property/280792/FC6199C2E50F728E5D8387E4CCDE4A3B2FB4D7E53923B530A6C1D81CDB6B04BD</v>
      </c>
      <c r="I1502" t="str">
        <f>HYPERLINK("https://baanknet.com/view-property/280792/FC6199C2E50F728E5D8387E4CCDE4A3B2FB4D7E53923B530A6C1D81CDB6B04BD", "Open")</f>
        <v>Open</v>
      </c>
      <c r="J1502" t="s">
        <v>3803</v>
      </c>
      <c r="L1502">
        <v>2109000</v>
      </c>
      <c r="M1502">
        <v>210900</v>
      </c>
    </row>
    <row r="1503" spans="1:13" x14ac:dyDescent="0.25">
      <c r="A1503" t="s">
        <v>5227</v>
      </c>
      <c r="B1503" t="s">
        <v>5228</v>
      </c>
      <c r="C1503" t="s">
        <v>15</v>
      </c>
      <c r="D1503" t="s">
        <v>5229</v>
      </c>
      <c r="E1503" t="s">
        <v>596</v>
      </c>
      <c r="F1503" t="s">
        <v>3831</v>
      </c>
      <c r="G1503" t="s">
        <v>5230</v>
      </c>
      <c r="H1503" t="str">
        <f>HYPERLINK("https://baanknet.com/view-property/239262/F0EECC6944B3FCF5C1C35B05A2D484CA79D73BF1CE16138B7732D8B525E0E77C", "https://baanknet.com/view-property/239262/F0EECC6944B3FCF5C1C35B05A2D484CA79D73BF1CE16138B7732D8B525E0E77C")</f>
        <v>https://baanknet.com/view-property/239262/F0EECC6944B3FCF5C1C35B05A2D484CA79D73BF1CE16138B7732D8B525E0E77C</v>
      </c>
      <c r="I1503" t="str">
        <f>HYPERLINK("https://baanknet.com/view-property/239262/F0EECC6944B3FCF5C1C35B05A2D484CA79D73BF1CE16138B7732D8B525E0E77C", "Open")</f>
        <v>Open</v>
      </c>
      <c r="J1503" t="s">
        <v>3803</v>
      </c>
      <c r="L1503">
        <v>1275000</v>
      </c>
      <c r="M1503">
        <v>127500</v>
      </c>
    </row>
    <row r="1504" spans="1:13" x14ac:dyDescent="0.25">
      <c r="A1504" t="s">
        <v>5231</v>
      </c>
      <c r="B1504" t="s">
        <v>5232</v>
      </c>
      <c r="C1504" t="s">
        <v>15</v>
      </c>
      <c r="D1504" t="s">
        <v>937</v>
      </c>
      <c r="E1504" t="s">
        <v>596</v>
      </c>
      <c r="F1504" t="s">
        <v>3831</v>
      </c>
      <c r="G1504" t="s">
        <v>5233</v>
      </c>
      <c r="H1504" t="str">
        <f>HYPERLINK("https://baanknet.com/view-property/239240/9C856DC0D71FA00ABD2856C052268062EBDD53FE546454130F9E8227CE1BF14D", "https://baanknet.com/view-property/239240/9C856DC0D71FA00ABD2856C052268062EBDD53FE546454130F9E8227CE1BF14D")</f>
        <v>https://baanknet.com/view-property/239240/9C856DC0D71FA00ABD2856C052268062EBDD53FE546454130F9E8227CE1BF14D</v>
      </c>
      <c r="I1504" t="str">
        <f>HYPERLINK("https://baanknet.com/view-property/239240/9C856DC0D71FA00ABD2856C052268062EBDD53FE546454130F9E8227CE1BF14D", "Open")</f>
        <v>Open</v>
      </c>
      <c r="J1504" t="s">
        <v>3803</v>
      </c>
      <c r="L1504">
        <v>2350000</v>
      </c>
      <c r="M1504">
        <v>235000</v>
      </c>
    </row>
    <row r="1505" spans="1:13" x14ac:dyDescent="0.25">
      <c r="A1505" t="s">
        <v>5234</v>
      </c>
      <c r="B1505" t="s">
        <v>5235</v>
      </c>
      <c r="C1505" t="s">
        <v>15</v>
      </c>
      <c r="D1505" t="s">
        <v>1190</v>
      </c>
      <c r="E1505" t="s">
        <v>596</v>
      </c>
      <c r="F1505" t="s">
        <v>3831</v>
      </c>
      <c r="G1505" t="s">
        <v>5236</v>
      </c>
      <c r="H1505" t="str">
        <f>HYPERLINK("https://baanknet.com/view-property/263445/0E48DF4419CEE2EDDA4D41F21D3DA4398D3D26714A3A351BA51C55BB3C3ABF8A", "https://baanknet.com/view-property/263445/0E48DF4419CEE2EDDA4D41F21D3DA4398D3D26714A3A351BA51C55BB3C3ABF8A")</f>
        <v>https://baanknet.com/view-property/263445/0E48DF4419CEE2EDDA4D41F21D3DA4398D3D26714A3A351BA51C55BB3C3ABF8A</v>
      </c>
      <c r="I1505" t="str">
        <f>HYPERLINK("https://baanknet.com/view-property/263445/0E48DF4419CEE2EDDA4D41F21D3DA4398D3D26714A3A351BA51C55BB3C3ABF8A", "Open")</f>
        <v>Open</v>
      </c>
      <c r="J1505" t="s">
        <v>3803</v>
      </c>
      <c r="L1505">
        <v>3500000</v>
      </c>
      <c r="M1505">
        <v>350000</v>
      </c>
    </row>
    <row r="1506" spans="1:13" x14ac:dyDescent="0.25">
      <c r="A1506" t="s">
        <v>5237</v>
      </c>
      <c r="B1506" t="s">
        <v>5238</v>
      </c>
      <c r="C1506" t="s">
        <v>15</v>
      </c>
      <c r="D1506" t="s">
        <v>5239</v>
      </c>
      <c r="E1506" t="s">
        <v>596</v>
      </c>
      <c r="F1506" t="s">
        <v>3831</v>
      </c>
      <c r="G1506" t="s">
        <v>5240</v>
      </c>
      <c r="H1506" t="str">
        <f>HYPERLINK("https://baanknet.com/view-property/239382/5313650AF7CE2C8719264EE1477468475AE82F6DBCFA07CA2404CFFABD232893", "https://baanknet.com/view-property/239382/5313650AF7CE2C8719264EE1477468475AE82F6DBCFA07CA2404CFFABD232893")</f>
        <v>https://baanknet.com/view-property/239382/5313650AF7CE2C8719264EE1477468475AE82F6DBCFA07CA2404CFFABD232893</v>
      </c>
      <c r="I1506" t="str">
        <f>HYPERLINK("https://baanknet.com/view-property/239382/5313650AF7CE2C8719264EE1477468475AE82F6DBCFA07CA2404CFFABD232893", "Open")</f>
        <v>Open</v>
      </c>
      <c r="J1506" t="s">
        <v>3803</v>
      </c>
      <c r="L1506">
        <v>2150000</v>
      </c>
      <c r="M1506">
        <v>215000</v>
      </c>
    </row>
    <row r="1507" spans="1:13" x14ac:dyDescent="0.25">
      <c r="A1507" t="s">
        <v>5241</v>
      </c>
      <c r="B1507" t="s">
        <v>5242</v>
      </c>
      <c r="C1507" t="s">
        <v>15</v>
      </c>
      <c r="D1507" t="s">
        <v>5243</v>
      </c>
      <c r="E1507" t="s">
        <v>596</v>
      </c>
      <c r="F1507" t="s">
        <v>3831</v>
      </c>
      <c r="G1507" t="s">
        <v>5244</v>
      </c>
      <c r="H1507" t="str">
        <f>HYPERLINK("https://baanknet.com/view-property/275797/DD28C0853DE6EE8683ADE4567BF0FF832D2D9CDBDD7DF8B3911D2370BA5559D1", "https://baanknet.com/view-property/275797/DD28C0853DE6EE8683ADE4567BF0FF832D2D9CDBDD7DF8B3911D2370BA5559D1")</f>
        <v>https://baanknet.com/view-property/275797/DD28C0853DE6EE8683ADE4567BF0FF832D2D9CDBDD7DF8B3911D2370BA5559D1</v>
      </c>
      <c r="I1507" t="str">
        <f>HYPERLINK("https://baanknet.com/view-property/275797/DD28C0853DE6EE8683ADE4567BF0FF832D2D9CDBDD7DF8B3911D2370BA5559D1", "Open")</f>
        <v>Open</v>
      </c>
      <c r="J1507" t="s">
        <v>3803</v>
      </c>
      <c r="L1507">
        <v>2936000</v>
      </c>
      <c r="M1507">
        <v>293600</v>
      </c>
    </row>
    <row r="1508" spans="1:13" x14ac:dyDescent="0.25">
      <c r="A1508" t="s">
        <v>5245</v>
      </c>
      <c r="B1508" t="s">
        <v>5246</v>
      </c>
      <c r="C1508" t="s">
        <v>15</v>
      </c>
      <c r="D1508" t="s">
        <v>869</v>
      </c>
      <c r="E1508" t="s">
        <v>596</v>
      </c>
      <c r="F1508" t="s">
        <v>3831</v>
      </c>
      <c r="G1508" t="s">
        <v>5247</v>
      </c>
      <c r="H1508" t="str">
        <f>HYPERLINK("https://baanknet.com/view-property/242968/D1E76E8C8F9E2C94C3BCD53176646CCE536CA4452C7B0036ABD115C5E6AD8354", "https://baanknet.com/view-property/242968/D1E76E8C8F9E2C94C3BCD53176646CCE536CA4452C7B0036ABD115C5E6AD8354")</f>
        <v>https://baanknet.com/view-property/242968/D1E76E8C8F9E2C94C3BCD53176646CCE536CA4452C7B0036ABD115C5E6AD8354</v>
      </c>
      <c r="I1508" t="str">
        <f>HYPERLINK("https://baanknet.com/view-property/242968/D1E76E8C8F9E2C94C3BCD53176646CCE536CA4452C7B0036ABD115C5E6AD8354", "Open")</f>
        <v>Open</v>
      </c>
      <c r="J1508" t="s">
        <v>3803</v>
      </c>
      <c r="L1508">
        <v>1220000</v>
      </c>
      <c r="M1508">
        <v>122000</v>
      </c>
    </row>
    <row r="1509" spans="1:13" x14ac:dyDescent="0.25">
      <c r="A1509" t="s">
        <v>5248</v>
      </c>
      <c r="B1509" t="s">
        <v>5249</v>
      </c>
      <c r="C1509" t="s">
        <v>15</v>
      </c>
      <c r="D1509" t="s">
        <v>869</v>
      </c>
      <c r="E1509" t="s">
        <v>596</v>
      </c>
      <c r="F1509" t="s">
        <v>3831</v>
      </c>
      <c r="G1509" t="s">
        <v>5250</v>
      </c>
      <c r="H1509" t="str">
        <f>HYPERLINK("https://baanknet.com/view-property/242971/6F42DBB63C1B6F3DA62CA2FB420106163377A00E65C062F275E52443EDDC46E6", "https://baanknet.com/view-property/242971/6F42DBB63C1B6F3DA62CA2FB420106163377A00E65C062F275E52443EDDC46E6")</f>
        <v>https://baanknet.com/view-property/242971/6F42DBB63C1B6F3DA62CA2FB420106163377A00E65C062F275E52443EDDC46E6</v>
      </c>
      <c r="I1509" t="str">
        <f>HYPERLINK("https://baanknet.com/view-property/242971/6F42DBB63C1B6F3DA62CA2FB420106163377A00E65C062F275E52443EDDC46E6", "Open")</f>
        <v>Open</v>
      </c>
      <c r="J1509" t="s">
        <v>3803</v>
      </c>
      <c r="L1509">
        <v>1220000</v>
      </c>
      <c r="M1509">
        <v>122000</v>
      </c>
    </row>
    <row r="1510" spans="1:13" x14ac:dyDescent="0.25">
      <c r="A1510" t="s">
        <v>5251</v>
      </c>
      <c r="B1510" t="s">
        <v>5252</v>
      </c>
      <c r="C1510" t="s">
        <v>15</v>
      </c>
      <c r="D1510" t="s">
        <v>1744</v>
      </c>
      <c r="E1510" t="s">
        <v>596</v>
      </c>
      <c r="F1510" t="s">
        <v>3831</v>
      </c>
      <c r="G1510" t="s">
        <v>5253</v>
      </c>
      <c r="H1510" t="str">
        <f>HYPERLINK("https://baanknet.com/view-property/263442/F339CEEFD5795885DBF058ED070DD4D401E1969C747F4ACFBA6FCDA8F3962391", "https://baanknet.com/view-property/263442/F339CEEFD5795885DBF058ED070DD4D401E1969C747F4ACFBA6FCDA8F3962391")</f>
        <v>https://baanknet.com/view-property/263442/F339CEEFD5795885DBF058ED070DD4D401E1969C747F4ACFBA6FCDA8F3962391</v>
      </c>
      <c r="I1510" t="str">
        <f>HYPERLINK("https://baanknet.com/view-property/263442/F339CEEFD5795885DBF058ED070DD4D401E1969C747F4ACFBA6FCDA8F3962391", "Open")</f>
        <v>Open</v>
      </c>
      <c r="J1510" t="s">
        <v>3803</v>
      </c>
      <c r="L1510">
        <v>5000000</v>
      </c>
      <c r="M1510">
        <v>500000</v>
      </c>
    </row>
    <row r="1511" spans="1:13" x14ac:dyDescent="0.25">
      <c r="A1511" t="s">
        <v>5254</v>
      </c>
      <c r="B1511" t="s">
        <v>5255</v>
      </c>
      <c r="C1511" t="s">
        <v>15</v>
      </c>
      <c r="D1511" t="s">
        <v>873</v>
      </c>
      <c r="E1511" t="s">
        <v>596</v>
      </c>
      <c r="F1511" t="s">
        <v>3831</v>
      </c>
      <c r="G1511" t="s">
        <v>5256</v>
      </c>
      <c r="H1511" t="str">
        <f>HYPERLINK("https://baanknet.com/view-property/252445/56C8D07943E5F40B89FC41E7C944304D8BE75A99C77D094F1216F8EBAC24FB7F", "https://baanknet.com/view-property/252445/56C8D07943E5F40B89FC41E7C944304D8BE75A99C77D094F1216F8EBAC24FB7F")</f>
        <v>https://baanknet.com/view-property/252445/56C8D07943E5F40B89FC41E7C944304D8BE75A99C77D094F1216F8EBAC24FB7F</v>
      </c>
      <c r="I1511" t="str">
        <f>HYPERLINK("https://baanknet.com/view-property/252445/56C8D07943E5F40B89FC41E7C944304D8BE75A99C77D094F1216F8EBAC24FB7F", "Open")</f>
        <v>Open</v>
      </c>
      <c r="J1511" t="s">
        <v>3803</v>
      </c>
      <c r="L1511">
        <v>3800000</v>
      </c>
      <c r="M1511">
        <v>380000</v>
      </c>
    </row>
    <row r="1512" spans="1:13" x14ac:dyDescent="0.25">
      <c r="A1512" t="s">
        <v>5257</v>
      </c>
      <c r="B1512" t="s">
        <v>5258</v>
      </c>
      <c r="C1512" t="s">
        <v>15</v>
      </c>
      <c r="D1512" t="s">
        <v>5259</v>
      </c>
      <c r="E1512" t="s">
        <v>596</v>
      </c>
      <c r="F1512" t="s">
        <v>3831</v>
      </c>
      <c r="G1512" t="s">
        <v>5260</v>
      </c>
      <c r="H1512" t="str">
        <f>HYPERLINK("https://baanknet.com/view-property/267132/28D930A528D65B7BD5CA385881D27DCCE23009563B5BA90CACC605D74DFFCC6B", "https://baanknet.com/view-property/267132/28D930A528D65B7BD5CA385881D27DCCE23009563B5BA90CACC605D74DFFCC6B")</f>
        <v>https://baanknet.com/view-property/267132/28D930A528D65B7BD5CA385881D27DCCE23009563B5BA90CACC605D74DFFCC6B</v>
      </c>
      <c r="I1512" t="str">
        <f>HYPERLINK("https://baanknet.com/view-property/267132/28D930A528D65B7BD5CA385881D27DCCE23009563B5BA90CACC605D74DFFCC6B", "Open")</f>
        <v>Open</v>
      </c>
      <c r="J1512" t="s">
        <v>3803</v>
      </c>
      <c r="L1512">
        <v>2475000</v>
      </c>
      <c r="M1512">
        <v>247500</v>
      </c>
    </row>
    <row r="1513" spans="1:13" x14ac:dyDescent="0.25">
      <c r="A1513" t="s">
        <v>5261</v>
      </c>
      <c r="B1513" t="s">
        <v>5262</v>
      </c>
      <c r="C1513" t="s">
        <v>15</v>
      </c>
      <c r="D1513" t="s">
        <v>873</v>
      </c>
      <c r="E1513" t="s">
        <v>596</v>
      </c>
      <c r="F1513" t="s">
        <v>3831</v>
      </c>
      <c r="G1513" t="s">
        <v>5263</v>
      </c>
      <c r="H1513" t="str">
        <f>HYPERLINK("https://baanknet.com/view-property/239290/A9025D043E839603455F05D7B6E724248E426330BEE2413D0515FE276985EE9C", "https://baanknet.com/view-property/239290/A9025D043E839603455F05D7B6E724248E426330BEE2413D0515FE276985EE9C")</f>
        <v>https://baanknet.com/view-property/239290/A9025D043E839603455F05D7B6E724248E426330BEE2413D0515FE276985EE9C</v>
      </c>
      <c r="I1513" t="str">
        <f>HYPERLINK("https://baanknet.com/view-property/239290/A9025D043E839603455F05D7B6E724248E426330BEE2413D0515FE276985EE9C", "Open")</f>
        <v>Open</v>
      </c>
      <c r="J1513" t="s">
        <v>3803</v>
      </c>
      <c r="L1513">
        <v>1590000</v>
      </c>
      <c r="M1513">
        <v>159000</v>
      </c>
    </row>
    <row r="1514" spans="1:13" x14ac:dyDescent="0.25">
      <c r="A1514" t="s">
        <v>5264</v>
      </c>
      <c r="B1514" t="s">
        <v>5265</v>
      </c>
      <c r="C1514" t="s">
        <v>15</v>
      </c>
      <c r="D1514" t="s">
        <v>5266</v>
      </c>
      <c r="E1514" t="s">
        <v>596</v>
      </c>
      <c r="F1514" t="s">
        <v>3831</v>
      </c>
      <c r="G1514" t="s">
        <v>5267</v>
      </c>
      <c r="H1514" t="str">
        <f>HYPERLINK("https://baanknet.com/view-property/275968/DC5E6F9B382DB3A2E0F0FD684A326DBCE10F84C6931F5C38F9DC7A222E2A2C03", "https://baanknet.com/view-property/275968/DC5E6F9B382DB3A2E0F0FD684A326DBCE10F84C6931F5C38F9DC7A222E2A2C03")</f>
        <v>https://baanknet.com/view-property/275968/DC5E6F9B382DB3A2E0F0FD684A326DBCE10F84C6931F5C38F9DC7A222E2A2C03</v>
      </c>
      <c r="I1514" t="str">
        <f>HYPERLINK("https://baanknet.com/view-property/275968/DC5E6F9B382DB3A2E0F0FD684A326DBCE10F84C6931F5C38F9DC7A222E2A2C03", "Open")</f>
        <v>Open</v>
      </c>
      <c r="J1514" t="s">
        <v>3803</v>
      </c>
      <c r="L1514">
        <v>2038000</v>
      </c>
      <c r="M1514">
        <v>203800</v>
      </c>
    </row>
    <row r="1515" spans="1:13" x14ac:dyDescent="0.25">
      <c r="A1515" t="s">
        <v>5268</v>
      </c>
      <c r="B1515" t="s">
        <v>5269</v>
      </c>
      <c r="C1515" t="s">
        <v>15</v>
      </c>
      <c r="D1515" t="s">
        <v>5270</v>
      </c>
      <c r="E1515" t="s">
        <v>596</v>
      </c>
      <c r="F1515" t="s">
        <v>3831</v>
      </c>
      <c r="G1515" t="s">
        <v>5271</v>
      </c>
      <c r="H1515" t="str">
        <f>HYPERLINK("https://baanknet.com/view-property/274077/1B5EA0F4AE5932F01E5A012866EBD0EE29C5B1831E90162A15278EF899D8CDD6", "https://baanknet.com/view-property/274077/1B5EA0F4AE5932F01E5A012866EBD0EE29C5B1831E90162A15278EF899D8CDD6")</f>
        <v>https://baanknet.com/view-property/274077/1B5EA0F4AE5932F01E5A012866EBD0EE29C5B1831E90162A15278EF899D8CDD6</v>
      </c>
      <c r="I1515" t="str">
        <f>HYPERLINK("https://baanknet.com/view-property/274077/1B5EA0F4AE5932F01E5A012866EBD0EE29C5B1831E90162A15278EF899D8CDD6", "Open")</f>
        <v>Open</v>
      </c>
      <c r="J1515" t="s">
        <v>3803</v>
      </c>
      <c r="L1515">
        <v>2600000</v>
      </c>
      <c r="M1515">
        <v>260000</v>
      </c>
    </row>
    <row r="1516" spans="1:13" x14ac:dyDescent="0.25">
      <c r="A1516" t="s">
        <v>5272</v>
      </c>
      <c r="B1516" t="s">
        <v>5273</v>
      </c>
      <c r="C1516" t="s">
        <v>15</v>
      </c>
      <c r="D1516" t="s">
        <v>4471</v>
      </c>
      <c r="E1516" t="s">
        <v>596</v>
      </c>
      <c r="F1516" t="s">
        <v>3831</v>
      </c>
      <c r="G1516" t="s">
        <v>5274</v>
      </c>
      <c r="H1516" t="str">
        <f>HYPERLINK("https://baanknet.com/view-property/274112/D2DBFF9BDC9968C34707C0085C7FC81013ED55EFEDBB48B7AB473C8185308F6F", "https://baanknet.com/view-property/274112/D2DBFF9BDC9968C34707C0085C7FC81013ED55EFEDBB48B7AB473C8185308F6F")</f>
        <v>https://baanknet.com/view-property/274112/D2DBFF9BDC9968C34707C0085C7FC81013ED55EFEDBB48B7AB473C8185308F6F</v>
      </c>
      <c r="I1516" t="str">
        <f>HYPERLINK("https://baanknet.com/view-property/274112/D2DBFF9BDC9968C34707C0085C7FC81013ED55EFEDBB48B7AB473C8185308F6F", "Open")</f>
        <v>Open</v>
      </c>
      <c r="J1516" t="s">
        <v>3803</v>
      </c>
      <c r="L1516">
        <v>3150000</v>
      </c>
      <c r="M1516">
        <v>315000</v>
      </c>
    </row>
    <row r="1517" spans="1:13" x14ac:dyDescent="0.25">
      <c r="A1517" t="s">
        <v>5275</v>
      </c>
      <c r="B1517" t="s">
        <v>5276</v>
      </c>
      <c r="C1517" t="s">
        <v>15</v>
      </c>
      <c r="D1517" t="s">
        <v>4471</v>
      </c>
      <c r="E1517" t="s">
        <v>596</v>
      </c>
      <c r="F1517" t="s">
        <v>3831</v>
      </c>
      <c r="G1517" t="s">
        <v>5277</v>
      </c>
      <c r="H1517" t="str">
        <f>HYPERLINK("https://baanknet.com/view-property/243677/77A77E1A3EB9B4DCFE7ED8ED8D9A6BC9CD87ADD0CBC0866B77D3AEB85756DF30", "https://baanknet.com/view-property/243677/77A77E1A3EB9B4DCFE7ED8ED8D9A6BC9CD87ADD0CBC0866B77D3AEB85756DF30")</f>
        <v>https://baanknet.com/view-property/243677/77A77E1A3EB9B4DCFE7ED8ED8D9A6BC9CD87ADD0CBC0866B77D3AEB85756DF30</v>
      </c>
      <c r="I1517" t="str">
        <f>HYPERLINK("https://baanknet.com/view-property/243677/77A77E1A3EB9B4DCFE7ED8ED8D9A6BC9CD87ADD0CBC0866B77D3AEB85756DF30", "Open")</f>
        <v>Open</v>
      </c>
      <c r="J1517" t="s">
        <v>3803</v>
      </c>
      <c r="L1517">
        <v>3100000</v>
      </c>
      <c r="M1517">
        <v>310000</v>
      </c>
    </row>
    <row r="1518" spans="1:13" x14ac:dyDescent="0.25">
      <c r="A1518" t="s">
        <v>5278</v>
      </c>
      <c r="B1518" t="s">
        <v>5279</v>
      </c>
      <c r="C1518" t="s">
        <v>15</v>
      </c>
      <c r="D1518" t="s">
        <v>5239</v>
      </c>
      <c r="E1518" t="s">
        <v>596</v>
      </c>
      <c r="F1518" t="s">
        <v>3831</v>
      </c>
      <c r="G1518" t="s">
        <v>5280</v>
      </c>
      <c r="H1518" t="str">
        <f>HYPERLINK("https://baanknet.com/view-property/239365/56334B71835659CE04AB106B24C6B0E43B2A43C12EED4127AA099D0BDDA09CA4", "https://baanknet.com/view-property/239365/56334B71835659CE04AB106B24C6B0E43B2A43C12EED4127AA099D0BDDA09CA4")</f>
        <v>https://baanknet.com/view-property/239365/56334B71835659CE04AB106B24C6B0E43B2A43C12EED4127AA099D0BDDA09CA4</v>
      </c>
      <c r="I1518" t="str">
        <f>HYPERLINK("https://baanknet.com/view-property/239365/56334B71835659CE04AB106B24C6B0E43B2A43C12EED4127AA099D0BDDA09CA4", "Open")</f>
        <v>Open</v>
      </c>
      <c r="J1518" t="s">
        <v>3803</v>
      </c>
      <c r="L1518">
        <v>2800000</v>
      </c>
      <c r="M1518">
        <v>280000</v>
      </c>
    </row>
    <row r="1519" spans="1:13" x14ac:dyDescent="0.25">
      <c r="A1519" t="s">
        <v>5281</v>
      </c>
      <c r="B1519" t="s">
        <v>5282</v>
      </c>
      <c r="C1519" t="s">
        <v>15</v>
      </c>
      <c r="D1519" t="s">
        <v>5259</v>
      </c>
      <c r="E1519" t="s">
        <v>596</v>
      </c>
      <c r="F1519" t="s">
        <v>3831</v>
      </c>
      <c r="G1519" t="s">
        <v>5283</v>
      </c>
      <c r="H1519" t="str">
        <f>HYPERLINK("https://baanknet.com/view-property/239362/C8173BB4119B0D54989CBE28E29FB79F5A2874C09D01A316D81A793AA721D5FE", "https://baanknet.com/view-property/239362/C8173BB4119B0D54989CBE28E29FB79F5A2874C09D01A316D81A793AA721D5FE")</f>
        <v>https://baanknet.com/view-property/239362/C8173BB4119B0D54989CBE28E29FB79F5A2874C09D01A316D81A793AA721D5FE</v>
      </c>
      <c r="I1519" t="str">
        <f>HYPERLINK("https://baanknet.com/view-property/239362/C8173BB4119B0D54989CBE28E29FB79F5A2874C09D01A316D81A793AA721D5FE", "Open")</f>
        <v>Open</v>
      </c>
      <c r="J1519" t="s">
        <v>3803</v>
      </c>
      <c r="L1519">
        <v>2600000</v>
      </c>
      <c r="M1519">
        <v>260000</v>
      </c>
    </row>
    <row r="1520" spans="1:13" x14ac:dyDescent="0.25">
      <c r="A1520" t="s">
        <v>5284</v>
      </c>
      <c r="B1520" t="s">
        <v>5285</v>
      </c>
      <c r="C1520" t="s">
        <v>15</v>
      </c>
      <c r="D1520" t="s">
        <v>1993</v>
      </c>
      <c r="E1520" t="s">
        <v>596</v>
      </c>
      <c r="F1520" t="s">
        <v>3831</v>
      </c>
      <c r="G1520" t="s">
        <v>5286</v>
      </c>
      <c r="H1520" t="str">
        <f>HYPERLINK("https://baanknet.com/view-property/239323/4971C54D204CFBD7B7FADC6294CC658C8E38512072326DEA26DD9811803B7F73", "https://baanknet.com/view-property/239323/4971C54D204CFBD7B7FADC6294CC658C8E38512072326DEA26DD9811803B7F73")</f>
        <v>https://baanknet.com/view-property/239323/4971C54D204CFBD7B7FADC6294CC658C8E38512072326DEA26DD9811803B7F73</v>
      </c>
      <c r="I1520" t="str">
        <f>HYPERLINK("https://baanknet.com/view-property/239323/4971C54D204CFBD7B7FADC6294CC658C8E38512072326DEA26DD9811803B7F73", "Open")</f>
        <v>Open</v>
      </c>
      <c r="J1520" t="s">
        <v>3803</v>
      </c>
      <c r="L1520">
        <v>3450000</v>
      </c>
      <c r="M1520">
        <v>345000</v>
      </c>
    </row>
    <row r="1521" spans="1:13" x14ac:dyDescent="0.25">
      <c r="A1521" t="s">
        <v>5287</v>
      </c>
      <c r="B1521" t="s">
        <v>5288</v>
      </c>
      <c r="C1521" t="s">
        <v>15</v>
      </c>
      <c r="D1521" t="s">
        <v>1993</v>
      </c>
      <c r="E1521" t="s">
        <v>596</v>
      </c>
      <c r="F1521" t="s">
        <v>3831</v>
      </c>
      <c r="G1521" t="s">
        <v>5289</v>
      </c>
      <c r="H1521" t="str">
        <f>HYPERLINK("https://baanknet.com/view-property/274932/ADA446096DC865DF32658145CBC8FCFC6492B0D76958B734456A492DC5F0F1F2", "https://baanknet.com/view-property/274932/ADA446096DC865DF32658145CBC8FCFC6492B0D76958B734456A492DC5F0F1F2")</f>
        <v>https://baanknet.com/view-property/274932/ADA446096DC865DF32658145CBC8FCFC6492B0D76958B734456A492DC5F0F1F2</v>
      </c>
      <c r="I1521" t="str">
        <f>HYPERLINK("https://baanknet.com/view-property/274932/ADA446096DC865DF32658145CBC8FCFC6492B0D76958B734456A492DC5F0F1F2", "Open")</f>
        <v>Open</v>
      </c>
      <c r="J1521" t="s">
        <v>3803</v>
      </c>
      <c r="L1521">
        <v>2400000</v>
      </c>
      <c r="M1521">
        <v>240000</v>
      </c>
    </row>
    <row r="1522" spans="1:13" x14ac:dyDescent="0.25">
      <c r="A1522" t="s">
        <v>5290</v>
      </c>
      <c r="B1522" t="s">
        <v>5291</v>
      </c>
      <c r="C1522" t="s">
        <v>15</v>
      </c>
      <c r="D1522" t="s">
        <v>1169</v>
      </c>
      <c r="E1522" t="s">
        <v>596</v>
      </c>
      <c r="F1522" t="s">
        <v>3831</v>
      </c>
      <c r="G1522" t="s">
        <v>5292</v>
      </c>
      <c r="H1522" t="str">
        <f>HYPERLINK("https://baanknet.com/view-property/274085/7E7B175F698C87573AD5C25B80CF36450986C752641BC931CCCB7DFB50AE9E3F", "https://baanknet.com/view-property/274085/7E7B175F698C87573AD5C25B80CF36450986C752641BC931CCCB7DFB50AE9E3F")</f>
        <v>https://baanknet.com/view-property/274085/7E7B175F698C87573AD5C25B80CF36450986C752641BC931CCCB7DFB50AE9E3F</v>
      </c>
      <c r="I1522" t="str">
        <f>HYPERLINK("https://baanknet.com/view-property/274085/7E7B175F698C87573AD5C25B80CF36450986C752641BC931CCCB7DFB50AE9E3F", "Open")</f>
        <v>Open</v>
      </c>
      <c r="J1522" t="s">
        <v>3803</v>
      </c>
      <c r="L1522">
        <v>2150000</v>
      </c>
      <c r="M1522">
        <v>215000</v>
      </c>
    </row>
    <row r="1523" spans="1:13" x14ac:dyDescent="0.25">
      <c r="A1523" t="s">
        <v>5293</v>
      </c>
      <c r="B1523" t="s">
        <v>5294</v>
      </c>
      <c r="C1523" t="s">
        <v>15</v>
      </c>
      <c r="D1523" t="s">
        <v>869</v>
      </c>
      <c r="E1523" t="s">
        <v>596</v>
      </c>
      <c r="F1523" t="s">
        <v>3831</v>
      </c>
      <c r="G1523" t="s">
        <v>5295</v>
      </c>
      <c r="H1523" t="str">
        <f>HYPERLINK("https://baanknet.com/view-property/239271/4E6C24075BA4C1DB68BBF7DDCA59E735BA2847A15F0F9B300744C0DDB4E1884C", "https://baanknet.com/view-property/239271/4E6C24075BA4C1DB68BBF7DDCA59E735BA2847A15F0F9B300744C0DDB4E1884C")</f>
        <v>https://baanknet.com/view-property/239271/4E6C24075BA4C1DB68BBF7DDCA59E735BA2847A15F0F9B300744C0DDB4E1884C</v>
      </c>
      <c r="I1523" t="str">
        <f>HYPERLINK("https://baanknet.com/view-property/239271/4E6C24075BA4C1DB68BBF7DDCA59E735BA2847A15F0F9B300744C0DDB4E1884C", "Open")</f>
        <v>Open</v>
      </c>
      <c r="J1523" t="s">
        <v>3803</v>
      </c>
      <c r="L1523">
        <v>1300000</v>
      </c>
      <c r="M1523">
        <v>130000</v>
      </c>
    </row>
    <row r="1524" spans="1:13" x14ac:dyDescent="0.25">
      <c r="A1524" t="s">
        <v>5296</v>
      </c>
      <c r="B1524" t="s">
        <v>5297</v>
      </c>
      <c r="C1524" t="s">
        <v>15</v>
      </c>
      <c r="D1524" t="s">
        <v>3351</v>
      </c>
      <c r="E1524" t="s">
        <v>596</v>
      </c>
      <c r="F1524" t="s">
        <v>3831</v>
      </c>
      <c r="G1524" t="s">
        <v>5298</v>
      </c>
      <c r="H1524" t="str">
        <f>HYPERLINK("https://baanknet.com/view-property/274062/7D6517FEAB1E2EB82FE42E9A3C14B879F3ACD3EB8648349F8C4C53E3FCAFEF51", "https://baanknet.com/view-property/274062/7D6517FEAB1E2EB82FE42E9A3C14B879F3ACD3EB8648349F8C4C53E3FCAFEF51")</f>
        <v>https://baanknet.com/view-property/274062/7D6517FEAB1E2EB82FE42E9A3C14B879F3ACD3EB8648349F8C4C53E3FCAFEF51</v>
      </c>
      <c r="I1524" t="str">
        <f>HYPERLINK("https://baanknet.com/view-property/274062/7D6517FEAB1E2EB82FE42E9A3C14B879F3ACD3EB8648349F8C4C53E3FCAFEF51", "Open")</f>
        <v>Open</v>
      </c>
      <c r="J1524" t="s">
        <v>3803</v>
      </c>
      <c r="L1524">
        <v>4800000</v>
      </c>
      <c r="M1524">
        <v>480000</v>
      </c>
    </row>
    <row r="1525" spans="1:13" x14ac:dyDescent="0.25">
      <c r="A1525" t="s">
        <v>5299</v>
      </c>
      <c r="B1525" t="s">
        <v>5300</v>
      </c>
      <c r="C1525" t="s">
        <v>15</v>
      </c>
      <c r="D1525" t="s">
        <v>3368</v>
      </c>
      <c r="E1525" t="s">
        <v>596</v>
      </c>
      <c r="F1525" t="s">
        <v>3831</v>
      </c>
      <c r="G1525" t="s">
        <v>5301</v>
      </c>
      <c r="H1525" t="str">
        <f>HYPERLINK("https://baanknet.com/view-property/274072/BBA2CB5403FE15F762F9D9CBF2018D1C6F945A237AEE6572BFC94060D346991E", "https://baanknet.com/view-property/274072/BBA2CB5403FE15F762F9D9CBF2018D1C6F945A237AEE6572BFC94060D346991E")</f>
        <v>https://baanknet.com/view-property/274072/BBA2CB5403FE15F762F9D9CBF2018D1C6F945A237AEE6572BFC94060D346991E</v>
      </c>
      <c r="I1525" t="str">
        <f>HYPERLINK("https://baanknet.com/view-property/274072/BBA2CB5403FE15F762F9D9CBF2018D1C6F945A237AEE6572BFC94060D346991E", "Open")</f>
        <v>Open</v>
      </c>
      <c r="J1525" t="s">
        <v>3803</v>
      </c>
      <c r="L1525">
        <v>1800000</v>
      </c>
      <c r="M1525">
        <v>180000</v>
      </c>
    </row>
    <row r="1526" spans="1:13" x14ac:dyDescent="0.25">
      <c r="A1526" t="s">
        <v>5302</v>
      </c>
      <c r="B1526" t="s">
        <v>5303</v>
      </c>
      <c r="C1526" t="s">
        <v>15</v>
      </c>
      <c r="D1526" t="s">
        <v>5304</v>
      </c>
      <c r="E1526" t="s">
        <v>596</v>
      </c>
      <c r="F1526" t="s">
        <v>3831</v>
      </c>
      <c r="G1526" t="s">
        <v>5305</v>
      </c>
      <c r="H1526" t="str">
        <f>HYPERLINK("https://baanknet.com/view-property/245639/C9771A22D54300965377BB86969F3062B5B587519C20C996415F11944253E921", "https://baanknet.com/view-property/245639/C9771A22D54300965377BB86969F3062B5B587519C20C996415F11944253E921")</f>
        <v>https://baanknet.com/view-property/245639/C9771A22D54300965377BB86969F3062B5B587519C20C996415F11944253E921</v>
      </c>
      <c r="I1526" t="str">
        <f>HYPERLINK("https://baanknet.com/view-property/245639/C9771A22D54300965377BB86969F3062B5B587519C20C996415F11944253E921", "Open")</f>
        <v>Open</v>
      </c>
      <c r="J1526" t="s">
        <v>3803</v>
      </c>
      <c r="L1526">
        <v>2100000</v>
      </c>
      <c r="M1526">
        <v>210000</v>
      </c>
    </row>
    <row r="1527" spans="1:13" x14ac:dyDescent="0.25">
      <c r="A1527" t="s">
        <v>5306</v>
      </c>
      <c r="B1527" t="s">
        <v>5307</v>
      </c>
      <c r="C1527" t="s">
        <v>15</v>
      </c>
      <c r="D1527" t="s">
        <v>5308</v>
      </c>
      <c r="E1527" t="s">
        <v>596</v>
      </c>
      <c r="F1527" t="s">
        <v>3831</v>
      </c>
      <c r="G1527" t="s">
        <v>5309</v>
      </c>
      <c r="H1527" t="str">
        <f>HYPERLINK("https://baanknet.com/view-property/286371/D12B75A891AA7064958F93FE7FF2D170A202FAE9894CD2CECAAE42E4D9B1DC90", "https://baanknet.com/view-property/286371/D12B75A891AA7064958F93FE7FF2D170A202FAE9894CD2CECAAE42E4D9B1DC90")</f>
        <v>https://baanknet.com/view-property/286371/D12B75A891AA7064958F93FE7FF2D170A202FAE9894CD2CECAAE42E4D9B1DC90</v>
      </c>
      <c r="I1527" t="str">
        <f>HYPERLINK("https://baanknet.com/view-property/286371/D12B75A891AA7064958F93FE7FF2D170A202FAE9894CD2CECAAE42E4D9B1DC90", "Open")</f>
        <v>Open</v>
      </c>
      <c r="J1527" t="s">
        <v>3803</v>
      </c>
      <c r="L1527">
        <v>10800000</v>
      </c>
      <c r="M1527">
        <v>1080000</v>
      </c>
    </row>
    <row r="1528" spans="1:13" x14ac:dyDescent="0.25">
      <c r="A1528" t="s">
        <v>5310</v>
      </c>
      <c r="B1528" t="s">
        <v>5311</v>
      </c>
      <c r="C1528" t="s">
        <v>15</v>
      </c>
      <c r="D1528" t="s">
        <v>5312</v>
      </c>
      <c r="E1528" t="s">
        <v>596</v>
      </c>
      <c r="F1528" t="s">
        <v>3831</v>
      </c>
      <c r="G1528" t="s">
        <v>5313</v>
      </c>
      <c r="H1528" t="str">
        <f>HYPERLINK("https://baanknet.com/view-property/249247/573E3429213EAECFD0396F0D8B2120302019169B2DA78203CDA2FD14121CC095", "https://baanknet.com/view-property/249247/573E3429213EAECFD0396F0D8B2120302019169B2DA78203CDA2FD14121CC095")</f>
        <v>https://baanknet.com/view-property/249247/573E3429213EAECFD0396F0D8B2120302019169B2DA78203CDA2FD14121CC095</v>
      </c>
      <c r="I1528" t="str">
        <f>HYPERLINK("https://baanknet.com/view-property/249247/573E3429213EAECFD0396F0D8B2120302019169B2DA78203CDA2FD14121CC095", "Open")</f>
        <v>Open</v>
      </c>
      <c r="J1528" t="s">
        <v>3803</v>
      </c>
      <c r="L1528">
        <v>4100000</v>
      </c>
      <c r="M1528">
        <v>410000</v>
      </c>
    </row>
    <row r="1529" spans="1:13" x14ac:dyDescent="0.25">
      <c r="A1529" t="s">
        <v>5314</v>
      </c>
      <c r="B1529" t="s">
        <v>5315</v>
      </c>
      <c r="C1529" t="s">
        <v>15</v>
      </c>
      <c r="D1529" t="s">
        <v>5316</v>
      </c>
      <c r="E1529" t="s">
        <v>596</v>
      </c>
      <c r="F1529" t="s">
        <v>3831</v>
      </c>
      <c r="G1529" t="s">
        <v>5317</v>
      </c>
      <c r="H1529" t="str">
        <f>HYPERLINK("https://baanknet.com/view-property/274169/A4B546963C3F8EBD2CDA069554537AA2436382AD000C51C5F62388E896299CF5", "https://baanknet.com/view-property/274169/A4B546963C3F8EBD2CDA069554537AA2436382AD000C51C5F62388E896299CF5")</f>
        <v>https://baanknet.com/view-property/274169/A4B546963C3F8EBD2CDA069554537AA2436382AD000C51C5F62388E896299CF5</v>
      </c>
      <c r="I1529" t="str">
        <f>HYPERLINK("https://baanknet.com/view-property/274169/A4B546963C3F8EBD2CDA069554537AA2436382AD000C51C5F62388E896299CF5", "Open")</f>
        <v>Open</v>
      </c>
      <c r="J1529" t="s">
        <v>3803</v>
      </c>
      <c r="L1529">
        <v>950000</v>
      </c>
      <c r="M1529">
        <v>95000</v>
      </c>
    </row>
    <row r="1530" spans="1:13" x14ac:dyDescent="0.25">
      <c r="A1530" t="s">
        <v>5318</v>
      </c>
      <c r="B1530" t="s">
        <v>5319</v>
      </c>
      <c r="C1530" t="s">
        <v>15</v>
      </c>
      <c r="D1530" t="s">
        <v>5316</v>
      </c>
      <c r="E1530" t="s">
        <v>596</v>
      </c>
      <c r="F1530" t="s">
        <v>3831</v>
      </c>
      <c r="G1530" t="s">
        <v>5320</v>
      </c>
      <c r="H1530" t="str">
        <f>HYPERLINK("https://baanknet.com/view-property/274184/F8C923130FFAA9FAEF185F1A01947B042A7C01895383867649342868E1C87F0B", "https://baanknet.com/view-property/274184/F8C923130FFAA9FAEF185F1A01947B042A7C01895383867649342868E1C87F0B")</f>
        <v>https://baanknet.com/view-property/274184/F8C923130FFAA9FAEF185F1A01947B042A7C01895383867649342868E1C87F0B</v>
      </c>
      <c r="I1530" t="str">
        <f>HYPERLINK("https://baanknet.com/view-property/274184/F8C923130FFAA9FAEF185F1A01947B042A7C01895383867649342868E1C87F0B", "Open")</f>
        <v>Open</v>
      </c>
      <c r="J1530" t="s">
        <v>3803</v>
      </c>
      <c r="L1530">
        <v>1750000</v>
      </c>
      <c r="M1530">
        <v>175000</v>
      </c>
    </row>
    <row r="1531" spans="1:13" x14ac:dyDescent="0.25">
      <c r="A1531" t="s">
        <v>5321</v>
      </c>
      <c r="B1531" t="s">
        <v>5322</v>
      </c>
      <c r="C1531" t="s">
        <v>15</v>
      </c>
      <c r="D1531" t="s">
        <v>5323</v>
      </c>
      <c r="E1531" t="s">
        <v>596</v>
      </c>
      <c r="F1531" t="s">
        <v>3831</v>
      </c>
      <c r="G1531" t="s">
        <v>5324</v>
      </c>
      <c r="H1531" t="str">
        <f>HYPERLINK("https://baanknet.com/view-property/249585/1ECA4251F7C28A4B375CD79113F7A3C7AA8801DB5294C3677A3B04ABF8F55B8C", "https://baanknet.com/view-property/249585/1ECA4251F7C28A4B375CD79113F7A3C7AA8801DB5294C3677A3B04ABF8F55B8C")</f>
        <v>https://baanknet.com/view-property/249585/1ECA4251F7C28A4B375CD79113F7A3C7AA8801DB5294C3677A3B04ABF8F55B8C</v>
      </c>
      <c r="I1531" t="str">
        <f>HYPERLINK("https://baanknet.com/view-property/249585/1ECA4251F7C28A4B375CD79113F7A3C7AA8801DB5294C3677A3B04ABF8F55B8C", "Open")</f>
        <v>Open</v>
      </c>
      <c r="J1531" t="s">
        <v>3803</v>
      </c>
      <c r="L1531">
        <v>4900000</v>
      </c>
      <c r="M1531">
        <v>490000</v>
      </c>
    </row>
    <row r="1532" spans="1:13" x14ac:dyDescent="0.25">
      <c r="A1532" t="s">
        <v>5325</v>
      </c>
      <c r="B1532" t="s">
        <v>5326</v>
      </c>
      <c r="C1532" t="s">
        <v>15</v>
      </c>
      <c r="D1532" t="s">
        <v>600</v>
      </c>
      <c r="E1532" t="s">
        <v>596</v>
      </c>
      <c r="F1532" t="s">
        <v>3831</v>
      </c>
      <c r="G1532" t="s">
        <v>5327</v>
      </c>
      <c r="H1532" t="str">
        <f>HYPERLINK("https://baanknet.com/view-property/248408/9E7CD8A57435764443AC5125E0A2874BBB76414D0F501BBC463EC2109CE84A6E", "https://baanknet.com/view-property/248408/9E7CD8A57435764443AC5125E0A2874BBB76414D0F501BBC463EC2109CE84A6E")</f>
        <v>https://baanknet.com/view-property/248408/9E7CD8A57435764443AC5125E0A2874BBB76414D0F501BBC463EC2109CE84A6E</v>
      </c>
      <c r="I1532" t="str">
        <f>HYPERLINK("https://baanknet.com/view-property/248408/9E7CD8A57435764443AC5125E0A2874BBB76414D0F501BBC463EC2109CE84A6E", "Open")</f>
        <v>Open</v>
      </c>
      <c r="J1532" t="s">
        <v>3803</v>
      </c>
      <c r="L1532">
        <v>1385000</v>
      </c>
      <c r="M1532">
        <v>138500</v>
      </c>
    </row>
    <row r="1533" spans="1:13" x14ac:dyDescent="0.25">
      <c r="A1533" t="s">
        <v>5328</v>
      </c>
      <c r="B1533" t="s">
        <v>5329</v>
      </c>
      <c r="C1533" t="s">
        <v>15</v>
      </c>
      <c r="D1533" t="s">
        <v>861</v>
      </c>
      <c r="E1533" t="s">
        <v>596</v>
      </c>
      <c r="F1533" t="s">
        <v>3831</v>
      </c>
      <c r="G1533" t="s">
        <v>5330</v>
      </c>
      <c r="H1533" t="str">
        <f>HYPERLINK("https://baanknet.com/view-property/284139/5C7B231CA2811D973B792557DBE6C051D6163D55F286018D1A1BC4DACB78765E", "https://baanknet.com/view-property/284139/5C7B231CA2811D973B792557DBE6C051D6163D55F286018D1A1BC4DACB78765E")</f>
        <v>https://baanknet.com/view-property/284139/5C7B231CA2811D973B792557DBE6C051D6163D55F286018D1A1BC4DACB78765E</v>
      </c>
      <c r="I1533" t="str">
        <f>HYPERLINK("https://baanknet.com/view-property/284139/5C7B231CA2811D973B792557DBE6C051D6163D55F286018D1A1BC4DACB78765E", "Open")</f>
        <v>Open</v>
      </c>
      <c r="J1533" t="s">
        <v>3803</v>
      </c>
      <c r="L1533">
        <v>6743000</v>
      </c>
      <c r="M1533">
        <v>674300</v>
      </c>
    </row>
    <row r="1534" spans="1:13" x14ac:dyDescent="0.25">
      <c r="A1534" t="s">
        <v>5331</v>
      </c>
      <c r="B1534" t="s">
        <v>5332</v>
      </c>
      <c r="C1534" t="s">
        <v>15</v>
      </c>
      <c r="D1534" t="s">
        <v>5333</v>
      </c>
      <c r="E1534" t="s">
        <v>596</v>
      </c>
      <c r="F1534" t="s">
        <v>3831</v>
      </c>
      <c r="G1534" t="s">
        <v>5334</v>
      </c>
      <c r="H1534" t="str">
        <f>HYPERLINK("https://baanknet.com/view-property/265543/97A14262EEDD55FD2FE8CFF4212D810CA6A8A5D1A158F66EE17BB5BF2FE59776", "https://baanknet.com/view-property/265543/97A14262EEDD55FD2FE8CFF4212D810CA6A8A5D1A158F66EE17BB5BF2FE59776")</f>
        <v>https://baanknet.com/view-property/265543/97A14262EEDD55FD2FE8CFF4212D810CA6A8A5D1A158F66EE17BB5BF2FE59776</v>
      </c>
      <c r="I1534" t="str">
        <f>HYPERLINK("https://baanknet.com/view-property/265543/97A14262EEDD55FD2FE8CFF4212D810CA6A8A5D1A158F66EE17BB5BF2FE59776", "Open")</f>
        <v>Open</v>
      </c>
      <c r="J1534" t="s">
        <v>3803</v>
      </c>
      <c r="L1534">
        <v>23420000</v>
      </c>
      <c r="M1534">
        <v>2342000</v>
      </c>
    </row>
    <row r="1535" spans="1:13" x14ac:dyDescent="0.25">
      <c r="A1535" t="s">
        <v>5335</v>
      </c>
      <c r="B1535" t="s">
        <v>5336</v>
      </c>
      <c r="C1535" t="s">
        <v>15</v>
      </c>
      <c r="D1535" t="s">
        <v>861</v>
      </c>
      <c r="E1535" t="s">
        <v>596</v>
      </c>
      <c r="F1535" t="s">
        <v>3831</v>
      </c>
      <c r="G1535" t="s">
        <v>5337</v>
      </c>
      <c r="H1535" t="str">
        <f>HYPERLINK("https://baanknet.com/view-property/265550/BF23D06D7B2CB58D502B5B568EEE7A02B451FA97F0A3AD199E872DF89882C5CD", "https://baanknet.com/view-property/265550/BF23D06D7B2CB58D502B5B568EEE7A02B451FA97F0A3AD199E872DF89882C5CD")</f>
        <v>https://baanknet.com/view-property/265550/BF23D06D7B2CB58D502B5B568EEE7A02B451FA97F0A3AD199E872DF89882C5CD</v>
      </c>
      <c r="I1535" t="str">
        <f>HYPERLINK("https://baanknet.com/view-property/265550/BF23D06D7B2CB58D502B5B568EEE7A02B451FA97F0A3AD199E872DF89882C5CD", "Open")</f>
        <v>Open</v>
      </c>
      <c r="J1535" t="s">
        <v>3803</v>
      </c>
      <c r="L1535">
        <v>4900000</v>
      </c>
      <c r="M1535">
        <v>490000</v>
      </c>
    </row>
    <row r="1536" spans="1:13" x14ac:dyDescent="0.25">
      <c r="A1536" t="s">
        <v>5338</v>
      </c>
      <c r="B1536" t="s">
        <v>5339</v>
      </c>
      <c r="C1536" t="s">
        <v>15</v>
      </c>
      <c r="D1536" t="s">
        <v>5340</v>
      </c>
      <c r="E1536" t="s">
        <v>596</v>
      </c>
      <c r="F1536" t="s">
        <v>3831</v>
      </c>
      <c r="G1536" t="s">
        <v>5341</v>
      </c>
      <c r="H1536" t="str">
        <f>HYPERLINK("https://baanknet.com/view-property/283587/3B053DF7C3C9AC6820524126C3F66FCEC619CDC1A504EB8C7255B8B7DEF453D1", "https://baanknet.com/view-property/283587/3B053DF7C3C9AC6820524126C3F66FCEC619CDC1A504EB8C7255B8B7DEF453D1")</f>
        <v>https://baanknet.com/view-property/283587/3B053DF7C3C9AC6820524126C3F66FCEC619CDC1A504EB8C7255B8B7DEF453D1</v>
      </c>
      <c r="I1536" t="str">
        <f>HYPERLINK("https://baanknet.com/view-property/283587/3B053DF7C3C9AC6820524126C3F66FCEC619CDC1A504EB8C7255B8B7DEF453D1", "Open")</f>
        <v>Open</v>
      </c>
      <c r="J1536" t="s">
        <v>3803</v>
      </c>
      <c r="L1536">
        <v>4700000</v>
      </c>
      <c r="M1536">
        <v>470000</v>
      </c>
    </row>
    <row r="1537" spans="1:13" x14ac:dyDescent="0.25">
      <c r="A1537" t="s">
        <v>5342</v>
      </c>
      <c r="B1537" t="s">
        <v>5343</v>
      </c>
      <c r="C1537" t="s">
        <v>15</v>
      </c>
      <c r="D1537" t="s">
        <v>5340</v>
      </c>
      <c r="E1537" t="s">
        <v>596</v>
      </c>
      <c r="F1537" t="s">
        <v>3831</v>
      </c>
      <c r="G1537" t="s">
        <v>5344</v>
      </c>
      <c r="H1537" t="str">
        <f>HYPERLINK("https://baanknet.com/view-property/269659/9BC61D4C5E7116584CD22EBF671B0911F59B3A781836FA13BB119045BAD84414", "https://baanknet.com/view-property/269659/9BC61D4C5E7116584CD22EBF671B0911F59B3A781836FA13BB119045BAD84414")</f>
        <v>https://baanknet.com/view-property/269659/9BC61D4C5E7116584CD22EBF671B0911F59B3A781836FA13BB119045BAD84414</v>
      </c>
      <c r="I1537" t="str">
        <f>HYPERLINK("https://baanknet.com/view-property/269659/9BC61D4C5E7116584CD22EBF671B0911F59B3A781836FA13BB119045BAD84414", "Open")</f>
        <v>Open</v>
      </c>
      <c r="J1537" t="s">
        <v>3803</v>
      </c>
      <c r="L1537">
        <v>1750000</v>
      </c>
      <c r="M1537">
        <v>175000</v>
      </c>
    </row>
    <row r="1538" spans="1:13" x14ac:dyDescent="0.25">
      <c r="A1538" t="s">
        <v>5345</v>
      </c>
      <c r="B1538" t="s">
        <v>5346</v>
      </c>
      <c r="C1538" t="s">
        <v>15</v>
      </c>
      <c r="D1538" t="s">
        <v>5347</v>
      </c>
      <c r="E1538" t="s">
        <v>596</v>
      </c>
      <c r="F1538" t="s">
        <v>3831</v>
      </c>
      <c r="G1538" t="s">
        <v>5348</v>
      </c>
      <c r="H1538" t="str">
        <f>HYPERLINK("https://baanknet.com/view-property/270046/271F8884597FD8AEB11C95DDD0DAF4625468238A1C9A296A36453A7CFF73B25A", "https://baanknet.com/view-property/270046/271F8884597FD8AEB11C95DDD0DAF4625468238A1C9A296A36453A7CFF73B25A")</f>
        <v>https://baanknet.com/view-property/270046/271F8884597FD8AEB11C95DDD0DAF4625468238A1C9A296A36453A7CFF73B25A</v>
      </c>
      <c r="I1538" t="str">
        <f>HYPERLINK("https://baanknet.com/view-property/270046/271F8884597FD8AEB11C95DDD0DAF4625468238A1C9A296A36453A7CFF73B25A", "Open")</f>
        <v>Open</v>
      </c>
      <c r="J1538" t="s">
        <v>3803</v>
      </c>
      <c r="L1538">
        <v>4000000</v>
      </c>
      <c r="M1538">
        <v>400000</v>
      </c>
    </row>
    <row r="1539" spans="1:13" x14ac:dyDescent="0.25">
      <c r="A1539" t="s">
        <v>5349</v>
      </c>
      <c r="B1539" t="s">
        <v>5350</v>
      </c>
      <c r="C1539" t="s">
        <v>15</v>
      </c>
      <c r="D1539" t="s">
        <v>5351</v>
      </c>
      <c r="E1539" t="s">
        <v>596</v>
      </c>
      <c r="F1539" t="s">
        <v>3831</v>
      </c>
      <c r="G1539" t="s">
        <v>5352</v>
      </c>
      <c r="H1539" t="str">
        <f>HYPERLINK("https://baanknet.com/view-property/287457/3E06ADBA67EE09779EF6D62EB33DD6CD40A14FAEECF454B7C37D0CD3FD9378EC", "https://baanknet.com/view-property/287457/3E06ADBA67EE09779EF6D62EB33DD6CD40A14FAEECF454B7C37D0CD3FD9378EC")</f>
        <v>https://baanknet.com/view-property/287457/3E06ADBA67EE09779EF6D62EB33DD6CD40A14FAEECF454B7C37D0CD3FD9378EC</v>
      </c>
      <c r="I1539" t="str">
        <f>HYPERLINK("https://baanknet.com/view-property/287457/3E06ADBA67EE09779EF6D62EB33DD6CD40A14FAEECF454B7C37D0CD3FD9378EC", "Open")</f>
        <v>Open</v>
      </c>
      <c r="J1539" t="s">
        <v>3803</v>
      </c>
      <c r="L1539">
        <v>4200000</v>
      </c>
      <c r="M1539">
        <v>420000</v>
      </c>
    </row>
    <row r="1540" spans="1:13" x14ac:dyDescent="0.25">
      <c r="A1540" t="s">
        <v>5353</v>
      </c>
      <c r="B1540" t="s">
        <v>5354</v>
      </c>
      <c r="C1540" t="s">
        <v>15</v>
      </c>
      <c r="D1540" t="s">
        <v>1186</v>
      </c>
      <c r="E1540" t="s">
        <v>596</v>
      </c>
      <c r="F1540" t="s">
        <v>4281</v>
      </c>
      <c r="G1540" t="s">
        <v>5355</v>
      </c>
      <c r="H1540" t="str">
        <f>HYPERLINK("https://baanknet.com/view-property/270008/3FADFE26C65CB7004118155E8776EA3EE6F1016D90C1AE06704E2EA82CD554CB", "https://baanknet.com/view-property/270008/3FADFE26C65CB7004118155E8776EA3EE6F1016D90C1AE06704E2EA82CD554CB")</f>
        <v>https://baanknet.com/view-property/270008/3FADFE26C65CB7004118155E8776EA3EE6F1016D90C1AE06704E2EA82CD554CB</v>
      </c>
      <c r="I1540" t="str">
        <f>HYPERLINK("https://baanknet.com/view-property/270008/3FADFE26C65CB7004118155E8776EA3EE6F1016D90C1AE06704E2EA82CD554CB", "Open")</f>
        <v>Open</v>
      </c>
      <c r="J1540" t="s">
        <v>3803</v>
      </c>
      <c r="L1540">
        <v>2608382</v>
      </c>
      <c r="M1540">
        <v>260839</v>
      </c>
    </row>
    <row r="1541" spans="1:13" x14ac:dyDescent="0.25">
      <c r="A1541" t="s">
        <v>5356</v>
      </c>
      <c r="B1541" t="s">
        <v>5357</v>
      </c>
      <c r="C1541" t="s">
        <v>15</v>
      </c>
      <c r="D1541" t="s">
        <v>5358</v>
      </c>
      <c r="E1541" t="s">
        <v>596</v>
      </c>
      <c r="F1541" t="s">
        <v>4281</v>
      </c>
      <c r="G1541" t="s">
        <v>5359</v>
      </c>
      <c r="H1541" t="str">
        <f>HYPERLINK("https://baanknet.com/view-property/202973/69EAB87A97961747A1CE31BC95F595EE4D564E716B712C81C24360F308373F51", "https://baanknet.com/view-property/202973/69EAB87A97961747A1CE31BC95F595EE4D564E716B712C81C24360F308373F51")</f>
        <v>https://baanknet.com/view-property/202973/69EAB87A97961747A1CE31BC95F595EE4D564E716B712C81C24360F308373F51</v>
      </c>
      <c r="I1541" t="str">
        <f>HYPERLINK("https://baanknet.com/view-property/202973/69EAB87A97961747A1CE31BC95F595EE4D564E716B712C81C24360F308373F51", "Open")</f>
        <v>Open</v>
      </c>
      <c r="J1541" t="s">
        <v>3803</v>
      </c>
      <c r="L1541">
        <v>315514</v>
      </c>
      <c r="M1541">
        <v>31552</v>
      </c>
    </row>
    <row r="1542" spans="1:13" x14ac:dyDescent="0.25">
      <c r="A1542" t="s">
        <v>5360</v>
      </c>
      <c r="B1542" t="s">
        <v>5361</v>
      </c>
      <c r="C1542" t="s">
        <v>15</v>
      </c>
      <c r="D1542" t="s">
        <v>1003</v>
      </c>
      <c r="E1542" t="s">
        <v>596</v>
      </c>
      <c r="F1542" t="s">
        <v>4281</v>
      </c>
      <c r="G1542" t="s">
        <v>5362</v>
      </c>
      <c r="H1542" t="str">
        <f>HYPERLINK("https://baanknet.com/view-property/206027/A504711C9EB769039BAE6290C346DB61A3E7EA34B7555D7016CEDECECAC1BD3D", "https://baanknet.com/view-property/206027/A504711C9EB769039BAE6290C346DB61A3E7EA34B7555D7016CEDECECAC1BD3D")</f>
        <v>https://baanknet.com/view-property/206027/A504711C9EB769039BAE6290C346DB61A3E7EA34B7555D7016CEDECECAC1BD3D</v>
      </c>
      <c r="I1542" t="str">
        <f>HYPERLINK("https://baanknet.com/view-property/206027/A504711C9EB769039BAE6290C346DB61A3E7EA34B7555D7016CEDECECAC1BD3D", "Open")</f>
        <v>Open</v>
      </c>
      <c r="J1542" t="s">
        <v>3803</v>
      </c>
      <c r="L1542">
        <v>2213430</v>
      </c>
      <c r="M1542">
        <v>221343</v>
      </c>
    </row>
    <row r="1543" spans="1:13" x14ac:dyDescent="0.25">
      <c r="A1543" t="s">
        <v>5363</v>
      </c>
      <c r="B1543" t="s">
        <v>5364</v>
      </c>
      <c r="C1543" t="s">
        <v>15</v>
      </c>
      <c r="D1543" t="s">
        <v>5365</v>
      </c>
      <c r="E1543" t="s">
        <v>596</v>
      </c>
      <c r="F1543" t="s">
        <v>4281</v>
      </c>
      <c r="G1543" t="s">
        <v>5366</v>
      </c>
      <c r="H1543" t="str">
        <f>HYPERLINK("https://baanknet.com/view-property/198340/5DA00CD53444D1E8EC6475D9A0FE3BA7C0C65FA189DC8A4F03E628F3D4E2F7A2", "https://baanknet.com/view-property/198340/5DA00CD53444D1E8EC6475D9A0FE3BA7C0C65FA189DC8A4F03E628F3D4E2F7A2")</f>
        <v>https://baanknet.com/view-property/198340/5DA00CD53444D1E8EC6475D9A0FE3BA7C0C65FA189DC8A4F03E628F3D4E2F7A2</v>
      </c>
      <c r="I1543" t="str">
        <f>HYPERLINK("https://baanknet.com/view-property/198340/5DA00CD53444D1E8EC6475D9A0FE3BA7C0C65FA189DC8A4F03E628F3D4E2F7A2", "Open")</f>
        <v>Open</v>
      </c>
      <c r="J1543" t="s">
        <v>3803</v>
      </c>
      <c r="L1543">
        <v>5700000</v>
      </c>
      <c r="M1543">
        <v>570000</v>
      </c>
    </row>
    <row r="1544" spans="1:13" x14ac:dyDescent="0.25">
      <c r="A1544" t="s">
        <v>5367</v>
      </c>
      <c r="B1544" t="s">
        <v>5368</v>
      </c>
      <c r="C1544" t="s">
        <v>15</v>
      </c>
      <c r="D1544" t="s">
        <v>5369</v>
      </c>
      <c r="E1544" t="s">
        <v>596</v>
      </c>
      <c r="F1544" t="s">
        <v>4281</v>
      </c>
      <c r="G1544" t="s">
        <v>5370</v>
      </c>
      <c r="H1544" t="str">
        <f>HYPERLINK("https://baanknet.com/view-property/240646/B7818F709FDA399FEAD34E7E756DFF73A11416BCE62DE3AA85F5C8C143B16CCD", "https://baanknet.com/view-property/240646/B7818F709FDA399FEAD34E7E756DFF73A11416BCE62DE3AA85F5C8C143B16CCD")</f>
        <v>https://baanknet.com/view-property/240646/B7818F709FDA399FEAD34E7E756DFF73A11416BCE62DE3AA85F5C8C143B16CCD</v>
      </c>
      <c r="I1544" t="str">
        <f>HYPERLINK("https://baanknet.com/view-property/240646/B7818F709FDA399FEAD34E7E756DFF73A11416BCE62DE3AA85F5C8C143B16CCD", "Open")</f>
        <v>Open</v>
      </c>
      <c r="J1544" t="s">
        <v>3803</v>
      </c>
      <c r="L1544">
        <v>5555000</v>
      </c>
      <c r="M1544">
        <v>555500</v>
      </c>
    </row>
    <row r="1545" spans="1:13" x14ac:dyDescent="0.25">
      <c r="A1545" t="s">
        <v>5371</v>
      </c>
      <c r="B1545" t="s">
        <v>5372</v>
      </c>
      <c r="C1545" t="s">
        <v>15</v>
      </c>
      <c r="D1545" t="s">
        <v>5373</v>
      </c>
      <c r="E1545" t="s">
        <v>596</v>
      </c>
      <c r="F1545" t="s">
        <v>4281</v>
      </c>
      <c r="G1545" t="s">
        <v>5374</v>
      </c>
      <c r="H1545" t="str">
        <f>HYPERLINK("https://baanknet.com/view-property/240647/D02A79479E2C9AA9B6E1F81CD73E602881AF67237A00F88586E550D861496B2A", "https://baanknet.com/view-property/240647/D02A79479E2C9AA9B6E1F81CD73E602881AF67237A00F88586E550D861496B2A")</f>
        <v>https://baanknet.com/view-property/240647/D02A79479E2C9AA9B6E1F81CD73E602881AF67237A00F88586E550D861496B2A</v>
      </c>
      <c r="I1545" t="str">
        <f>HYPERLINK("https://baanknet.com/view-property/240647/D02A79479E2C9AA9B6E1F81CD73E602881AF67237A00F88586E550D861496B2A", "Open")</f>
        <v>Open</v>
      </c>
      <c r="J1545" t="s">
        <v>3803</v>
      </c>
      <c r="L1545">
        <v>5555000</v>
      </c>
      <c r="M1545">
        <v>555500</v>
      </c>
    </row>
    <row r="1546" spans="1:13" x14ac:dyDescent="0.25">
      <c r="A1546" t="s">
        <v>5375</v>
      </c>
      <c r="B1546" t="s">
        <v>5376</v>
      </c>
      <c r="C1546" t="s">
        <v>15</v>
      </c>
      <c r="D1546" t="s">
        <v>4057</v>
      </c>
      <c r="E1546" t="s">
        <v>596</v>
      </c>
      <c r="F1546" t="s">
        <v>4281</v>
      </c>
      <c r="G1546" t="s">
        <v>5377</v>
      </c>
      <c r="H1546" t="str">
        <f>HYPERLINK("https://baanknet.com/view-property/229249/39D8A59193968437ED9EDCF8E0E66B0F2FDF33B80787D27C41421984B9FFDD1A", "https://baanknet.com/view-property/229249/39D8A59193968437ED9EDCF8E0E66B0F2FDF33B80787D27C41421984B9FFDD1A")</f>
        <v>https://baanknet.com/view-property/229249/39D8A59193968437ED9EDCF8E0E66B0F2FDF33B80787D27C41421984B9FFDD1A</v>
      </c>
      <c r="I1546" t="str">
        <f>HYPERLINK("https://baanknet.com/view-property/229249/39D8A59193968437ED9EDCF8E0E66B0F2FDF33B80787D27C41421984B9FFDD1A", "Open")</f>
        <v>Open</v>
      </c>
      <c r="J1546" t="s">
        <v>3803</v>
      </c>
      <c r="L1546">
        <v>4705640</v>
      </c>
      <c r="M1546">
        <v>470564</v>
      </c>
    </row>
    <row r="1547" spans="1:13" x14ac:dyDescent="0.25">
      <c r="A1547" t="s">
        <v>5378</v>
      </c>
      <c r="B1547" t="s">
        <v>5379</v>
      </c>
      <c r="C1547" t="s">
        <v>15</v>
      </c>
      <c r="D1547" t="s">
        <v>1768</v>
      </c>
      <c r="E1547" t="s">
        <v>596</v>
      </c>
      <c r="F1547" t="s">
        <v>4281</v>
      </c>
      <c r="G1547" t="s">
        <v>5380</v>
      </c>
      <c r="H1547" t="str">
        <f>HYPERLINK("https://baanknet.com/view-property/202933/740B754C3CDECB6EADB89499CF9ECECB66D2ABAE30948C53B33A2B6B411F5781", "https://baanknet.com/view-property/202933/740B754C3CDECB6EADB89499CF9ECECB66D2ABAE30948C53B33A2B6B411F5781")</f>
        <v>https://baanknet.com/view-property/202933/740B754C3CDECB6EADB89499CF9ECECB66D2ABAE30948C53B33A2B6B411F5781</v>
      </c>
      <c r="I1547" t="str">
        <f>HYPERLINK("https://baanknet.com/view-property/202933/740B754C3CDECB6EADB89499CF9ECECB66D2ABAE30948C53B33A2B6B411F5781", "Open")</f>
        <v>Open</v>
      </c>
      <c r="J1547" t="s">
        <v>3803</v>
      </c>
      <c r="L1547">
        <v>1180666</v>
      </c>
      <c r="M1547">
        <v>118067</v>
      </c>
    </row>
    <row r="1548" spans="1:13" x14ac:dyDescent="0.25">
      <c r="A1548" t="s">
        <v>5381</v>
      </c>
      <c r="B1548" t="s">
        <v>5382</v>
      </c>
      <c r="C1548" t="s">
        <v>15</v>
      </c>
      <c r="D1548" t="s">
        <v>1003</v>
      </c>
      <c r="E1548" t="s">
        <v>596</v>
      </c>
      <c r="F1548" t="s">
        <v>4281</v>
      </c>
      <c r="G1548" t="s">
        <v>5383</v>
      </c>
      <c r="H1548" t="str">
        <f>HYPERLINK("https://baanknet.com/view-property/229487/73C9D24BDA8922A9FC58213DC2D36E4E5949020B6B1B2F244CC425026BA2B6BA", "https://baanknet.com/view-property/229487/73C9D24BDA8922A9FC58213DC2D36E4E5949020B6B1B2F244CC425026BA2B6BA")</f>
        <v>https://baanknet.com/view-property/229487/73C9D24BDA8922A9FC58213DC2D36E4E5949020B6B1B2F244CC425026BA2B6BA</v>
      </c>
      <c r="I1548" t="str">
        <f>HYPERLINK("https://baanknet.com/view-property/229487/73C9D24BDA8922A9FC58213DC2D36E4E5949020B6B1B2F244CC425026BA2B6BA", "Open")</f>
        <v>Open</v>
      </c>
      <c r="J1548" t="s">
        <v>3803</v>
      </c>
      <c r="L1548">
        <v>2995845</v>
      </c>
      <c r="M1548">
        <v>299585</v>
      </c>
    </row>
    <row r="1549" spans="1:13" x14ac:dyDescent="0.25">
      <c r="A1549" t="s">
        <v>5384</v>
      </c>
      <c r="B1549" t="s">
        <v>5385</v>
      </c>
      <c r="C1549" t="s">
        <v>15</v>
      </c>
      <c r="D1549" t="s">
        <v>3754</v>
      </c>
      <c r="E1549" t="s">
        <v>596</v>
      </c>
      <c r="F1549" t="s">
        <v>4281</v>
      </c>
      <c r="G1549" t="s">
        <v>5386</v>
      </c>
      <c r="H1549" t="str">
        <f>HYPERLINK("https://baanknet.com/view-property/252243/AF3359C626D9C0F8760CDCAF3AB82A23C1156F5B09E411D82F6B5BA4A5E10F17", "https://baanknet.com/view-property/252243/AF3359C626D9C0F8760CDCAF3AB82A23C1156F5B09E411D82F6B5BA4A5E10F17")</f>
        <v>https://baanknet.com/view-property/252243/AF3359C626D9C0F8760CDCAF3AB82A23C1156F5B09E411D82F6B5BA4A5E10F17</v>
      </c>
      <c r="I1549" t="str">
        <f>HYPERLINK("https://baanknet.com/view-property/252243/AF3359C626D9C0F8760CDCAF3AB82A23C1156F5B09E411D82F6B5BA4A5E10F17", "Open")</f>
        <v>Open</v>
      </c>
      <c r="J1549" t="s">
        <v>3803</v>
      </c>
      <c r="L1549">
        <v>321731</v>
      </c>
      <c r="M1549">
        <v>32174</v>
      </c>
    </row>
    <row r="1550" spans="1:13" x14ac:dyDescent="0.25">
      <c r="A1550" t="s">
        <v>5387</v>
      </c>
      <c r="B1550" t="s">
        <v>5388</v>
      </c>
      <c r="C1550" t="s">
        <v>15</v>
      </c>
      <c r="D1550" t="s">
        <v>5389</v>
      </c>
      <c r="E1550" t="s">
        <v>596</v>
      </c>
      <c r="F1550" t="s">
        <v>4281</v>
      </c>
      <c r="G1550" t="s">
        <v>5390</v>
      </c>
      <c r="H1550" t="str">
        <f>HYPERLINK("https://baanknet.com/view-property/234194/D559EFDA200014CFA58875985855BFD1BC65A18702A269A51B53F49680813574", "https://baanknet.com/view-property/234194/D559EFDA200014CFA58875985855BFD1BC65A18702A269A51B53F49680813574")</f>
        <v>https://baanknet.com/view-property/234194/D559EFDA200014CFA58875985855BFD1BC65A18702A269A51B53F49680813574</v>
      </c>
      <c r="I1550" t="str">
        <f>HYPERLINK("https://baanknet.com/view-property/234194/D559EFDA200014CFA58875985855BFD1BC65A18702A269A51B53F49680813574", "Open")</f>
        <v>Open</v>
      </c>
      <c r="J1550" t="s">
        <v>3803</v>
      </c>
      <c r="L1550">
        <v>1594970</v>
      </c>
      <c r="M1550">
        <v>159497</v>
      </c>
    </row>
    <row r="1551" spans="1:13" x14ac:dyDescent="0.25">
      <c r="A1551" t="s">
        <v>5391</v>
      </c>
      <c r="B1551" t="s">
        <v>5392</v>
      </c>
      <c r="C1551" t="s">
        <v>15</v>
      </c>
      <c r="D1551" t="s">
        <v>5393</v>
      </c>
      <c r="E1551" t="s">
        <v>596</v>
      </c>
      <c r="F1551" t="s">
        <v>4281</v>
      </c>
      <c r="G1551" t="s">
        <v>5394</v>
      </c>
      <c r="H1551" t="str">
        <f>HYPERLINK("https://baanknet.com/view-property/204960/67B2D5FD6C1B2138AB695916A9F4BB24D1758CD9F95B17DAE097426F78C891D9", "https://baanknet.com/view-property/204960/67B2D5FD6C1B2138AB695916A9F4BB24D1758CD9F95B17DAE097426F78C891D9")</f>
        <v>https://baanknet.com/view-property/204960/67B2D5FD6C1B2138AB695916A9F4BB24D1758CD9F95B17DAE097426F78C891D9</v>
      </c>
      <c r="I1551" t="str">
        <f>HYPERLINK("https://baanknet.com/view-property/204960/67B2D5FD6C1B2138AB695916A9F4BB24D1758CD9F95B17DAE097426F78C891D9", "Open")</f>
        <v>Open</v>
      </c>
      <c r="J1551" t="s">
        <v>3803</v>
      </c>
      <c r="L1551">
        <v>1989792</v>
      </c>
      <c r="M1551">
        <v>198980</v>
      </c>
    </row>
    <row r="1552" spans="1:13" x14ac:dyDescent="0.25">
      <c r="A1552" t="s">
        <v>5395</v>
      </c>
      <c r="B1552" t="s">
        <v>5396</v>
      </c>
      <c r="C1552" t="s">
        <v>15</v>
      </c>
      <c r="D1552" t="s">
        <v>5397</v>
      </c>
      <c r="E1552" t="s">
        <v>596</v>
      </c>
      <c r="F1552" t="s">
        <v>4281</v>
      </c>
      <c r="G1552" t="s">
        <v>5398</v>
      </c>
      <c r="H1552" t="str">
        <f>HYPERLINK("https://baanknet.com/view-property/229550/ADF0E0A244BCD25CBF9ABAECFA8FAE2F166AAC038039E383EA1C96322EC5FEC1", "https://baanknet.com/view-property/229550/ADF0E0A244BCD25CBF9ABAECFA8FAE2F166AAC038039E383EA1C96322EC5FEC1")</f>
        <v>https://baanknet.com/view-property/229550/ADF0E0A244BCD25CBF9ABAECFA8FAE2F166AAC038039E383EA1C96322EC5FEC1</v>
      </c>
      <c r="I1552" t="str">
        <f>HYPERLINK("https://baanknet.com/view-property/229550/ADF0E0A244BCD25CBF9ABAECFA8FAE2F166AAC038039E383EA1C96322EC5FEC1", "Open")</f>
        <v>Open</v>
      </c>
      <c r="J1552" t="s">
        <v>3803</v>
      </c>
      <c r="L1552">
        <v>239465</v>
      </c>
      <c r="M1552">
        <v>23947</v>
      </c>
    </row>
    <row r="1553" spans="1:13" x14ac:dyDescent="0.25">
      <c r="A1553" t="s">
        <v>5399</v>
      </c>
      <c r="B1553" t="s">
        <v>5400</v>
      </c>
      <c r="C1553" t="s">
        <v>15</v>
      </c>
      <c r="D1553" t="s">
        <v>549</v>
      </c>
      <c r="E1553" t="s">
        <v>596</v>
      </c>
      <c r="F1553" t="s">
        <v>4281</v>
      </c>
      <c r="G1553" t="s">
        <v>5401</v>
      </c>
      <c r="H1553" t="str">
        <f>HYPERLINK("https://baanknet.com/view-property/190441/3531EE4A0FD627ECD2D8F5561F55868658900ADC60439CD741D5699A15B2F639", "https://baanknet.com/view-property/190441/3531EE4A0FD627ECD2D8F5561F55868658900ADC60439CD741D5699A15B2F639")</f>
        <v>https://baanknet.com/view-property/190441/3531EE4A0FD627ECD2D8F5561F55868658900ADC60439CD741D5699A15B2F639</v>
      </c>
      <c r="I1553" t="str">
        <f>HYPERLINK("https://baanknet.com/view-property/190441/3531EE4A0FD627ECD2D8F5561F55868658900ADC60439CD741D5699A15B2F639", "Open")</f>
        <v>Open</v>
      </c>
      <c r="J1553" t="s">
        <v>3803</v>
      </c>
      <c r="L1553">
        <v>1234000</v>
      </c>
      <c r="M1553">
        <v>123400</v>
      </c>
    </row>
    <row r="1554" spans="1:13" x14ac:dyDescent="0.25">
      <c r="A1554" t="s">
        <v>5402</v>
      </c>
      <c r="B1554" t="s">
        <v>5403</v>
      </c>
      <c r="C1554" t="s">
        <v>15</v>
      </c>
      <c r="D1554" t="s">
        <v>853</v>
      </c>
      <c r="E1554" t="s">
        <v>596</v>
      </c>
      <c r="F1554" t="s">
        <v>4281</v>
      </c>
      <c r="G1554" t="s">
        <v>5404</v>
      </c>
      <c r="H1554" t="str">
        <f>HYPERLINK("https://baanknet.com/view-property/199728/7C2D2D9F716BF8A29A4D3DD43A1BDCA02B6D4F566317BFA0D8168B043AF7A987", "https://baanknet.com/view-property/199728/7C2D2D9F716BF8A29A4D3DD43A1BDCA02B6D4F566317BFA0D8168B043AF7A987")</f>
        <v>https://baanknet.com/view-property/199728/7C2D2D9F716BF8A29A4D3DD43A1BDCA02B6D4F566317BFA0D8168B043AF7A987</v>
      </c>
      <c r="I1554" t="str">
        <f>HYPERLINK("https://baanknet.com/view-property/199728/7C2D2D9F716BF8A29A4D3DD43A1BDCA02B6D4F566317BFA0D8168B043AF7A987", "Open")</f>
        <v>Open</v>
      </c>
      <c r="J1554" t="s">
        <v>3803</v>
      </c>
      <c r="L1554">
        <v>2074000</v>
      </c>
      <c r="M1554">
        <v>207400</v>
      </c>
    </row>
    <row r="1555" spans="1:13" x14ac:dyDescent="0.25">
      <c r="A1555" t="s">
        <v>5405</v>
      </c>
      <c r="B1555" t="s">
        <v>5406</v>
      </c>
      <c r="C1555" t="s">
        <v>15</v>
      </c>
      <c r="D1555" t="s">
        <v>549</v>
      </c>
      <c r="E1555" t="s">
        <v>596</v>
      </c>
      <c r="F1555" t="s">
        <v>4281</v>
      </c>
      <c r="G1555" t="s">
        <v>5407</v>
      </c>
      <c r="H1555" t="str">
        <f>HYPERLINK("https://baanknet.com/view-property/238314/AF4F9D93D37B3A200CD232E0D6E469DD7CD8063E66D7A121EEB86F32306CC4C8", "https://baanknet.com/view-property/238314/AF4F9D93D37B3A200CD232E0D6E469DD7CD8063E66D7A121EEB86F32306CC4C8")</f>
        <v>https://baanknet.com/view-property/238314/AF4F9D93D37B3A200CD232E0D6E469DD7CD8063E66D7A121EEB86F32306CC4C8</v>
      </c>
      <c r="I1555" t="str">
        <f>HYPERLINK("https://baanknet.com/view-property/238314/AF4F9D93D37B3A200CD232E0D6E469DD7CD8063E66D7A121EEB86F32306CC4C8", "Open")</f>
        <v>Open</v>
      </c>
      <c r="J1555" t="s">
        <v>3803</v>
      </c>
      <c r="L1555">
        <v>1679000</v>
      </c>
      <c r="M1555">
        <v>167900</v>
      </c>
    </row>
    <row r="1556" spans="1:13" x14ac:dyDescent="0.25">
      <c r="A1556" t="s">
        <v>5408</v>
      </c>
      <c r="B1556" t="s">
        <v>5409</v>
      </c>
      <c r="C1556" t="s">
        <v>15</v>
      </c>
      <c r="D1556" t="s">
        <v>1310</v>
      </c>
      <c r="E1556" t="s">
        <v>596</v>
      </c>
      <c r="F1556" t="s">
        <v>4281</v>
      </c>
      <c r="G1556" t="s">
        <v>5410</v>
      </c>
      <c r="H1556" t="str">
        <f>HYPERLINK("https://baanknet.com/view-property/190322/5449D33574CD7778D7635FD33BB67201C79DC10B3FC736508291737160AA5E7A", "https://baanknet.com/view-property/190322/5449D33574CD7778D7635FD33BB67201C79DC10B3FC736508291737160AA5E7A")</f>
        <v>https://baanknet.com/view-property/190322/5449D33574CD7778D7635FD33BB67201C79DC10B3FC736508291737160AA5E7A</v>
      </c>
      <c r="I1556" t="str">
        <f>HYPERLINK("https://baanknet.com/view-property/190322/5449D33574CD7778D7635FD33BB67201C79DC10B3FC736508291737160AA5E7A", "Open")</f>
        <v>Open</v>
      </c>
      <c r="J1556" t="s">
        <v>3803</v>
      </c>
      <c r="L1556">
        <v>4168000</v>
      </c>
      <c r="M1556">
        <v>416800</v>
      </c>
    </row>
    <row r="1557" spans="1:13" x14ac:dyDescent="0.25">
      <c r="A1557" t="s">
        <v>5411</v>
      </c>
      <c r="B1557" t="s">
        <v>5412</v>
      </c>
      <c r="C1557" t="s">
        <v>15</v>
      </c>
      <c r="D1557" t="s">
        <v>1310</v>
      </c>
      <c r="E1557" t="s">
        <v>596</v>
      </c>
      <c r="F1557" t="s">
        <v>4281</v>
      </c>
      <c r="G1557" t="s">
        <v>5413</v>
      </c>
      <c r="H1557" t="str">
        <f>HYPERLINK("https://baanknet.com/view-property/272932/E59ADBC7F3CD1623E9249B80C104347F90478B24CF2C89D0C2108F90D8601EAD", "https://baanknet.com/view-property/272932/E59ADBC7F3CD1623E9249B80C104347F90478B24CF2C89D0C2108F90D8601EAD")</f>
        <v>https://baanknet.com/view-property/272932/E59ADBC7F3CD1623E9249B80C104347F90478B24CF2C89D0C2108F90D8601EAD</v>
      </c>
      <c r="I1557" t="str">
        <f>HYPERLINK("https://baanknet.com/view-property/272932/E59ADBC7F3CD1623E9249B80C104347F90478B24CF2C89D0C2108F90D8601EAD", "Open")</f>
        <v>Open</v>
      </c>
      <c r="J1557" t="s">
        <v>3803</v>
      </c>
      <c r="L1557">
        <v>6967000</v>
      </c>
      <c r="M1557">
        <v>696700</v>
      </c>
    </row>
    <row r="1558" spans="1:13" x14ac:dyDescent="0.25">
      <c r="A1558" t="s">
        <v>5414</v>
      </c>
      <c r="B1558" t="s">
        <v>5415</v>
      </c>
      <c r="C1558" t="s">
        <v>15</v>
      </c>
      <c r="D1558" t="s">
        <v>3994</v>
      </c>
      <c r="E1558" t="s">
        <v>596</v>
      </c>
      <c r="F1558" t="s">
        <v>4281</v>
      </c>
      <c r="G1558" t="s">
        <v>5416</v>
      </c>
      <c r="H1558" t="str">
        <f>HYPERLINK("https://baanknet.com/view-property/190095/AFEAB1861A85B674103A39BF8031359EDA2A9B30DE1E7C7C31D15F2734BD1816", "https://baanknet.com/view-property/190095/AFEAB1861A85B674103A39BF8031359EDA2A9B30DE1E7C7C31D15F2734BD1816")</f>
        <v>https://baanknet.com/view-property/190095/AFEAB1861A85B674103A39BF8031359EDA2A9B30DE1E7C7C31D15F2734BD1816</v>
      </c>
      <c r="I1558" t="str">
        <f>HYPERLINK("https://baanknet.com/view-property/190095/AFEAB1861A85B674103A39BF8031359EDA2A9B30DE1E7C7C31D15F2734BD1816", "Open")</f>
        <v>Open</v>
      </c>
      <c r="J1558" t="s">
        <v>3803</v>
      </c>
      <c r="L1558">
        <v>1986000</v>
      </c>
      <c r="M1558">
        <v>198600</v>
      </c>
    </row>
    <row r="1559" spans="1:13" x14ac:dyDescent="0.25">
      <c r="A1559" t="s">
        <v>5417</v>
      </c>
      <c r="B1559" t="s">
        <v>5418</v>
      </c>
      <c r="C1559" t="s">
        <v>15</v>
      </c>
      <c r="D1559" t="s">
        <v>549</v>
      </c>
      <c r="E1559" t="s">
        <v>596</v>
      </c>
      <c r="F1559" t="s">
        <v>4281</v>
      </c>
      <c r="G1559" t="s">
        <v>5419</v>
      </c>
      <c r="H1559" t="str">
        <f>HYPERLINK("https://baanknet.com/view-property/254411/4E7B68FABF078058CFB5C886F0023A8B0C47880E84F9653DDE307111F79D650D", "https://baanknet.com/view-property/254411/4E7B68FABF078058CFB5C886F0023A8B0C47880E84F9653DDE307111F79D650D")</f>
        <v>https://baanknet.com/view-property/254411/4E7B68FABF078058CFB5C886F0023A8B0C47880E84F9653DDE307111F79D650D</v>
      </c>
      <c r="I1559" t="str">
        <f>HYPERLINK("https://baanknet.com/view-property/254411/4E7B68FABF078058CFB5C886F0023A8B0C47880E84F9653DDE307111F79D650D", "Open")</f>
        <v>Open</v>
      </c>
      <c r="J1559" t="s">
        <v>3803</v>
      </c>
      <c r="L1559">
        <v>1594000</v>
      </c>
      <c r="M1559">
        <v>159400</v>
      </c>
    </row>
    <row r="1560" spans="1:13" x14ac:dyDescent="0.25">
      <c r="A1560" t="s">
        <v>5420</v>
      </c>
      <c r="B1560" t="s">
        <v>5421</v>
      </c>
      <c r="C1560" t="s">
        <v>15</v>
      </c>
      <c r="D1560" t="s">
        <v>853</v>
      </c>
      <c r="E1560" t="s">
        <v>596</v>
      </c>
      <c r="F1560" t="s">
        <v>4281</v>
      </c>
      <c r="G1560" t="s">
        <v>5422</v>
      </c>
      <c r="H1560" t="str">
        <f>HYPERLINK("https://baanknet.com/view-property/228158/1CBBB4C533E726F59DA1403F773B46EB727FF737878E0E3A77F974D9888AB23C", "https://baanknet.com/view-property/228158/1CBBB4C533E726F59DA1403F773B46EB727FF737878E0E3A77F974D9888AB23C")</f>
        <v>https://baanknet.com/view-property/228158/1CBBB4C533E726F59DA1403F773B46EB727FF737878E0E3A77F974D9888AB23C</v>
      </c>
      <c r="I1560" t="str">
        <f>HYPERLINK("https://baanknet.com/view-property/228158/1CBBB4C533E726F59DA1403F773B46EB727FF737878E0E3A77F974D9888AB23C", "Open")</f>
        <v>Open</v>
      </c>
      <c r="J1560" t="s">
        <v>3803</v>
      </c>
      <c r="L1560">
        <v>2708000</v>
      </c>
      <c r="M1560">
        <v>270800</v>
      </c>
    </row>
    <row r="1561" spans="1:13" x14ac:dyDescent="0.25">
      <c r="A1561" t="s">
        <v>5423</v>
      </c>
      <c r="B1561" t="s">
        <v>5424</v>
      </c>
      <c r="C1561" t="s">
        <v>15</v>
      </c>
      <c r="D1561" t="s">
        <v>5425</v>
      </c>
      <c r="E1561" t="s">
        <v>596</v>
      </c>
      <c r="F1561" t="s">
        <v>4281</v>
      </c>
      <c r="G1561" t="s">
        <v>5426</v>
      </c>
      <c r="H1561" t="str">
        <f>HYPERLINK("https://baanknet.com/view-property/198733/DCC63DC50DBC5F65CCC3393084CBFB8DBC4CF7D55A979915704582AA2826DE27", "https://baanknet.com/view-property/198733/DCC63DC50DBC5F65CCC3393084CBFB8DBC4CF7D55A979915704582AA2826DE27")</f>
        <v>https://baanknet.com/view-property/198733/DCC63DC50DBC5F65CCC3393084CBFB8DBC4CF7D55A979915704582AA2826DE27</v>
      </c>
      <c r="I1561" t="str">
        <f>HYPERLINK("https://baanknet.com/view-property/198733/DCC63DC50DBC5F65CCC3393084CBFB8DBC4CF7D55A979915704582AA2826DE27", "Open")</f>
        <v>Open</v>
      </c>
      <c r="J1561" t="s">
        <v>3803</v>
      </c>
      <c r="L1561">
        <v>1923000</v>
      </c>
      <c r="M1561">
        <v>192300</v>
      </c>
    </row>
    <row r="1562" spans="1:13" x14ac:dyDescent="0.25">
      <c r="A1562" t="s">
        <v>5427</v>
      </c>
      <c r="B1562" t="s">
        <v>5428</v>
      </c>
      <c r="C1562" t="s">
        <v>15</v>
      </c>
      <c r="D1562" t="s">
        <v>849</v>
      </c>
      <c r="E1562" t="s">
        <v>596</v>
      </c>
      <c r="F1562" t="s">
        <v>4281</v>
      </c>
      <c r="G1562" t="s">
        <v>5429</v>
      </c>
      <c r="H1562" t="str">
        <f>HYPERLINK("https://baanknet.com/view-property/277260/77CF238D6264D11B370DE46D367F2E6D772AA456D062C2B88AAF5CA258EAF8E5", "https://baanknet.com/view-property/277260/77CF238D6264D11B370DE46D367F2E6D772AA456D062C2B88AAF5CA258EAF8E5")</f>
        <v>https://baanknet.com/view-property/277260/77CF238D6264D11B370DE46D367F2E6D772AA456D062C2B88AAF5CA258EAF8E5</v>
      </c>
      <c r="I1562" t="str">
        <f>HYPERLINK("https://baanknet.com/view-property/277260/77CF238D6264D11B370DE46D367F2E6D772AA456D062C2B88AAF5CA258EAF8E5", "Open")</f>
        <v>Open</v>
      </c>
      <c r="J1562" t="s">
        <v>3803</v>
      </c>
      <c r="L1562">
        <v>11557000</v>
      </c>
      <c r="M1562">
        <v>1155700</v>
      </c>
    </row>
    <row r="1563" spans="1:13" x14ac:dyDescent="0.25">
      <c r="A1563" t="s">
        <v>5430</v>
      </c>
      <c r="B1563" t="s">
        <v>5431</v>
      </c>
      <c r="C1563" t="s">
        <v>15</v>
      </c>
      <c r="D1563" t="s">
        <v>549</v>
      </c>
      <c r="E1563" t="s">
        <v>596</v>
      </c>
      <c r="F1563" t="s">
        <v>4281</v>
      </c>
      <c r="G1563" t="s">
        <v>5432</v>
      </c>
      <c r="H1563" t="str">
        <f>HYPERLINK("https://baanknet.com/view-property/228157/AC14497711AD56B2FB38DA2308CA68795EE1233B8B0BA726EFDA91CAB4841390", "https://baanknet.com/view-property/228157/AC14497711AD56B2FB38DA2308CA68795EE1233B8B0BA726EFDA91CAB4841390")</f>
        <v>https://baanknet.com/view-property/228157/AC14497711AD56B2FB38DA2308CA68795EE1233B8B0BA726EFDA91CAB4841390</v>
      </c>
      <c r="I1563" t="str">
        <f>HYPERLINK("https://baanknet.com/view-property/228157/AC14497711AD56B2FB38DA2308CA68795EE1233B8B0BA726EFDA91CAB4841390", "Open")</f>
        <v>Open</v>
      </c>
      <c r="J1563" t="s">
        <v>3803</v>
      </c>
      <c r="L1563">
        <v>2100000</v>
      </c>
      <c r="M1563">
        <v>210000</v>
      </c>
    </row>
    <row r="1564" spans="1:13" x14ac:dyDescent="0.25">
      <c r="A1564" t="s">
        <v>5433</v>
      </c>
      <c r="B1564" t="s">
        <v>5434</v>
      </c>
      <c r="C1564" t="s">
        <v>15</v>
      </c>
      <c r="D1564" t="s">
        <v>853</v>
      </c>
      <c r="E1564" t="s">
        <v>596</v>
      </c>
      <c r="F1564" t="s">
        <v>4281</v>
      </c>
      <c r="G1564" t="s">
        <v>5435</v>
      </c>
      <c r="H1564" t="str">
        <f>HYPERLINK("https://baanknet.com/view-property/190262/998D0312572D8D119BFF26CA82E73AA5EA86A24CAE365404A787DB437F01EC5D", "https://baanknet.com/view-property/190262/998D0312572D8D119BFF26CA82E73AA5EA86A24CAE365404A787DB437F01EC5D")</f>
        <v>https://baanknet.com/view-property/190262/998D0312572D8D119BFF26CA82E73AA5EA86A24CAE365404A787DB437F01EC5D</v>
      </c>
      <c r="I1564" t="str">
        <f>HYPERLINK("https://baanknet.com/view-property/190262/998D0312572D8D119BFF26CA82E73AA5EA86A24CAE365404A787DB437F01EC5D", "Open")</f>
        <v>Open</v>
      </c>
      <c r="J1564" t="s">
        <v>3803</v>
      </c>
      <c r="L1564">
        <v>1654000</v>
      </c>
      <c r="M1564">
        <v>165400</v>
      </c>
    </row>
    <row r="1565" spans="1:13" x14ac:dyDescent="0.25">
      <c r="A1565" t="s">
        <v>5436</v>
      </c>
      <c r="B1565" t="s">
        <v>5437</v>
      </c>
      <c r="C1565" t="s">
        <v>15</v>
      </c>
      <c r="D1565" t="s">
        <v>549</v>
      </c>
      <c r="E1565" t="s">
        <v>596</v>
      </c>
      <c r="F1565" t="s">
        <v>4281</v>
      </c>
      <c r="G1565" t="s">
        <v>5438</v>
      </c>
      <c r="H1565" t="str">
        <f>HYPERLINK("https://baanknet.com/view-property/247979/1C72B55850872A370FB6A8F5266A6DB0907ACC08ADA0B11D099000A48D9A25F7", "https://baanknet.com/view-property/247979/1C72B55850872A370FB6A8F5266A6DB0907ACC08ADA0B11D099000A48D9A25F7")</f>
        <v>https://baanknet.com/view-property/247979/1C72B55850872A370FB6A8F5266A6DB0907ACC08ADA0B11D099000A48D9A25F7</v>
      </c>
      <c r="I1565" t="str">
        <f>HYPERLINK("https://baanknet.com/view-property/247979/1C72B55850872A370FB6A8F5266A6DB0907ACC08ADA0B11D099000A48D9A25F7", "Open")</f>
        <v>Open</v>
      </c>
      <c r="J1565" t="s">
        <v>3803</v>
      </c>
      <c r="L1565">
        <v>1115000</v>
      </c>
      <c r="M1565">
        <v>111500</v>
      </c>
    </row>
    <row r="1566" spans="1:13" x14ac:dyDescent="0.25">
      <c r="A1566" t="s">
        <v>5439</v>
      </c>
      <c r="B1566" t="s">
        <v>5440</v>
      </c>
      <c r="C1566" t="s">
        <v>15</v>
      </c>
      <c r="D1566" t="s">
        <v>1310</v>
      </c>
      <c r="E1566" t="s">
        <v>596</v>
      </c>
      <c r="F1566" t="s">
        <v>4281</v>
      </c>
      <c r="G1566" t="s">
        <v>5441</v>
      </c>
      <c r="H1566" t="str">
        <f>HYPERLINK("https://baanknet.com/view-property/282407/C7CA79389AAEA911BAFB20E13801125238E08E34F6CE4BCAA1118BB757CA7B35", "https://baanknet.com/view-property/282407/C7CA79389AAEA911BAFB20E13801125238E08E34F6CE4BCAA1118BB757CA7B35")</f>
        <v>https://baanknet.com/view-property/282407/C7CA79389AAEA911BAFB20E13801125238E08E34F6CE4BCAA1118BB757CA7B35</v>
      </c>
      <c r="I1566" t="str">
        <f>HYPERLINK("https://baanknet.com/view-property/282407/C7CA79389AAEA911BAFB20E13801125238E08E34F6CE4BCAA1118BB757CA7B35", "Open")</f>
        <v>Open</v>
      </c>
      <c r="J1566" t="s">
        <v>3803</v>
      </c>
      <c r="L1566">
        <v>4535000</v>
      </c>
      <c r="M1566">
        <v>453500</v>
      </c>
    </row>
    <row r="1567" spans="1:13" x14ac:dyDescent="0.25">
      <c r="A1567" t="s">
        <v>5442</v>
      </c>
      <c r="B1567" t="s">
        <v>5443</v>
      </c>
      <c r="C1567" t="s">
        <v>15</v>
      </c>
      <c r="D1567" t="s">
        <v>710</v>
      </c>
      <c r="E1567" t="s">
        <v>596</v>
      </c>
      <c r="F1567" t="s">
        <v>4281</v>
      </c>
      <c r="G1567" t="s">
        <v>5444</v>
      </c>
      <c r="H1567" t="str">
        <f>HYPERLINK("https://baanknet.com/view-property/230534/38823486891FC549B9EEEBBDE70AFC6866336F7E70E3377D487635A0585D7A93", "https://baanknet.com/view-property/230534/38823486891FC549B9EEEBBDE70AFC6866336F7E70E3377D487635A0585D7A93")</f>
        <v>https://baanknet.com/view-property/230534/38823486891FC549B9EEEBBDE70AFC6866336F7E70E3377D487635A0585D7A93</v>
      </c>
      <c r="I1567" t="str">
        <f>HYPERLINK("https://baanknet.com/view-property/230534/38823486891FC549B9EEEBBDE70AFC6866336F7E70E3377D487635A0585D7A93", "Open")</f>
        <v>Open</v>
      </c>
      <c r="J1567" t="s">
        <v>3803</v>
      </c>
      <c r="L1567">
        <v>5130000</v>
      </c>
      <c r="M1567">
        <v>513000</v>
      </c>
    </row>
    <row r="1568" spans="1:13" x14ac:dyDescent="0.25">
      <c r="A1568" t="s">
        <v>5445</v>
      </c>
      <c r="B1568" t="s">
        <v>5446</v>
      </c>
      <c r="C1568" t="s">
        <v>15</v>
      </c>
      <c r="D1568" t="s">
        <v>853</v>
      </c>
      <c r="E1568" t="s">
        <v>596</v>
      </c>
      <c r="F1568" t="s">
        <v>4281</v>
      </c>
      <c r="G1568" t="s">
        <v>5447</v>
      </c>
      <c r="H1568" t="str">
        <f>HYPERLINK("https://baanknet.com/view-property/238358/BF028D05162581CC64C5285D72A0D96D3B4C31BDC2EC46E4D3AA95343D0EC330", "https://baanknet.com/view-property/238358/BF028D05162581CC64C5285D72A0D96D3B4C31BDC2EC46E4D3AA95343D0EC330")</f>
        <v>https://baanknet.com/view-property/238358/BF028D05162581CC64C5285D72A0D96D3B4C31BDC2EC46E4D3AA95343D0EC330</v>
      </c>
      <c r="I1568" t="str">
        <f>HYPERLINK("https://baanknet.com/view-property/238358/BF028D05162581CC64C5285D72A0D96D3B4C31BDC2EC46E4D3AA95343D0EC330", "Open")</f>
        <v>Open</v>
      </c>
      <c r="J1568" t="s">
        <v>3803</v>
      </c>
      <c r="L1568">
        <v>1440000</v>
      </c>
      <c r="M1568">
        <v>144000</v>
      </c>
    </row>
    <row r="1569" spans="1:13" x14ac:dyDescent="0.25">
      <c r="A1569" t="s">
        <v>5448</v>
      </c>
      <c r="B1569" t="s">
        <v>5449</v>
      </c>
      <c r="C1569" t="s">
        <v>332</v>
      </c>
      <c r="D1569" t="s">
        <v>5450</v>
      </c>
      <c r="E1569" t="s">
        <v>596</v>
      </c>
      <c r="F1569" t="s">
        <v>3836</v>
      </c>
      <c r="G1569" t="s">
        <v>5451</v>
      </c>
      <c r="H1569" t="str">
        <f>HYPERLINK("https://baanknet.com/view-property/282317/F6DF1209889885A10DA478E023623C1D9BF454360047BFE8D733222FBC2942A7", "https://baanknet.com/view-property/282317/F6DF1209889885A10DA478E023623C1D9BF454360047BFE8D733222FBC2942A7")</f>
        <v>https://baanknet.com/view-property/282317/F6DF1209889885A10DA478E023623C1D9BF454360047BFE8D733222FBC2942A7</v>
      </c>
      <c r="I1569" t="str">
        <f>HYPERLINK("https://baanknet.com/view-property/282317/F6DF1209889885A10DA478E023623C1D9BF454360047BFE8D733222FBC2942A7", "Open")</f>
        <v>Open</v>
      </c>
      <c r="J1569" t="s">
        <v>3803</v>
      </c>
      <c r="L1569">
        <v>6570000</v>
      </c>
      <c r="M1569">
        <v>657000</v>
      </c>
    </row>
    <row r="1570" spans="1:13" x14ac:dyDescent="0.25">
      <c r="A1570" t="s">
        <v>5452</v>
      </c>
      <c r="B1570" t="s">
        <v>5453</v>
      </c>
      <c r="C1570" t="s">
        <v>332</v>
      </c>
      <c r="D1570" t="s">
        <v>4481</v>
      </c>
      <c r="E1570" t="s">
        <v>596</v>
      </c>
      <c r="F1570" t="s">
        <v>585</v>
      </c>
      <c r="G1570" t="s">
        <v>5454</v>
      </c>
      <c r="H1570" t="str">
        <f>HYPERLINK("https://baanknet.com/view-property/254438/6582994CFF1768950875E572845F7836B7B1C3752954AEED80C88D03BDA48801", "https://baanknet.com/view-property/254438/6582994CFF1768950875E572845F7836B7B1C3752954AEED80C88D03BDA48801")</f>
        <v>https://baanknet.com/view-property/254438/6582994CFF1768950875E572845F7836B7B1C3752954AEED80C88D03BDA48801</v>
      </c>
      <c r="I1570" t="str">
        <f>HYPERLINK("https://baanknet.com/view-property/254438/6582994CFF1768950875E572845F7836B7B1C3752954AEED80C88D03BDA48801", "Open")</f>
        <v>Open</v>
      </c>
      <c r="J1570" t="s">
        <v>3803</v>
      </c>
      <c r="L1570">
        <v>6925000</v>
      </c>
      <c r="M1570">
        <v>692500</v>
      </c>
    </row>
    <row r="1571" spans="1:13" x14ac:dyDescent="0.25">
      <c r="A1571" t="s">
        <v>5455</v>
      </c>
      <c r="B1571" t="s">
        <v>5456</v>
      </c>
      <c r="C1571" t="s">
        <v>5457</v>
      </c>
      <c r="D1571" t="s">
        <v>324</v>
      </c>
      <c r="E1571" t="s">
        <v>596</v>
      </c>
      <c r="F1571" t="s">
        <v>585</v>
      </c>
      <c r="G1571" t="s">
        <v>5458</v>
      </c>
      <c r="H1571" t="str">
        <f>HYPERLINK("https://baanknet.com/view-property/276514/A643A6D58D98CB32DABCBD166132DAD07D97166EDAC790ADE466257A029E792A", "https://baanknet.com/view-property/276514/A643A6D58D98CB32DABCBD166132DAD07D97166EDAC790ADE466257A029E792A")</f>
        <v>https://baanknet.com/view-property/276514/A643A6D58D98CB32DABCBD166132DAD07D97166EDAC790ADE466257A029E792A</v>
      </c>
      <c r="I1571" t="str">
        <f>HYPERLINK("https://baanknet.com/view-property/276514/A643A6D58D98CB32DABCBD166132DAD07D97166EDAC790ADE466257A029E792A", "Open")</f>
        <v>Open</v>
      </c>
      <c r="J1571" t="s">
        <v>3803</v>
      </c>
      <c r="L1571">
        <v>2790000</v>
      </c>
      <c r="M1571">
        <v>279000</v>
      </c>
    </row>
    <row r="1572" spans="1:13" x14ac:dyDescent="0.25">
      <c r="A1572" t="s">
        <v>5459</v>
      </c>
      <c r="B1572" t="s">
        <v>5460</v>
      </c>
      <c r="C1572" t="s">
        <v>5457</v>
      </c>
      <c r="D1572" t="s">
        <v>324</v>
      </c>
      <c r="E1572" t="s">
        <v>596</v>
      </c>
      <c r="F1572" t="s">
        <v>585</v>
      </c>
      <c r="G1572" t="s">
        <v>5461</v>
      </c>
      <c r="H1572" t="str">
        <f>HYPERLINK("https://baanknet.com/view-property/276512/88009CB4ADA7815B71741E0864C68A7DEAD5CE62A0C48D1DBA24A22D8553B9AD", "https://baanknet.com/view-property/276512/88009CB4ADA7815B71741E0864C68A7DEAD5CE62A0C48D1DBA24A22D8553B9AD")</f>
        <v>https://baanknet.com/view-property/276512/88009CB4ADA7815B71741E0864C68A7DEAD5CE62A0C48D1DBA24A22D8553B9AD</v>
      </c>
      <c r="I1572" t="str">
        <f>HYPERLINK("https://baanknet.com/view-property/276512/88009CB4ADA7815B71741E0864C68A7DEAD5CE62A0C48D1DBA24A22D8553B9AD", "Open")</f>
        <v>Open</v>
      </c>
      <c r="J1572" t="s">
        <v>3803</v>
      </c>
      <c r="L1572">
        <v>2266000</v>
      </c>
      <c r="M1572">
        <v>226600</v>
      </c>
    </row>
    <row r="1573" spans="1:13" x14ac:dyDescent="0.25">
      <c r="A1573" t="s">
        <v>5462</v>
      </c>
      <c r="B1573" t="s">
        <v>5463</v>
      </c>
      <c r="C1573" t="s">
        <v>5457</v>
      </c>
      <c r="D1573" t="s">
        <v>324</v>
      </c>
      <c r="E1573" t="s">
        <v>596</v>
      </c>
      <c r="F1573" t="s">
        <v>585</v>
      </c>
      <c r="G1573" t="s">
        <v>5464</v>
      </c>
      <c r="H1573" t="str">
        <f>HYPERLINK("https://baanknet.com/view-property/276492/A2B95390AB28DA5A15E5E5601C656EB2F349752368C5ABEE49DE83228FE2B6B0", "https://baanknet.com/view-property/276492/A2B95390AB28DA5A15E5E5601C656EB2F349752368C5ABEE49DE83228FE2B6B0")</f>
        <v>https://baanknet.com/view-property/276492/A2B95390AB28DA5A15E5E5601C656EB2F349752368C5ABEE49DE83228FE2B6B0</v>
      </c>
      <c r="I1573" t="str">
        <f>HYPERLINK("https://baanknet.com/view-property/276492/A2B95390AB28DA5A15E5E5601C656EB2F349752368C5ABEE49DE83228FE2B6B0", "Open")</f>
        <v>Open</v>
      </c>
      <c r="J1573" t="s">
        <v>3803</v>
      </c>
      <c r="L1573">
        <v>2577000</v>
      </c>
      <c r="M1573">
        <v>257700</v>
      </c>
    </row>
    <row r="1574" spans="1:13" x14ac:dyDescent="0.25">
      <c r="A1574" t="s">
        <v>5465</v>
      </c>
      <c r="B1574" t="s">
        <v>5466</v>
      </c>
      <c r="C1574" t="s">
        <v>5457</v>
      </c>
      <c r="D1574" t="s">
        <v>324</v>
      </c>
      <c r="E1574" t="s">
        <v>596</v>
      </c>
      <c r="F1574" t="s">
        <v>585</v>
      </c>
      <c r="G1574" t="s">
        <v>5467</v>
      </c>
      <c r="H1574" t="str">
        <f>HYPERLINK("https://baanknet.com/view-property/275900/CB367CC214BC5283A066280B4D350573895DFF65C76C62BEEE663BF1A5344292", "https://baanknet.com/view-property/275900/CB367CC214BC5283A066280B4D350573895DFF65C76C62BEEE663BF1A5344292")</f>
        <v>https://baanknet.com/view-property/275900/CB367CC214BC5283A066280B4D350573895DFF65C76C62BEEE663BF1A5344292</v>
      </c>
      <c r="I1574" t="str">
        <f>HYPERLINK("https://baanknet.com/view-property/275900/CB367CC214BC5283A066280B4D350573895DFF65C76C62BEEE663BF1A5344292", "Open")</f>
        <v>Open</v>
      </c>
      <c r="J1574" t="s">
        <v>3803</v>
      </c>
      <c r="L1574">
        <v>463000</v>
      </c>
      <c r="M1574">
        <v>46300</v>
      </c>
    </row>
    <row r="1575" spans="1:13" x14ac:dyDescent="0.25">
      <c r="A1575" t="s">
        <v>5468</v>
      </c>
      <c r="B1575" t="s">
        <v>5469</v>
      </c>
      <c r="C1575" t="s">
        <v>5457</v>
      </c>
      <c r="D1575" t="s">
        <v>324</v>
      </c>
      <c r="E1575" t="s">
        <v>596</v>
      </c>
      <c r="F1575" t="s">
        <v>585</v>
      </c>
      <c r="G1575" t="s">
        <v>5470</v>
      </c>
      <c r="H1575" t="str">
        <f>HYPERLINK("https://baanknet.com/view-property/275868/6EB3C36B46BAAE83CF9704F7E50145DAC0F0DE4BA3DB8FCE6DD03B77201781F7", "https://baanknet.com/view-property/275868/6EB3C36B46BAAE83CF9704F7E50145DAC0F0DE4BA3DB8FCE6DD03B77201781F7")</f>
        <v>https://baanknet.com/view-property/275868/6EB3C36B46BAAE83CF9704F7E50145DAC0F0DE4BA3DB8FCE6DD03B77201781F7</v>
      </c>
      <c r="I1575" t="str">
        <f>HYPERLINK("https://baanknet.com/view-property/275868/6EB3C36B46BAAE83CF9704F7E50145DAC0F0DE4BA3DB8FCE6DD03B77201781F7", "Open")</f>
        <v>Open</v>
      </c>
      <c r="J1575" t="s">
        <v>3803</v>
      </c>
      <c r="L1575">
        <v>1013000</v>
      </c>
      <c r="M1575">
        <v>101300</v>
      </c>
    </row>
    <row r="1576" spans="1:13" x14ac:dyDescent="0.25">
      <c r="A1576" t="s">
        <v>5471</v>
      </c>
      <c r="B1576" t="s">
        <v>5472</v>
      </c>
      <c r="C1576" t="s">
        <v>121</v>
      </c>
      <c r="D1576" t="s">
        <v>5473</v>
      </c>
      <c r="E1576" t="s">
        <v>596</v>
      </c>
      <c r="F1576" t="s">
        <v>585</v>
      </c>
      <c r="G1576" t="s">
        <v>5474</v>
      </c>
      <c r="H1576" t="str">
        <f>HYPERLINK("https://baanknet.com/view-property/287249/03615BEBE778E1DF4EB4DA8AB3176E0D8542ABF84C5088A3002969B5AE83BF67", "https://baanknet.com/view-property/287249/03615BEBE778E1DF4EB4DA8AB3176E0D8542ABF84C5088A3002969B5AE83BF67")</f>
        <v>https://baanknet.com/view-property/287249/03615BEBE778E1DF4EB4DA8AB3176E0D8542ABF84C5088A3002969B5AE83BF67</v>
      </c>
      <c r="I1576" t="str">
        <f>HYPERLINK("https://baanknet.com/view-property/287249/03615BEBE778E1DF4EB4DA8AB3176E0D8542ABF84C5088A3002969B5AE83BF67", "Open")</f>
        <v>Open</v>
      </c>
      <c r="J1576" t="s">
        <v>3803</v>
      </c>
      <c r="L1576">
        <v>13600000</v>
      </c>
      <c r="M1576">
        <v>1360000</v>
      </c>
    </row>
    <row r="1577" spans="1:13" x14ac:dyDescent="0.25">
      <c r="A1577" t="s">
        <v>5475</v>
      </c>
      <c r="B1577" t="s">
        <v>5476</v>
      </c>
      <c r="C1577" t="s">
        <v>594</v>
      </c>
      <c r="D1577" t="s">
        <v>5014</v>
      </c>
      <c r="E1577" t="s">
        <v>596</v>
      </c>
      <c r="F1577" t="s">
        <v>574</v>
      </c>
      <c r="G1577" t="s">
        <v>5477</v>
      </c>
      <c r="H1577" t="str">
        <f>HYPERLINK("https://baanknet.com/view-property/285109/79F1E48DCDD426B428A929788D2FBBE9E54CEDBB8704EF7F14826D3F0BB5071C", "https://baanknet.com/view-property/285109/79F1E48DCDD426B428A929788D2FBBE9E54CEDBB8704EF7F14826D3F0BB5071C")</f>
        <v>https://baanknet.com/view-property/285109/79F1E48DCDD426B428A929788D2FBBE9E54CEDBB8704EF7F14826D3F0BB5071C</v>
      </c>
      <c r="I1577" t="str">
        <f>HYPERLINK("https://baanknet.com/view-property/285109/79F1E48DCDD426B428A929788D2FBBE9E54CEDBB8704EF7F14826D3F0BB5071C", "Open")</f>
        <v>Open</v>
      </c>
      <c r="J1577" t="s">
        <v>3803</v>
      </c>
      <c r="L1577">
        <v>1459000</v>
      </c>
      <c r="M1577">
        <v>145900</v>
      </c>
    </row>
    <row r="1578" spans="1:13" x14ac:dyDescent="0.25">
      <c r="A1578" t="s">
        <v>5478</v>
      </c>
      <c r="B1578" t="s">
        <v>5479</v>
      </c>
      <c r="C1578" t="s">
        <v>594</v>
      </c>
      <c r="D1578" t="s">
        <v>5014</v>
      </c>
      <c r="E1578" t="s">
        <v>596</v>
      </c>
      <c r="F1578" t="s">
        <v>574</v>
      </c>
      <c r="G1578" t="s">
        <v>5480</v>
      </c>
      <c r="H1578" t="str">
        <f>HYPERLINK("https://baanknet.com/view-property/285092/34F86F55AE82F5E590BB3818D797230EB0767CCC0F803C570148C357ED6E6B89", "https://baanknet.com/view-property/285092/34F86F55AE82F5E590BB3818D797230EB0767CCC0F803C570148C357ED6E6B89")</f>
        <v>https://baanknet.com/view-property/285092/34F86F55AE82F5E590BB3818D797230EB0767CCC0F803C570148C357ED6E6B89</v>
      </c>
      <c r="I1578" t="str">
        <f>HYPERLINK("https://baanknet.com/view-property/285092/34F86F55AE82F5E590BB3818D797230EB0767CCC0F803C570148C357ED6E6B89", "Open")</f>
        <v>Open</v>
      </c>
      <c r="J1578" t="s">
        <v>3803</v>
      </c>
      <c r="L1578">
        <v>7967000</v>
      </c>
      <c r="M1578">
        <v>796700</v>
      </c>
    </row>
    <row r="1579" spans="1:13" x14ac:dyDescent="0.25">
      <c r="A1579" t="s">
        <v>5481</v>
      </c>
      <c r="B1579" t="s">
        <v>5482</v>
      </c>
      <c r="C1579" t="s">
        <v>594</v>
      </c>
      <c r="D1579" t="s">
        <v>5483</v>
      </c>
      <c r="E1579" t="s">
        <v>596</v>
      </c>
      <c r="F1579" t="s">
        <v>574</v>
      </c>
      <c r="G1579" t="s">
        <v>5484</v>
      </c>
      <c r="H1579" t="str">
        <f>HYPERLINK("https://baanknet.com/view-property/285111/FAEF998237949BDADAD6B940FFA6B22FC0F368BF6934835ED3B241E7CD6A54E3", "https://baanknet.com/view-property/285111/FAEF998237949BDADAD6B940FFA6B22FC0F368BF6934835ED3B241E7CD6A54E3")</f>
        <v>https://baanknet.com/view-property/285111/FAEF998237949BDADAD6B940FFA6B22FC0F368BF6934835ED3B241E7CD6A54E3</v>
      </c>
      <c r="I1579" t="str">
        <f>HYPERLINK("https://baanknet.com/view-property/285111/FAEF998237949BDADAD6B940FFA6B22FC0F368BF6934835ED3B241E7CD6A54E3", "Open")</f>
        <v>Open</v>
      </c>
      <c r="J1579" t="s">
        <v>3803</v>
      </c>
      <c r="L1579">
        <v>2363000</v>
      </c>
      <c r="M1579">
        <v>236300</v>
      </c>
    </row>
    <row r="1580" spans="1:13" x14ac:dyDescent="0.25">
      <c r="A1580" t="s">
        <v>5485</v>
      </c>
      <c r="B1580" t="s">
        <v>5486</v>
      </c>
      <c r="C1580" t="s">
        <v>594</v>
      </c>
      <c r="D1580" t="s">
        <v>5487</v>
      </c>
      <c r="E1580" t="s">
        <v>596</v>
      </c>
      <c r="F1580" t="s">
        <v>574</v>
      </c>
      <c r="G1580" t="s">
        <v>5488</v>
      </c>
      <c r="H1580" t="str">
        <f>HYPERLINK("https://baanknet.com/view-property/285112/7974C9E23AC49586C265CA519C5F9E80C38BB1E88C1DBC779D18DEC0B04FF138", "https://baanknet.com/view-property/285112/7974C9E23AC49586C265CA519C5F9E80C38BB1E88C1DBC779D18DEC0B04FF138")</f>
        <v>https://baanknet.com/view-property/285112/7974C9E23AC49586C265CA519C5F9E80C38BB1E88C1DBC779D18DEC0B04FF138</v>
      </c>
      <c r="I1580" t="str">
        <f>HYPERLINK("https://baanknet.com/view-property/285112/7974C9E23AC49586C265CA519C5F9E80C38BB1E88C1DBC779D18DEC0B04FF138", "Open")</f>
        <v>Open</v>
      </c>
      <c r="J1580" t="s">
        <v>3803</v>
      </c>
      <c r="L1580">
        <v>3018000</v>
      </c>
      <c r="M1580">
        <v>301800</v>
      </c>
    </row>
    <row r="1581" spans="1:13" x14ac:dyDescent="0.25">
      <c r="A1581" t="s">
        <v>5489</v>
      </c>
      <c r="B1581" t="s">
        <v>5490</v>
      </c>
      <c r="C1581" t="s">
        <v>594</v>
      </c>
      <c r="D1581" t="s">
        <v>3596</v>
      </c>
      <c r="E1581" t="s">
        <v>596</v>
      </c>
      <c r="F1581" t="s">
        <v>574</v>
      </c>
      <c r="G1581" t="s">
        <v>5491</v>
      </c>
      <c r="H1581" t="str">
        <f>HYPERLINK("https://baanknet.com/view-property/285120/9816F53413EBE8954C6825868FAEEEE6F189B466879B3A1D41FC9C572FE17332", "https://baanknet.com/view-property/285120/9816F53413EBE8954C6825868FAEEEE6F189B466879B3A1D41FC9C572FE17332")</f>
        <v>https://baanknet.com/view-property/285120/9816F53413EBE8954C6825868FAEEEE6F189B466879B3A1D41FC9C572FE17332</v>
      </c>
      <c r="I1581" t="str">
        <f>HYPERLINK("https://baanknet.com/view-property/285120/9816F53413EBE8954C6825868FAEEEE6F189B466879B3A1D41FC9C572FE17332", "Open")</f>
        <v>Open</v>
      </c>
      <c r="J1581" t="s">
        <v>3803</v>
      </c>
      <c r="L1581">
        <v>1964000</v>
      </c>
      <c r="M1581">
        <v>196400</v>
      </c>
    </row>
    <row r="1582" spans="1:13" x14ac:dyDescent="0.25">
      <c r="A1582" t="s">
        <v>5492</v>
      </c>
      <c r="B1582" t="s">
        <v>5493</v>
      </c>
      <c r="C1582" t="s">
        <v>594</v>
      </c>
      <c r="D1582" t="s">
        <v>5494</v>
      </c>
      <c r="E1582" t="s">
        <v>596</v>
      </c>
      <c r="F1582" t="s">
        <v>574</v>
      </c>
      <c r="G1582" t="s">
        <v>5495</v>
      </c>
      <c r="H1582" t="str">
        <f>HYPERLINK("https://baanknet.com/view-property/285132/FAD4BF42250F0D85AFBABBF1AB729DA7A320DE3251F468BF21024BFBBEFB99E9", "https://baanknet.com/view-property/285132/FAD4BF42250F0D85AFBABBF1AB729DA7A320DE3251F468BF21024BFBBEFB99E9")</f>
        <v>https://baanknet.com/view-property/285132/FAD4BF42250F0D85AFBABBF1AB729DA7A320DE3251F468BF21024BFBBEFB99E9</v>
      </c>
      <c r="I1582" t="str">
        <f>HYPERLINK("https://baanknet.com/view-property/285132/FAD4BF42250F0D85AFBABBF1AB729DA7A320DE3251F468BF21024BFBBEFB99E9", "Open")</f>
        <v>Open</v>
      </c>
      <c r="J1582" t="s">
        <v>3803</v>
      </c>
      <c r="L1582">
        <v>2607000</v>
      </c>
      <c r="M1582">
        <v>260700</v>
      </c>
    </row>
    <row r="1583" spans="1:13" x14ac:dyDescent="0.25">
      <c r="A1583" t="s">
        <v>5496</v>
      </c>
      <c r="B1583" t="s">
        <v>5497</v>
      </c>
      <c r="C1583" t="s">
        <v>594</v>
      </c>
      <c r="D1583" t="s">
        <v>5498</v>
      </c>
      <c r="E1583" t="s">
        <v>596</v>
      </c>
      <c r="F1583" t="s">
        <v>574</v>
      </c>
      <c r="G1583" t="s">
        <v>5499</v>
      </c>
      <c r="H1583" t="str">
        <f>HYPERLINK("https://baanknet.com/view-property/285140/A71194DBCBDC3254F88F7151DEC5821E21777B2B59F1EA55FEDDD93CFDE1C30A", "https://baanknet.com/view-property/285140/A71194DBCBDC3254F88F7151DEC5821E21777B2B59F1EA55FEDDD93CFDE1C30A")</f>
        <v>https://baanknet.com/view-property/285140/A71194DBCBDC3254F88F7151DEC5821E21777B2B59F1EA55FEDDD93CFDE1C30A</v>
      </c>
      <c r="I1583" t="str">
        <f>HYPERLINK("https://baanknet.com/view-property/285140/A71194DBCBDC3254F88F7151DEC5821E21777B2B59F1EA55FEDDD93CFDE1C30A", "Open")</f>
        <v>Open</v>
      </c>
      <c r="J1583" t="s">
        <v>3803</v>
      </c>
      <c r="L1583">
        <v>3763000</v>
      </c>
      <c r="M1583">
        <v>376300</v>
      </c>
    </row>
    <row r="1584" spans="1:13" x14ac:dyDescent="0.25">
      <c r="A1584" t="s">
        <v>5500</v>
      </c>
      <c r="B1584" t="s">
        <v>5501</v>
      </c>
      <c r="C1584" t="s">
        <v>594</v>
      </c>
      <c r="D1584" t="s">
        <v>1520</v>
      </c>
      <c r="E1584" t="s">
        <v>596</v>
      </c>
      <c r="F1584" t="s">
        <v>574</v>
      </c>
      <c r="G1584" t="s">
        <v>5502</v>
      </c>
      <c r="H1584" t="str">
        <f>HYPERLINK("https://baanknet.com/view-property/214597/FBF5E2BAF47577947F2BC01D048FA9512900D3146D8BC94ACD8DC7A6A7410274", "https://baanknet.com/view-property/214597/FBF5E2BAF47577947F2BC01D048FA9512900D3146D8BC94ACD8DC7A6A7410274")</f>
        <v>https://baanknet.com/view-property/214597/FBF5E2BAF47577947F2BC01D048FA9512900D3146D8BC94ACD8DC7A6A7410274</v>
      </c>
      <c r="I1584" t="str">
        <f>HYPERLINK("https://baanknet.com/view-property/214597/FBF5E2BAF47577947F2BC01D048FA9512900D3146D8BC94ACD8DC7A6A7410274", "Open")</f>
        <v>Open</v>
      </c>
      <c r="J1584" t="s">
        <v>3803</v>
      </c>
      <c r="L1584">
        <v>18600000</v>
      </c>
      <c r="M1584">
        <v>1860000</v>
      </c>
    </row>
    <row r="1585" spans="1:13" x14ac:dyDescent="0.25">
      <c r="A1585" t="s">
        <v>5503</v>
      </c>
      <c r="B1585" t="s">
        <v>5504</v>
      </c>
      <c r="C1585" t="s">
        <v>594</v>
      </c>
      <c r="D1585" t="s">
        <v>4580</v>
      </c>
      <c r="E1585" t="s">
        <v>596</v>
      </c>
      <c r="F1585" t="s">
        <v>574</v>
      </c>
      <c r="G1585" t="s">
        <v>5505</v>
      </c>
      <c r="H1585" t="str">
        <f>HYPERLINK("https://baanknet.com/view-property/218546/9211966151F4C9CDB0E7DD942BABAECC9041784A97C7BE56CB3D87EAABA9FB08", "https://baanknet.com/view-property/218546/9211966151F4C9CDB0E7DD942BABAECC9041784A97C7BE56CB3D87EAABA9FB08")</f>
        <v>https://baanknet.com/view-property/218546/9211966151F4C9CDB0E7DD942BABAECC9041784A97C7BE56CB3D87EAABA9FB08</v>
      </c>
      <c r="I1585" t="str">
        <f>HYPERLINK("https://baanknet.com/view-property/218546/9211966151F4C9CDB0E7DD942BABAECC9041784A97C7BE56CB3D87EAABA9FB08", "Open")</f>
        <v>Open</v>
      </c>
      <c r="J1585" t="s">
        <v>3803</v>
      </c>
      <c r="L1585">
        <v>4262000</v>
      </c>
      <c r="M1585">
        <v>426200</v>
      </c>
    </row>
    <row r="1586" spans="1:13" x14ac:dyDescent="0.25">
      <c r="A1586" t="s">
        <v>5506</v>
      </c>
      <c r="B1586" t="s">
        <v>5507</v>
      </c>
      <c r="C1586" t="s">
        <v>594</v>
      </c>
      <c r="D1586" t="s">
        <v>32</v>
      </c>
      <c r="E1586" t="s">
        <v>596</v>
      </c>
      <c r="F1586" t="s">
        <v>574</v>
      </c>
      <c r="G1586" t="s">
        <v>5508</v>
      </c>
      <c r="H1586" t="str">
        <f>HYPERLINK("https://baanknet.com/view-property/285392/D7EA3305BC8B03EE95FB88F9EB40E44CE47FA47CBEC12383BF98A6AC1DA48652", "https://baanknet.com/view-property/285392/D7EA3305BC8B03EE95FB88F9EB40E44CE47FA47CBEC12383BF98A6AC1DA48652")</f>
        <v>https://baanknet.com/view-property/285392/D7EA3305BC8B03EE95FB88F9EB40E44CE47FA47CBEC12383BF98A6AC1DA48652</v>
      </c>
      <c r="I1586" t="str">
        <f>HYPERLINK("https://baanknet.com/view-property/285392/D7EA3305BC8B03EE95FB88F9EB40E44CE47FA47CBEC12383BF98A6AC1DA48652", "Open")</f>
        <v>Open</v>
      </c>
      <c r="J1586" t="s">
        <v>3803</v>
      </c>
      <c r="L1586">
        <v>29200000</v>
      </c>
      <c r="M1586">
        <v>2920000</v>
      </c>
    </row>
    <row r="1587" spans="1:13" x14ac:dyDescent="0.25">
      <c r="A1587" t="s">
        <v>5509</v>
      </c>
      <c r="B1587" t="s">
        <v>5510</v>
      </c>
      <c r="C1587" t="s">
        <v>594</v>
      </c>
      <c r="D1587" t="s">
        <v>32</v>
      </c>
      <c r="E1587" t="s">
        <v>596</v>
      </c>
      <c r="F1587" t="s">
        <v>574</v>
      </c>
      <c r="G1587" t="s">
        <v>5511</v>
      </c>
      <c r="H1587" t="str">
        <f>HYPERLINK("https://baanknet.com/view-property/285414/A14D97B75EFB4A0C4BCD3D9B40125E4CBFB2C10CE4A5AACF57B472D2E5E771CD", "https://baanknet.com/view-property/285414/A14D97B75EFB4A0C4BCD3D9B40125E4CBFB2C10CE4A5AACF57B472D2E5E771CD")</f>
        <v>https://baanknet.com/view-property/285414/A14D97B75EFB4A0C4BCD3D9B40125E4CBFB2C10CE4A5AACF57B472D2E5E771CD</v>
      </c>
      <c r="I1587" t="str">
        <f>HYPERLINK("https://baanknet.com/view-property/285414/A14D97B75EFB4A0C4BCD3D9B40125E4CBFB2C10CE4A5AACF57B472D2E5E771CD", "Open")</f>
        <v>Open</v>
      </c>
      <c r="J1587" t="s">
        <v>3803</v>
      </c>
      <c r="L1587">
        <v>14100000</v>
      </c>
      <c r="M1587">
        <v>1410000</v>
      </c>
    </row>
    <row r="1588" spans="1:13" x14ac:dyDescent="0.25">
      <c r="A1588" t="s">
        <v>5512</v>
      </c>
      <c r="B1588" t="s">
        <v>5513</v>
      </c>
      <c r="C1588" t="s">
        <v>594</v>
      </c>
      <c r="D1588" t="s">
        <v>497</v>
      </c>
      <c r="E1588" t="s">
        <v>596</v>
      </c>
      <c r="F1588" t="s">
        <v>574</v>
      </c>
      <c r="G1588" t="s">
        <v>5514</v>
      </c>
      <c r="H1588" t="str">
        <f>HYPERLINK("https://baanknet.com/view-property/285566/F5C05DE1A59081D8FE607954E91EBCDB86ACECC82925DE9A0C72BFC8CD51CB36", "https://baanknet.com/view-property/285566/F5C05DE1A59081D8FE607954E91EBCDB86ACECC82925DE9A0C72BFC8CD51CB36")</f>
        <v>https://baanknet.com/view-property/285566/F5C05DE1A59081D8FE607954E91EBCDB86ACECC82925DE9A0C72BFC8CD51CB36</v>
      </c>
      <c r="I1588" t="str">
        <f>HYPERLINK("https://baanknet.com/view-property/285566/F5C05DE1A59081D8FE607954E91EBCDB86ACECC82925DE9A0C72BFC8CD51CB36", "Open")</f>
        <v>Open</v>
      </c>
      <c r="J1588" t="s">
        <v>3803</v>
      </c>
      <c r="L1588">
        <v>914000</v>
      </c>
      <c r="M1588">
        <v>91400</v>
      </c>
    </row>
    <row r="1589" spans="1:13" x14ac:dyDescent="0.25">
      <c r="A1589" t="s">
        <v>5515</v>
      </c>
      <c r="B1589" t="s">
        <v>5516</v>
      </c>
      <c r="C1589" t="s">
        <v>594</v>
      </c>
      <c r="D1589" t="s">
        <v>497</v>
      </c>
      <c r="E1589" t="s">
        <v>596</v>
      </c>
      <c r="F1589" t="s">
        <v>574</v>
      </c>
      <c r="G1589" t="s">
        <v>5517</v>
      </c>
      <c r="H1589" t="str">
        <f>HYPERLINK("https://baanknet.com/view-property/285563/30D04189A52079A052B32B85D0A2BAC4559A17489E41AE131E854833B12B705E", "https://baanknet.com/view-property/285563/30D04189A52079A052B32B85D0A2BAC4559A17489E41AE131E854833B12B705E")</f>
        <v>https://baanknet.com/view-property/285563/30D04189A52079A052B32B85D0A2BAC4559A17489E41AE131E854833B12B705E</v>
      </c>
      <c r="I1589" t="str">
        <f>HYPERLINK("https://baanknet.com/view-property/285563/30D04189A52079A052B32B85D0A2BAC4559A17489E41AE131E854833B12B705E", "Open")</f>
        <v>Open</v>
      </c>
      <c r="J1589" t="s">
        <v>3803</v>
      </c>
      <c r="L1589">
        <v>914000</v>
      </c>
      <c r="M1589">
        <v>91400</v>
      </c>
    </row>
    <row r="1590" spans="1:13" x14ac:dyDescent="0.25">
      <c r="A1590" t="s">
        <v>5518</v>
      </c>
      <c r="B1590" t="s">
        <v>5519</v>
      </c>
      <c r="C1590" t="s">
        <v>594</v>
      </c>
      <c r="D1590" t="s">
        <v>497</v>
      </c>
      <c r="E1590" t="s">
        <v>596</v>
      </c>
      <c r="F1590" t="s">
        <v>574</v>
      </c>
      <c r="G1590" t="s">
        <v>5520</v>
      </c>
      <c r="H1590" t="str">
        <f>HYPERLINK("https://baanknet.com/view-property/285560/0BD51C9F7205E21A4EF4B71F8C4916A4B2E62FC7FC9EBA9CE5DB7CDE22A02C62", "https://baanknet.com/view-property/285560/0BD51C9F7205E21A4EF4B71F8C4916A4B2E62FC7FC9EBA9CE5DB7CDE22A02C62")</f>
        <v>https://baanknet.com/view-property/285560/0BD51C9F7205E21A4EF4B71F8C4916A4B2E62FC7FC9EBA9CE5DB7CDE22A02C62</v>
      </c>
      <c r="I1590" t="str">
        <f>HYPERLINK("https://baanknet.com/view-property/285560/0BD51C9F7205E21A4EF4B71F8C4916A4B2E62FC7FC9EBA9CE5DB7CDE22A02C62", "Open")</f>
        <v>Open</v>
      </c>
      <c r="J1590" t="s">
        <v>3803</v>
      </c>
      <c r="L1590">
        <v>914000</v>
      </c>
      <c r="M1590">
        <v>91400</v>
      </c>
    </row>
    <row r="1591" spans="1:13" x14ac:dyDescent="0.25">
      <c r="A1591" t="s">
        <v>5521</v>
      </c>
      <c r="B1591" t="s">
        <v>5522</v>
      </c>
      <c r="C1591" t="s">
        <v>594</v>
      </c>
      <c r="D1591" t="s">
        <v>497</v>
      </c>
      <c r="E1591" t="s">
        <v>596</v>
      </c>
      <c r="F1591" t="s">
        <v>574</v>
      </c>
      <c r="G1591" t="s">
        <v>5523</v>
      </c>
      <c r="H1591" t="str">
        <f>HYPERLINK("https://baanknet.com/view-property/285533/1F313BC874CA68CA7728A124FF9044CAF44A2F1F281854CB98E402F788C04F33", "https://baanknet.com/view-property/285533/1F313BC874CA68CA7728A124FF9044CAF44A2F1F281854CB98E402F788C04F33")</f>
        <v>https://baanknet.com/view-property/285533/1F313BC874CA68CA7728A124FF9044CAF44A2F1F281854CB98E402F788C04F33</v>
      </c>
      <c r="I1591" t="str">
        <f>HYPERLINK("https://baanknet.com/view-property/285533/1F313BC874CA68CA7728A124FF9044CAF44A2F1F281854CB98E402F788C04F33", "Open")</f>
        <v>Open</v>
      </c>
      <c r="J1591" t="s">
        <v>3803</v>
      </c>
      <c r="L1591">
        <v>914000</v>
      </c>
      <c r="M1591">
        <v>91400</v>
      </c>
    </row>
    <row r="1592" spans="1:13" x14ac:dyDescent="0.25">
      <c r="A1592" t="s">
        <v>5524</v>
      </c>
      <c r="B1592" t="s">
        <v>5525</v>
      </c>
      <c r="C1592" t="s">
        <v>594</v>
      </c>
      <c r="D1592" t="s">
        <v>5526</v>
      </c>
      <c r="E1592" t="s">
        <v>596</v>
      </c>
      <c r="F1592" t="s">
        <v>574</v>
      </c>
      <c r="G1592" t="s">
        <v>5527</v>
      </c>
      <c r="H1592" t="str">
        <f>HYPERLINK("https://baanknet.com/view-property/274270/9ADB876211904F8E58710BCB812B782915B90E8ECCBE518311A27487C3303EB7", "https://baanknet.com/view-property/274270/9ADB876211904F8E58710BCB812B782915B90E8ECCBE518311A27487C3303EB7")</f>
        <v>https://baanknet.com/view-property/274270/9ADB876211904F8E58710BCB812B782915B90E8ECCBE518311A27487C3303EB7</v>
      </c>
      <c r="I1592" t="str">
        <f>HYPERLINK("https://baanknet.com/view-property/274270/9ADB876211904F8E58710BCB812B782915B90E8ECCBE518311A27487C3303EB7", "Open")</f>
        <v>Open</v>
      </c>
      <c r="J1592" t="s">
        <v>3803</v>
      </c>
      <c r="L1592">
        <v>4600000</v>
      </c>
      <c r="M1592">
        <v>460000</v>
      </c>
    </row>
    <row r="1593" spans="1:13" x14ac:dyDescent="0.25">
      <c r="A1593" t="s">
        <v>5528</v>
      </c>
      <c r="B1593" t="s">
        <v>5529</v>
      </c>
      <c r="C1593" t="s">
        <v>594</v>
      </c>
      <c r="D1593" t="s">
        <v>5526</v>
      </c>
      <c r="E1593" t="s">
        <v>596</v>
      </c>
      <c r="F1593" t="s">
        <v>574</v>
      </c>
      <c r="G1593" t="s">
        <v>5530</v>
      </c>
      <c r="H1593" t="str">
        <f>HYPERLINK("https://baanknet.com/view-property/285764/C0586970E7C419FC034A24873C66E75BDACE4C1BC27159AED5D8D1F55807E0CB", "https://baanknet.com/view-property/285764/C0586970E7C419FC034A24873C66E75BDACE4C1BC27159AED5D8D1F55807E0CB")</f>
        <v>https://baanknet.com/view-property/285764/C0586970E7C419FC034A24873C66E75BDACE4C1BC27159AED5D8D1F55807E0CB</v>
      </c>
      <c r="I1593" t="str">
        <f>HYPERLINK("https://baanknet.com/view-property/285764/C0586970E7C419FC034A24873C66E75BDACE4C1BC27159AED5D8D1F55807E0CB", "Open")</f>
        <v>Open</v>
      </c>
      <c r="J1593" t="s">
        <v>3803</v>
      </c>
      <c r="L1593">
        <v>4150000</v>
      </c>
      <c r="M1593">
        <v>415000</v>
      </c>
    </row>
    <row r="1594" spans="1:13" x14ac:dyDescent="0.25">
      <c r="A1594" t="s">
        <v>5531</v>
      </c>
      <c r="B1594" t="s">
        <v>5532</v>
      </c>
      <c r="C1594" t="s">
        <v>594</v>
      </c>
      <c r="D1594" t="s">
        <v>518</v>
      </c>
      <c r="E1594" t="s">
        <v>596</v>
      </c>
      <c r="F1594" t="s">
        <v>574</v>
      </c>
      <c r="G1594" t="s">
        <v>5533</v>
      </c>
      <c r="H1594" t="str">
        <f>HYPERLINK("https://baanknet.com/view-property/285371/0A2F009BCEFD84524A2C390D3469BAA2782909443C0F62F490294566FFAD8B81", "https://baanknet.com/view-property/285371/0A2F009BCEFD84524A2C390D3469BAA2782909443C0F62F490294566FFAD8B81")</f>
        <v>https://baanknet.com/view-property/285371/0A2F009BCEFD84524A2C390D3469BAA2782909443C0F62F490294566FFAD8B81</v>
      </c>
      <c r="I1594" t="str">
        <f>HYPERLINK("https://baanknet.com/view-property/285371/0A2F009BCEFD84524A2C390D3469BAA2782909443C0F62F490294566FFAD8B81", "Open")</f>
        <v>Open</v>
      </c>
      <c r="J1594" t="s">
        <v>3803</v>
      </c>
      <c r="L1594">
        <v>18785000</v>
      </c>
      <c r="M1594">
        <v>1878500</v>
      </c>
    </row>
    <row r="1595" spans="1:13" x14ac:dyDescent="0.25">
      <c r="A1595" t="s">
        <v>5534</v>
      </c>
      <c r="B1595" t="s">
        <v>5535</v>
      </c>
      <c r="C1595" t="s">
        <v>594</v>
      </c>
      <c r="D1595" t="s">
        <v>518</v>
      </c>
      <c r="E1595" t="s">
        <v>596</v>
      </c>
      <c r="F1595" t="s">
        <v>574</v>
      </c>
      <c r="G1595" t="s">
        <v>5536</v>
      </c>
      <c r="H1595" t="str">
        <f>HYPERLINK("https://baanknet.com/view-property/285372/48030C0BC205A9C14143BC8E0D5037BA6FD6E5EEB1E0195448288E28E358A874", "https://baanknet.com/view-property/285372/48030C0BC205A9C14143BC8E0D5037BA6FD6E5EEB1E0195448288E28E358A874")</f>
        <v>https://baanknet.com/view-property/285372/48030C0BC205A9C14143BC8E0D5037BA6FD6E5EEB1E0195448288E28E358A874</v>
      </c>
      <c r="I1595" t="str">
        <f>HYPERLINK("https://baanknet.com/view-property/285372/48030C0BC205A9C14143BC8E0D5037BA6FD6E5EEB1E0195448288E28E358A874", "Open")</f>
        <v>Open</v>
      </c>
      <c r="J1595" t="s">
        <v>3803</v>
      </c>
      <c r="L1595">
        <v>17170000</v>
      </c>
      <c r="M1595">
        <v>1717000</v>
      </c>
    </row>
    <row r="1596" spans="1:13" x14ac:dyDescent="0.25">
      <c r="A1596" t="s">
        <v>5537</v>
      </c>
      <c r="B1596" t="s">
        <v>5538</v>
      </c>
      <c r="C1596" t="s">
        <v>594</v>
      </c>
      <c r="D1596" t="s">
        <v>518</v>
      </c>
      <c r="E1596" t="s">
        <v>596</v>
      </c>
      <c r="F1596" t="s">
        <v>574</v>
      </c>
      <c r="G1596" t="s">
        <v>5539</v>
      </c>
      <c r="H1596" t="str">
        <f>HYPERLINK("https://baanknet.com/view-property/285373/4E465302CC746889126E42EB26683B4398375E0E4C09513A28908B75B7206093", "https://baanknet.com/view-property/285373/4E465302CC746889126E42EB26683B4398375E0E4C09513A28908B75B7206093")</f>
        <v>https://baanknet.com/view-property/285373/4E465302CC746889126E42EB26683B4398375E0E4C09513A28908B75B7206093</v>
      </c>
      <c r="I1596" t="str">
        <f>HYPERLINK("https://baanknet.com/view-property/285373/4E465302CC746889126E42EB26683B4398375E0E4C09513A28908B75B7206093", "Open")</f>
        <v>Open</v>
      </c>
      <c r="J1596" t="s">
        <v>3803</v>
      </c>
      <c r="L1596">
        <v>9520000</v>
      </c>
      <c r="M1596">
        <v>952000</v>
      </c>
    </row>
    <row r="1597" spans="1:13" x14ac:dyDescent="0.25">
      <c r="A1597" t="s">
        <v>5540</v>
      </c>
      <c r="B1597" t="s">
        <v>5541</v>
      </c>
      <c r="C1597" t="s">
        <v>594</v>
      </c>
      <c r="D1597" t="s">
        <v>518</v>
      </c>
      <c r="E1597" t="s">
        <v>596</v>
      </c>
      <c r="F1597" t="s">
        <v>574</v>
      </c>
      <c r="G1597" t="s">
        <v>5542</v>
      </c>
      <c r="H1597" t="str">
        <f>HYPERLINK("https://baanknet.com/view-property/23007/0D6CF244A3FF322D7D70670AD681C483D60A51F747269BE68C118D1FF4BD05A2", "https://baanknet.com/view-property/23007/0D6CF244A3FF322D7D70670AD681C483D60A51F747269BE68C118D1FF4BD05A2")</f>
        <v>https://baanknet.com/view-property/23007/0D6CF244A3FF322D7D70670AD681C483D60A51F747269BE68C118D1FF4BD05A2</v>
      </c>
      <c r="I1597" t="str">
        <f>HYPERLINK("https://baanknet.com/view-property/23007/0D6CF244A3FF322D7D70670AD681C483D60A51F747269BE68C118D1FF4BD05A2", "Open")</f>
        <v>Open</v>
      </c>
      <c r="J1597" t="s">
        <v>3803</v>
      </c>
      <c r="L1597">
        <v>8840000</v>
      </c>
      <c r="M1597">
        <v>884000</v>
      </c>
    </row>
    <row r="1598" spans="1:13" x14ac:dyDescent="0.25">
      <c r="A1598" t="s">
        <v>5543</v>
      </c>
      <c r="B1598" t="s">
        <v>5544</v>
      </c>
      <c r="C1598" t="s">
        <v>594</v>
      </c>
      <c r="D1598" t="s">
        <v>5545</v>
      </c>
      <c r="E1598" t="s">
        <v>596</v>
      </c>
      <c r="F1598" t="s">
        <v>574</v>
      </c>
      <c r="G1598" t="s">
        <v>5546</v>
      </c>
      <c r="H1598" t="str">
        <f>HYPERLINK("https://baanknet.com/view-property/285797/6794ED57375A58CDF7E59DB3207D1296B1056526BDE78B4A08B0721144475363", "https://baanknet.com/view-property/285797/6794ED57375A58CDF7E59DB3207D1296B1056526BDE78B4A08B0721144475363")</f>
        <v>https://baanknet.com/view-property/285797/6794ED57375A58CDF7E59DB3207D1296B1056526BDE78B4A08B0721144475363</v>
      </c>
      <c r="I1598" t="str">
        <f>HYPERLINK("https://baanknet.com/view-property/285797/6794ED57375A58CDF7E59DB3207D1296B1056526BDE78B4A08B0721144475363", "Open")</f>
        <v>Open</v>
      </c>
      <c r="J1598" t="s">
        <v>3803</v>
      </c>
      <c r="L1598">
        <v>2020000</v>
      </c>
      <c r="M1598">
        <v>202000</v>
      </c>
    </row>
    <row r="1599" spans="1:13" x14ac:dyDescent="0.25">
      <c r="A1599" t="s">
        <v>5547</v>
      </c>
      <c r="B1599" t="s">
        <v>5548</v>
      </c>
      <c r="C1599" t="s">
        <v>594</v>
      </c>
      <c r="D1599" t="s">
        <v>518</v>
      </c>
      <c r="E1599" t="s">
        <v>596</v>
      </c>
      <c r="F1599" t="s">
        <v>574</v>
      </c>
      <c r="G1599" t="s">
        <v>5549</v>
      </c>
      <c r="H1599" t="str">
        <f>HYPERLINK("https://baanknet.com/view-property/219374/ECED73747220472CCD970EB668795F473C4CAAADA1E5852CE043A3307405A87C", "https://baanknet.com/view-property/219374/ECED73747220472CCD970EB668795F473C4CAAADA1E5852CE043A3307405A87C")</f>
        <v>https://baanknet.com/view-property/219374/ECED73747220472CCD970EB668795F473C4CAAADA1E5852CE043A3307405A87C</v>
      </c>
      <c r="I1599" t="str">
        <f>HYPERLINK("https://baanknet.com/view-property/219374/ECED73747220472CCD970EB668795F473C4CAAADA1E5852CE043A3307405A87C", "Open")</f>
        <v>Open</v>
      </c>
      <c r="J1599" t="s">
        <v>3803</v>
      </c>
      <c r="L1599">
        <v>1633000</v>
      </c>
      <c r="M1599">
        <v>163300</v>
      </c>
    </row>
    <row r="1600" spans="1:13" x14ac:dyDescent="0.25">
      <c r="A1600" t="s">
        <v>5550</v>
      </c>
      <c r="B1600" t="s">
        <v>5551</v>
      </c>
      <c r="C1600" t="s">
        <v>594</v>
      </c>
      <c r="D1600" t="s">
        <v>5552</v>
      </c>
      <c r="E1600" t="s">
        <v>596</v>
      </c>
      <c r="F1600" t="s">
        <v>574</v>
      </c>
      <c r="G1600" t="s">
        <v>5553</v>
      </c>
      <c r="H1600" t="str">
        <f>HYPERLINK("https://baanknet.com/view-property/285916/F4FA686039F8A7B8B2FF3AB84E451ED8454C624565E836BB0C83CCA2045A8DFA", "https://baanknet.com/view-property/285916/F4FA686039F8A7B8B2FF3AB84E451ED8454C624565E836BB0C83CCA2045A8DFA")</f>
        <v>https://baanknet.com/view-property/285916/F4FA686039F8A7B8B2FF3AB84E451ED8454C624565E836BB0C83CCA2045A8DFA</v>
      </c>
      <c r="I1600" t="str">
        <f>HYPERLINK("https://baanknet.com/view-property/285916/F4FA686039F8A7B8B2FF3AB84E451ED8454C624565E836BB0C83CCA2045A8DFA", "Open")</f>
        <v>Open</v>
      </c>
      <c r="J1600" t="s">
        <v>3803</v>
      </c>
      <c r="L1600">
        <v>845000</v>
      </c>
      <c r="M1600">
        <v>84500</v>
      </c>
    </row>
    <row r="1601" spans="1:13" x14ac:dyDescent="0.25">
      <c r="A1601" t="s">
        <v>5554</v>
      </c>
      <c r="B1601" t="s">
        <v>5555</v>
      </c>
      <c r="C1601" t="s">
        <v>594</v>
      </c>
      <c r="D1601" t="s">
        <v>5556</v>
      </c>
      <c r="E1601" t="s">
        <v>596</v>
      </c>
      <c r="F1601" t="s">
        <v>574</v>
      </c>
      <c r="G1601" t="s">
        <v>5557</v>
      </c>
      <c r="H1601" t="str">
        <f>HYPERLINK("https://baanknet.com/view-property/286022/894FFFD4CCA310442A63C67D88D1980530ED30B1A7F0B9917DD3FBF7AA2D050C", "https://baanknet.com/view-property/286022/894FFFD4CCA310442A63C67D88D1980530ED30B1A7F0B9917DD3FBF7AA2D050C")</f>
        <v>https://baanknet.com/view-property/286022/894FFFD4CCA310442A63C67D88D1980530ED30B1A7F0B9917DD3FBF7AA2D050C</v>
      </c>
      <c r="I1601" t="str">
        <f>HYPERLINK("https://baanknet.com/view-property/286022/894FFFD4CCA310442A63C67D88D1980530ED30B1A7F0B9917DD3FBF7AA2D050C", "Open")</f>
        <v>Open</v>
      </c>
      <c r="J1601" t="s">
        <v>3803</v>
      </c>
      <c r="L1601">
        <v>1713000</v>
      </c>
      <c r="M1601">
        <v>171300</v>
      </c>
    </row>
    <row r="1602" spans="1:13" x14ac:dyDescent="0.25">
      <c r="A1602" t="s">
        <v>5558</v>
      </c>
      <c r="B1602" t="s">
        <v>5559</v>
      </c>
      <c r="C1602" t="s">
        <v>594</v>
      </c>
      <c r="D1602" t="s">
        <v>5560</v>
      </c>
      <c r="E1602" t="s">
        <v>596</v>
      </c>
      <c r="F1602" t="s">
        <v>574</v>
      </c>
      <c r="G1602" t="s">
        <v>5561</v>
      </c>
      <c r="H1602" t="str">
        <f>HYPERLINK("https://baanknet.com/view-property/276568/68361C7BC8021B1617AED4AF396931B62E3B50223914CEB5CE86472A0BBC2A9E", "https://baanknet.com/view-property/276568/68361C7BC8021B1617AED4AF396931B62E3B50223914CEB5CE86472A0BBC2A9E")</f>
        <v>https://baanknet.com/view-property/276568/68361C7BC8021B1617AED4AF396931B62E3B50223914CEB5CE86472A0BBC2A9E</v>
      </c>
      <c r="I1602" t="str">
        <f>HYPERLINK("https://baanknet.com/view-property/276568/68361C7BC8021B1617AED4AF396931B62E3B50223914CEB5CE86472A0BBC2A9E", "Open")</f>
        <v>Open</v>
      </c>
      <c r="J1602" t="s">
        <v>3803</v>
      </c>
      <c r="L1602">
        <v>1430000</v>
      </c>
      <c r="M1602">
        <v>143000</v>
      </c>
    </row>
    <row r="1603" spans="1:13" x14ac:dyDescent="0.25">
      <c r="A1603" t="s">
        <v>5562</v>
      </c>
      <c r="B1603" t="s">
        <v>5563</v>
      </c>
      <c r="C1603" t="s">
        <v>594</v>
      </c>
      <c r="D1603" t="s">
        <v>5564</v>
      </c>
      <c r="E1603" t="s">
        <v>596</v>
      </c>
      <c r="F1603" t="s">
        <v>574</v>
      </c>
      <c r="G1603" t="s">
        <v>5565</v>
      </c>
      <c r="H1603" t="str">
        <f>HYPERLINK("https://baanknet.com/view-property/221081/9F87B932F6EC8EE8E5E59B8EE59063AC02A41DC4DA00427D021D07558AB08EFA", "https://baanknet.com/view-property/221081/9F87B932F6EC8EE8E5E59B8EE59063AC02A41DC4DA00427D021D07558AB08EFA")</f>
        <v>https://baanknet.com/view-property/221081/9F87B932F6EC8EE8E5E59B8EE59063AC02A41DC4DA00427D021D07558AB08EFA</v>
      </c>
      <c r="I1603" t="str">
        <f>HYPERLINK("https://baanknet.com/view-property/221081/9F87B932F6EC8EE8E5E59B8EE59063AC02A41DC4DA00427D021D07558AB08EFA", "Open")</f>
        <v>Open</v>
      </c>
      <c r="J1603" t="s">
        <v>3803</v>
      </c>
      <c r="L1603">
        <v>2500000</v>
      </c>
      <c r="M1603">
        <v>250000</v>
      </c>
    </row>
    <row r="1604" spans="1:13" x14ac:dyDescent="0.25">
      <c r="A1604" t="s">
        <v>5566</v>
      </c>
      <c r="B1604" t="s">
        <v>5567</v>
      </c>
      <c r="C1604" t="s">
        <v>594</v>
      </c>
      <c r="D1604" t="s">
        <v>5568</v>
      </c>
      <c r="E1604" t="s">
        <v>596</v>
      </c>
      <c r="F1604" t="s">
        <v>574</v>
      </c>
      <c r="G1604" t="s">
        <v>5569</v>
      </c>
      <c r="H1604" t="str">
        <f>HYPERLINK("https://baanknet.com/view-property/285343/A04452CFD683589FE6FF44557343CE5E948946CE4836DBF37EDFECB6B57F5FB3", "https://baanknet.com/view-property/285343/A04452CFD683589FE6FF44557343CE5E948946CE4836DBF37EDFECB6B57F5FB3")</f>
        <v>https://baanknet.com/view-property/285343/A04452CFD683589FE6FF44557343CE5E948946CE4836DBF37EDFECB6B57F5FB3</v>
      </c>
      <c r="I1604" t="str">
        <f>HYPERLINK("https://baanknet.com/view-property/285343/A04452CFD683589FE6FF44557343CE5E948946CE4836DBF37EDFECB6B57F5FB3", "Open")</f>
        <v>Open</v>
      </c>
      <c r="J1604" t="s">
        <v>3803</v>
      </c>
      <c r="L1604">
        <v>8119000</v>
      </c>
      <c r="M1604">
        <v>811900</v>
      </c>
    </row>
    <row r="1605" spans="1:13" x14ac:dyDescent="0.25">
      <c r="A1605" t="s">
        <v>5570</v>
      </c>
      <c r="B1605" t="s">
        <v>5571</v>
      </c>
      <c r="C1605" t="s">
        <v>594</v>
      </c>
      <c r="D1605" t="s">
        <v>5572</v>
      </c>
      <c r="E1605" t="s">
        <v>596</v>
      </c>
      <c r="F1605" t="s">
        <v>574</v>
      </c>
      <c r="G1605" t="s">
        <v>5573</v>
      </c>
      <c r="H1605" t="str">
        <f>HYPERLINK("https://baanknet.com/view-property/272144/A560D1971C4CBCC3E723E930456613192B209662EA6C02A1A3980D5B5C9779D8", "https://baanknet.com/view-property/272144/A560D1971C4CBCC3E723E930456613192B209662EA6C02A1A3980D5B5C9779D8")</f>
        <v>https://baanknet.com/view-property/272144/A560D1971C4CBCC3E723E930456613192B209662EA6C02A1A3980D5B5C9779D8</v>
      </c>
      <c r="I1605" t="str">
        <f>HYPERLINK("https://baanknet.com/view-property/272144/A560D1971C4CBCC3E723E930456613192B209662EA6C02A1A3980D5B5C9779D8", "Open")</f>
        <v>Open</v>
      </c>
      <c r="J1605" t="s">
        <v>3803</v>
      </c>
      <c r="L1605">
        <v>2960000</v>
      </c>
      <c r="M1605">
        <v>296000</v>
      </c>
    </row>
    <row r="1606" spans="1:13" x14ac:dyDescent="0.25">
      <c r="A1606" t="s">
        <v>5574</v>
      </c>
      <c r="B1606" t="s">
        <v>5575</v>
      </c>
      <c r="C1606" t="s">
        <v>594</v>
      </c>
      <c r="D1606" t="s">
        <v>3645</v>
      </c>
      <c r="E1606" t="s">
        <v>596</v>
      </c>
      <c r="F1606" t="s">
        <v>574</v>
      </c>
      <c r="G1606" t="s">
        <v>5576</v>
      </c>
      <c r="H1606" t="str">
        <f>HYPERLINK("https://baanknet.com/view-property/265961/C8E404E2111DCC034E600744E9BE59137E9941817E9F259F5482D37D618AD5DE", "https://baanknet.com/view-property/265961/C8E404E2111DCC034E600744E9BE59137E9941817E9F259F5482D37D618AD5DE")</f>
        <v>https://baanknet.com/view-property/265961/C8E404E2111DCC034E600744E9BE59137E9941817E9F259F5482D37D618AD5DE</v>
      </c>
      <c r="I1606" t="str">
        <f>HYPERLINK("https://baanknet.com/view-property/265961/C8E404E2111DCC034E600744E9BE59137E9941817E9F259F5482D37D618AD5DE", "Open")</f>
        <v>Open</v>
      </c>
      <c r="J1606" t="s">
        <v>3803</v>
      </c>
      <c r="L1606">
        <v>4620000</v>
      </c>
      <c r="M1606">
        <v>462000</v>
      </c>
    </row>
    <row r="1607" spans="1:13" x14ac:dyDescent="0.25">
      <c r="A1607" t="s">
        <v>5577</v>
      </c>
      <c r="B1607" t="s">
        <v>5578</v>
      </c>
      <c r="C1607" t="s">
        <v>594</v>
      </c>
      <c r="D1607" t="s">
        <v>653</v>
      </c>
      <c r="E1607" t="s">
        <v>596</v>
      </c>
      <c r="F1607" t="s">
        <v>574</v>
      </c>
      <c r="G1607" t="s">
        <v>5579</v>
      </c>
      <c r="H1607" t="str">
        <f>HYPERLINK("https://baanknet.com/view-property/237313/EFE4C2875CE1FDC45F8AAC473881DE5837D5FD8148E0083CA1E7A1D730513EF9", "https://baanknet.com/view-property/237313/EFE4C2875CE1FDC45F8AAC473881DE5837D5FD8148E0083CA1E7A1D730513EF9")</f>
        <v>https://baanknet.com/view-property/237313/EFE4C2875CE1FDC45F8AAC473881DE5837D5FD8148E0083CA1E7A1D730513EF9</v>
      </c>
      <c r="I1607" t="str">
        <f>HYPERLINK("https://baanknet.com/view-property/237313/EFE4C2875CE1FDC45F8AAC473881DE5837D5FD8148E0083CA1E7A1D730513EF9", "Open")</f>
        <v>Open</v>
      </c>
      <c r="J1607" t="s">
        <v>3803</v>
      </c>
      <c r="L1607">
        <v>3450000</v>
      </c>
      <c r="M1607">
        <v>345000</v>
      </c>
    </row>
    <row r="1608" spans="1:13" x14ac:dyDescent="0.25">
      <c r="A1608" t="s">
        <v>5580</v>
      </c>
      <c r="B1608" t="s">
        <v>5581</v>
      </c>
      <c r="C1608" t="s">
        <v>594</v>
      </c>
      <c r="D1608" t="s">
        <v>653</v>
      </c>
      <c r="E1608" t="s">
        <v>596</v>
      </c>
      <c r="F1608" t="s">
        <v>574</v>
      </c>
      <c r="G1608" t="s">
        <v>5582</v>
      </c>
      <c r="H1608" t="str">
        <f>HYPERLINK("https://baanknet.com/view-property/241922/E16705E26307815B570F479CF68B02E136640BB950E76386CF73DD244B8BF96A", "https://baanknet.com/view-property/241922/E16705E26307815B570F479CF68B02E136640BB950E76386CF73DD244B8BF96A")</f>
        <v>https://baanknet.com/view-property/241922/E16705E26307815B570F479CF68B02E136640BB950E76386CF73DD244B8BF96A</v>
      </c>
      <c r="I1608" t="str">
        <f>HYPERLINK("https://baanknet.com/view-property/241922/E16705E26307815B570F479CF68B02E136640BB950E76386CF73DD244B8BF96A", "Open")</f>
        <v>Open</v>
      </c>
      <c r="J1608" t="s">
        <v>3803</v>
      </c>
      <c r="L1608">
        <v>3150000</v>
      </c>
      <c r="M1608">
        <v>315000</v>
      </c>
    </row>
    <row r="1609" spans="1:13" x14ac:dyDescent="0.25">
      <c r="A1609" t="s">
        <v>5583</v>
      </c>
      <c r="B1609" t="s">
        <v>5584</v>
      </c>
      <c r="C1609" t="s">
        <v>594</v>
      </c>
      <c r="D1609" t="s">
        <v>3243</v>
      </c>
      <c r="E1609" t="s">
        <v>596</v>
      </c>
      <c r="F1609" t="s">
        <v>574</v>
      </c>
      <c r="G1609" t="s">
        <v>5585</v>
      </c>
      <c r="H1609" t="str">
        <f>HYPERLINK("https://baanknet.com/view-property/82380/14A9E3D76DF2A7C777E795A33642E1F7247C1ED2BF4AEEB10576C89C0570F766", "https://baanknet.com/view-property/82380/14A9E3D76DF2A7C777E795A33642E1F7247C1ED2BF4AEEB10576C89C0570F766")</f>
        <v>https://baanknet.com/view-property/82380/14A9E3D76DF2A7C777E795A33642E1F7247C1ED2BF4AEEB10576C89C0570F766</v>
      </c>
      <c r="I1609" t="str">
        <f>HYPERLINK("https://baanknet.com/view-property/82380/14A9E3D76DF2A7C777E795A33642E1F7247C1ED2BF4AEEB10576C89C0570F766", "Open")</f>
        <v>Open</v>
      </c>
      <c r="J1609" t="s">
        <v>3803</v>
      </c>
      <c r="L1609">
        <v>1280000</v>
      </c>
      <c r="M1609">
        <v>128000</v>
      </c>
    </row>
    <row r="1610" spans="1:13" x14ac:dyDescent="0.25">
      <c r="A1610" t="s">
        <v>5586</v>
      </c>
      <c r="B1610" t="s">
        <v>5587</v>
      </c>
      <c r="C1610" t="s">
        <v>594</v>
      </c>
      <c r="D1610" t="s">
        <v>5588</v>
      </c>
      <c r="E1610" t="s">
        <v>596</v>
      </c>
      <c r="F1610" t="s">
        <v>574</v>
      </c>
      <c r="G1610" t="s">
        <v>5589</v>
      </c>
      <c r="H1610" t="str">
        <f>HYPERLINK("https://baanknet.com/view-property/114752/A1012CF7D4F3EC4E5EE9662B6AAA1DBB7448ED246F3DFB20EDEBC4D52618B6EC", "https://baanknet.com/view-property/114752/A1012CF7D4F3EC4E5EE9662B6AAA1DBB7448ED246F3DFB20EDEBC4D52618B6EC")</f>
        <v>https://baanknet.com/view-property/114752/A1012CF7D4F3EC4E5EE9662B6AAA1DBB7448ED246F3DFB20EDEBC4D52618B6EC</v>
      </c>
      <c r="I1610" t="str">
        <f>HYPERLINK("https://baanknet.com/view-property/114752/A1012CF7D4F3EC4E5EE9662B6AAA1DBB7448ED246F3DFB20EDEBC4D52618B6EC", "Open")</f>
        <v>Open</v>
      </c>
      <c r="J1610" t="s">
        <v>3803</v>
      </c>
      <c r="L1610">
        <v>1210000</v>
      </c>
      <c r="M1610">
        <v>121000</v>
      </c>
    </row>
    <row r="1611" spans="1:13" x14ac:dyDescent="0.25">
      <c r="A1611" t="s">
        <v>5590</v>
      </c>
      <c r="B1611" t="s">
        <v>5591</v>
      </c>
      <c r="C1611" t="s">
        <v>594</v>
      </c>
      <c r="D1611" t="s">
        <v>5592</v>
      </c>
      <c r="E1611" t="s">
        <v>596</v>
      </c>
      <c r="F1611" t="s">
        <v>574</v>
      </c>
      <c r="G1611" t="s">
        <v>5593</v>
      </c>
      <c r="H1611" t="str">
        <f>HYPERLINK("https://baanknet.com/view-property/224304/38B93A29C4CD78F18B8384C1D101363A98162DC8DD574CA39D08AB06224DE52D", "https://baanknet.com/view-property/224304/38B93A29C4CD78F18B8384C1D101363A98162DC8DD574CA39D08AB06224DE52D")</f>
        <v>https://baanknet.com/view-property/224304/38B93A29C4CD78F18B8384C1D101363A98162DC8DD574CA39D08AB06224DE52D</v>
      </c>
      <c r="I1611" t="str">
        <f>HYPERLINK("https://baanknet.com/view-property/224304/38B93A29C4CD78F18B8384C1D101363A98162DC8DD574CA39D08AB06224DE52D", "Open")</f>
        <v>Open</v>
      </c>
      <c r="J1611" t="s">
        <v>3803</v>
      </c>
      <c r="L1611">
        <v>3170000</v>
      </c>
      <c r="M1611">
        <v>317000</v>
      </c>
    </row>
    <row r="1612" spans="1:13" x14ac:dyDescent="0.25">
      <c r="A1612" t="s">
        <v>5594</v>
      </c>
      <c r="B1612" t="s">
        <v>5595</v>
      </c>
      <c r="C1612" t="s">
        <v>594</v>
      </c>
      <c r="D1612" t="s">
        <v>3688</v>
      </c>
      <c r="E1612" t="s">
        <v>596</v>
      </c>
      <c r="F1612" t="s">
        <v>574</v>
      </c>
      <c r="G1612" t="s">
        <v>5596</v>
      </c>
      <c r="H1612" t="str">
        <f>HYPERLINK("https://baanknet.com/view-property/276229/85084757BC8F65BFF2216922BD2787A56D424435B5DA9BFBCCC665D14E9856A3", "https://baanknet.com/view-property/276229/85084757BC8F65BFF2216922BD2787A56D424435B5DA9BFBCCC665D14E9856A3")</f>
        <v>https://baanknet.com/view-property/276229/85084757BC8F65BFF2216922BD2787A56D424435B5DA9BFBCCC665D14E9856A3</v>
      </c>
      <c r="I1612" t="str">
        <f>HYPERLINK("https://baanknet.com/view-property/276229/85084757BC8F65BFF2216922BD2787A56D424435B5DA9BFBCCC665D14E9856A3", "Open")</f>
        <v>Open</v>
      </c>
      <c r="J1612" t="s">
        <v>3803</v>
      </c>
      <c r="L1612">
        <v>5440000</v>
      </c>
      <c r="M1612">
        <v>544000</v>
      </c>
    </row>
    <row r="1613" spans="1:13" x14ac:dyDescent="0.25">
      <c r="A1613" t="s">
        <v>5597</v>
      </c>
      <c r="B1613" t="s">
        <v>5598</v>
      </c>
      <c r="C1613" t="s">
        <v>594</v>
      </c>
      <c r="D1613" t="s">
        <v>3225</v>
      </c>
      <c r="E1613" t="s">
        <v>596</v>
      </c>
      <c r="F1613" t="s">
        <v>574</v>
      </c>
      <c r="G1613" t="s">
        <v>5599</v>
      </c>
      <c r="H1613" t="str">
        <f>HYPERLINK("https://baanknet.com/view-property/93409/BCAE5962BE01A12C3EB631B936FC7B3DE14C95E13F83263F88B67DACAAFE4A6E", "https://baanknet.com/view-property/93409/BCAE5962BE01A12C3EB631B936FC7B3DE14C95E13F83263F88B67DACAAFE4A6E")</f>
        <v>https://baanknet.com/view-property/93409/BCAE5962BE01A12C3EB631B936FC7B3DE14C95E13F83263F88B67DACAAFE4A6E</v>
      </c>
      <c r="I1613" t="str">
        <f>HYPERLINK("https://baanknet.com/view-property/93409/BCAE5962BE01A12C3EB631B936FC7B3DE14C95E13F83263F88B67DACAAFE4A6E", "Open")</f>
        <v>Open</v>
      </c>
      <c r="J1613" t="s">
        <v>3803</v>
      </c>
      <c r="L1613">
        <v>1710000</v>
      </c>
      <c r="M1613">
        <v>171000</v>
      </c>
    </row>
    <row r="1614" spans="1:13" x14ac:dyDescent="0.25">
      <c r="A1614" t="s">
        <v>5600</v>
      </c>
      <c r="B1614" t="s">
        <v>5601</v>
      </c>
      <c r="C1614" t="s">
        <v>594</v>
      </c>
      <c r="D1614" t="s">
        <v>5602</v>
      </c>
      <c r="E1614" t="s">
        <v>596</v>
      </c>
      <c r="F1614" t="s">
        <v>574</v>
      </c>
      <c r="G1614" t="s">
        <v>5603</v>
      </c>
      <c r="H1614" t="str">
        <f>HYPERLINK("https://baanknet.com/view-property/276015/B6595CC39B2DC0BC0FF0F59ACB55E63BF6EAF97BD33CA765C8C9EA15447C45F3", "https://baanknet.com/view-property/276015/B6595CC39B2DC0BC0FF0F59ACB55E63BF6EAF97BD33CA765C8C9EA15447C45F3")</f>
        <v>https://baanknet.com/view-property/276015/B6595CC39B2DC0BC0FF0F59ACB55E63BF6EAF97BD33CA765C8C9EA15447C45F3</v>
      </c>
      <c r="I1614" t="str">
        <f>HYPERLINK("https://baanknet.com/view-property/276015/B6595CC39B2DC0BC0FF0F59ACB55E63BF6EAF97BD33CA765C8C9EA15447C45F3", "Open")</f>
        <v>Open</v>
      </c>
      <c r="J1614" t="s">
        <v>3803</v>
      </c>
      <c r="L1614">
        <v>3480000</v>
      </c>
      <c r="M1614">
        <v>348000</v>
      </c>
    </row>
    <row r="1615" spans="1:13" x14ac:dyDescent="0.25">
      <c r="A1615" t="s">
        <v>5604</v>
      </c>
      <c r="B1615" t="s">
        <v>5605</v>
      </c>
      <c r="C1615" t="s">
        <v>594</v>
      </c>
      <c r="D1615" t="s">
        <v>3032</v>
      </c>
      <c r="E1615" t="s">
        <v>596</v>
      </c>
      <c r="F1615" t="s">
        <v>574</v>
      </c>
      <c r="G1615" t="s">
        <v>5606</v>
      </c>
      <c r="H1615" t="str">
        <f>HYPERLINK("https://baanknet.com/view-property/45561/8D7B1BEE78C5AE4A9D36B6E2BE90378B039F70B67617E37AAA45CE37682FD9DB", "https://baanknet.com/view-property/45561/8D7B1BEE78C5AE4A9D36B6E2BE90378B039F70B67617E37AAA45CE37682FD9DB")</f>
        <v>https://baanknet.com/view-property/45561/8D7B1BEE78C5AE4A9D36B6E2BE90378B039F70B67617E37AAA45CE37682FD9DB</v>
      </c>
      <c r="I1615" t="str">
        <f>HYPERLINK("https://baanknet.com/view-property/45561/8D7B1BEE78C5AE4A9D36B6E2BE90378B039F70B67617E37AAA45CE37682FD9DB", "Open")</f>
        <v>Open</v>
      </c>
      <c r="J1615" t="s">
        <v>3803</v>
      </c>
      <c r="L1615">
        <v>2525000</v>
      </c>
      <c r="M1615">
        <v>252500</v>
      </c>
    </row>
    <row r="1616" spans="1:13" x14ac:dyDescent="0.25">
      <c r="A1616" t="s">
        <v>5607</v>
      </c>
      <c r="B1616" t="s">
        <v>5608</v>
      </c>
      <c r="C1616" t="s">
        <v>594</v>
      </c>
      <c r="D1616" t="s">
        <v>5568</v>
      </c>
      <c r="E1616" t="s">
        <v>596</v>
      </c>
      <c r="F1616" t="s">
        <v>574</v>
      </c>
      <c r="G1616" t="s">
        <v>5609</v>
      </c>
      <c r="H1616" t="str">
        <f>HYPERLINK("https://baanknet.com/view-property/283317/85C801253253C484FCFCBC2C0A08159C7F1E76AE4BDAA1CF86E31A472207BD36", "https://baanknet.com/view-property/283317/85C801253253C484FCFCBC2C0A08159C7F1E76AE4BDAA1CF86E31A472207BD36")</f>
        <v>https://baanknet.com/view-property/283317/85C801253253C484FCFCBC2C0A08159C7F1E76AE4BDAA1CF86E31A472207BD36</v>
      </c>
      <c r="I1616" t="str">
        <f>HYPERLINK("https://baanknet.com/view-property/283317/85C801253253C484FCFCBC2C0A08159C7F1E76AE4BDAA1CF86E31A472207BD36", "Open")</f>
        <v>Open</v>
      </c>
      <c r="J1616" t="s">
        <v>3803</v>
      </c>
      <c r="L1616">
        <v>2070000</v>
      </c>
      <c r="M1616">
        <v>207000</v>
      </c>
    </row>
    <row r="1617" spans="1:13" x14ac:dyDescent="0.25">
      <c r="A1617" t="s">
        <v>5610</v>
      </c>
      <c r="B1617" t="s">
        <v>5611</v>
      </c>
      <c r="C1617" t="s">
        <v>594</v>
      </c>
      <c r="D1617" t="s">
        <v>383</v>
      </c>
      <c r="E1617" t="s">
        <v>596</v>
      </c>
      <c r="F1617" t="s">
        <v>574</v>
      </c>
      <c r="G1617" t="s">
        <v>5612</v>
      </c>
      <c r="H1617" t="str">
        <f>HYPERLINK("https://baanknet.com/view-property/286306/0CAAACF7DDEB4B4E9A83BB8D749DFCA15E3678014CB9AA0DA65BC994140D5AFB", "https://baanknet.com/view-property/286306/0CAAACF7DDEB4B4E9A83BB8D749DFCA15E3678014CB9AA0DA65BC994140D5AFB")</f>
        <v>https://baanknet.com/view-property/286306/0CAAACF7DDEB4B4E9A83BB8D749DFCA15E3678014CB9AA0DA65BC994140D5AFB</v>
      </c>
      <c r="I1617" t="str">
        <f>HYPERLINK("https://baanknet.com/view-property/286306/0CAAACF7DDEB4B4E9A83BB8D749DFCA15E3678014CB9AA0DA65BC994140D5AFB", "Open")</f>
        <v>Open</v>
      </c>
      <c r="J1617" t="s">
        <v>3803</v>
      </c>
      <c r="L1617">
        <v>4120000</v>
      </c>
      <c r="M1617">
        <v>412000</v>
      </c>
    </row>
    <row r="1618" spans="1:13" x14ac:dyDescent="0.25">
      <c r="A1618" t="s">
        <v>5613</v>
      </c>
      <c r="B1618" t="s">
        <v>5614</v>
      </c>
      <c r="C1618" t="s">
        <v>594</v>
      </c>
      <c r="D1618" t="s">
        <v>5568</v>
      </c>
      <c r="E1618" t="s">
        <v>596</v>
      </c>
      <c r="F1618" t="s">
        <v>574</v>
      </c>
      <c r="G1618" t="s">
        <v>5615</v>
      </c>
      <c r="H1618" t="str">
        <f>HYPERLINK("https://baanknet.com/view-property/283300/5BB4B143516F6E93B943608932102D97F4E9EC20EE24AD6424947E712750D815", "https://baanknet.com/view-property/283300/5BB4B143516F6E93B943608932102D97F4E9EC20EE24AD6424947E712750D815")</f>
        <v>https://baanknet.com/view-property/283300/5BB4B143516F6E93B943608932102D97F4E9EC20EE24AD6424947E712750D815</v>
      </c>
      <c r="I1618" t="str">
        <f>HYPERLINK("https://baanknet.com/view-property/283300/5BB4B143516F6E93B943608932102D97F4E9EC20EE24AD6424947E712750D815", "Open")</f>
        <v>Open</v>
      </c>
      <c r="J1618" t="s">
        <v>3803</v>
      </c>
      <c r="L1618">
        <v>1743000</v>
      </c>
      <c r="M1618">
        <v>174300</v>
      </c>
    </row>
    <row r="1619" spans="1:13" x14ac:dyDescent="0.25">
      <c r="A1619" t="s">
        <v>5616</v>
      </c>
      <c r="B1619" t="s">
        <v>5617</v>
      </c>
      <c r="C1619" t="s">
        <v>594</v>
      </c>
      <c r="D1619" t="s">
        <v>5568</v>
      </c>
      <c r="E1619" t="s">
        <v>596</v>
      </c>
      <c r="F1619" t="s">
        <v>574</v>
      </c>
      <c r="G1619" t="s">
        <v>5618</v>
      </c>
      <c r="H1619" t="str">
        <f>HYPERLINK("https://baanknet.com/view-property/283303/09BB03E1DA3D54395DFE993F0F411E3A861ED009538845AAF281B8F13015A365", "https://baanknet.com/view-property/283303/09BB03E1DA3D54395DFE993F0F411E3A861ED009538845AAF281B8F13015A365")</f>
        <v>https://baanknet.com/view-property/283303/09BB03E1DA3D54395DFE993F0F411E3A861ED009538845AAF281B8F13015A365</v>
      </c>
      <c r="I1619" t="str">
        <f>HYPERLINK("https://baanknet.com/view-property/283303/09BB03E1DA3D54395DFE993F0F411E3A861ED009538845AAF281B8F13015A365", "Open")</f>
        <v>Open</v>
      </c>
      <c r="J1619" t="s">
        <v>3803</v>
      </c>
      <c r="L1619">
        <v>1743000</v>
      </c>
      <c r="M1619">
        <v>174300</v>
      </c>
    </row>
    <row r="1620" spans="1:13" x14ac:dyDescent="0.25">
      <c r="A1620" t="s">
        <v>5619</v>
      </c>
      <c r="B1620" t="s">
        <v>5620</v>
      </c>
      <c r="C1620" t="s">
        <v>594</v>
      </c>
      <c r="D1620" t="s">
        <v>5568</v>
      </c>
      <c r="E1620" t="s">
        <v>596</v>
      </c>
      <c r="F1620" t="s">
        <v>574</v>
      </c>
      <c r="G1620" t="s">
        <v>5621</v>
      </c>
      <c r="H1620" t="str">
        <f>HYPERLINK("https://baanknet.com/view-property/286023/29451C44DE28A5225472DB9BE87406D5986CB5B7CDF9926E6D3FFC62EC505D5D", "https://baanknet.com/view-property/286023/29451C44DE28A5225472DB9BE87406D5986CB5B7CDF9926E6D3FFC62EC505D5D")</f>
        <v>https://baanknet.com/view-property/286023/29451C44DE28A5225472DB9BE87406D5986CB5B7CDF9926E6D3FFC62EC505D5D</v>
      </c>
      <c r="I1620" t="str">
        <f>HYPERLINK("https://baanknet.com/view-property/286023/29451C44DE28A5225472DB9BE87406D5986CB5B7CDF9926E6D3FFC62EC505D5D", "Open")</f>
        <v>Open</v>
      </c>
      <c r="J1620" t="s">
        <v>3803</v>
      </c>
      <c r="L1620">
        <v>3323000</v>
      </c>
      <c r="M1620">
        <v>332300</v>
      </c>
    </row>
    <row r="1621" spans="1:13" x14ac:dyDescent="0.25">
      <c r="A1621" t="s">
        <v>5622</v>
      </c>
      <c r="B1621" t="s">
        <v>5623</v>
      </c>
      <c r="C1621" t="s">
        <v>594</v>
      </c>
      <c r="D1621" t="s">
        <v>4145</v>
      </c>
      <c r="E1621" t="s">
        <v>596</v>
      </c>
      <c r="F1621" t="s">
        <v>574</v>
      </c>
      <c r="G1621" t="s">
        <v>5624</v>
      </c>
      <c r="H1621" t="str">
        <f>HYPERLINK("https://baanknet.com/view-property/266978/DBA6A4B961409080C5F8F8A17265B89ACE3872AEAE2B000F7470CA36045BBE42", "https://baanknet.com/view-property/266978/DBA6A4B961409080C5F8F8A17265B89ACE3872AEAE2B000F7470CA36045BBE42")</f>
        <v>https://baanknet.com/view-property/266978/DBA6A4B961409080C5F8F8A17265B89ACE3872AEAE2B000F7470CA36045BBE42</v>
      </c>
      <c r="I1621" t="str">
        <f>HYPERLINK("https://baanknet.com/view-property/266978/DBA6A4B961409080C5F8F8A17265B89ACE3872AEAE2B000F7470CA36045BBE42", "Open")</f>
        <v>Open</v>
      </c>
      <c r="J1621" t="s">
        <v>3803</v>
      </c>
      <c r="L1621">
        <v>2438000</v>
      </c>
      <c r="M1621">
        <v>243800</v>
      </c>
    </row>
    <row r="1622" spans="1:13" x14ac:dyDescent="0.25">
      <c r="A1622" t="s">
        <v>5625</v>
      </c>
      <c r="B1622" t="s">
        <v>5626</v>
      </c>
      <c r="C1622" t="s">
        <v>594</v>
      </c>
      <c r="D1622" t="s">
        <v>5627</v>
      </c>
      <c r="E1622" t="s">
        <v>596</v>
      </c>
      <c r="F1622" t="s">
        <v>574</v>
      </c>
      <c r="G1622" t="s">
        <v>5628</v>
      </c>
      <c r="H1622" t="str">
        <f>HYPERLINK("https://baanknet.com/view-property/281071/DF0CC00A04868F1152F0DF8753338DF6749E70DA8273BAB9C2101FD22A2CAD85", "https://baanknet.com/view-property/281071/DF0CC00A04868F1152F0DF8753338DF6749E70DA8273BAB9C2101FD22A2CAD85")</f>
        <v>https://baanknet.com/view-property/281071/DF0CC00A04868F1152F0DF8753338DF6749E70DA8273BAB9C2101FD22A2CAD85</v>
      </c>
      <c r="I1622" t="str">
        <f>HYPERLINK("https://baanknet.com/view-property/281071/DF0CC00A04868F1152F0DF8753338DF6749E70DA8273BAB9C2101FD22A2CAD85", "Open")</f>
        <v>Open</v>
      </c>
      <c r="J1622" t="s">
        <v>3803</v>
      </c>
      <c r="L1622">
        <v>1389000</v>
      </c>
      <c r="M1622">
        <v>138900</v>
      </c>
    </row>
    <row r="1623" spans="1:13" x14ac:dyDescent="0.25">
      <c r="A1623" t="s">
        <v>5629</v>
      </c>
      <c r="B1623" t="s">
        <v>5630</v>
      </c>
      <c r="C1623" t="s">
        <v>594</v>
      </c>
      <c r="D1623" t="s">
        <v>5627</v>
      </c>
      <c r="E1623" t="s">
        <v>596</v>
      </c>
      <c r="F1623" t="s">
        <v>574</v>
      </c>
      <c r="G1623" t="s">
        <v>5631</v>
      </c>
      <c r="H1623" t="str">
        <f>HYPERLINK("https://baanknet.com/view-property/281077/B948D2A492E4677586138AFF9D44CA52C42C3758FFB7D139C1F10B9DD7C1CBDF", "https://baanknet.com/view-property/281077/B948D2A492E4677586138AFF9D44CA52C42C3758FFB7D139C1F10B9DD7C1CBDF")</f>
        <v>https://baanknet.com/view-property/281077/B948D2A492E4677586138AFF9D44CA52C42C3758FFB7D139C1F10B9DD7C1CBDF</v>
      </c>
      <c r="I1623" t="str">
        <f>HYPERLINK("https://baanknet.com/view-property/281077/B948D2A492E4677586138AFF9D44CA52C42C3758FFB7D139C1F10B9DD7C1CBDF", "Open")</f>
        <v>Open</v>
      </c>
      <c r="J1623" t="s">
        <v>3803</v>
      </c>
      <c r="L1623">
        <v>1389000</v>
      </c>
      <c r="M1623">
        <v>138900</v>
      </c>
    </row>
    <row r="1624" spans="1:13" x14ac:dyDescent="0.25">
      <c r="A1624" t="s">
        <v>5632</v>
      </c>
      <c r="B1624" t="s">
        <v>5633</v>
      </c>
      <c r="C1624" t="s">
        <v>594</v>
      </c>
      <c r="D1624" t="s">
        <v>518</v>
      </c>
      <c r="E1624" t="s">
        <v>596</v>
      </c>
      <c r="F1624" t="s">
        <v>574</v>
      </c>
      <c r="G1624" t="s">
        <v>5634</v>
      </c>
      <c r="H1624" t="str">
        <f>HYPERLINK("https://baanknet.com/view-property/269254/10884B907EE04A1E142A4EFAAC30233ADBA001452F6FC3C8F1B4EC9AFB6855F1", "https://baanknet.com/view-property/269254/10884B907EE04A1E142A4EFAAC30233ADBA001452F6FC3C8F1B4EC9AFB6855F1")</f>
        <v>https://baanknet.com/view-property/269254/10884B907EE04A1E142A4EFAAC30233ADBA001452F6FC3C8F1B4EC9AFB6855F1</v>
      </c>
      <c r="I1624" t="str">
        <f>HYPERLINK("https://baanknet.com/view-property/269254/10884B907EE04A1E142A4EFAAC30233ADBA001452F6FC3C8F1B4EC9AFB6855F1", "Open")</f>
        <v>Open</v>
      </c>
      <c r="J1624" t="s">
        <v>3803</v>
      </c>
      <c r="L1624">
        <v>708000</v>
      </c>
      <c r="M1624">
        <v>70800</v>
      </c>
    </row>
    <row r="1625" spans="1:13" x14ac:dyDescent="0.25">
      <c r="A1625" t="s">
        <v>5635</v>
      </c>
      <c r="B1625" t="s">
        <v>5636</v>
      </c>
      <c r="C1625" t="s">
        <v>594</v>
      </c>
      <c r="D1625" t="s">
        <v>853</v>
      </c>
      <c r="E1625" t="s">
        <v>596</v>
      </c>
      <c r="F1625" t="s">
        <v>574</v>
      </c>
      <c r="G1625" t="s">
        <v>5637</v>
      </c>
      <c r="H1625" t="str">
        <f>HYPERLINK("https://baanknet.com/view-property/286345/3AA7E2EC0522F4683E951F68ED10A54503B9AB2A69B69EFAC176FE7969F2B04D", "https://baanknet.com/view-property/286345/3AA7E2EC0522F4683E951F68ED10A54503B9AB2A69B69EFAC176FE7969F2B04D")</f>
        <v>https://baanknet.com/view-property/286345/3AA7E2EC0522F4683E951F68ED10A54503B9AB2A69B69EFAC176FE7969F2B04D</v>
      </c>
      <c r="I1625" t="str">
        <f>HYPERLINK("https://baanknet.com/view-property/286345/3AA7E2EC0522F4683E951F68ED10A54503B9AB2A69B69EFAC176FE7969F2B04D", "Open")</f>
        <v>Open</v>
      </c>
      <c r="J1625" t="s">
        <v>3803</v>
      </c>
      <c r="L1625">
        <v>2880000</v>
      </c>
      <c r="M1625">
        <v>288000</v>
      </c>
    </row>
    <row r="1626" spans="1:13" x14ac:dyDescent="0.25">
      <c r="A1626" t="s">
        <v>5638</v>
      </c>
      <c r="B1626" t="s">
        <v>5639</v>
      </c>
      <c r="C1626" t="s">
        <v>594</v>
      </c>
      <c r="D1626" t="s">
        <v>1310</v>
      </c>
      <c r="E1626" t="s">
        <v>596</v>
      </c>
      <c r="F1626" t="s">
        <v>574</v>
      </c>
      <c r="G1626" t="s">
        <v>5640</v>
      </c>
      <c r="H1626" t="str">
        <f>HYPERLINK("https://baanknet.com/view-property/122777/99424B4FCF368A4CDAA66CD9F895B454C4675E3FAD57574D09D5EFE443EE6AAB", "https://baanknet.com/view-property/122777/99424B4FCF368A4CDAA66CD9F895B454C4675E3FAD57574D09D5EFE443EE6AAB")</f>
        <v>https://baanknet.com/view-property/122777/99424B4FCF368A4CDAA66CD9F895B454C4675E3FAD57574D09D5EFE443EE6AAB</v>
      </c>
      <c r="I1626" t="str">
        <f>HYPERLINK("https://baanknet.com/view-property/122777/99424B4FCF368A4CDAA66CD9F895B454C4675E3FAD57574D09D5EFE443EE6AAB", "Open")</f>
        <v>Open</v>
      </c>
      <c r="J1626" t="s">
        <v>3803</v>
      </c>
      <c r="L1626">
        <v>3240000</v>
      </c>
      <c r="M1626">
        <v>324000</v>
      </c>
    </row>
    <row r="1627" spans="1:13" x14ac:dyDescent="0.25">
      <c r="A1627" t="s">
        <v>5641</v>
      </c>
      <c r="B1627" t="s">
        <v>5642</v>
      </c>
      <c r="C1627" t="s">
        <v>594</v>
      </c>
      <c r="D1627" t="s">
        <v>553</v>
      </c>
      <c r="E1627" t="s">
        <v>596</v>
      </c>
      <c r="F1627" t="s">
        <v>574</v>
      </c>
      <c r="G1627" t="s">
        <v>5643</v>
      </c>
      <c r="H1627" t="str">
        <f>HYPERLINK("https://baanknet.com/view-property/242938/9C5CF9DC2D5C8DBFB6FE21916658E7A03DC4BFB667C0E7716BDC255A33F2F4D3", "https://baanknet.com/view-property/242938/9C5CF9DC2D5C8DBFB6FE21916658E7A03DC4BFB667C0E7716BDC255A33F2F4D3")</f>
        <v>https://baanknet.com/view-property/242938/9C5CF9DC2D5C8DBFB6FE21916658E7A03DC4BFB667C0E7716BDC255A33F2F4D3</v>
      </c>
      <c r="I1627" t="str">
        <f>HYPERLINK("https://baanknet.com/view-property/242938/9C5CF9DC2D5C8DBFB6FE21916658E7A03DC4BFB667C0E7716BDC255A33F2F4D3", "Open")</f>
        <v>Open</v>
      </c>
      <c r="J1627" t="s">
        <v>3803</v>
      </c>
      <c r="L1627">
        <v>1733000</v>
      </c>
      <c r="M1627">
        <v>173000</v>
      </c>
    </row>
    <row r="1628" spans="1:13" x14ac:dyDescent="0.25">
      <c r="A1628" t="s">
        <v>5644</v>
      </c>
      <c r="B1628" t="s">
        <v>5645</v>
      </c>
      <c r="C1628" t="s">
        <v>594</v>
      </c>
      <c r="D1628" t="s">
        <v>1300</v>
      </c>
      <c r="E1628" t="s">
        <v>596</v>
      </c>
      <c r="F1628" t="s">
        <v>574</v>
      </c>
      <c r="G1628" t="s">
        <v>5646</v>
      </c>
      <c r="H1628" t="str">
        <f>HYPERLINK("https://baanknet.com/view-property/242937/5BB85471F3C0A68037B380BBB56CBAE167B0B2910855F4A34CCCB0FBDD815274", "https://baanknet.com/view-property/242937/5BB85471F3C0A68037B380BBB56CBAE167B0B2910855F4A34CCCB0FBDD815274")</f>
        <v>https://baanknet.com/view-property/242937/5BB85471F3C0A68037B380BBB56CBAE167B0B2910855F4A34CCCB0FBDD815274</v>
      </c>
      <c r="I1628" t="str">
        <f>HYPERLINK("https://baanknet.com/view-property/242937/5BB85471F3C0A68037B380BBB56CBAE167B0B2910855F4A34CCCB0FBDD815274", "Open")</f>
        <v>Open</v>
      </c>
      <c r="J1628" t="s">
        <v>3803</v>
      </c>
      <c r="L1628">
        <v>3118500</v>
      </c>
      <c r="M1628">
        <v>311900</v>
      </c>
    </row>
    <row r="1629" spans="1:13" x14ac:dyDescent="0.25">
      <c r="A1629" t="s">
        <v>5647</v>
      </c>
      <c r="B1629" t="s">
        <v>5648</v>
      </c>
      <c r="C1629" t="s">
        <v>594</v>
      </c>
      <c r="D1629" t="s">
        <v>1300</v>
      </c>
      <c r="E1629" t="s">
        <v>596</v>
      </c>
      <c r="F1629" t="s">
        <v>574</v>
      </c>
      <c r="G1629" t="s">
        <v>5649</v>
      </c>
      <c r="H1629" t="str">
        <f>HYPERLINK("https://baanknet.com/view-property/242936/509BE1F8E9089F5148D64587A527F1919F609C448C93D2E16351B463D3A62E16", "https://baanknet.com/view-property/242936/509BE1F8E9089F5148D64587A527F1919F609C448C93D2E16351B463D3A62E16")</f>
        <v>https://baanknet.com/view-property/242936/509BE1F8E9089F5148D64587A527F1919F609C448C93D2E16351B463D3A62E16</v>
      </c>
      <c r="I1629" t="str">
        <f>HYPERLINK("https://baanknet.com/view-property/242936/509BE1F8E9089F5148D64587A527F1919F609C448C93D2E16351B463D3A62E16", "Open")</f>
        <v>Open</v>
      </c>
      <c r="J1629" t="s">
        <v>3803</v>
      </c>
      <c r="L1629">
        <v>3119000</v>
      </c>
      <c r="M1629">
        <v>311900</v>
      </c>
    </row>
    <row r="1630" spans="1:13" x14ac:dyDescent="0.25">
      <c r="A1630" t="s">
        <v>5650</v>
      </c>
      <c r="B1630" t="s">
        <v>5651</v>
      </c>
      <c r="C1630" t="s">
        <v>594</v>
      </c>
      <c r="D1630" t="s">
        <v>5652</v>
      </c>
      <c r="E1630" t="s">
        <v>596</v>
      </c>
      <c r="F1630" t="s">
        <v>574</v>
      </c>
      <c r="G1630" t="s">
        <v>5653</v>
      </c>
      <c r="H1630" t="str">
        <f>HYPERLINK("https://baanknet.com/view-property/274743/541521C90F18A0B0DBBF987A7D838FCAB2B41B30C13A936379B2469B57016EB4", "https://baanknet.com/view-property/274743/541521C90F18A0B0DBBF987A7D838FCAB2B41B30C13A936379B2469B57016EB4")</f>
        <v>https://baanknet.com/view-property/274743/541521C90F18A0B0DBBF987A7D838FCAB2B41B30C13A936379B2469B57016EB4</v>
      </c>
      <c r="I1630" t="str">
        <f>HYPERLINK("https://baanknet.com/view-property/274743/541521C90F18A0B0DBBF987A7D838FCAB2B41B30C13A936379B2469B57016EB4", "Open")</f>
        <v>Open</v>
      </c>
      <c r="J1630" t="s">
        <v>3803</v>
      </c>
      <c r="L1630">
        <v>1447000</v>
      </c>
      <c r="M1630">
        <v>144700</v>
      </c>
    </row>
    <row r="1631" spans="1:13" x14ac:dyDescent="0.25">
      <c r="A1631" t="s">
        <v>5654</v>
      </c>
      <c r="B1631" t="s">
        <v>5655</v>
      </c>
      <c r="C1631" t="s">
        <v>594</v>
      </c>
      <c r="D1631" t="s">
        <v>5656</v>
      </c>
      <c r="E1631" t="s">
        <v>596</v>
      </c>
      <c r="F1631" t="s">
        <v>574</v>
      </c>
      <c r="G1631" t="s">
        <v>5657</v>
      </c>
      <c r="H1631" t="str">
        <f>HYPERLINK("https://baanknet.com/view-property/284774/FAF0DCCB1DDFA262BD93062FB9FF5A0B3CE80C7D8C218FF5F923B3ADAB89816B", "https://baanknet.com/view-property/284774/FAF0DCCB1DDFA262BD93062FB9FF5A0B3CE80C7D8C218FF5F923B3ADAB89816B")</f>
        <v>https://baanknet.com/view-property/284774/FAF0DCCB1DDFA262BD93062FB9FF5A0B3CE80C7D8C218FF5F923B3ADAB89816B</v>
      </c>
      <c r="I1631" t="str">
        <f>HYPERLINK("https://baanknet.com/view-property/284774/FAF0DCCB1DDFA262BD93062FB9FF5A0B3CE80C7D8C218FF5F923B3ADAB89816B", "Open")</f>
        <v>Open</v>
      </c>
      <c r="J1631" t="s">
        <v>3803</v>
      </c>
      <c r="L1631">
        <v>3560000</v>
      </c>
      <c r="M1631">
        <v>356000</v>
      </c>
    </row>
    <row r="1632" spans="1:13" x14ac:dyDescent="0.25">
      <c r="A1632" t="s">
        <v>5658</v>
      </c>
      <c r="B1632" t="s">
        <v>5659</v>
      </c>
      <c r="C1632" t="s">
        <v>594</v>
      </c>
      <c r="D1632" t="s">
        <v>2541</v>
      </c>
      <c r="E1632" t="s">
        <v>596</v>
      </c>
      <c r="F1632" t="s">
        <v>574</v>
      </c>
      <c r="G1632" t="s">
        <v>5660</v>
      </c>
      <c r="H1632" t="str">
        <f>HYPERLINK("https://baanknet.com/view-property/213391/8E43F69606A2587D86A2F75212AFD5CACFC028FA6310C9A1F8E3FAA8AB5EB380", "https://baanknet.com/view-property/213391/8E43F69606A2587D86A2F75212AFD5CACFC028FA6310C9A1F8E3FAA8AB5EB380")</f>
        <v>https://baanknet.com/view-property/213391/8E43F69606A2587D86A2F75212AFD5CACFC028FA6310C9A1F8E3FAA8AB5EB380</v>
      </c>
      <c r="I1632" t="str">
        <f>HYPERLINK("https://baanknet.com/view-property/213391/8E43F69606A2587D86A2F75212AFD5CACFC028FA6310C9A1F8E3FAA8AB5EB380", "Open")</f>
        <v>Open</v>
      </c>
      <c r="J1632" t="s">
        <v>3803</v>
      </c>
      <c r="L1632">
        <v>4410000</v>
      </c>
      <c r="M1632">
        <v>441000</v>
      </c>
    </row>
    <row r="1633" spans="1:13" x14ac:dyDescent="0.25">
      <c r="A1633" t="s">
        <v>5661</v>
      </c>
      <c r="B1633" t="s">
        <v>5662</v>
      </c>
      <c r="C1633" t="s">
        <v>594</v>
      </c>
      <c r="D1633" t="s">
        <v>5663</v>
      </c>
      <c r="E1633" t="s">
        <v>596</v>
      </c>
      <c r="F1633" t="s">
        <v>574</v>
      </c>
      <c r="G1633" t="s">
        <v>5664</v>
      </c>
      <c r="H1633" t="str">
        <f>HYPERLINK("https://baanknet.com/view-property/236629/828334A6154CAC1E5BA2091EB088FBB856C05685F47B9FFBA854ED14FB8622AD", "https://baanknet.com/view-property/236629/828334A6154CAC1E5BA2091EB088FBB856C05685F47B9FFBA854ED14FB8622AD")</f>
        <v>https://baanknet.com/view-property/236629/828334A6154CAC1E5BA2091EB088FBB856C05685F47B9FFBA854ED14FB8622AD</v>
      </c>
      <c r="I1633" t="str">
        <f>HYPERLINK("https://baanknet.com/view-property/236629/828334A6154CAC1E5BA2091EB088FBB856C05685F47B9FFBA854ED14FB8622AD", "Open")</f>
        <v>Open</v>
      </c>
      <c r="J1633" t="s">
        <v>3803</v>
      </c>
      <c r="L1633">
        <v>5350000</v>
      </c>
      <c r="M1633">
        <v>535000</v>
      </c>
    </row>
    <row r="1634" spans="1:13" x14ac:dyDescent="0.25">
      <c r="A1634" t="s">
        <v>5665</v>
      </c>
      <c r="B1634" t="s">
        <v>5666</v>
      </c>
      <c r="C1634" t="s">
        <v>594</v>
      </c>
      <c r="D1634" t="s">
        <v>5667</v>
      </c>
      <c r="E1634" t="s">
        <v>596</v>
      </c>
      <c r="F1634" t="s">
        <v>574</v>
      </c>
      <c r="G1634" t="s">
        <v>5668</v>
      </c>
      <c r="H1634" t="str">
        <f>HYPERLINK("https://baanknet.com/view-property/115937/4AD6E4EBF760BA8047F6FBB768B2BDA328FA21154555D99036CD82761A8E27F3", "https://baanknet.com/view-property/115937/4AD6E4EBF760BA8047F6FBB768B2BDA328FA21154555D99036CD82761A8E27F3")</f>
        <v>https://baanknet.com/view-property/115937/4AD6E4EBF760BA8047F6FBB768B2BDA328FA21154555D99036CD82761A8E27F3</v>
      </c>
      <c r="I1634" t="str">
        <f>HYPERLINK("https://baanknet.com/view-property/115937/4AD6E4EBF760BA8047F6FBB768B2BDA328FA21154555D99036CD82761A8E27F3", "Open")</f>
        <v>Open</v>
      </c>
      <c r="J1634" t="s">
        <v>3803</v>
      </c>
      <c r="L1634">
        <v>4150000</v>
      </c>
      <c r="M1634">
        <v>415000</v>
      </c>
    </row>
    <row r="1635" spans="1:13" x14ac:dyDescent="0.25">
      <c r="A1635" t="s">
        <v>5669</v>
      </c>
      <c r="B1635" t="s">
        <v>5670</v>
      </c>
      <c r="C1635" t="s">
        <v>594</v>
      </c>
      <c r="D1635" t="s">
        <v>1310</v>
      </c>
      <c r="E1635" t="s">
        <v>596</v>
      </c>
      <c r="F1635" t="s">
        <v>574</v>
      </c>
      <c r="G1635" t="s">
        <v>5671</v>
      </c>
      <c r="H1635" t="str">
        <f>HYPERLINK("https://baanknet.com/view-property/272480/EB9CBD6015390380885F10B1E3DB3C94BC1E450C1C9D761F2A71D1714FAB73C6", "https://baanknet.com/view-property/272480/EB9CBD6015390380885F10B1E3DB3C94BC1E450C1C9D761F2A71D1714FAB73C6")</f>
        <v>https://baanknet.com/view-property/272480/EB9CBD6015390380885F10B1E3DB3C94BC1E450C1C9D761F2A71D1714FAB73C6</v>
      </c>
      <c r="I1635" t="str">
        <f>HYPERLINK("https://baanknet.com/view-property/272480/EB9CBD6015390380885F10B1E3DB3C94BC1E450C1C9D761F2A71D1714FAB73C6", "Open")</f>
        <v>Open</v>
      </c>
      <c r="J1635" t="s">
        <v>3803</v>
      </c>
      <c r="L1635">
        <v>5010000</v>
      </c>
      <c r="M1635">
        <v>501000</v>
      </c>
    </row>
    <row r="1636" spans="1:13" x14ac:dyDescent="0.25">
      <c r="A1636" t="s">
        <v>5672</v>
      </c>
      <c r="B1636" t="s">
        <v>5673</v>
      </c>
      <c r="C1636" t="s">
        <v>594</v>
      </c>
      <c r="D1636" t="s">
        <v>1293</v>
      </c>
      <c r="E1636" t="s">
        <v>596</v>
      </c>
      <c r="F1636" t="s">
        <v>574</v>
      </c>
      <c r="G1636" t="s">
        <v>5674</v>
      </c>
      <c r="H1636" t="str">
        <f>HYPERLINK("https://baanknet.com/view-property/21873/33E7B61171D264A0717FA174F6790F2BFE67D9BB590878F429808EA75D732ED3", "https://baanknet.com/view-property/21873/33E7B61171D264A0717FA174F6790F2BFE67D9BB590878F429808EA75D732ED3")</f>
        <v>https://baanknet.com/view-property/21873/33E7B61171D264A0717FA174F6790F2BFE67D9BB590878F429808EA75D732ED3</v>
      </c>
      <c r="I1636" t="str">
        <f>HYPERLINK("https://baanknet.com/view-property/21873/33E7B61171D264A0717FA174F6790F2BFE67D9BB590878F429808EA75D732ED3", "Open")</f>
        <v>Open</v>
      </c>
      <c r="J1636" t="s">
        <v>3803</v>
      </c>
      <c r="L1636">
        <v>1050000</v>
      </c>
      <c r="M1636">
        <v>105000</v>
      </c>
    </row>
    <row r="1637" spans="1:13" x14ac:dyDescent="0.25">
      <c r="A1637" t="s">
        <v>5675</v>
      </c>
      <c r="B1637" t="s">
        <v>5676</v>
      </c>
      <c r="C1637" t="s">
        <v>594</v>
      </c>
      <c r="D1637" t="s">
        <v>5677</v>
      </c>
      <c r="E1637" t="s">
        <v>596</v>
      </c>
      <c r="F1637" t="s">
        <v>574</v>
      </c>
      <c r="G1637" t="s">
        <v>5678</v>
      </c>
      <c r="H1637" t="str">
        <f>HYPERLINK("https://baanknet.com/view-property/275535/59D7C1A38CAB9F90B917B664F0A8CACC70E4978DA0F28B6443B932B55C6B6D12", "https://baanknet.com/view-property/275535/59D7C1A38CAB9F90B917B664F0A8CACC70E4978DA0F28B6443B932B55C6B6D12")</f>
        <v>https://baanknet.com/view-property/275535/59D7C1A38CAB9F90B917B664F0A8CACC70E4978DA0F28B6443B932B55C6B6D12</v>
      </c>
      <c r="I1637" t="str">
        <f>HYPERLINK("https://baanknet.com/view-property/275535/59D7C1A38CAB9F90B917B664F0A8CACC70E4978DA0F28B6443B932B55C6B6D12", "Open")</f>
        <v>Open</v>
      </c>
      <c r="J1637" t="s">
        <v>3803</v>
      </c>
      <c r="L1637">
        <v>3400000</v>
      </c>
      <c r="M1637">
        <v>340000</v>
      </c>
    </row>
    <row r="1638" spans="1:13" x14ac:dyDescent="0.25">
      <c r="A1638" t="s">
        <v>5679</v>
      </c>
      <c r="B1638" t="s">
        <v>5680</v>
      </c>
      <c r="C1638" t="s">
        <v>594</v>
      </c>
      <c r="D1638" t="s">
        <v>5365</v>
      </c>
      <c r="E1638" t="s">
        <v>596</v>
      </c>
      <c r="F1638" t="s">
        <v>574</v>
      </c>
      <c r="G1638" t="s">
        <v>5681</v>
      </c>
      <c r="H1638" t="str">
        <f>HYPERLINK("https://baanknet.com/view-property/107073/B9B2C6564E12F1A167F86A664C1BBACE5FAFBCE2A50C6FEB93E7ECBEB5F34F86", "https://baanknet.com/view-property/107073/B9B2C6564E12F1A167F86A664C1BBACE5FAFBCE2A50C6FEB93E7ECBEB5F34F86")</f>
        <v>https://baanknet.com/view-property/107073/B9B2C6564E12F1A167F86A664C1BBACE5FAFBCE2A50C6FEB93E7ECBEB5F34F86</v>
      </c>
      <c r="I1638" t="str">
        <f>HYPERLINK("https://baanknet.com/view-property/107073/B9B2C6564E12F1A167F86A664C1BBACE5FAFBCE2A50C6FEB93E7ECBEB5F34F86", "Open")</f>
        <v>Open</v>
      </c>
      <c r="J1638" t="s">
        <v>3803</v>
      </c>
      <c r="L1638">
        <v>1500000</v>
      </c>
      <c r="M1638">
        <v>150000</v>
      </c>
    </row>
    <row r="1639" spans="1:13" x14ac:dyDescent="0.25">
      <c r="A1639" t="s">
        <v>5682</v>
      </c>
      <c r="B1639" t="s">
        <v>5683</v>
      </c>
      <c r="C1639" t="s">
        <v>594</v>
      </c>
      <c r="D1639" t="s">
        <v>5684</v>
      </c>
      <c r="E1639" t="s">
        <v>596</v>
      </c>
      <c r="F1639" t="s">
        <v>574</v>
      </c>
      <c r="G1639" t="s">
        <v>5685</v>
      </c>
      <c r="H1639" t="str">
        <f>HYPERLINK("https://baanknet.com/view-property/208307/9FB95912E682F091C6499C4FBF4ECC01A389CE051E67E5F455C084859930052C", "https://baanknet.com/view-property/208307/9FB95912E682F091C6499C4FBF4ECC01A389CE051E67E5F455C084859930052C")</f>
        <v>https://baanknet.com/view-property/208307/9FB95912E682F091C6499C4FBF4ECC01A389CE051E67E5F455C084859930052C</v>
      </c>
      <c r="I1639" t="str">
        <f>HYPERLINK("https://baanknet.com/view-property/208307/9FB95912E682F091C6499C4FBF4ECC01A389CE051E67E5F455C084859930052C", "Open")</f>
        <v>Open</v>
      </c>
      <c r="J1639" t="s">
        <v>3803</v>
      </c>
      <c r="L1639">
        <v>2800000</v>
      </c>
      <c r="M1639">
        <v>280000</v>
      </c>
    </row>
    <row r="1640" spans="1:13" x14ac:dyDescent="0.25">
      <c r="A1640" t="s">
        <v>5686</v>
      </c>
      <c r="B1640" t="s">
        <v>5687</v>
      </c>
      <c r="C1640" t="s">
        <v>594</v>
      </c>
      <c r="D1640" t="s">
        <v>2491</v>
      </c>
      <c r="E1640" t="s">
        <v>596</v>
      </c>
      <c r="F1640" t="s">
        <v>574</v>
      </c>
      <c r="G1640" t="s">
        <v>5688</v>
      </c>
      <c r="H1640" t="str">
        <f>HYPERLINK("https://baanknet.com/view-property/124220/1582AB26E3804996F3C129CFF45AD11F42B79EC4F8D5F4E8729070DD5FD4E87E", "https://baanknet.com/view-property/124220/1582AB26E3804996F3C129CFF45AD11F42B79EC4F8D5F4E8729070DD5FD4E87E")</f>
        <v>https://baanknet.com/view-property/124220/1582AB26E3804996F3C129CFF45AD11F42B79EC4F8D5F4E8729070DD5FD4E87E</v>
      </c>
      <c r="I1640" t="str">
        <f>HYPERLINK("https://baanknet.com/view-property/124220/1582AB26E3804996F3C129CFF45AD11F42B79EC4F8D5F4E8729070DD5FD4E87E", "Open")</f>
        <v>Open</v>
      </c>
      <c r="J1640" t="s">
        <v>3803</v>
      </c>
      <c r="L1640">
        <v>2520000</v>
      </c>
      <c r="M1640">
        <v>252000</v>
      </c>
    </row>
    <row r="1641" spans="1:13" x14ac:dyDescent="0.25">
      <c r="A1641" t="s">
        <v>5689</v>
      </c>
      <c r="B1641" t="s">
        <v>5690</v>
      </c>
      <c r="C1641" t="s">
        <v>594</v>
      </c>
      <c r="D1641" t="s">
        <v>5572</v>
      </c>
      <c r="E1641" t="s">
        <v>596</v>
      </c>
      <c r="F1641" t="s">
        <v>574</v>
      </c>
      <c r="G1641" t="s">
        <v>5691</v>
      </c>
      <c r="H1641" t="str">
        <f>HYPERLINK("https://baanknet.com/view-property/286518/69BAF4807B5AC4687895FDAE14B74C1B822D2A132A1D8C31F15E7E066341900B", "https://baanknet.com/view-property/286518/69BAF4807B5AC4687895FDAE14B74C1B822D2A132A1D8C31F15E7E066341900B")</f>
        <v>https://baanknet.com/view-property/286518/69BAF4807B5AC4687895FDAE14B74C1B822D2A132A1D8C31F15E7E066341900B</v>
      </c>
      <c r="I1641" t="str">
        <f>HYPERLINK("https://baanknet.com/view-property/286518/69BAF4807B5AC4687895FDAE14B74C1B822D2A132A1D8C31F15E7E066341900B", "Open")</f>
        <v>Open</v>
      </c>
      <c r="J1641" t="s">
        <v>3803</v>
      </c>
      <c r="L1641">
        <v>2010000</v>
      </c>
      <c r="M1641">
        <v>201000</v>
      </c>
    </row>
    <row r="1642" spans="1:13" x14ac:dyDescent="0.25">
      <c r="A1642" t="s">
        <v>5692</v>
      </c>
      <c r="B1642" t="s">
        <v>5693</v>
      </c>
      <c r="C1642" t="s">
        <v>594</v>
      </c>
      <c r="D1642" t="s">
        <v>653</v>
      </c>
      <c r="E1642" t="s">
        <v>596</v>
      </c>
      <c r="F1642" t="s">
        <v>574</v>
      </c>
      <c r="G1642" t="s">
        <v>5694</v>
      </c>
      <c r="H1642" t="str">
        <f>HYPERLINK("https://baanknet.com/view-property/286444/7DF18F25A34AE19AB29B916E3AF96B262F94D52602F2743CAC94C0FE561D26A9", "https://baanknet.com/view-property/286444/7DF18F25A34AE19AB29B916E3AF96B262F94D52602F2743CAC94C0FE561D26A9")</f>
        <v>https://baanknet.com/view-property/286444/7DF18F25A34AE19AB29B916E3AF96B262F94D52602F2743CAC94C0FE561D26A9</v>
      </c>
      <c r="I1642" t="str">
        <f>HYPERLINK("https://baanknet.com/view-property/286444/7DF18F25A34AE19AB29B916E3AF96B262F94D52602F2743CAC94C0FE561D26A9", "Open")</f>
        <v>Open</v>
      </c>
      <c r="J1642" t="s">
        <v>3803</v>
      </c>
      <c r="L1642">
        <v>1880000</v>
      </c>
      <c r="M1642">
        <v>188000</v>
      </c>
    </row>
    <row r="1643" spans="1:13" x14ac:dyDescent="0.25">
      <c r="A1643" t="s">
        <v>5695</v>
      </c>
      <c r="B1643" t="s">
        <v>5696</v>
      </c>
      <c r="C1643" t="s">
        <v>594</v>
      </c>
      <c r="D1643" t="s">
        <v>3580</v>
      </c>
      <c r="E1643" t="s">
        <v>596</v>
      </c>
      <c r="F1643" t="s">
        <v>574</v>
      </c>
      <c r="G1643" t="s">
        <v>5697</v>
      </c>
      <c r="H1643" t="str">
        <f>HYPERLINK("https://baanknet.com/view-property/286450/FFCCE18216426B5E97022E1FE749E1C736CAF4B174806FEF594A2C89B08A4C69", "https://baanknet.com/view-property/286450/FFCCE18216426B5E97022E1FE749E1C736CAF4B174806FEF594A2C89B08A4C69")</f>
        <v>https://baanknet.com/view-property/286450/FFCCE18216426B5E97022E1FE749E1C736CAF4B174806FEF594A2C89B08A4C69</v>
      </c>
      <c r="I1643" t="str">
        <f>HYPERLINK("https://baanknet.com/view-property/286450/FFCCE18216426B5E97022E1FE749E1C736CAF4B174806FEF594A2C89B08A4C69", "Open")</f>
        <v>Open</v>
      </c>
      <c r="J1643" t="s">
        <v>3803</v>
      </c>
      <c r="L1643">
        <v>1600000</v>
      </c>
      <c r="M1643">
        <v>160000</v>
      </c>
    </row>
    <row r="1644" spans="1:13" x14ac:dyDescent="0.25">
      <c r="A1644" t="s">
        <v>5698</v>
      </c>
      <c r="B1644" t="s">
        <v>5699</v>
      </c>
      <c r="C1644" t="s">
        <v>594</v>
      </c>
      <c r="D1644" t="s">
        <v>5700</v>
      </c>
      <c r="E1644" t="s">
        <v>596</v>
      </c>
      <c r="F1644" t="s">
        <v>574</v>
      </c>
      <c r="G1644" t="s">
        <v>5701</v>
      </c>
      <c r="H1644" t="str">
        <f>HYPERLINK("https://baanknet.com/view-property/286455/7AF7AD1B8BC14249C5D732ECF2B4411A591FEF1B491B23F47CF8CFF64D2E1D7B", "https://baanknet.com/view-property/286455/7AF7AD1B8BC14249C5D732ECF2B4411A591FEF1B491B23F47CF8CFF64D2E1D7B")</f>
        <v>https://baanknet.com/view-property/286455/7AF7AD1B8BC14249C5D732ECF2B4411A591FEF1B491B23F47CF8CFF64D2E1D7B</v>
      </c>
      <c r="I1644" t="str">
        <f>HYPERLINK("https://baanknet.com/view-property/286455/7AF7AD1B8BC14249C5D732ECF2B4411A591FEF1B491B23F47CF8CFF64D2E1D7B", "Open")</f>
        <v>Open</v>
      </c>
      <c r="J1644" t="s">
        <v>3803</v>
      </c>
      <c r="L1644">
        <v>1220000</v>
      </c>
      <c r="M1644">
        <v>122000</v>
      </c>
    </row>
    <row r="1645" spans="1:13" x14ac:dyDescent="0.25">
      <c r="A1645" t="s">
        <v>5702</v>
      </c>
      <c r="B1645" t="s">
        <v>5703</v>
      </c>
      <c r="C1645" t="s">
        <v>594</v>
      </c>
      <c r="D1645" t="s">
        <v>5704</v>
      </c>
      <c r="E1645" t="s">
        <v>596</v>
      </c>
      <c r="F1645" t="s">
        <v>574</v>
      </c>
      <c r="G1645" t="s">
        <v>5705</v>
      </c>
      <c r="H1645" t="str">
        <f>HYPERLINK("https://baanknet.com/view-property/286473/81E74508999384A7D578065B25F7CD36F37B3B629B7A211674E4EADBC7ACEC3F", "https://baanknet.com/view-property/286473/81E74508999384A7D578065B25F7CD36F37B3B629B7A211674E4EADBC7ACEC3F")</f>
        <v>https://baanknet.com/view-property/286473/81E74508999384A7D578065B25F7CD36F37B3B629B7A211674E4EADBC7ACEC3F</v>
      </c>
      <c r="I1645" t="str">
        <f>HYPERLINK("https://baanknet.com/view-property/286473/81E74508999384A7D578065B25F7CD36F37B3B629B7A211674E4EADBC7ACEC3F", "Open")</f>
        <v>Open</v>
      </c>
      <c r="J1645" t="s">
        <v>3803</v>
      </c>
      <c r="L1645">
        <v>4020000</v>
      </c>
      <c r="M1645">
        <v>402000</v>
      </c>
    </row>
    <row r="1646" spans="1:13" x14ac:dyDescent="0.25">
      <c r="A1646" t="s">
        <v>5706</v>
      </c>
      <c r="B1646" t="s">
        <v>5707</v>
      </c>
      <c r="C1646" t="s">
        <v>594</v>
      </c>
      <c r="D1646" t="s">
        <v>4379</v>
      </c>
      <c r="E1646" t="s">
        <v>596</v>
      </c>
      <c r="F1646" t="s">
        <v>574</v>
      </c>
      <c r="G1646" t="s">
        <v>5708</v>
      </c>
      <c r="H1646" t="str">
        <f>HYPERLINK("https://baanknet.com/view-property/286464/9EC93C0B1368EA99ECEEF66947EE75350FEF2DEC7D78ED0B8F0F02DAAEA213F2", "https://baanknet.com/view-property/286464/9EC93C0B1368EA99ECEEF66947EE75350FEF2DEC7D78ED0B8F0F02DAAEA213F2")</f>
        <v>https://baanknet.com/view-property/286464/9EC93C0B1368EA99ECEEF66947EE75350FEF2DEC7D78ED0B8F0F02DAAEA213F2</v>
      </c>
      <c r="I1646" t="str">
        <f>HYPERLINK("https://baanknet.com/view-property/286464/9EC93C0B1368EA99ECEEF66947EE75350FEF2DEC7D78ED0B8F0F02DAAEA213F2", "Open")</f>
        <v>Open</v>
      </c>
      <c r="J1646" t="s">
        <v>3803</v>
      </c>
      <c r="L1646">
        <v>4000000</v>
      </c>
      <c r="M1646">
        <v>400000</v>
      </c>
    </row>
    <row r="1647" spans="1:13" x14ac:dyDescent="0.25">
      <c r="A1647" t="s">
        <v>5709</v>
      </c>
      <c r="B1647" t="s">
        <v>5710</v>
      </c>
      <c r="C1647" t="s">
        <v>594</v>
      </c>
      <c r="D1647" t="s">
        <v>937</v>
      </c>
      <c r="E1647" t="s">
        <v>596</v>
      </c>
      <c r="F1647" t="s">
        <v>574</v>
      </c>
      <c r="G1647" t="s">
        <v>5711</v>
      </c>
      <c r="H1647" t="str">
        <f>HYPERLINK("https://baanknet.com/view-property/259778/A36FD7AF92D39D0D16F9B0E9E830FCA5AB0F8A88163234BFDB6C973E432CE798", "https://baanknet.com/view-property/259778/A36FD7AF92D39D0D16F9B0E9E830FCA5AB0F8A88163234BFDB6C973E432CE798")</f>
        <v>https://baanknet.com/view-property/259778/A36FD7AF92D39D0D16F9B0E9E830FCA5AB0F8A88163234BFDB6C973E432CE798</v>
      </c>
      <c r="I1647" t="str">
        <f>HYPERLINK("https://baanknet.com/view-property/259778/A36FD7AF92D39D0D16F9B0E9E830FCA5AB0F8A88163234BFDB6C973E432CE798", "Open")</f>
        <v>Open</v>
      </c>
      <c r="J1647" t="s">
        <v>3803</v>
      </c>
      <c r="L1647">
        <v>3400000</v>
      </c>
      <c r="M1647">
        <v>340000</v>
      </c>
    </row>
    <row r="1648" spans="1:13" x14ac:dyDescent="0.25">
      <c r="A1648" t="s">
        <v>5712</v>
      </c>
      <c r="B1648" t="s">
        <v>5713</v>
      </c>
      <c r="C1648" t="s">
        <v>594</v>
      </c>
      <c r="D1648" t="s">
        <v>937</v>
      </c>
      <c r="E1648" t="s">
        <v>596</v>
      </c>
      <c r="F1648" t="s">
        <v>574</v>
      </c>
      <c r="G1648" t="s">
        <v>5714</v>
      </c>
      <c r="H1648" t="str">
        <f>HYPERLINK("https://baanknet.com/view-property/259780/8C7AF3027E678C9ED91652E8DD7BC846AA42FDCD58767C0E7F05F7C07E1E6673", "https://baanknet.com/view-property/259780/8C7AF3027E678C9ED91652E8DD7BC846AA42FDCD58767C0E7F05F7C07E1E6673")</f>
        <v>https://baanknet.com/view-property/259780/8C7AF3027E678C9ED91652E8DD7BC846AA42FDCD58767C0E7F05F7C07E1E6673</v>
      </c>
      <c r="I1648" t="str">
        <f>HYPERLINK("https://baanknet.com/view-property/259780/8C7AF3027E678C9ED91652E8DD7BC846AA42FDCD58767C0E7F05F7C07E1E6673", "Open")</f>
        <v>Open</v>
      </c>
      <c r="J1648" t="s">
        <v>3803</v>
      </c>
      <c r="L1648">
        <v>606000</v>
      </c>
      <c r="M1648">
        <v>60600</v>
      </c>
    </row>
    <row r="1649" spans="1:13" x14ac:dyDescent="0.25">
      <c r="A1649" t="s">
        <v>5715</v>
      </c>
      <c r="B1649" t="s">
        <v>5716</v>
      </c>
      <c r="C1649" t="s">
        <v>594</v>
      </c>
      <c r="D1649" t="s">
        <v>5717</v>
      </c>
      <c r="E1649" t="s">
        <v>596</v>
      </c>
      <c r="F1649" t="s">
        <v>574</v>
      </c>
      <c r="G1649" t="s">
        <v>5718</v>
      </c>
      <c r="H1649" t="str">
        <f>HYPERLINK("https://baanknet.com/view-property/286493/4E0B115ECD7828CE1A66E8EC191744BD72478AB85331CE8A5A16154139395218", "https://baanknet.com/view-property/286493/4E0B115ECD7828CE1A66E8EC191744BD72478AB85331CE8A5A16154139395218")</f>
        <v>https://baanknet.com/view-property/286493/4E0B115ECD7828CE1A66E8EC191744BD72478AB85331CE8A5A16154139395218</v>
      </c>
      <c r="I1649" t="str">
        <f>HYPERLINK("https://baanknet.com/view-property/286493/4E0B115ECD7828CE1A66E8EC191744BD72478AB85331CE8A5A16154139395218", "Open")</f>
        <v>Open</v>
      </c>
      <c r="J1649" t="s">
        <v>3803</v>
      </c>
      <c r="L1649">
        <v>4900000</v>
      </c>
      <c r="M1649">
        <v>490000</v>
      </c>
    </row>
    <row r="1650" spans="1:13" x14ac:dyDescent="0.25">
      <c r="A1650" t="s">
        <v>5719</v>
      </c>
      <c r="B1650" t="s">
        <v>5720</v>
      </c>
      <c r="C1650" t="s">
        <v>594</v>
      </c>
      <c r="D1650" t="s">
        <v>937</v>
      </c>
      <c r="E1650" t="s">
        <v>596</v>
      </c>
      <c r="F1650" t="s">
        <v>574</v>
      </c>
      <c r="G1650" t="s">
        <v>5721</v>
      </c>
      <c r="H1650" t="str">
        <f>HYPERLINK("https://baanknet.com/view-property/259781/DFC308F8D92FBC7503316C57E92CD79C5B6330129D3350B13456EA818AB413A8", "https://baanknet.com/view-property/259781/DFC308F8D92FBC7503316C57E92CD79C5B6330129D3350B13456EA818AB413A8")</f>
        <v>https://baanknet.com/view-property/259781/DFC308F8D92FBC7503316C57E92CD79C5B6330129D3350B13456EA818AB413A8</v>
      </c>
      <c r="I1650" t="str">
        <f>HYPERLINK("https://baanknet.com/view-property/259781/DFC308F8D92FBC7503316C57E92CD79C5B6330129D3350B13456EA818AB413A8", "Open")</f>
        <v>Open</v>
      </c>
      <c r="J1650" t="s">
        <v>3803</v>
      </c>
      <c r="L1650">
        <v>981000</v>
      </c>
      <c r="M1650">
        <v>98100</v>
      </c>
    </row>
    <row r="1651" spans="1:13" x14ac:dyDescent="0.25">
      <c r="A1651" t="s">
        <v>5722</v>
      </c>
      <c r="B1651" t="s">
        <v>5723</v>
      </c>
      <c r="C1651" t="s">
        <v>594</v>
      </c>
      <c r="D1651" t="s">
        <v>937</v>
      </c>
      <c r="E1651" t="s">
        <v>596</v>
      </c>
      <c r="F1651" t="s">
        <v>574</v>
      </c>
      <c r="G1651" t="s">
        <v>5724</v>
      </c>
      <c r="H1651" t="str">
        <f>HYPERLINK("https://baanknet.com/view-property/259782/A985E9E06DC893980EC689DEA111D7E4942353BD114CCDE3F643575B06CFDF57", "https://baanknet.com/view-property/259782/A985E9E06DC893980EC689DEA111D7E4942353BD114CCDE3F643575B06CFDF57")</f>
        <v>https://baanknet.com/view-property/259782/A985E9E06DC893980EC689DEA111D7E4942353BD114CCDE3F643575B06CFDF57</v>
      </c>
      <c r="I1651" t="str">
        <f>HYPERLINK("https://baanknet.com/view-property/259782/A985E9E06DC893980EC689DEA111D7E4942353BD114CCDE3F643575B06CFDF57", "Open")</f>
        <v>Open</v>
      </c>
      <c r="J1651" t="s">
        <v>3803</v>
      </c>
      <c r="L1651">
        <v>2318000</v>
      </c>
      <c r="M1651">
        <v>231800</v>
      </c>
    </row>
    <row r="1652" spans="1:13" x14ac:dyDescent="0.25">
      <c r="A1652" t="s">
        <v>5725</v>
      </c>
      <c r="B1652" t="s">
        <v>5726</v>
      </c>
      <c r="C1652" t="s">
        <v>594</v>
      </c>
      <c r="D1652" t="s">
        <v>937</v>
      </c>
      <c r="E1652" t="s">
        <v>596</v>
      </c>
      <c r="F1652" t="s">
        <v>574</v>
      </c>
      <c r="G1652" t="s">
        <v>5727</v>
      </c>
      <c r="H1652" t="str">
        <f>HYPERLINK("https://baanknet.com/view-property/259783/1CEEFAAEEDB112A00A65F3C496E59881554A6A4E918F713C883344DC72D11940", "https://baanknet.com/view-property/259783/1CEEFAAEEDB112A00A65F3C496E59881554A6A4E918F713C883344DC72D11940")</f>
        <v>https://baanknet.com/view-property/259783/1CEEFAAEEDB112A00A65F3C496E59881554A6A4E918F713C883344DC72D11940</v>
      </c>
      <c r="I1652" t="str">
        <f>HYPERLINK("https://baanknet.com/view-property/259783/1CEEFAAEEDB112A00A65F3C496E59881554A6A4E918F713C883344DC72D11940", "Open")</f>
        <v>Open</v>
      </c>
      <c r="J1652" t="s">
        <v>3803</v>
      </c>
      <c r="L1652">
        <v>2171000</v>
      </c>
      <c r="M1652">
        <v>217100</v>
      </c>
    </row>
    <row r="1653" spans="1:13" x14ac:dyDescent="0.25">
      <c r="A1653" t="s">
        <v>5728</v>
      </c>
      <c r="B1653" t="s">
        <v>5729</v>
      </c>
      <c r="C1653" t="s">
        <v>594</v>
      </c>
      <c r="D1653" t="s">
        <v>937</v>
      </c>
      <c r="E1653" t="s">
        <v>596</v>
      </c>
      <c r="F1653" t="s">
        <v>574</v>
      </c>
      <c r="G1653" t="s">
        <v>5730</v>
      </c>
      <c r="H1653" t="str">
        <f>HYPERLINK("https://baanknet.com/view-property/259784/AA92D38BE856D3AC765071143DD3B8D8D33A2EF1B82321B3E78FC984A47D1881", "https://baanknet.com/view-property/259784/AA92D38BE856D3AC765071143DD3B8D8D33A2EF1B82321B3E78FC984A47D1881")</f>
        <v>https://baanknet.com/view-property/259784/AA92D38BE856D3AC765071143DD3B8D8D33A2EF1B82321B3E78FC984A47D1881</v>
      </c>
      <c r="I1653" t="str">
        <f>HYPERLINK("https://baanknet.com/view-property/259784/AA92D38BE856D3AC765071143DD3B8D8D33A2EF1B82321B3E78FC984A47D1881", "Open")</f>
        <v>Open</v>
      </c>
      <c r="J1653" t="s">
        <v>3803</v>
      </c>
      <c r="L1653">
        <v>700000</v>
      </c>
      <c r="M1653">
        <v>70000</v>
      </c>
    </row>
    <row r="1654" spans="1:13" x14ac:dyDescent="0.25">
      <c r="A1654" t="s">
        <v>5731</v>
      </c>
      <c r="B1654" t="s">
        <v>5732</v>
      </c>
      <c r="C1654" t="s">
        <v>594</v>
      </c>
      <c r="D1654" t="s">
        <v>937</v>
      </c>
      <c r="E1654" t="s">
        <v>596</v>
      </c>
      <c r="F1654" t="s">
        <v>574</v>
      </c>
      <c r="G1654" t="s">
        <v>5733</v>
      </c>
      <c r="H1654" t="str">
        <f>HYPERLINK("https://baanknet.com/view-property/259785/15D0E8DAFC92483D00BC7D35150426294FE9243768D2E2E3C19128C2138C7AEF", "https://baanknet.com/view-property/259785/15D0E8DAFC92483D00BC7D35150426294FE9243768D2E2E3C19128C2138C7AEF")</f>
        <v>https://baanknet.com/view-property/259785/15D0E8DAFC92483D00BC7D35150426294FE9243768D2E2E3C19128C2138C7AEF</v>
      </c>
      <c r="I1654" t="str">
        <f>HYPERLINK("https://baanknet.com/view-property/259785/15D0E8DAFC92483D00BC7D35150426294FE9243768D2E2E3C19128C2138C7AEF", "Open")</f>
        <v>Open</v>
      </c>
      <c r="J1654" t="s">
        <v>3803</v>
      </c>
      <c r="L1654">
        <v>1026000</v>
      </c>
      <c r="M1654">
        <v>102600</v>
      </c>
    </row>
    <row r="1655" spans="1:13" x14ac:dyDescent="0.25">
      <c r="A1655" t="s">
        <v>5734</v>
      </c>
      <c r="B1655" t="s">
        <v>5735</v>
      </c>
      <c r="C1655" t="s">
        <v>594</v>
      </c>
      <c r="D1655" t="s">
        <v>937</v>
      </c>
      <c r="E1655" t="s">
        <v>596</v>
      </c>
      <c r="F1655" t="s">
        <v>574</v>
      </c>
      <c r="G1655" t="s">
        <v>5736</v>
      </c>
      <c r="H1655" t="str">
        <f>HYPERLINK("https://baanknet.com/view-property/259786/FD6A35B70A758CB51BA0D138C0C2EB8701BA29BAF1C324F11BEBC8895EDDE29F", "https://baanknet.com/view-property/259786/FD6A35B70A758CB51BA0D138C0C2EB8701BA29BAF1C324F11BEBC8895EDDE29F")</f>
        <v>https://baanknet.com/view-property/259786/FD6A35B70A758CB51BA0D138C0C2EB8701BA29BAF1C324F11BEBC8895EDDE29F</v>
      </c>
      <c r="I1655" t="str">
        <f>HYPERLINK("https://baanknet.com/view-property/259786/FD6A35B70A758CB51BA0D138C0C2EB8701BA29BAF1C324F11BEBC8895EDDE29F", "Open")</f>
        <v>Open</v>
      </c>
      <c r="J1655" t="s">
        <v>3803</v>
      </c>
      <c r="L1655">
        <v>1050000</v>
      </c>
      <c r="M1655">
        <v>105000</v>
      </c>
    </row>
    <row r="1656" spans="1:13" x14ac:dyDescent="0.25">
      <c r="A1656" t="s">
        <v>5737</v>
      </c>
      <c r="B1656" t="s">
        <v>5738</v>
      </c>
      <c r="C1656" t="s">
        <v>594</v>
      </c>
      <c r="D1656" t="s">
        <v>937</v>
      </c>
      <c r="E1656" t="s">
        <v>596</v>
      </c>
      <c r="F1656" t="s">
        <v>574</v>
      </c>
      <c r="G1656" t="s">
        <v>5739</v>
      </c>
      <c r="H1656" t="str">
        <f>HYPERLINK("https://baanknet.com/view-property/259787/38D504F5DE2F0369262827F19D1CE4F24302CF6E88BB2A33190151C365E05699", "https://baanknet.com/view-property/259787/38D504F5DE2F0369262827F19D1CE4F24302CF6E88BB2A33190151C365E05699")</f>
        <v>https://baanknet.com/view-property/259787/38D504F5DE2F0369262827F19D1CE4F24302CF6E88BB2A33190151C365E05699</v>
      </c>
      <c r="I1656" t="str">
        <f>HYPERLINK("https://baanknet.com/view-property/259787/38D504F5DE2F0369262827F19D1CE4F24302CF6E88BB2A33190151C365E05699", "Open")</f>
        <v>Open</v>
      </c>
      <c r="J1656" t="s">
        <v>3803</v>
      </c>
      <c r="L1656">
        <v>831000</v>
      </c>
      <c r="M1656">
        <v>83100</v>
      </c>
    </row>
    <row r="1657" spans="1:13" x14ac:dyDescent="0.25">
      <c r="A1657" t="s">
        <v>5740</v>
      </c>
      <c r="B1657" t="s">
        <v>5741</v>
      </c>
      <c r="C1657" t="s">
        <v>594</v>
      </c>
      <c r="D1657" t="s">
        <v>937</v>
      </c>
      <c r="E1657" t="s">
        <v>596</v>
      </c>
      <c r="F1657" t="s">
        <v>574</v>
      </c>
      <c r="G1657" t="s">
        <v>5742</v>
      </c>
      <c r="H1657" t="str">
        <f>HYPERLINK("https://baanknet.com/view-property/259788/23F867AB41EEB5A1F2B7348FE82538AB6FBA902880601B56DB34280CE04C5B60", "https://baanknet.com/view-property/259788/23F867AB41EEB5A1F2B7348FE82538AB6FBA902880601B56DB34280CE04C5B60")</f>
        <v>https://baanknet.com/view-property/259788/23F867AB41EEB5A1F2B7348FE82538AB6FBA902880601B56DB34280CE04C5B60</v>
      </c>
      <c r="I1657" t="str">
        <f>HYPERLINK("https://baanknet.com/view-property/259788/23F867AB41EEB5A1F2B7348FE82538AB6FBA902880601B56DB34280CE04C5B60", "Open")</f>
        <v>Open</v>
      </c>
      <c r="J1657" t="s">
        <v>3803</v>
      </c>
      <c r="L1657">
        <v>831000</v>
      </c>
      <c r="M1657">
        <v>83100</v>
      </c>
    </row>
    <row r="1658" spans="1:13" x14ac:dyDescent="0.25">
      <c r="A1658" t="s">
        <v>5743</v>
      </c>
      <c r="B1658" t="s">
        <v>5744</v>
      </c>
      <c r="C1658" t="s">
        <v>594</v>
      </c>
      <c r="D1658" t="s">
        <v>937</v>
      </c>
      <c r="E1658" t="s">
        <v>596</v>
      </c>
      <c r="F1658" t="s">
        <v>574</v>
      </c>
      <c r="G1658" t="s">
        <v>5745</v>
      </c>
      <c r="H1658" t="str">
        <f>HYPERLINK("https://baanknet.com/view-property/259790/684BF7694C04154A25CFEE7B63B70F5DCB52C5F5225810C978BE604955E0402D", "https://baanknet.com/view-property/259790/684BF7694C04154A25CFEE7B63B70F5DCB52C5F5225810C978BE604955E0402D")</f>
        <v>https://baanknet.com/view-property/259790/684BF7694C04154A25CFEE7B63B70F5DCB52C5F5225810C978BE604955E0402D</v>
      </c>
      <c r="I1658" t="str">
        <f>HYPERLINK("https://baanknet.com/view-property/259790/684BF7694C04154A25CFEE7B63B70F5DCB52C5F5225810C978BE604955E0402D", "Open")</f>
        <v>Open</v>
      </c>
      <c r="J1658" t="s">
        <v>3803</v>
      </c>
      <c r="L1658">
        <v>831000</v>
      </c>
      <c r="M1658">
        <v>83100</v>
      </c>
    </row>
    <row r="1659" spans="1:13" x14ac:dyDescent="0.25">
      <c r="A1659" t="s">
        <v>5746</v>
      </c>
      <c r="B1659" t="s">
        <v>5747</v>
      </c>
      <c r="C1659" t="s">
        <v>594</v>
      </c>
      <c r="D1659" t="s">
        <v>937</v>
      </c>
      <c r="E1659" t="s">
        <v>596</v>
      </c>
      <c r="F1659" t="s">
        <v>574</v>
      </c>
      <c r="G1659" t="s">
        <v>5748</v>
      </c>
      <c r="H1659" t="str">
        <f>HYPERLINK("https://baanknet.com/view-property/259791/0E7AEE32BA2324602A8FF500D93AC20AAFFF4939A5536B9133BE7B04CA0DA312", "https://baanknet.com/view-property/259791/0E7AEE32BA2324602A8FF500D93AC20AAFFF4939A5536B9133BE7B04CA0DA312")</f>
        <v>https://baanknet.com/view-property/259791/0E7AEE32BA2324602A8FF500D93AC20AAFFF4939A5536B9133BE7B04CA0DA312</v>
      </c>
      <c r="I1659" t="str">
        <f>HYPERLINK("https://baanknet.com/view-property/259791/0E7AEE32BA2324602A8FF500D93AC20AAFFF4939A5536B9133BE7B04CA0DA312", "Open")</f>
        <v>Open</v>
      </c>
      <c r="J1659" t="s">
        <v>3803</v>
      </c>
      <c r="L1659">
        <v>831000</v>
      </c>
      <c r="M1659">
        <v>83100</v>
      </c>
    </row>
    <row r="1660" spans="1:13" x14ac:dyDescent="0.25">
      <c r="A1660" t="s">
        <v>5749</v>
      </c>
      <c r="B1660" t="s">
        <v>5750</v>
      </c>
      <c r="C1660" t="s">
        <v>594</v>
      </c>
      <c r="D1660" t="s">
        <v>937</v>
      </c>
      <c r="E1660" t="s">
        <v>596</v>
      </c>
      <c r="F1660" t="s">
        <v>574</v>
      </c>
      <c r="G1660" t="s">
        <v>5751</v>
      </c>
      <c r="H1660" t="str">
        <f>HYPERLINK("https://baanknet.com/view-property/259794/5FEF0442FADFF685C2D4ECD62B5776A3DAF9BEA4B326B72D7CF0FC2354E1C205", "https://baanknet.com/view-property/259794/5FEF0442FADFF685C2D4ECD62B5776A3DAF9BEA4B326B72D7CF0FC2354E1C205")</f>
        <v>https://baanknet.com/view-property/259794/5FEF0442FADFF685C2D4ECD62B5776A3DAF9BEA4B326B72D7CF0FC2354E1C205</v>
      </c>
      <c r="I1660" t="str">
        <f>HYPERLINK("https://baanknet.com/view-property/259794/5FEF0442FADFF685C2D4ECD62B5776A3DAF9BEA4B326B72D7CF0FC2354E1C205", "Open")</f>
        <v>Open</v>
      </c>
      <c r="J1660" t="s">
        <v>3803</v>
      </c>
      <c r="L1660">
        <v>5829000</v>
      </c>
      <c r="M1660">
        <v>582900</v>
      </c>
    </row>
    <row r="1661" spans="1:13" x14ac:dyDescent="0.25">
      <c r="A1661" t="s">
        <v>5752</v>
      </c>
      <c r="B1661" t="s">
        <v>5753</v>
      </c>
      <c r="C1661" t="s">
        <v>594</v>
      </c>
      <c r="D1661" t="s">
        <v>937</v>
      </c>
      <c r="E1661" t="s">
        <v>596</v>
      </c>
      <c r="F1661" t="s">
        <v>574</v>
      </c>
      <c r="G1661" t="s">
        <v>5754</v>
      </c>
      <c r="H1661" t="str">
        <f>HYPERLINK("https://baanknet.com/view-property/259795/0374B9155FC80EC6EEB999F12446C3B1642947B52D92EFA8FEE4B9F2692F48C4", "https://baanknet.com/view-property/259795/0374B9155FC80EC6EEB999F12446C3B1642947B52D92EFA8FEE4B9F2692F48C4")</f>
        <v>https://baanknet.com/view-property/259795/0374B9155FC80EC6EEB999F12446C3B1642947B52D92EFA8FEE4B9F2692F48C4</v>
      </c>
      <c r="I1661" t="str">
        <f>HYPERLINK("https://baanknet.com/view-property/259795/0374B9155FC80EC6EEB999F12446C3B1642947B52D92EFA8FEE4B9F2692F48C4", "Open")</f>
        <v>Open</v>
      </c>
      <c r="J1661" t="s">
        <v>3803</v>
      </c>
      <c r="L1661">
        <v>561000</v>
      </c>
      <c r="M1661">
        <v>56100</v>
      </c>
    </row>
    <row r="1662" spans="1:13" x14ac:dyDescent="0.25">
      <c r="A1662" t="s">
        <v>5755</v>
      </c>
      <c r="B1662" t="s">
        <v>5756</v>
      </c>
      <c r="C1662" t="s">
        <v>594</v>
      </c>
      <c r="D1662" t="s">
        <v>937</v>
      </c>
      <c r="E1662" t="s">
        <v>596</v>
      </c>
      <c r="F1662" t="s">
        <v>574</v>
      </c>
      <c r="G1662" t="s">
        <v>5757</v>
      </c>
      <c r="H1662" t="str">
        <f>HYPERLINK("https://baanknet.com/view-property/259796/CA529E023F8663A093478567B98B84D03D80D4AE8CF725F2E0D5CD3265526E6A", "https://baanknet.com/view-property/259796/CA529E023F8663A093478567B98B84D03D80D4AE8CF725F2E0D5CD3265526E6A")</f>
        <v>https://baanknet.com/view-property/259796/CA529E023F8663A093478567B98B84D03D80D4AE8CF725F2E0D5CD3265526E6A</v>
      </c>
      <c r="I1662" t="str">
        <f>HYPERLINK("https://baanknet.com/view-property/259796/CA529E023F8663A093478567B98B84D03D80D4AE8CF725F2E0D5CD3265526E6A", "Open")</f>
        <v>Open</v>
      </c>
      <c r="J1662" t="s">
        <v>3803</v>
      </c>
      <c r="L1662">
        <v>831000</v>
      </c>
      <c r="M1662">
        <v>83100</v>
      </c>
    </row>
    <row r="1663" spans="1:13" x14ac:dyDescent="0.25">
      <c r="A1663" t="s">
        <v>5758</v>
      </c>
      <c r="B1663" t="s">
        <v>5759</v>
      </c>
      <c r="C1663" t="s">
        <v>594</v>
      </c>
      <c r="D1663" t="s">
        <v>937</v>
      </c>
      <c r="E1663" t="s">
        <v>596</v>
      </c>
      <c r="F1663" t="s">
        <v>574</v>
      </c>
      <c r="G1663" t="s">
        <v>5760</v>
      </c>
      <c r="H1663" t="str">
        <f>HYPERLINK("https://baanknet.com/view-property/274054/B24198BD75D3573A1BAF417AB2EE02122A49EE75CED9963C757E467E6356C3F5", "https://baanknet.com/view-property/274054/B24198BD75D3573A1BAF417AB2EE02122A49EE75CED9963C757E467E6356C3F5")</f>
        <v>https://baanknet.com/view-property/274054/B24198BD75D3573A1BAF417AB2EE02122A49EE75CED9963C757E467E6356C3F5</v>
      </c>
      <c r="I1663" t="str">
        <f>HYPERLINK("https://baanknet.com/view-property/274054/B24198BD75D3573A1BAF417AB2EE02122A49EE75CED9963C757E467E6356C3F5", "Open")</f>
        <v>Open</v>
      </c>
      <c r="J1663" t="s">
        <v>3803</v>
      </c>
      <c r="L1663">
        <v>21900000</v>
      </c>
      <c r="M1663">
        <v>2190000</v>
      </c>
    </row>
    <row r="1664" spans="1:13" x14ac:dyDescent="0.25">
      <c r="A1664" t="s">
        <v>5761</v>
      </c>
      <c r="B1664" t="s">
        <v>5762</v>
      </c>
      <c r="C1664" t="s">
        <v>594</v>
      </c>
      <c r="D1664" t="s">
        <v>937</v>
      </c>
      <c r="E1664" t="s">
        <v>596</v>
      </c>
      <c r="F1664" t="s">
        <v>574</v>
      </c>
      <c r="G1664" t="s">
        <v>5763</v>
      </c>
      <c r="H1664" t="str">
        <f>HYPERLINK("https://baanknet.com/view-property/271697/E5AF2AD50C886A2B41C558F14B2050628DAA81C4B958EF2959163FC4E4278F8B", "https://baanknet.com/view-property/271697/E5AF2AD50C886A2B41C558F14B2050628DAA81C4B958EF2959163FC4E4278F8B")</f>
        <v>https://baanknet.com/view-property/271697/E5AF2AD50C886A2B41C558F14B2050628DAA81C4B958EF2959163FC4E4278F8B</v>
      </c>
      <c r="I1664" t="str">
        <f>HYPERLINK("https://baanknet.com/view-property/271697/E5AF2AD50C886A2B41C558F14B2050628DAA81C4B958EF2959163FC4E4278F8B", "Open")</f>
        <v>Open</v>
      </c>
      <c r="J1664" t="s">
        <v>3803</v>
      </c>
      <c r="L1664">
        <v>1700000</v>
      </c>
      <c r="M1664">
        <v>170000</v>
      </c>
    </row>
    <row r="1665" spans="1:13" x14ac:dyDescent="0.25">
      <c r="A1665" t="s">
        <v>5764</v>
      </c>
      <c r="B1665" t="s">
        <v>5765</v>
      </c>
      <c r="C1665" t="s">
        <v>594</v>
      </c>
      <c r="D1665" t="s">
        <v>937</v>
      </c>
      <c r="E1665" t="s">
        <v>596</v>
      </c>
      <c r="F1665" t="s">
        <v>574</v>
      </c>
      <c r="G1665" t="s">
        <v>5766</v>
      </c>
      <c r="H1665" t="str">
        <f>HYPERLINK("https://baanknet.com/view-property/216541/E45DA69F840CDB10FFE05C3B1CFC502BF827184270103284BCD66964F7BFEC45", "https://baanknet.com/view-property/216541/E45DA69F840CDB10FFE05C3B1CFC502BF827184270103284BCD66964F7BFEC45")</f>
        <v>https://baanknet.com/view-property/216541/E45DA69F840CDB10FFE05C3B1CFC502BF827184270103284BCD66964F7BFEC45</v>
      </c>
      <c r="I1665" t="str">
        <f>HYPERLINK("https://baanknet.com/view-property/216541/E45DA69F840CDB10FFE05C3B1CFC502BF827184270103284BCD66964F7BFEC45", "Open")</f>
        <v>Open</v>
      </c>
      <c r="J1665" t="s">
        <v>3803</v>
      </c>
      <c r="L1665">
        <v>3250000</v>
      </c>
      <c r="M1665">
        <v>325000</v>
      </c>
    </row>
    <row r="1666" spans="1:13" x14ac:dyDescent="0.25">
      <c r="A1666" t="s">
        <v>5767</v>
      </c>
      <c r="B1666" t="s">
        <v>5768</v>
      </c>
      <c r="C1666" t="s">
        <v>594</v>
      </c>
      <c r="D1666" t="s">
        <v>937</v>
      </c>
      <c r="E1666" t="s">
        <v>596</v>
      </c>
      <c r="F1666" t="s">
        <v>574</v>
      </c>
      <c r="G1666" t="s">
        <v>5769</v>
      </c>
      <c r="H1666" t="str">
        <f>HYPERLINK("https://baanknet.com/view-property/216542/4FFC949A72FFCD4F9B2D596D1B545C13F2B1EC4DDBAA6CA5B8629B18D3277834", "https://baanknet.com/view-property/216542/4FFC949A72FFCD4F9B2D596D1B545C13F2B1EC4DDBAA6CA5B8629B18D3277834")</f>
        <v>https://baanknet.com/view-property/216542/4FFC949A72FFCD4F9B2D596D1B545C13F2B1EC4DDBAA6CA5B8629B18D3277834</v>
      </c>
      <c r="I1666" t="str">
        <f>HYPERLINK("https://baanknet.com/view-property/216542/4FFC949A72FFCD4F9B2D596D1B545C13F2B1EC4DDBAA6CA5B8629B18D3277834", "Open")</f>
        <v>Open</v>
      </c>
      <c r="J1666" t="s">
        <v>3803</v>
      </c>
      <c r="L1666">
        <v>2750000</v>
      </c>
      <c r="M1666">
        <v>275000</v>
      </c>
    </row>
    <row r="1667" spans="1:13" x14ac:dyDescent="0.25">
      <c r="A1667" t="s">
        <v>5770</v>
      </c>
      <c r="B1667" t="s">
        <v>5771</v>
      </c>
      <c r="C1667" t="s">
        <v>594</v>
      </c>
      <c r="D1667" t="s">
        <v>32</v>
      </c>
      <c r="E1667" t="s">
        <v>596</v>
      </c>
      <c r="F1667" t="s">
        <v>574</v>
      </c>
      <c r="G1667" t="s">
        <v>5772</v>
      </c>
      <c r="H1667" t="str">
        <f>HYPERLINK("https://baanknet.com/view-property/258816/C76D24955CA3EBCED4619D18CA488D65522C12185826015B37AAF80F976FA1C8", "https://baanknet.com/view-property/258816/C76D24955CA3EBCED4619D18CA488D65522C12185826015B37AAF80F976FA1C8")</f>
        <v>https://baanknet.com/view-property/258816/C76D24955CA3EBCED4619D18CA488D65522C12185826015B37AAF80F976FA1C8</v>
      </c>
      <c r="I1667" t="str">
        <f>HYPERLINK("https://baanknet.com/view-property/258816/C76D24955CA3EBCED4619D18CA488D65522C12185826015B37AAF80F976FA1C8", "Open")</f>
        <v>Open</v>
      </c>
      <c r="J1667" t="s">
        <v>3803</v>
      </c>
      <c r="L1667">
        <v>4950000</v>
      </c>
      <c r="M1667">
        <v>495000</v>
      </c>
    </row>
    <row r="1668" spans="1:13" x14ac:dyDescent="0.25">
      <c r="A1668" t="s">
        <v>5773</v>
      </c>
      <c r="B1668" t="s">
        <v>5774</v>
      </c>
      <c r="C1668" t="s">
        <v>594</v>
      </c>
      <c r="D1668" t="s">
        <v>937</v>
      </c>
      <c r="E1668" t="s">
        <v>596</v>
      </c>
      <c r="F1668" t="s">
        <v>574</v>
      </c>
      <c r="G1668" t="s">
        <v>5775</v>
      </c>
      <c r="H1668" t="str">
        <f>HYPERLINK("https://baanknet.com/view-property/52260/E345078F31B12CBF8F813381F594BC908A226F98ED3337BE9887BF2CD4112063", "https://baanknet.com/view-property/52260/E345078F31B12CBF8F813381F594BC908A226F98ED3337BE9887BF2CD4112063")</f>
        <v>https://baanknet.com/view-property/52260/E345078F31B12CBF8F813381F594BC908A226F98ED3337BE9887BF2CD4112063</v>
      </c>
      <c r="I1668" t="str">
        <f>HYPERLINK("https://baanknet.com/view-property/52260/E345078F31B12CBF8F813381F594BC908A226F98ED3337BE9887BF2CD4112063", "Open")</f>
        <v>Open</v>
      </c>
      <c r="J1668" t="s">
        <v>3803</v>
      </c>
      <c r="L1668">
        <v>1765000</v>
      </c>
      <c r="M1668">
        <v>176500</v>
      </c>
    </row>
    <row r="1669" spans="1:13" x14ac:dyDescent="0.25">
      <c r="A1669" t="s">
        <v>5776</v>
      </c>
      <c r="B1669" t="s">
        <v>5777</v>
      </c>
      <c r="C1669" t="s">
        <v>594</v>
      </c>
      <c r="D1669" t="s">
        <v>937</v>
      </c>
      <c r="E1669" t="s">
        <v>596</v>
      </c>
      <c r="F1669" t="s">
        <v>574</v>
      </c>
      <c r="G1669" t="s">
        <v>5778</v>
      </c>
      <c r="H1669" t="str">
        <f>HYPERLINK("https://baanknet.com/view-property/272083/6AB09E629005405987345BC6BEF19E9076CC5FB0445D48E7A80DE61C13E9A182", "https://baanknet.com/view-property/272083/6AB09E629005405987345BC6BEF19E9076CC5FB0445D48E7A80DE61C13E9A182")</f>
        <v>https://baanknet.com/view-property/272083/6AB09E629005405987345BC6BEF19E9076CC5FB0445D48E7A80DE61C13E9A182</v>
      </c>
      <c r="I1669" t="str">
        <f>HYPERLINK("https://baanknet.com/view-property/272083/6AB09E629005405987345BC6BEF19E9076CC5FB0445D48E7A80DE61C13E9A182", "Open")</f>
        <v>Open</v>
      </c>
      <c r="J1669" t="s">
        <v>3803</v>
      </c>
      <c r="L1669">
        <v>4750000</v>
      </c>
      <c r="M1669">
        <v>475000</v>
      </c>
    </row>
    <row r="1670" spans="1:13" x14ac:dyDescent="0.25">
      <c r="A1670" t="s">
        <v>5779</v>
      </c>
      <c r="B1670" t="s">
        <v>5780</v>
      </c>
      <c r="C1670" t="s">
        <v>594</v>
      </c>
      <c r="D1670" t="s">
        <v>937</v>
      </c>
      <c r="E1670" t="s">
        <v>596</v>
      </c>
      <c r="F1670" t="s">
        <v>574</v>
      </c>
      <c r="G1670" t="s">
        <v>5781</v>
      </c>
      <c r="H1670" t="str">
        <f>HYPERLINK("https://baanknet.com/view-property/267668/F7BD33BB00D523408F3376B3AFCF3A345798BF99FAE26A3F70DC77E7E826C90E", "https://baanknet.com/view-property/267668/F7BD33BB00D523408F3376B3AFCF3A345798BF99FAE26A3F70DC77E7E826C90E")</f>
        <v>https://baanknet.com/view-property/267668/F7BD33BB00D523408F3376B3AFCF3A345798BF99FAE26A3F70DC77E7E826C90E</v>
      </c>
      <c r="I1670" t="str">
        <f>HYPERLINK("https://baanknet.com/view-property/267668/F7BD33BB00D523408F3376B3AFCF3A345798BF99FAE26A3F70DC77E7E826C90E", "Open")</f>
        <v>Open</v>
      </c>
      <c r="J1670" t="s">
        <v>3803</v>
      </c>
      <c r="L1670">
        <v>4575000</v>
      </c>
      <c r="M1670">
        <v>457500</v>
      </c>
    </row>
    <row r="1671" spans="1:13" x14ac:dyDescent="0.25">
      <c r="A1671" t="s">
        <v>5782</v>
      </c>
      <c r="B1671" t="s">
        <v>5783</v>
      </c>
      <c r="C1671" t="s">
        <v>594</v>
      </c>
      <c r="D1671" t="s">
        <v>937</v>
      </c>
      <c r="E1671" t="s">
        <v>596</v>
      </c>
      <c r="F1671" t="s">
        <v>574</v>
      </c>
      <c r="G1671" t="s">
        <v>5784</v>
      </c>
      <c r="H1671" t="str">
        <f>HYPERLINK("https://baanknet.com/view-property/267663/938666FF595370FFDB27E6F7438217A5D6F8F55FEFA3326BFD325A2EB4D4F650", "https://baanknet.com/view-property/267663/938666FF595370FFDB27E6F7438217A5D6F8F55FEFA3326BFD325A2EB4D4F650")</f>
        <v>https://baanknet.com/view-property/267663/938666FF595370FFDB27E6F7438217A5D6F8F55FEFA3326BFD325A2EB4D4F650</v>
      </c>
      <c r="I1671" t="str">
        <f>HYPERLINK("https://baanknet.com/view-property/267663/938666FF595370FFDB27E6F7438217A5D6F8F55FEFA3326BFD325A2EB4D4F650", "Open")</f>
        <v>Open</v>
      </c>
      <c r="J1671" t="s">
        <v>3803</v>
      </c>
      <c r="L1671">
        <v>2484000</v>
      </c>
      <c r="M1671">
        <v>248400</v>
      </c>
    </row>
    <row r="1672" spans="1:13" x14ac:dyDescent="0.25">
      <c r="A1672" t="s">
        <v>5785</v>
      </c>
      <c r="B1672" t="s">
        <v>5786</v>
      </c>
      <c r="C1672" t="s">
        <v>594</v>
      </c>
      <c r="D1672" t="s">
        <v>937</v>
      </c>
      <c r="E1672" t="s">
        <v>596</v>
      </c>
      <c r="F1672" t="s">
        <v>574</v>
      </c>
      <c r="G1672" t="s">
        <v>5787</v>
      </c>
      <c r="H1672" t="str">
        <f>HYPERLINK("https://baanknet.com/view-property/100189/B97E6BB439AC68A2FB3E9D76D9B79B65A86D222067B1DB45E5978ADF683E01D7", "https://baanknet.com/view-property/100189/B97E6BB439AC68A2FB3E9D76D9B79B65A86D222067B1DB45E5978ADF683E01D7")</f>
        <v>https://baanknet.com/view-property/100189/B97E6BB439AC68A2FB3E9D76D9B79B65A86D222067B1DB45E5978ADF683E01D7</v>
      </c>
      <c r="I1672" t="str">
        <f>HYPERLINK("https://baanknet.com/view-property/100189/B97E6BB439AC68A2FB3E9D76D9B79B65A86D222067B1DB45E5978ADF683E01D7", "Open")</f>
        <v>Open</v>
      </c>
      <c r="J1672" t="s">
        <v>3803</v>
      </c>
      <c r="L1672">
        <v>2484000</v>
      </c>
      <c r="M1672">
        <v>248400</v>
      </c>
    </row>
    <row r="1673" spans="1:13" x14ac:dyDescent="0.25">
      <c r="A1673" t="s">
        <v>5788</v>
      </c>
      <c r="B1673" t="s">
        <v>5789</v>
      </c>
      <c r="C1673" t="s">
        <v>594</v>
      </c>
      <c r="D1673" t="s">
        <v>937</v>
      </c>
      <c r="E1673" t="s">
        <v>596</v>
      </c>
      <c r="F1673" t="s">
        <v>574</v>
      </c>
      <c r="G1673" t="s">
        <v>5790</v>
      </c>
      <c r="H1673" t="str">
        <f>HYPERLINK("https://baanknet.com/view-property/226447/D274AB47F8C3B25466F314D5733FA27C72A26FBA2E74112F11269E76E7D65959", "https://baanknet.com/view-property/226447/D274AB47F8C3B25466F314D5733FA27C72A26FBA2E74112F11269E76E7D65959")</f>
        <v>https://baanknet.com/view-property/226447/D274AB47F8C3B25466F314D5733FA27C72A26FBA2E74112F11269E76E7D65959</v>
      </c>
      <c r="I1673" t="str">
        <f>HYPERLINK("https://baanknet.com/view-property/226447/D274AB47F8C3B25466F314D5733FA27C72A26FBA2E74112F11269E76E7D65959", "Open")</f>
        <v>Open</v>
      </c>
      <c r="J1673" t="s">
        <v>3803</v>
      </c>
      <c r="L1673">
        <v>1740000</v>
      </c>
      <c r="M1673">
        <v>174000</v>
      </c>
    </row>
    <row r="1674" spans="1:13" x14ac:dyDescent="0.25">
      <c r="A1674" t="s">
        <v>5791</v>
      </c>
      <c r="B1674" t="s">
        <v>5792</v>
      </c>
      <c r="C1674" t="s">
        <v>594</v>
      </c>
      <c r="D1674" t="s">
        <v>5793</v>
      </c>
      <c r="E1674" t="s">
        <v>596</v>
      </c>
      <c r="F1674" t="s">
        <v>574</v>
      </c>
      <c r="G1674" t="s">
        <v>5794</v>
      </c>
      <c r="H1674" t="str">
        <f>HYPERLINK("https://baanknet.com/view-property/80649/55F1E81F6CBF5AB3AE4F853303A0DBD052FB9BBD1E372E5B5AA6FAE74EC09B27", "https://baanknet.com/view-property/80649/55F1E81F6CBF5AB3AE4F853303A0DBD052FB9BBD1E372E5B5AA6FAE74EC09B27")</f>
        <v>https://baanknet.com/view-property/80649/55F1E81F6CBF5AB3AE4F853303A0DBD052FB9BBD1E372E5B5AA6FAE74EC09B27</v>
      </c>
      <c r="I1674" t="str">
        <f>HYPERLINK("https://baanknet.com/view-property/80649/55F1E81F6CBF5AB3AE4F853303A0DBD052FB9BBD1E372E5B5AA6FAE74EC09B27", "Open")</f>
        <v>Open</v>
      </c>
      <c r="J1674" t="s">
        <v>3803</v>
      </c>
      <c r="L1674">
        <v>5000000</v>
      </c>
      <c r="M1674">
        <v>500000</v>
      </c>
    </row>
    <row r="1675" spans="1:13" x14ac:dyDescent="0.25">
      <c r="A1675" t="s">
        <v>5795</v>
      </c>
      <c r="B1675" t="s">
        <v>5796</v>
      </c>
      <c r="C1675" t="s">
        <v>594</v>
      </c>
      <c r="D1675" t="s">
        <v>5793</v>
      </c>
      <c r="E1675" t="s">
        <v>596</v>
      </c>
      <c r="F1675" t="s">
        <v>574</v>
      </c>
      <c r="G1675" t="s">
        <v>5797</v>
      </c>
      <c r="H1675" t="str">
        <f>HYPERLINK("https://baanknet.com/view-property/80648/3FB4E301A0A92C411D8C905486C0E4D3E917E8E452F67856AB327E8577EF9E8A", "https://baanknet.com/view-property/80648/3FB4E301A0A92C411D8C905486C0E4D3E917E8E452F67856AB327E8577EF9E8A")</f>
        <v>https://baanknet.com/view-property/80648/3FB4E301A0A92C411D8C905486C0E4D3E917E8E452F67856AB327E8577EF9E8A</v>
      </c>
      <c r="I1675" t="str">
        <f>HYPERLINK("https://baanknet.com/view-property/80648/3FB4E301A0A92C411D8C905486C0E4D3E917E8E452F67856AB327E8577EF9E8A", "Open")</f>
        <v>Open</v>
      </c>
      <c r="J1675" t="s">
        <v>3803</v>
      </c>
      <c r="L1675">
        <v>3860000</v>
      </c>
      <c r="M1675">
        <v>386000</v>
      </c>
    </row>
    <row r="1676" spans="1:13" x14ac:dyDescent="0.25">
      <c r="A1676" t="s">
        <v>5798</v>
      </c>
      <c r="B1676" t="s">
        <v>5799</v>
      </c>
      <c r="C1676" t="s">
        <v>594</v>
      </c>
      <c r="D1676" t="s">
        <v>5308</v>
      </c>
      <c r="E1676" t="s">
        <v>596</v>
      </c>
      <c r="F1676" t="s">
        <v>574</v>
      </c>
      <c r="G1676" t="s">
        <v>5800</v>
      </c>
      <c r="H1676" t="str">
        <f>HYPERLINK("https://baanknet.com/view-property/105298/FE093B57E257DA29D8C8B6D7485A6A30C70C3993DBB31A7CC30E189C8FE4193A", "https://baanknet.com/view-property/105298/FE093B57E257DA29D8C8B6D7485A6A30C70C3993DBB31A7CC30E189C8FE4193A")</f>
        <v>https://baanknet.com/view-property/105298/FE093B57E257DA29D8C8B6D7485A6A30C70C3993DBB31A7CC30E189C8FE4193A</v>
      </c>
      <c r="I1676" t="str">
        <f>HYPERLINK("https://baanknet.com/view-property/105298/FE093B57E257DA29D8C8B6D7485A6A30C70C3993DBB31A7CC30E189C8FE4193A", "Open")</f>
        <v>Open</v>
      </c>
      <c r="J1676" t="s">
        <v>3803</v>
      </c>
      <c r="L1676">
        <v>21200000</v>
      </c>
      <c r="M1676">
        <v>2120000</v>
      </c>
    </row>
    <row r="1677" spans="1:13" x14ac:dyDescent="0.25">
      <c r="A1677" t="s">
        <v>5801</v>
      </c>
      <c r="B1677" t="s">
        <v>5802</v>
      </c>
      <c r="C1677" t="s">
        <v>594</v>
      </c>
      <c r="D1677" t="s">
        <v>5803</v>
      </c>
      <c r="E1677" t="s">
        <v>596</v>
      </c>
      <c r="F1677" t="s">
        <v>574</v>
      </c>
      <c r="G1677" t="s">
        <v>5804</v>
      </c>
      <c r="H1677" t="str">
        <f>HYPERLINK("https://baanknet.com/view-property/204592/284619AE657C46EB73261687A81E28DB3BEA2A98B9FCB66635B86BA4C0476D15", "https://baanknet.com/view-property/204592/284619AE657C46EB73261687A81E28DB3BEA2A98B9FCB66635B86BA4C0476D15")</f>
        <v>https://baanknet.com/view-property/204592/284619AE657C46EB73261687A81E28DB3BEA2A98B9FCB66635B86BA4C0476D15</v>
      </c>
      <c r="I1677" t="str">
        <f>HYPERLINK("https://baanknet.com/view-property/204592/284619AE657C46EB73261687A81E28DB3BEA2A98B9FCB66635B86BA4C0476D15", "Open")</f>
        <v>Open</v>
      </c>
      <c r="J1677" t="s">
        <v>3803</v>
      </c>
      <c r="L1677">
        <v>1650000</v>
      </c>
      <c r="M1677">
        <v>165000</v>
      </c>
    </row>
    <row r="1678" spans="1:13" x14ac:dyDescent="0.25">
      <c r="A1678" t="s">
        <v>5805</v>
      </c>
      <c r="B1678" t="s">
        <v>5806</v>
      </c>
      <c r="C1678" t="s">
        <v>594</v>
      </c>
      <c r="D1678" t="s">
        <v>5807</v>
      </c>
      <c r="E1678" t="s">
        <v>596</v>
      </c>
      <c r="F1678" t="s">
        <v>574</v>
      </c>
      <c r="G1678" t="s">
        <v>5808</v>
      </c>
      <c r="H1678" t="str">
        <f>HYPERLINK("https://baanknet.com/view-property/266554/384321DA304EB9F2D89970BB7E9535FBD386D8A43F75D083A34BAF22B714D27E", "https://baanknet.com/view-property/266554/384321DA304EB9F2D89970BB7E9535FBD386D8A43F75D083A34BAF22B714D27E")</f>
        <v>https://baanknet.com/view-property/266554/384321DA304EB9F2D89970BB7E9535FBD386D8A43F75D083A34BAF22B714D27E</v>
      </c>
      <c r="I1678" t="str">
        <f>HYPERLINK("https://baanknet.com/view-property/266554/384321DA304EB9F2D89970BB7E9535FBD386D8A43F75D083A34BAF22B714D27E", "Open")</f>
        <v>Open</v>
      </c>
      <c r="J1678" t="s">
        <v>3803</v>
      </c>
      <c r="L1678">
        <v>4500000</v>
      </c>
      <c r="M1678">
        <v>450000</v>
      </c>
    </row>
    <row r="1679" spans="1:13" x14ac:dyDescent="0.25">
      <c r="A1679" t="s">
        <v>5809</v>
      </c>
      <c r="B1679" t="s">
        <v>5810</v>
      </c>
      <c r="C1679" t="s">
        <v>594</v>
      </c>
      <c r="D1679" t="s">
        <v>5811</v>
      </c>
      <c r="E1679" t="s">
        <v>596</v>
      </c>
      <c r="F1679" t="s">
        <v>574</v>
      </c>
      <c r="G1679" t="s">
        <v>5812</v>
      </c>
      <c r="H1679" t="str">
        <f>HYPERLINK("https://baanknet.com/view-property/280300/5A643B3FB17B2E71ADBFD9ACA139F89C0EADFE11E57FD8D6AB2F30EBD003FF6C", "https://baanknet.com/view-property/280300/5A643B3FB17B2E71ADBFD9ACA139F89C0EADFE11E57FD8D6AB2F30EBD003FF6C")</f>
        <v>https://baanknet.com/view-property/280300/5A643B3FB17B2E71ADBFD9ACA139F89C0EADFE11E57FD8D6AB2F30EBD003FF6C</v>
      </c>
      <c r="I1679" t="str">
        <f>HYPERLINK("https://baanknet.com/view-property/280300/5A643B3FB17B2E71ADBFD9ACA139F89C0EADFE11E57FD8D6AB2F30EBD003FF6C", "Open")</f>
        <v>Open</v>
      </c>
      <c r="J1679" t="s">
        <v>3803</v>
      </c>
      <c r="L1679">
        <v>2100000</v>
      </c>
      <c r="M1679">
        <v>210000</v>
      </c>
    </row>
    <row r="1680" spans="1:13" x14ac:dyDescent="0.25">
      <c r="A1680" t="s">
        <v>5813</v>
      </c>
      <c r="B1680" t="s">
        <v>5814</v>
      </c>
      <c r="C1680" t="s">
        <v>594</v>
      </c>
      <c r="D1680" t="s">
        <v>5815</v>
      </c>
      <c r="E1680" t="s">
        <v>596</v>
      </c>
      <c r="F1680" t="s">
        <v>574</v>
      </c>
      <c r="G1680" t="s">
        <v>5816</v>
      </c>
      <c r="H1680" t="str">
        <f>HYPERLINK("https://baanknet.com/view-property/50636/79298D1E0C050FD2CF5E23C36DF672178A9D6F7DA794C8AE82DDD0591120B041", "https://baanknet.com/view-property/50636/79298D1E0C050FD2CF5E23C36DF672178A9D6F7DA794C8AE82DDD0591120B041")</f>
        <v>https://baanknet.com/view-property/50636/79298D1E0C050FD2CF5E23C36DF672178A9D6F7DA794C8AE82DDD0591120B041</v>
      </c>
      <c r="I1680" t="str">
        <f>HYPERLINK("https://baanknet.com/view-property/50636/79298D1E0C050FD2CF5E23C36DF672178A9D6F7DA794C8AE82DDD0591120B041", "Open")</f>
        <v>Open</v>
      </c>
      <c r="J1680" t="s">
        <v>3803</v>
      </c>
      <c r="L1680">
        <v>1013000</v>
      </c>
      <c r="M1680">
        <v>101300</v>
      </c>
    </row>
    <row r="1681" spans="1:13" x14ac:dyDescent="0.25">
      <c r="A1681" t="s">
        <v>5817</v>
      </c>
      <c r="B1681" t="s">
        <v>5818</v>
      </c>
      <c r="C1681" t="s">
        <v>594</v>
      </c>
      <c r="D1681" t="s">
        <v>5819</v>
      </c>
      <c r="E1681" t="s">
        <v>596</v>
      </c>
      <c r="F1681" t="s">
        <v>574</v>
      </c>
      <c r="G1681" t="s">
        <v>5820</v>
      </c>
      <c r="H1681" t="str">
        <f>HYPERLINK("https://baanknet.com/view-property/59474/F9F8CF2EBCAA3B5ED3B9C4A2C0236F710C75678E8A7F82A19A621A841084D529", "https://baanknet.com/view-property/59474/F9F8CF2EBCAA3B5ED3B9C4A2C0236F710C75678E8A7F82A19A621A841084D529")</f>
        <v>https://baanknet.com/view-property/59474/F9F8CF2EBCAA3B5ED3B9C4A2C0236F710C75678E8A7F82A19A621A841084D529</v>
      </c>
      <c r="I1681" t="str">
        <f>HYPERLINK("https://baanknet.com/view-property/59474/F9F8CF2EBCAA3B5ED3B9C4A2C0236F710C75678E8A7F82A19A621A841084D529", "Open")</f>
        <v>Open</v>
      </c>
      <c r="J1681" t="s">
        <v>3803</v>
      </c>
      <c r="L1681">
        <v>1524000</v>
      </c>
      <c r="M1681">
        <v>152400</v>
      </c>
    </row>
    <row r="1682" spans="1:13" x14ac:dyDescent="0.25">
      <c r="A1682" t="s">
        <v>5821</v>
      </c>
      <c r="B1682" t="s">
        <v>5822</v>
      </c>
      <c r="C1682" t="s">
        <v>594</v>
      </c>
      <c r="D1682" t="s">
        <v>813</v>
      </c>
      <c r="E1682" t="s">
        <v>596</v>
      </c>
      <c r="F1682" t="s">
        <v>574</v>
      </c>
      <c r="G1682" t="s">
        <v>5823</v>
      </c>
      <c r="H1682" t="str">
        <f>HYPERLINK("https://baanknet.com/view-property/216249/3C87838435E102FE45A098177787EF05CD14BD0D3333F1BD0D067B0FDE4904A4", "https://baanknet.com/view-property/216249/3C87838435E102FE45A098177787EF05CD14BD0D3333F1BD0D067B0FDE4904A4")</f>
        <v>https://baanknet.com/view-property/216249/3C87838435E102FE45A098177787EF05CD14BD0D3333F1BD0D067B0FDE4904A4</v>
      </c>
      <c r="I1682" t="str">
        <f>HYPERLINK("https://baanknet.com/view-property/216249/3C87838435E102FE45A098177787EF05CD14BD0D3333F1BD0D067B0FDE4904A4", "Open")</f>
        <v>Open</v>
      </c>
      <c r="J1682" t="s">
        <v>3803</v>
      </c>
      <c r="L1682">
        <v>2100000</v>
      </c>
      <c r="M1682">
        <v>210000</v>
      </c>
    </row>
    <row r="1683" spans="1:13" x14ac:dyDescent="0.25">
      <c r="A1683" t="s">
        <v>5824</v>
      </c>
      <c r="B1683" t="s">
        <v>5825</v>
      </c>
      <c r="C1683" t="s">
        <v>594</v>
      </c>
      <c r="D1683" t="s">
        <v>2936</v>
      </c>
      <c r="E1683" t="s">
        <v>596</v>
      </c>
      <c r="F1683" t="s">
        <v>574</v>
      </c>
      <c r="G1683" t="s">
        <v>5826</v>
      </c>
      <c r="H1683" t="str">
        <f>HYPERLINK("https://baanknet.com/view-property/100073/00F53A44A60EAF0660A662E6A2299E88AE378D44CFB4295DB2AC8AAF8E273E2A", "https://baanknet.com/view-property/100073/00F53A44A60EAF0660A662E6A2299E88AE378D44CFB4295DB2AC8AAF8E273E2A")</f>
        <v>https://baanknet.com/view-property/100073/00F53A44A60EAF0660A662E6A2299E88AE378D44CFB4295DB2AC8AAF8E273E2A</v>
      </c>
      <c r="I1683" t="str">
        <f>HYPERLINK("https://baanknet.com/view-property/100073/00F53A44A60EAF0660A662E6A2299E88AE378D44CFB4295DB2AC8AAF8E273E2A", "Open")</f>
        <v>Open</v>
      </c>
      <c r="J1683" t="s">
        <v>3803</v>
      </c>
      <c r="L1683">
        <v>1900000</v>
      </c>
      <c r="M1683">
        <v>190000</v>
      </c>
    </row>
    <row r="1684" spans="1:13" x14ac:dyDescent="0.25">
      <c r="A1684" t="s">
        <v>5827</v>
      </c>
      <c r="B1684" t="s">
        <v>5828</v>
      </c>
      <c r="C1684" t="s">
        <v>594</v>
      </c>
      <c r="D1684" t="s">
        <v>5829</v>
      </c>
      <c r="E1684" t="s">
        <v>596</v>
      </c>
      <c r="F1684" t="s">
        <v>574</v>
      </c>
      <c r="G1684" t="s">
        <v>5830</v>
      </c>
      <c r="H1684" t="str">
        <f>HYPERLINK("https://baanknet.com/view-property/268474/541AFEF4647F1EC29738E8A03DB226F5A269AC5CFCF3957776CD723D2F9E91EF", "https://baanknet.com/view-property/268474/541AFEF4647F1EC29738E8A03DB226F5A269AC5CFCF3957776CD723D2F9E91EF")</f>
        <v>https://baanknet.com/view-property/268474/541AFEF4647F1EC29738E8A03DB226F5A269AC5CFCF3957776CD723D2F9E91EF</v>
      </c>
      <c r="I1684" t="str">
        <f>HYPERLINK("https://baanknet.com/view-property/268474/541AFEF4647F1EC29738E8A03DB226F5A269AC5CFCF3957776CD723D2F9E91EF", "Open")</f>
        <v>Open</v>
      </c>
      <c r="J1684" t="s">
        <v>3803</v>
      </c>
      <c r="L1684">
        <v>4450000</v>
      </c>
      <c r="M1684">
        <v>445000</v>
      </c>
    </row>
    <row r="1685" spans="1:13" x14ac:dyDescent="0.25">
      <c r="A1685" t="s">
        <v>5831</v>
      </c>
      <c r="B1685" t="s">
        <v>5832</v>
      </c>
      <c r="C1685" t="s">
        <v>594</v>
      </c>
      <c r="D1685" t="s">
        <v>1120</v>
      </c>
      <c r="E1685" t="s">
        <v>596</v>
      </c>
      <c r="F1685" t="s">
        <v>574</v>
      </c>
      <c r="G1685" t="s">
        <v>5833</v>
      </c>
      <c r="H1685" t="str">
        <f>HYPERLINK("https://baanknet.com/view-property/268476/294EA1FD2FDE4B35C77FF27916AB71FA2C1C36B20B4E4C3770F855F0ECF3BD23", "https://baanknet.com/view-property/268476/294EA1FD2FDE4B35C77FF27916AB71FA2C1C36B20B4E4C3770F855F0ECF3BD23")</f>
        <v>https://baanknet.com/view-property/268476/294EA1FD2FDE4B35C77FF27916AB71FA2C1C36B20B4E4C3770F855F0ECF3BD23</v>
      </c>
      <c r="I1685" t="str">
        <f>HYPERLINK("https://baanknet.com/view-property/268476/294EA1FD2FDE4B35C77FF27916AB71FA2C1C36B20B4E4C3770F855F0ECF3BD23", "Open")</f>
        <v>Open</v>
      </c>
      <c r="J1685" t="s">
        <v>3803</v>
      </c>
      <c r="L1685">
        <v>10600000</v>
      </c>
      <c r="M1685">
        <v>1060000</v>
      </c>
    </row>
    <row r="1686" spans="1:13" x14ac:dyDescent="0.25">
      <c r="A1686" t="s">
        <v>5834</v>
      </c>
      <c r="B1686" t="s">
        <v>5835</v>
      </c>
      <c r="C1686" t="s">
        <v>594</v>
      </c>
      <c r="D1686" t="s">
        <v>5829</v>
      </c>
      <c r="E1686" t="s">
        <v>596</v>
      </c>
      <c r="F1686" t="s">
        <v>574</v>
      </c>
      <c r="G1686" t="s">
        <v>5836</v>
      </c>
      <c r="H1686" t="str">
        <f>HYPERLINK("https://baanknet.com/view-property/272247/5FD7B79D2E9C0CCF08332CDFEBE0B4183B6B8F548BAB5B564286CC542CE82F0E", "https://baanknet.com/view-property/272247/5FD7B79D2E9C0CCF08332CDFEBE0B4183B6B8F548BAB5B564286CC542CE82F0E")</f>
        <v>https://baanknet.com/view-property/272247/5FD7B79D2E9C0CCF08332CDFEBE0B4183B6B8F548BAB5B564286CC542CE82F0E</v>
      </c>
      <c r="I1686" t="str">
        <f>HYPERLINK("https://baanknet.com/view-property/272247/5FD7B79D2E9C0CCF08332CDFEBE0B4183B6B8F548BAB5B564286CC542CE82F0E", "Open")</f>
        <v>Open</v>
      </c>
      <c r="J1686" t="s">
        <v>3803</v>
      </c>
      <c r="L1686">
        <v>4100000</v>
      </c>
      <c r="M1686">
        <v>410000</v>
      </c>
    </row>
    <row r="1687" spans="1:13" x14ac:dyDescent="0.25">
      <c r="A1687" t="s">
        <v>5837</v>
      </c>
      <c r="B1687" t="s">
        <v>5838</v>
      </c>
      <c r="C1687" t="s">
        <v>594</v>
      </c>
      <c r="D1687" t="s">
        <v>5829</v>
      </c>
      <c r="E1687" t="s">
        <v>596</v>
      </c>
      <c r="F1687" t="s">
        <v>574</v>
      </c>
      <c r="G1687" t="s">
        <v>5839</v>
      </c>
      <c r="H1687" t="str">
        <f>HYPERLINK("https://baanknet.com/view-property/272252/D46D62D91EED38BDDB04D920CB81314DFAA7EDC2F0E0A1B266CF82AF7D91EBAA", "https://baanknet.com/view-property/272252/D46D62D91EED38BDDB04D920CB81314DFAA7EDC2F0E0A1B266CF82AF7D91EBAA")</f>
        <v>https://baanknet.com/view-property/272252/D46D62D91EED38BDDB04D920CB81314DFAA7EDC2F0E0A1B266CF82AF7D91EBAA</v>
      </c>
      <c r="I1687" t="str">
        <f>HYPERLINK("https://baanknet.com/view-property/272252/D46D62D91EED38BDDB04D920CB81314DFAA7EDC2F0E0A1B266CF82AF7D91EBAA", "Open")</f>
        <v>Open</v>
      </c>
      <c r="J1687" t="s">
        <v>3803</v>
      </c>
      <c r="L1687">
        <v>3700000</v>
      </c>
      <c r="M1687">
        <v>370000</v>
      </c>
    </row>
    <row r="1688" spans="1:13" x14ac:dyDescent="0.25">
      <c r="A1688" t="s">
        <v>5840</v>
      </c>
      <c r="B1688" t="s">
        <v>5841</v>
      </c>
      <c r="C1688" t="s">
        <v>594</v>
      </c>
      <c r="D1688" t="s">
        <v>422</v>
      </c>
      <c r="E1688" t="s">
        <v>596</v>
      </c>
      <c r="F1688" t="s">
        <v>574</v>
      </c>
      <c r="G1688" t="s">
        <v>5842</v>
      </c>
      <c r="H1688" t="str">
        <f>HYPERLINK("https://baanknet.com/view-property/276606/4CA76C4FF30CB9ED796E9086E00FC7FDB21560515EE505859D88C466FA94147B", "https://baanknet.com/view-property/276606/4CA76C4FF30CB9ED796E9086E00FC7FDB21560515EE505859D88C466FA94147B")</f>
        <v>https://baanknet.com/view-property/276606/4CA76C4FF30CB9ED796E9086E00FC7FDB21560515EE505859D88C466FA94147B</v>
      </c>
      <c r="I1688" t="str">
        <f>HYPERLINK("https://baanknet.com/view-property/276606/4CA76C4FF30CB9ED796E9086E00FC7FDB21560515EE505859D88C466FA94147B", "Open")</f>
        <v>Open</v>
      </c>
      <c r="J1688" t="s">
        <v>3803</v>
      </c>
      <c r="L1688">
        <v>2650000</v>
      </c>
      <c r="M1688">
        <v>265000</v>
      </c>
    </row>
    <row r="1689" spans="1:13" x14ac:dyDescent="0.25">
      <c r="A1689" t="s">
        <v>5843</v>
      </c>
      <c r="B1689" t="s">
        <v>5844</v>
      </c>
      <c r="C1689" t="s">
        <v>594</v>
      </c>
      <c r="D1689" t="s">
        <v>422</v>
      </c>
      <c r="E1689" t="s">
        <v>596</v>
      </c>
      <c r="F1689" t="s">
        <v>574</v>
      </c>
      <c r="G1689" t="s">
        <v>5845</v>
      </c>
      <c r="H1689" t="str">
        <f>HYPERLINK("https://baanknet.com/view-property/276611/10BC63A45BB403EC13E5229F2C61D320FB4C17B57453AC0305238A4851FCC5F1", "https://baanknet.com/view-property/276611/10BC63A45BB403EC13E5229F2C61D320FB4C17B57453AC0305238A4851FCC5F1")</f>
        <v>https://baanknet.com/view-property/276611/10BC63A45BB403EC13E5229F2C61D320FB4C17B57453AC0305238A4851FCC5F1</v>
      </c>
      <c r="I1689" t="str">
        <f>HYPERLINK("https://baanknet.com/view-property/276611/10BC63A45BB403EC13E5229F2C61D320FB4C17B57453AC0305238A4851FCC5F1", "Open")</f>
        <v>Open</v>
      </c>
      <c r="J1689" t="s">
        <v>3803</v>
      </c>
      <c r="L1689">
        <v>2350000</v>
      </c>
      <c r="M1689">
        <v>235000</v>
      </c>
    </row>
    <row r="1690" spans="1:13" x14ac:dyDescent="0.25">
      <c r="A1690" t="s">
        <v>5846</v>
      </c>
      <c r="B1690" t="s">
        <v>5847</v>
      </c>
      <c r="C1690" t="s">
        <v>594</v>
      </c>
      <c r="D1690" t="s">
        <v>1310</v>
      </c>
      <c r="E1690" t="s">
        <v>596</v>
      </c>
      <c r="F1690" t="s">
        <v>574</v>
      </c>
      <c r="G1690" t="s">
        <v>5848</v>
      </c>
      <c r="H1690" t="str">
        <f>HYPERLINK("https://baanknet.com/view-property/272482/1E510786E44B752B3C91B1898F53791ABE629395E3E513507581B06A7F3919A3", "https://baanknet.com/view-property/272482/1E510786E44B752B3C91B1898F53791ABE629395E3E513507581B06A7F3919A3")</f>
        <v>https://baanknet.com/view-property/272482/1E510786E44B752B3C91B1898F53791ABE629395E3E513507581B06A7F3919A3</v>
      </c>
      <c r="I1690" t="str">
        <f>HYPERLINK("https://baanknet.com/view-property/272482/1E510786E44B752B3C91B1898F53791ABE629395E3E513507581B06A7F3919A3", "Open")</f>
        <v>Open</v>
      </c>
      <c r="J1690" t="s">
        <v>3803</v>
      </c>
      <c r="L1690">
        <v>15000000</v>
      </c>
      <c r="M1690">
        <v>1500000</v>
      </c>
    </row>
    <row r="1691" spans="1:13" x14ac:dyDescent="0.25">
      <c r="A1691" t="s">
        <v>5849</v>
      </c>
      <c r="B1691" t="s">
        <v>5850</v>
      </c>
      <c r="C1691" t="s">
        <v>594</v>
      </c>
      <c r="D1691" t="s">
        <v>1310</v>
      </c>
      <c r="E1691" t="s">
        <v>596</v>
      </c>
      <c r="F1691" t="s">
        <v>574</v>
      </c>
      <c r="G1691" t="s">
        <v>5851</v>
      </c>
      <c r="H1691" t="str">
        <f>HYPERLINK("https://baanknet.com/view-property/272481/3EEECBE243B3F7DEC326D50ED39F04AC26460067A5C7DC525716BBCBFE9FC851", "https://baanknet.com/view-property/272481/3EEECBE243B3F7DEC326D50ED39F04AC26460067A5C7DC525716BBCBFE9FC851")</f>
        <v>https://baanknet.com/view-property/272481/3EEECBE243B3F7DEC326D50ED39F04AC26460067A5C7DC525716BBCBFE9FC851</v>
      </c>
      <c r="I1691" t="str">
        <f>HYPERLINK("https://baanknet.com/view-property/272481/3EEECBE243B3F7DEC326D50ED39F04AC26460067A5C7DC525716BBCBFE9FC851", "Open")</f>
        <v>Open</v>
      </c>
      <c r="J1691" t="s">
        <v>3803</v>
      </c>
      <c r="L1691">
        <v>1720000</v>
      </c>
      <c r="M1691">
        <v>172000</v>
      </c>
    </row>
    <row r="1692" spans="1:13" x14ac:dyDescent="0.25">
      <c r="A1692" t="s">
        <v>5852</v>
      </c>
      <c r="B1692" t="s">
        <v>5853</v>
      </c>
      <c r="C1692" t="s">
        <v>594</v>
      </c>
      <c r="D1692" t="s">
        <v>937</v>
      </c>
      <c r="E1692" t="s">
        <v>596</v>
      </c>
      <c r="F1692" t="s">
        <v>574</v>
      </c>
      <c r="G1692" t="s">
        <v>5854</v>
      </c>
      <c r="H1692" t="str">
        <f>HYPERLINK("https://baanknet.com/view-property/211959/23F166ED3406817125FA55FB6A3BF0B649748097A1E9A6F5D082C5C4F24B090A", "https://baanknet.com/view-property/211959/23F166ED3406817125FA55FB6A3BF0B649748097A1E9A6F5D082C5C4F24B090A")</f>
        <v>https://baanknet.com/view-property/211959/23F166ED3406817125FA55FB6A3BF0B649748097A1E9A6F5D082C5C4F24B090A</v>
      </c>
      <c r="I1692" t="str">
        <f>HYPERLINK("https://baanknet.com/view-property/211959/23F166ED3406817125FA55FB6A3BF0B649748097A1E9A6F5D082C5C4F24B090A", "Open")</f>
        <v>Open</v>
      </c>
      <c r="J1692" t="s">
        <v>3803</v>
      </c>
      <c r="L1692">
        <v>1613000</v>
      </c>
      <c r="M1692">
        <v>161300</v>
      </c>
    </row>
    <row r="1693" spans="1:13" x14ac:dyDescent="0.25">
      <c r="A1693" t="s">
        <v>5855</v>
      </c>
      <c r="B1693" t="s">
        <v>5856</v>
      </c>
      <c r="C1693" t="s">
        <v>594</v>
      </c>
      <c r="D1693" t="s">
        <v>937</v>
      </c>
      <c r="E1693" t="s">
        <v>596</v>
      </c>
      <c r="F1693" t="s">
        <v>574</v>
      </c>
      <c r="G1693" t="s">
        <v>5857</v>
      </c>
      <c r="H1693" t="str">
        <f>HYPERLINK("https://baanknet.com/view-property/274143/6BC31144F0DF91B4CE32AF1F50987420568A30D1FAC9AD71A938390E18EF231D", "https://baanknet.com/view-property/274143/6BC31144F0DF91B4CE32AF1F50987420568A30D1FAC9AD71A938390E18EF231D")</f>
        <v>https://baanknet.com/view-property/274143/6BC31144F0DF91B4CE32AF1F50987420568A30D1FAC9AD71A938390E18EF231D</v>
      </c>
      <c r="I1693" t="str">
        <f>HYPERLINK("https://baanknet.com/view-property/274143/6BC31144F0DF91B4CE32AF1F50987420568A30D1FAC9AD71A938390E18EF231D", "Open")</f>
        <v>Open</v>
      </c>
      <c r="J1693" t="s">
        <v>3803</v>
      </c>
      <c r="L1693">
        <v>2443000</v>
      </c>
      <c r="M1693">
        <v>244300</v>
      </c>
    </row>
    <row r="1694" spans="1:13" x14ac:dyDescent="0.25">
      <c r="A1694" t="s">
        <v>5858</v>
      </c>
      <c r="B1694" t="s">
        <v>5859</v>
      </c>
      <c r="C1694" t="s">
        <v>594</v>
      </c>
      <c r="D1694" t="s">
        <v>937</v>
      </c>
      <c r="E1694" t="s">
        <v>596</v>
      </c>
      <c r="F1694" t="s">
        <v>574</v>
      </c>
      <c r="G1694" t="s">
        <v>5860</v>
      </c>
      <c r="H1694" t="str">
        <f>HYPERLINK("https://baanknet.com/view-property/269881/F86B65F457EC1C1668637D5CC995BD229CA6076CE13E417E1B5FAF61CB179E19", "https://baanknet.com/view-property/269881/F86B65F457EC1C1668637D5CC995BD229CA6076CE13E417E1B5FAF61CB179E19")</f>
        <v>https://baanknet.com/view-property/269881/F86B65F457EC1C1668637D5CC995BD229CA6076CE13E417E1B5FAF61CB179E19</v>
      </c>
      <c r="I1694" t="str">
        <f>HYPERLINK("https://baanknet.com/view-property/269881/F86B65F457EC1C1668637D5CC995BD229CA6076CE13E417E1B5FAF61CB179E19", "Open")</f>
        <v>Open</v>
      </c>
      <c r="J1694" t="s">
        <v>3803</v>
      </c>
      <c r="L1694">
        <v>2604000</v>
      </c>
      <c r="M1694">
        <v>260400</v>
      </c>
    </row>
    <row r="1695" spans="1:13" x14ac:dyDescent="0.25">
      <c r="A1695" t="s">
        <v>5861</v>
      </c>
      <c r="B1695" t="s">
        <v>5862</v>
      </c>
      <c r="C1695" t="s">
        <v>594</v>
      </c>
      <c r="D1695" t="s">
        <v>518</v>
      </c>
      <c r="E1695" t="s">
        <v>596</v>
      </c>
      <c r="F1695" t="s">
        <v>574</v>
      </c>
      <c r="G1695" t="s">
        <v>5863</v>
      </c>
      <c r="H1695" t="str">
        <f>HYPERLINK("https://baanknet.com/view-property/286304/E776DCF058C286E19F88CCB34F57B0BAF836ED91F1E22D0FC3D5E942129E714A", "https://baanknet.com/view-property/286304/E776DCF058C286E19F88CCB34F57B0BAF836ED91F1E22D0FC3D5E942129E714A")</f>
        <v>https://baanknet.com/view-property/286304/E776DCF058C286E19F88CCB34F57B0BAF836ED91F1E22D0FC3D5E942129E714A</v>
      </c>
      <c r="I1695" t="str">
        <f>HYPERLINK("https://baanknet.com/view-property/286304/E776DCF058C286E19F88CCB34F57B0BAF836ED91F1E22D0FC3D5E942129E714A", "Open")</f>
        <v>Open</v>
      </c>
      <c r="J1695" t="s">
        <v>3803</v>
      </c>
      <c r="L1695">
        <v>1717000</v>
      </c>
      <c r="M1695">
        <v>171700</v>
      </c>
    </row>
    <row r="1696" spans="1:13" x14ac:dyDescent="0.25">
      <c r="A1696" t="s">
        <v>5864</v>
      </c>
      <c r="B1696" t="s">
        <v>5865</v>
      </c>
      <c r="C1696" t="s">
        <v>594</v>
      </c>
      <c r="D1696" t="s">
        <v>518</v>
      </c>
      <c r="E1696" t="s">
        <v>596</v>
      </c>
      <c r="F1696" t="s">
        <v>574</v>
      </c>
      <c r="G1696" t="s">
        <v>5866</v>
      </c>
      <c r="H1696" t="str">
        <f>HYPERLINK("https://baanknet.com/view-property/286312/101357CD2CF9AFA5D99A389A33CDFC0864FF54F36B4691964EC6EC85C1DB9191", "https://baanknet.com/view-property/286312/101357CD2CF9AFA5D99A389A33CDFC0864FF54F36B4691964EC6EC85C1DB9191")</f>
        <v>https://baanknet.com/view-property/286312/101357CD2CF9AFA5D99A389A33CDFC0864FF54F36B4691964EC6EC85C1DB9191</v>
      </c>
      <c r="I1696" t="str">
        <f>HYPERLINK("https://baanknet.com/view-property/286312/101357CD2CF9AFA5D99A389A33CDFC0864FF54F36B4691964EC6EC85C1DB9191", "Open")</f>
        <v>Open</v>
      </c>
      <c r="J1696" t="s">
        <v>3803</v>
      </c>
      <c r="L1696">
        <v>3238500</v>
      </c>
      <c r="M1696">
        <v>323850</v>
      </c>
    </row>
    <row r="1697" spans="1:13" x14ac:dyDescent="0.25">
      <c r="A1697" t="s">
        <v>5867</v>
      </c>
      <c r="B1697" t="s">
        <v>5868</v>
      </c>
      <c r="C1697" t="s">
        <v>594</v>
      </c>
      <c r="D1697" t="s">
        <v>5869</v>
      </c>
      <c r="E1697" t="s">
        <v>596</v>
      </c>
      <c r="F1697" t="s">
        <v>574</v>
      </c>
      <c r="G1697" t="s">
        <v>5870</v>
      </c>
      <c r="H1697" t="str">
        <f>HYPERLINK("https://baanknet.com/view-property/286794/802A4C4CD1C679CAAB1EF4E76F68AD55D909B77F65C51034E5E43752FA353026", "https://baanknet.com/view-property/286794/802A4C4CD1C679CAAB1EF4E76F68AD55D909B77F65C51034E5E43752FA353026")</f>
        <v>https://baanknet.com/view-property/286794/802A4C4CD1C679CAAB1EF4E76F68AD55D909B77F65C51034E5E43752FA353026</v>
      </c>
      <c r="I1697" t="str">
        <f>HYPERLINK("https://baanknet.com/view-property/286794/802A4C4CD1C679CAAB1EF4E76F68AD55D909B77F65C51034E5E43752FA353026", "Open")</f>
        <v>Open</v>
      </c>
      <c r="J1697" t="s">
        <v>3803</v>
      </c>
      <c r="L1697">
        <v>1421000</v>
      </c>
      <c r="M1697">
        <v>142100</v>
      </c>
    </row>
    <row r="1698" spans="1:13" x14ac:dyDescent="0.25">
      <c r="A1698" t="s">
        <v>5871</v>
      </c>
      <c r="B1698" t="s">
        <v>5872</v>
      </c>
      <c r="C1698" t="s">
        <v>594</v>
      </c>
      <c r="D1698" t="s">
        <v>5873</v>
      </c>
      <c r="E1698" t="s">
        <v>596</v>
      </c>
      <c r="F1698" t="s">
        <v>574</v>
      </c>
      <c r="G1698" t="s">
        <v>5874</v>
      </c>
      <c r="H1698" t="str">
        <f>HYPERLINK("https://baanknet.com/view-property/216260/EE8549CEF6EEDBAA81996A6C661A890511FAA33E745DF5B5582DA353F062F076", "https://baanknet.com/view-property/216260/EE8549CEF6EEDBAA81996A6C661A890511FAA33E745DF5B5582DA353F062F076")</f>
        <v>https://baanknet.com/view-property/216260/EE8549CEF6EEDBAA81996A6C661A890511FAA33E745DF5B5582DA353F062F076</v>
      </c>
      <c r="I1698" t="str">
        <f>HYPERLINK("https://baanknet.com/view-property/216260/EE8549CEF6EEDBAA81996A6C661A890511FAA33E745DF5B5582DA353F062F076", "Open")</f>
        <v>Open</v>
      </c>
      <c r="J1698" t="s">
        <v>3803</v>
      </c>
      <c r="L1698">
        <v>2849000</v>
      </c>
      <c r="M1698">
        <v>284900</v>
      </c>
    </row>
    <row r="1699" spans="1:13" x14ac:dyDescent="0.25">
      <c r="A1699" t="s">
        <v>5875</v>
      </c>
      <c r="B1699" t="s">
        <v>5876</v>
      </c>
      <c r="C1699" t="s">
        <v>594</v>
      </c>
      <c r="D1699" t="s">
        <v>501</v>
      </c>
      <c r="E1699" t="s">
        <v>596</v>
      </c>
      <c r="F1699" t="s">
        <v>574</v>
      </c>
      <c r="G1699" t="s">
        <v>5877</v>
      </c>
      <c r="H1699" t="str">
        <f>HYPERLINK("https://baanknet.com/view-property/9952/4A2641331236F93E7309C507929E04E82E031E2118A4248B45F49A056EDE655C", "https://baanknet.com/view-property/9952/4A2641331236F93E7309C507929E04E82E031E2118A4248B45F49A056EDE655C")</f>
        <v>https://baanknet.com/view-property/9952/4A2641331236F93E7309C507929E04E82E031E2118A4248B45F49A056EDE655C</v>
      </c>
      <c r="I1699" t="str">
        <f>HYPERLINK("https://baanknet.com/view-property/9952/4A2641331236F93E7309C507929E04E82E031E2118A4248B45F49A056EDE655C", "Open")</f>
        <v>Open</v>
      </c>
      <c r="J1699" t="s">
        <v>3803</v>
      </c>
      <c r="L1699">
        <v>1350000</v>
      </c>
      <c r="M1699">
        <v>135000</v>
      </c>
    </row>
    <row r="1700" spans="1:13" x14ac:dyDescent="0.25">
      <c r="A1700" t="s">
        <v>5878</v>
      </c>
      <c r="B1700" t="s">
        <v>5879</v>
      </c>
      <c r="C1700" t="s">
        <v>594</v>
      </c>
      <c r="D1700" t="s">
        <v>5880</v>
      </c>
      <c r="E1700" t="s">
        <v>596</v>
      </c>
      <c r="F1700" t="s">
        <v>574</v>
      </c>
      <c r="G1700" t="s">
        <v>5881</v>
      </c>
      <c r="H1700" t="str">
        <f>HYPERLINK("https://baanknet.com/view-property/118945/94D783E2945A8E78CB8479FA04A8EAB2D843DE4660AD92F0BA1B998E00671CB1", "https://baanknet.com/view-property/118945/94D783E2945A8E78CB8479FA04A8EAB2D843DE4660AD92F0BA1B998E00671CB1")</f>
        <v>https://baanknet.com/view-property/118945/94D783E2945A8E78CB8479FA04A8EAB2D843DE4660AD92F0BA1B998E00671CB1</v>
      </c>
      <c r="I1700" t="str">
        <f>HYPERLINK("https://baanknet.com/view-property/118945/94D783E2945A8E78CB8479FA04A8EAB2D843DE4660AD92F0BA1B998E00671CB1", "Open")</f>
        <v>Open</v>
      </c>
      <c r="J1700" t="s">
        <v>3803</v>
      </c>
      <c r="L1700">
        <v>1190000</v>
      </c>
      <c r="M1700">
        <v>119000</v>
      </c>
    </row>
    <row r="1701" spans="1:13" x14ac:dyDescent="0.25">
      <c r="A1701" t="s">
        <v>5882</v>
      </c>
      <c r="B1701" t="s">
        <v>5883</v>
      </c>
      <c r="C1701" t="s">
        <v>594</v>
      </c>
      <c r="D1701" t="s">
        <v>1310</v>
      </c>
      <c r="E1701" t="s">
        <v>596</v>
      </c>
      <c r="F1701" t="s">
        <v>574</v>
      </c>
      <c r="G1701" t="s">
        <v>5884</v>
      </c>
      <c r="H1701" t="str">
        <f>HYPERLINK("https://baanknet.com/view-property/286840/2B4E80C6D6B01C3F3B99083863800ACD4EF4CD7427BCFB47F25E2FB38F045778", "https://baanknet.com/view-property/286840/2B4E80C6D6B01C3F3B99083863800ACD4EF4CD7427BCFB47F25E2FB38F045778")</f>
        <v>https://baanknet.com/view-property/286840/2B4E80C6D6B01C3F3B99083863800ACD4EF4CD7427BCFB47F25E2FB38F045778</v>
      </c>
      <c r="I1701" t="str">
        <f>HYPERLINK("https://baanknet.com/view-property/286840/2B4E80C6D6B01C3F3B99083863800ACD4EF4CD7427BCFB47F25E2FB38F045778", "Open")</f>
        <v>Open</v>
      </c>
      <c r="J1701" t="s">
        <v>3803</v>
      </c>
      <c r="L1701">
        <v>19400000</v>
      </c>
      <c r="M1701">
        <v>1940000</v>
      </c>
    </row>
    <row r="1702" spans="1:13" x14ac:dyDescent="0.25">
      <c r="A1702" t="s">
        <v>5885</v>
      </c>
      <c r="B1702" t="s">
        <v>5886</v>
      </c>
      <c r="C1702" t="s">
        <v>594</v>
      </c>
      <c r="D1702" t="s">
        <v>5887</v>
      </c>
      <c r="E1702" t="s">
        <v>596</v>
      </c>
      <c r="F1702" t="s">
        <v>574</v>
      </c>
      <c r="G1702" t="s">
        <v>5888</v>
      </c>
      <c r="H1702" t="str">
        <f>HYPERLINK("https://baanknet.com/view-property/252579/868511EBBD9D8F64F621441696910F053B76D91DF75BD3D90188CB8C4DDF2755", "https://baanknet.com/view-property/252579/868511EBBD9D8F64F621441696910F053B76D91DF75BD3D90188CB8C4DDF2755")</f>
        <v>https://baanknet.com/view-property/252579/868511EBBD9D8F64F621441696910F053B76D91DF75BD3D90188CB8C4DDF2755</v>
      </c>
      <c r="I1702" t="str">
        <f>HYPERLINK("https://baanknet.com/view-property/252579/868511EBBD9D8F64F621441696910F053B76D91DF75BD3D90188CB8C4DDF2755", "Open")</f>
        <v>Open</v>
      </c>
      <c r="J1702" t="s">
        <v>3803</v>
      </c>
      <c r="L1702">
        <v>682000</v>
      </c>
      <c r="M1702">
        <v>68200</v>
      </c>
    </row>
    <row r="1703" spans="1:13" x14ac:dyDescent="0.25">
      <c r="A1703" t="s">
        <v>5889</v>
      </c>
      <c r="B1703" t="s">
        <v>5890</v>
      </c>
      <c r="C1703" t="s">
        <v>594</v>
      </c>
      <c r="D1703" t="s">
        <v>5803</v>
      </c>
      <c r="E1703" t="s">
        <v>596</v>
      </c>
      <c r="F1703" t="s">
        <v>574</v>
      </c>
      <c r="G1703" t="s">
        <v>5891</v>
      </c>
      <c r="H1703" t="str">
        <f>HYPERLINK("https://baanknet.com/view-property/48530/8E79C4E9092A5F346D37547F9FFCD0EF56BABEB73273199E268D59B3417957A9", "https://baanknet.com/view-property/48530/8E79C4E9092A5F346D37547F9FFCD0EF56BABEB73273199E268D59B3417957A9")</f>
        <v>https://baanknet.com/view-property/48530/8E79C4E9092A5F346D37547F9FFCD0EF56BABEB73273199E268D59B3417957A9</v>
      </c>
      <c r="I1703" t="str">
        <f>HYPERLINK("https://baanknet.com/view-property/48530/8E79C4E9092A5F346D37547F9FFCD0EF56BABEB73273199E268D59B3417957A9", "Open")</f>
        <v>Open</v>
      </c>
      <c r="J1703" t="s">
        <v>3803</v>
      </c>
      <c r="L1703">
        <v>22000000</v>
      </c>
      <c r="M1703">
        <v>2200000</v>
      </c>
    </row>
    <row r="1704" spans="1:13" x14ac:dyDescent="0.25">
      <c r="A1704" t="s">
        <v>5892</v>
      </c>
      <c r="B1704" t="s">
        <v>5893</v>
      </c>
      <c r="C1704" t="s">
        <v>594</v>
      </c>
      <c r="D1704" t="s">
        <v>5894</v>
      </c>
      <c r="E1704" t="s">
        <v>596</v>
      </c>
      <c r="F1704" t="s">
        <v>574</v>
      </c>
      <c r="G1704" t="s">
        <v>5895</v>
      </c>
      <c r="H1704" t="str">
        <f>HYPERLINK("https://baanknet.com/view-property/22576/D1D86D9F4B957AFFA664BAD656CA1AA564E9AF891DE09303F6D7C8CC1B8269CA", "https://baanknet.com/view-property/22576/D1D86D9F4B957AFFA664BAD656CA1AA564E9AF891DE09303F6D7C8CC1B8269CA")</f>
        <v>https://baanknet.com/view-property/22576/D1D86D9F4B957AFFA664BAD656CA1AA564E9AF891DE09303F6D7C8CC1B8269CA</v>
      </c>
      <c r="I1704" t="str">
        <f>HYPERLINK("https://baanknet.com/view-property/22576/D1D86D9F4B957AFFA664BAD656CA1AA564E9AF891DE09303F6D7C8CC1B8269CA", "Open")</f>
        <v>Open</v>
      </c>
      <c r="J1704" t="s">
        <v>3803</v>
      </c>
      <c r="L1704">
        <v>1134000</v>
      </c>
      <c r="M1704">
        <v>113400</v>
      </c>
    </row>
    <row r="1705" spans="1:13" x14ac:dyDescent="0.25">
      <c r="A1705" t="s">
        <v>5896</v>
      </c>
      <c r="B1705" t="s">
        <v>5897</v>
      </c>
      <c r="C1705" t="s">
        <v>594</v>
      </c>
      <c r="D1705" t="s">
        <v>501</v>
      </c>
      <c r="E1705" t="s">
        <v>596</v>
      </c>
      <c r="F1705" t="s">
        <v>574</v>
      </c>
      <c r="G1705" t="s">
        <v>5898</v>
      </c>
      <c r="H1705" t="str">
        <f>HYPERLINK("https://baanknet.com/view-property/27080/0D1E7EB208C3CE697941C50E07C48793FE8AE65E24605E36EC3C6D3A18576763", "https://baanknet.com/view-property/27080/0D1E7EB208C3CE697941C50E07C48793FE8AE65E24605E36EC3C6D3A18576763")</f>
        <v>https://baanknet.com/view-property/27080/0D1E7EB208C3CE697941C50E07C48793FE8AE65E24605E36EC3C6D3A18576763</v>
      </c>
      <c r="I1705" t="str">
        <f>HYPERLINK("https://baanknet.com/view-property/27080/0D1E7EB208C3CE697941C50E07C48793FE8AE65E24605E36EC3C6D3A18576763", "Open")</f>
        <v>Open</v>
      </c>
      <c r="J1705" t="s">
        <v>3803</v>
      </c>
      <c r="L1705">
        <v>1750000</v>
      </c>
      <c r="M1705">
        <v>175000</v>
      </c>
    </row>
    <row r="1706" spans="1:13" x14ac:dyDescent="0.25">
      <c r="A1706" t="s">
        <v>5899</v>
      </c>
      <c r="B1706" t="s">
        <v>5900</v>
      </c>
      <c r="C1706" t="s">
        <v>594</v>
      </c>
      <c r="D1706" t="s">
        <v>5901</v>
      </c>
      <c r="E1706" t="s">
        <v>596</v>
      </c>
      <c r="F1706" t="s">
        <v>574</v>
      </c>
      <c r="G1706" t="s">
        <v>5902</v>
      </c>
      <c r="H1706" t="str">
        <f>HYPERLINK("https://baanknet.com/view-property/103364/F5371AB15007C00CAB3306FB7A64AE190C9B08E4E52D3DE722D6F7CFF374E9FA", "https://baanknet.com/view-property/103364/F5371AB15007C00CAB3306FB7A64AE190C9B08E4E52D3DE722D6F7CFF374E9FA")</f>
        <v>https://baanknet.com/view-property/103364/F5371AB15007C00CAB3306FB7A64AE190C9B08E4E52D3DE722D6F7CFF374E9FA</v>
      </c>
      <c r="I1706" t="str">
        <f>HYPERLINK("https://baanknet.com/view-property/103364/F5371AB15007C00CAB3306FB7A64AE190C9B08E4E52D3DE722D6F7CFF374E9FA", "Open")</f>
        <v>Open</v>
      </c>
      <c r="J1706" t="s">
        <v>3803</v>
      </c>
      <c r="L1706">
        <v>1010000</v>
      </c>
      <c r="M1706">
        <v>101000</v>
      </c>
    </row>
    <row r="1707" spans="1:13" x14ac:dyDescent="0.25">
      <c r="A1707" t="s">
        <v>5903</v>
      </c>
      <c r="B1707" t="s">
        <v>5904</v>
      </c>
      <c r="C1707" t="s">
        <v>594</v>
      </c>
      <c r="D1707" t="s">
        <v>3994</v>
      </c>
      <c r="E1707" t="s">
        <v>596</v>
      </c>
      <c r="F1707" t="s">
        <v>574</v>
      </c>
      <c r="G1707" t="s">
        <v>5905</v>
      </c>
      <c r="H1707" t="str">
        <f>HYPERLINK("https://baanknet.com/view-property/211804/5CC08BC346E03DEFBA10DE1602DD0CCAF24B031EE51FFAA5E8C676A8D0406641", "https://baanknet.com/view-property/211804/5CC08BC346E03DEFBA10DE1602DD0CCAF24B031EE51FFAA5E8C676A8D0406641")</f>
        <v>https://baanknet.com/view-property/211804/5CC08BC346E03DEFBA10DE1602DD0CCAF24B031EE51FFAA5E8C676A8D0406641</v>
      </c>
      <c r="I1707" t="str">
        <f>HYPERLINK("https://baanknet.com/view-property/211804/5CC08BC346E03DEFBA10DE1602DD0CCAF24B031EE51FFAA5E8C676A8D0406641", "Open")</f>
        <v>Open</v>
      </c>
      <c r="J1707" t="s">
        <v>3803</v>
      </c>
      <c r="L1707">
        <v>782000</v>
      </c>
      <c r="M1707">
        <v>78200</v>
      </c>
    </row>
    <row r="1708" spans="1:13" x14ac:dyDescent="0.25">
      <c r="A1708" t="s">
        <v>5906</v>
      </c>
      <c r="B1708" t="s">
        <v>5907</v>
      </c>
      <c r="C1708" t="s">
        <v>594</v>
      </c>
      <c r="D1708" t="s">
        <v>5908</v>
      </c>
      <c r="E1708" t="s">
        <v>596</v>
      </c>
      <c r="F1708" t="s">
        <v>574</v>
      </c>
      <c r="G1708" t="s">
        <v>5909</v>
      </c>
      <c r="H1708" t="str">
        <f>HYPERLINK("https://baanknet.com/view-property/245853/8BB5C28FDBE930BCD0BBA637A245CA19E2D44E4411422F788B36D451304EBCC0", "https://baanknet.com/view-property/245853/8BB5C28FDBE930BCD0BBA637A245CA19E2D44E4411422F788B36D451304EBCC0")</f>
        <v>https://baanknet.com/view-property/245853/8BB5C28FDBE930BCD0BBA637A245CA19E2D44E4411422F788B36D451304EBCC0</v>
      </c>
      <c r="I1708" t="str">
        <f>HYPERLINK("https://baanknet.com/view-property/245853/8BB5C28FDBE930BCD0BBA637A245CA19E2D44E4411422F788B36D451304EBCC0", "Open")</f>
        <v>Open</v>
      </c>
      <c r="J1708" t="s">
        <v>3803</v>
      </c>
      <c r="L1708">
        <v>1000000</v>
      </c>
      <c r="M1708">
        <v>100000</v>
      </c>
    </row>
    <row r="1709" spans="1:13" x14ac:dyDescent="0.25">
      <c r="A1709" t="s">
        <v>5910</v>
      </c>
      <c r="B1709" t="s">
        <v>5911</v>
      </c>
      <c r="C1709" t="s">
        <v>594</v>
      </c>
      <c r="D1709" t="s">
        <v>5365</v>
      </c>
      <c r="E1709" t="s">
        <v>596</v>
      </c>
      <c r="F1709" t="s">
        <v>574</v>
      </c>
      <c r="G1709" t="s">
        <v>5912</v>
      </c>
      <c r="H1709" t="str">
        <f>HYPERLINK("https://baanknet.com/view-property/277388/7E62DE828DF1096E88F35F7023B41CF62E347A6FB51EC356889CB3DDA90518C4", "https://baanknet.com/view-property/277388/7E62DE828DF1096E88F35F7023B41CF62E347A6FB51EC356889CB3DDA90518C4")</f>
        <v>https://baanknet.com/view-property/277388/7E62DE828DF1096E88F35F7023B41CF62E347A6FB51EC356889CB3DDA90518C4</v>
      </c>
      <c r="I1709" t="str">
        <f>HYPERLINK("https://baanknet.com/view-property/277388/7E62DE828DF1096E88F35F7023B41CF62E347A6FB51EC356889CB3DDA90518C4", "Open")</f>
        <v>Open</v>
      </c>
      <c r="J1709" t="s">
        <v>3803</v>
      </c>
      <c r="L1709">
        <v>3065000</v>
      </c>
      <c r="M1709">
        <v>306500</v>
      </c>
    </row>
    <row r="1710" spans="1:13" x14ac:dyDescent="0.25">
      <c r="A1710" t="s">
        <v>5913</v>
      </c>
      <c r="B1710" t="s">
        <v>5914</v>
      </c>
      <c r="C1710" t="s">
        <v>594</v>
      </c>
      <c r="D1710" t="s">
        <v>5803</v>
      </c>
      <c r="E1710" t="s">
        <v>596</v>
      </c>
      <c r="F1710" t="s">
        <v>574</v>
      </c>
      <c r="G1710" t="s">
        <v>5915</v>
      </c>
      <c r="H1710" t="str">
        <f>HYPERLINK("https://baanknet.com/view-property/204581/4C02DFAB52257BB76B3665D1D85AC5C8AB09D912A35C4D8EC9CD706043AD0B6F", "https://baanknet.com/view-property/204581/4C02DFAB52257BB76B3665D1D85AC5C8AB09D912A35C4D8EC9CD706043AD0B6F")</f>
        <v>https://baanknet.com/view-property/204581/4C02DFAB52257BB76B3665D1D85AC5C8AB09D912A35C4D8EC9CD706043AD0B6F</v>
      </c>
      <c r="I1710" t="str">
        <f>HYPERLINK("https://baanknet.com/view-property/204581/4C02DFAB52257BB76B3665D1D85AC5C8AB09D912A35C4D8EC9CD706043AD0B6F", "Open")</f>
        <v>Open</v>
      </c>
      <c r="J1710" t="s">
        <v>3803</v>
      </c>
      <c r="L1710">
        <v>1650000</v>
      </c>
      <c r="M1710">
        <v>165000</v>
      </c>
    </row>
    <row r="1711" spans="1:13" x14ac:dyDescent="0.25">
      <c r="A1711" t="s">
        <v>5916</v>
      </c>
      <c r="B1711" t="s">
        <v>5917</v>
      </c>
      <c r="C1711" t="s">
        <v>594</v>
      </c>
      <c r="D1711" t="s">
        <v>853</v>
      </c>
      <c r="E1711" t="s">
        <v>596</v>
      </c>
      <c r="F1711" t="s">
        <v>574</v>
      </c>
      <c r="G1711" t="s">
        <v>5918</v>
      </c>
      <c r="H1711" t="str">
        <f>HYPERLINK("https://baanknet.com/view-property/118061/8FF9CE5DCC01EE4F773EB8AC77BCC9B2618279658F6A29C3DCE7A38145266FCC", "https://baanknet.com/view-property/118061/8FF9CE5DCC01EE4F773EB8AC77BCC9B2618279658F6A29C3DCE7A38145266FCC")</f>
        <v>https://baanknet.com/view-property/118061/8FF9CE5DCC01EE4F773EB8AC77BCC9B2618279658F6A29C3DCE7A38145266FCC</v>
      </c>
      <c r="I1711" t="str">
        <f>HYPERLINK("https://baanknet.com/view-property/118061/8FF9CE5DCC01EE4F773EB8AC77BCC9B2618279658F6A29C3DCE7A38145266FCC", "Open")</f>
        <v>Open</v>
      </c>
      <c r="J1711" t="s">
        <v>3803</v>
      </c>
      <c r="L1711">
        <v>1100000</v>
      </c>
      <c r="M1711">
        <v>110000</v>
      </c>
    </row>
    <row r="1712" spans="1:13" x14ac:dyDescent="0.25">
      <c r="A1712" t="s">
        <v>5919</v>
      </c>
      <c r="B1712" t="s">
        <v>5920</v>
      </c>
      <c r="C1712" t="s">
        <v>594</v>
      </c>
      <c r="D1712" t="s">
        <v>5921</v>
      </c>
      <c r="E1712" t="s">
        <v>596</v>
      </c>
      <c r="F1712" t="s">
        <v>574</v>
      </c>
      <c r="G1712" t="s">
        <v>5922</v>
      </c>
      <c r="H1712" t="str">
        <f>HYPERLINK("https://baanknet.com/view-property/218889/138F45854770B722A2C4DE6A5DF6E4E863BFC523B77FFEA536059E7F763E123F", "https://baanknet.com/view-property/218889/138F45854770B722A2C4DE6A5DF6E4E863BFC523B77FFEA536059E7F763E123F")</f>
        <v>https://baanknet.com/view-property/218889/138F45854770B722A2C4DE6A5DF6E4E863BFC523B77FFEA536059E7F763E123F</v>
      </c>
      <c r="I1712" t="str">
        <f>HYPERLINK("https://baanknet.com/view-property/218889/138F45854770B722A2C4DE6A5DF6E4E863BFC523B77FFEA536059E7F763E123F", "Open")</f>
        <v>Open</v>
      </c>
      <c r="J1712" t="s">
        <v>3803</v>
      </c>
      <c r="L1712">
        <v>1620000</v>
      </c>
      <c r="M1712">
        <v>162000</v>
      </c>
    </row>
    <row r="1713" spans="1:13" x14ac:dyDescent="0.25">
      <c r="A1713" t="s">
        <v>5923</v>
      </c>
      <c r="B1713" t="s">
        <v>5924</v>
      </c>
      <c r="C1713" t="s">
        <v>594</v>
      </c>
      <c r="D1713" t="s">
        <v>2477</v>
      </c>
      <c r="E1713" t="s">
        <v>596</v>
      </c>
      <c r="F1713" t="s">
        <v>574</v>
      </c>
      <c r="G1713" t="s">
        <v>5925</v>
      </c>
      <c r="H1713" t="str">
        <f>HYPERLINK("https://baanknet.com/view-property/120066/508B2D68533A99B7A3ACB632BF7076356CFDA80BFB971358330107547DD179D1", "https://baanknet.com/view-property/120066/508B2D68533A99B7A3ACB632BF7076356CFDA80BFB971358330107547DD179D1")</f>
        <v>https://baanknet.com/view-property/120066/508B2D68533A99B7A3ACB632BF7076356CFDA80BFB971358330107547DD179D1</v>
      </c>
      <c r="I1713" t="str">
        <f>HYPERLINK("https://baanknet.com/view-property/120066/508B2D68533A99B7A3ACB632BF7076356CFDA80BFB971358330107547DD179D1", "Open")</f>
        <v>Open</v>
      </c>
      <c r="J1713" t="s">
        <v>3803</v>
      </c>
      <c r="L1713">
        <v>9095000</v>
      </c>
      <c r="M1713">
        <v>909500</v>
      </c>
    </row>
    <row r="1714" spans="1:13" x14ac:dyDescent="0.25">
      <c r="A1714" t="s">
        <v>5926</v>
      </c>
      <c r="B1714" t="s">
        <v>5927</v>
      </c>
      <c r="C1714" t="s">
        <v>594</v>
      </c>
      <c r="D1714" t="s">
        <v>5365</v>
      </c>
      <c r="E1714" t="s">
        <v>596</v>
      </c>
      <c r="F1714" t="s">
        <v>574</v>
      </c>
      <c r="G1714" t="s">
        <v>5928</v>
      </c>
      <c r="H1714" t="str">
        <f>HYPERLINK("https://baanknet.com/view-property/272119/158C256A90F78E22199DFF78AE17A311C087442FCA170CECA528624B84CE9991", "https://baanknet.com/view-property/272119/158C256A90F78E22199DFF78AE17A311C087442FCA170CECA528624B84CE9991")</f>
        <v>https://baanknet.com/view-property/272119/158C256A90F78E22199DFF78AE17A311C087442FCA170CECA528624B84CE9991</v>
      </c>
      <c r="I1714" t="str">
        <f>HYPERLINK("https://baanknet.com/view-property/272119/158C256A90F78E22199DFF78AE17A311C087442FCA170CECA528624B84CE9991", "Open")</f>
        <v>Open</v>
      </c>
      <c r="J1714" t="s">
        <v>3803</v>
      </c>
      <c r="L1714">
        <v>995000</v>
      </c>
      <c r="M1714">
        <v>99500</v>
      </c>
    </row>
    <row r="1715" spans="1:13" x14ac:dyDescent="0.25">
      <c r="A1715" t="s">
        <v>5929</v>
      </c>
      <c r="B1715" t="s">
        <v>5930</v>
      </c>
      <c r="C1715" t="s">
        <v>594</v>
      </c>
      <c r="D1715" t="s">
        <v>5811</v>
      </c>
      <c r="E1715" t="s">
        <v>596</v>
      </c>
      <c r="F1715" t="s">
        <v>574</v>
      </c>
      <c r="G1715" t="s">
        <v>5931</v>
      </c>
      <c r="H1715" t="str">
        <f>HYPERLINK("https://baanknet.com/view-property/280303/AB928119D2BF65B6CE4FFF82CEF06F78E5A92CDE83A3051CC16C6ECA78E6B4FC", "https://baanknet.com/view-property/280303/AB928119D2BF65B6CE4FFF82CEF06F78E5A92CDE83A3051CC16C6ECA78E6B4FC")</f>
        <v>https://baanknet.com/view-property/280303/AB928119D2BF65B6CE4FFF82CEF06F78E5A92CDE83A3051CC16C6ECA78E6B4FC</v>
      </c>
      <c r="I1715" t="str">
        <f>HYPERLINK("https://baanknet.com/view-property/280303/AB928119D2BF65B6CE4FFF82CEF06F78E5A92CDE83A3051CC16C6ECA78E6B4FC", "Open")</f>
        <v>Open</v>
      </c>
      <c r="J1715" t="s">
        <v>3803</v>
      </c>
      <c r="L1715">
        <v>1500000</v>
      </c>
      <c r="M1715">
        <v>150000</v>
      </c>
    </row>
    <row r="1716" spans="1:13" x14ac:dyDescent="0.25">
      <c r="A1716" t="s">
        <v>5932</v>
      </c>
      <c r="B1716" t="s">
        <v>5933</v>
      </c>
      <c r="C1716" t="s">
        <v>594</v>
      </c>
      <c r="D1716" t="s">
        <v>5908</v>
      </c>
      <c r="E1716" t="s">
        <v>596</v>
      </c>
      <c r="F1716" t="s">
        <v>574</v>
      </c>
      <c r="G1716" t="s">
        <v>5934</v>
      </c>
      <c r="H1716" t="str">
        <f>HYPERLINK("https://baanknet.com/view-property/63406/EE8F50C26FBA10D0DBFE26D555F0B02AFA76022182395CEDCE60D893B54AA90E", "https://baanknet.com/view-property/63406/EE8F50C26FBA10D0DBFE26D555F0B02AFA76022182395CEDCE60D893B54AA90E")</f>
        <v>https://baanknet.com/view-property/63406/EE8F50C26FBA10D0DBFE26D555F0B02AFA76022182395CEDCE60D893B54AA90E</v>
      </c>
      <c r="I1716" t="str">
        <f>HYPERLINK("https://baanknet.com/view-property/63406/EE8F50C26FBA10D0DBFE26D555F0B02AFA76022182395CEDCE60D893B54AA90E", "Open")</f>
        <v>Open</v>
      </c>
      <c r="J1716" t="s">
        <v>3803</v>
      </c>
      <c r="L1716">
        <v>1400000</v>
      </c>
      <c r="M1716">
        <v>140000</v>
      </c>
    </row>
    <row r="1717" spans="1:13" x14ac:dyDescent="0.25">
      <c r="A1717" t="s">
        <v>5935</v>
      </c>
      <c r="B1717" t="s">
        <v>5936</v>
      </c>
      <c r="C1717" t="s">
        <v>594</v>
      </c>
      <c r="D1717" t="s">
        <v>5937</v>
      </c>
      <c r="E1717" t="s">
        <v>596</v>
      </c>
      <c r="F1717" t="s">
        <v>574</v>
      </c>
      <c r="G1717" t="s">
        <v>5938</v>
      </c>
      <c r="H1717" t="str">
        <f>HYPERLINK("https://baanknet.com/view-property/255339/D5DC4ABD525D4FDCFF52DA75C1FFE9C797020EBF722CF89EEB359F5D35F975C6", "https://baanknet.com/view-property/255339/D5DC4ABD525D4FDCFF52DA75C1FFE9C797020EBF722CF89EEB359F5D35F975C6")</f>
        <v>https://baanknet.com/view-property/255339/D5DC4ABD525D4FDCFF52DA75C1FFE9C797020EBF722CF89EEB359F5D35F975C6</v>
      </c>
      <c r="I1717" t="str">
        <f>HYPERLINK("https://baanknet.com/view-property/255339/D5DC4ABD525D4FDCFF52DA75C1FFE9C797020EBF722CF89EEB359F5D35F975C6", "Open")</f>
        <v>Open</v>
      </c>
      <c r="J1717" t="s">
        <v>3803</v>
      </c>
      <c r="L1717">
        <v>3651300</v>
      </c>
      <c r="M1717">
        <v>365130</v>
      </c>
    </row>
    <row r="1718" spans="1:13" x14ac:dyDescent="0.25">
      <c r="A1718" t="s">
        <v>5939</v>
      </c>
      <c r="B1718" t="s">
        <v>5940</v>
      </c>
      <c r="C1718" t="s">
        <v>594</v>
      </c>
      <c r="D1718" t="s">
        <v>1520</v>
      </c>
      <c r="E1718" t="s">
        <v>596</v>
      </c>
      <c r="F1718" t="s">
        <v>574</v>
      </c>
      <c r="G1718" t="s">
        <v>5941</v>
      </c>
      <c r="H1718" t="str">
        <f>HYPERLINK("https://baanknet.com/view-property/261799/D49BD3617E090F5D125E10E31D998C2D61533C4759E4852AA78B81E69B3EBF67", "https://baanknet.com/view-property/261799/D49BD3617E090F5D125E10E31D998C2D61533C4759E4852AA78B81E69B3EBF67")</f>
        <v>https://baanknet.com/view-property/261799/D49BD3617E090F5D125E10E31D998C2D61533C4759E4852AA78B81E69B3EBF67</v>
      </c>
      <c r="I1718" t="str">
        <f>HYPERLINK("https://baanknet.com/view-property/261799/D49BD3617E090F5D125E10E31D998C2D61533C4759E4852AA78B81E69B3EBF67", "Open")</f>
        <v>Open</v>
      </c>
      <c r="J1718" t="s">
        <v>3803</v>
      </c>
      <c r="L1718">
        <v>3240000</v>
      </c>
      <c r="M1718">
        <v>324000</v>
      </c>
    </row>
    <row r="1719" spans="1:13" x14ac:dyDescent="0.25">
      <c r="A1719" t="s">
        <v>5942</v>
      </c>
      <c r="B1719" t="s">
        <v>5943</v>
      </c>
      <c r="C1719" t="s">
        <v>594</v>
      </c>
      <c r="D1719" t="s">
        <v>5944</v>
      </c>
      <c r="E1719" t="s">
        <v>596</v>
      </c>
      <c r="F1719" t="s">
        <v>574</v>
      </c>
      <c r="G1719" t="s">
        <v>5945</v>
      </c>
      <c r="H1719" t="str">
        <f>HYPERLINK("https://baanknet.com/view-property/105333/45EF221828931A7E003428DD4126AB0C51D7335872A10B34BCC62C7026438743", "https://baanknet.com/view-property/105333/45EF221828931A7E003428DD4126AB0C51D7335872A10B34BCC62C7026438743")</f>
        <v>https://baanknet.com/view-property/105333/45EF221828931A7E003428DD4126AB0C51D7335872A10B34BCC62C7026438743</v>
      </c>
      <c r="I1719" t="str">
        <f>HYPERLINK("https://baanknet.com/view-property/105333/45EF221828931A7E003428DD4126AB0C51D7335872A10B34BCC62C7026438743", "Open")</f>
        <v>Open</v>
      </c>
      <c r="J1719" t="s">
        <v>3803</v>
      </c>
      <c r="L1719">
        <v>1296000</v>
      </c>
      <c r="M1719">
        <v>129600</v>
      </c>
    </row>
    <row r="1720" spans="1:13" x14ac:dyDescent="0.25">
      <c r="A1720" t="s">
        <v>5946</v>
      </c>
      <c r="B1720" t="s">
        <v>5947</v>
      </c>
      <c r="C1720" t="s">
        <v>594</v>
      </c>
      <c r="D1720" t="s">
        <v>3554</v>
      </c>
      <c r="E1720" t="s">
        <v>596</v>
      </c>
      <c r="F1720" t="s">
        <v>574</v>
      </c>
      <c r="G1720" t="s">
        <v>5948</v>
      </c>
      <c r="H1720" t="str">
        <f>HYPERLINK("https://baanknet.com/view-property/277706/9E577167E8199A09D11A95155435C951C51D05DFB08A7E2412BD9239C47E8B2C", "https://baanknet.com/view-property/277706/9E577167E8199A09D11A95155435C951C51D05DFB08A7E2412BD9239C47E8B2C")</f>
        <v>https://baanknet.com/view-property/277706/9E577167E8199A09D11A95155435C951C51D05DFB08A7E2412BD9239C47E8B2C</v>
      </c>
      <c r="I1720" t="str">
        <f>HYPERLINK("https://baanknet.com/view-property/277706/9E577167E8199A09D11A95155435C951C51D05DFB08A7E2412BD9239C47E8B2C", "Open")</f>
        <v>Open</v>
      </c>
      <c r="J1720" t="s">
        <v>3803</v>
      </c>
      <c r="L1720">
        <v>3531317</v>
      </c>
      <c r="M1720">
        <v>353131.7</v>
      </c>
    </row>
    <row r="1721" spans="1:13" x14ac:dyDescent="0.25">
      <c r="A1721" t="s">
        <v>5949</v>
      </c>
      <c r="B1721" t="s">
        <v>5950</v>
      </c>
      <c r="C1721" t="s">
        <v>594</v>
      </c>
      <c r="D1721" t="s">
        <v>5951</v>
      </c>
      <c r="E1721" t="s">
        <v>596</v>
      </c>
      <c r="F1721" t="s">
        <v>574</v>
      </c>
      <c r="G1721" t="s">
        <v>5952</v>
      </c>
      <c r="H1721" t="str">
        <f>HYPERLINK("https://baanknet.com/view-property/275248/D5A346B1ABF5A7E655B9CCD5BCDE14FE1B264994A84C258094B2A5B84A8EE91D", "https://baanknet.com/view-property/275248/D5A346B1ABF5A7E655B9CCD5BCDE14FE1B264994A84C258094B2A5B84A8EE91D")</f>
        <v>https://baanknet.com/view-property/275248/D5A346B1ABF5A7E655B9CCD5BCDE14FE1B264994A84C258094B2A5B84A8EE91D</v>
      </c>
      <c r="I1721" t="str">
        <f>HYPERLINK("https://baanknet.com/view-property/275248/D5A346B1ABF5A7E655B9CCD5BCDE14FE1B264994A84C258094B2A5B84A8EE91D", "Open")</f>
        <v>Open</v>
      </c>
      <c r="J1721" t="s">
        <v>3803</v>
      </c>
      <c r="L1721">
        <v>2935319</v>
      </c>
      <c r="M1721">
        <v>293531.90000000002</v>
      </c>
    </row>
    <row r="1722" spans="1:13" x14ac:dyDescent="0.25">
      <c r="A1722" t="s">
        <v>5953</v>
      </c>
      <c r="B1722" t="s">
        <v>5954</v>
      </c>
      <c r="C1722" t="s">
        <v>594</v>
      </c>
      <c r="D1722" t="s">
        <v>5955</v>
      </c>
      <c r="E1722" t="s">
        <v>596</v>
      </c>
      <c r="F1722" t="s">
        <v>574</v>
      </c>
      <c r="G1722" t="s">
        <v>5956</v>
      </c>
      <c r="H1722" t="str">
        <f>HYPERLINK("https://baanknet.com/view-property/275236/425ECBDC1A67A365FDEEFBE5F6FB3B6A1DA65E0B149D85413B165650E0054248", "https://baanknet.com/view-property/275236/425ECBDC1A67A365FDEEFBE5F6FB3B6A1DA65E0B149D85413B165650E0054248")</f>
        <v>https://baanknet.com/view-property/275236/425ECBDC1A67A365FDEEFBE5F6FB3B6A1DA65E0B149D85413B165650E0054248</v>
      </c>
      <c r="I1722" t="str">
        <f>HYPERLINK("https://baanknet.com/view-property/275236/425ECBDC1A67A365FDEEFBE5F6FB3B6A1DA65E0B149D85413B165650E0054248", "Open")</f>
        <v>Open</v>
      </c>
      <c r="J1722" t="s">
        <v>3803</v>
      </c>
      <c r="L1722">
        <v>2656080</v>
      </c>
      <c r="M1722">
        <v>265608</v>
      </c>
    </row>
    <row r="1723" spans="1:13" x14ac:dyDescent="0.25">
      <c r="A1723" t="s">
        <v>5957</v>
      </c>
      <c r="B1723" t="s">
        <v>5958</v>
      </c>
      <c r="C1723" t="s">
        <v>594</v>
      </c>
      <c r="D1723" t="s">
        <v>5955</v>
      </c>
      <c r="E1723" t="s">
        <v>596</v>
      </c>
      <c r="F1723" t="s">
        <v>574</v>
      </c>
      <c r="G1723" t="s">
        <v>5959</v>
      </c>
      <c r="H1723" t="str">
        <f>HYPERLINK("https://baanknet.com/view-property/115965/99448C92BD4023266ECBCF9BF6DE7258DE5EC77AD0BF0598AAE365F966CA9078", "https://baanknet.com/view-property/115965/99448C92BD4023266ECBCF9BF6DE7258DE5EC77AD0BF0598AAE365F966CA9078")</f>
        <v>https://baanknet.com/view-property/115965/99448C92BD4023266ECBCF9BF6DE7258DE5EC77AD0BF0598AAE365F966CA9078</v>
      </c>
      <c r="I1723" t="str">
        <f>HYPERLINK("https://baanknet.com/view-property/115965/99448C92BD4023266ECBCF9BF6DE7258DE5EC77AD0BF0598AAE365F966CA9078", "Open")</f>
        <v>Open</v>
      </c>
      <c r="J1723" t="s">
        <v>3803</v>
      </c>
      <c r="L1723">
        <v>5744156</v>
      </c>
      <c r="M1723">
        <v>574415.6</v>
      </c>
    </row>
    <row r="1724" spans="1:13" x14ac:dyDescent="0.25">
      <c r="A1724" t="s">
        <v>5960</v>
      </c>
      <c r="B1724" t="s">
        <v>5961</v>
      </c>
      <c r="C1724" t="s">
        <v>594</v>
      </c>
      <c r="D1724" t="s">
        <v>5811</v>
      </c>
      <c r="E1724" t="s">
        <v>596</v>
      </c>
      <c r="F1724" t="s">
        <v>574</v>
      </c>
      <c r="G1724" t="s">
        <v>5962</v>
      </c>
      <c r="H1724" t="str">
        <f>HYPERLINK("https://baanknet.com/view-property/280287/01088662A0D2F1EF6A9E92B0B1F29A4DB931B7A0EAE1FA147E41264E19577B9C", "https://baanknet.com/view-property/280287/01088662A0D2F1EF6A9E92B0B1F29A4DB931B7A0EAE1FA147E41264E19577B9C")</f>
        <v>https://baanknet.com/view-property/280287/01088662A0D2F1EF6A9E92B0B1F29A4DB931B7A0EAE1FA147E41264E19577B9C</v>
      </c>
      <c r="I1724" t="str">
        <f>HYPERLINK("https://baanknet.com/view-property/280287/01088662A0D2F1EF6A9E92B0B1F29A4DB931B7A0EAE1FA147E41264E19577B9C", "Open")</f>
        <v>Open</v>
      </c>
      <c r="J1724" t="s">
        <v>3803</v>
      </c>
      <c r="L1724">
        <v>1800000</v>
      </c>
      <c r="M1724">
        <v>180000</v>
      </c>
    </row>
    <row r="1725" spans="1:13" x14ac:dyDescent="0.25">
      <c r="A1725" t="s">
        <v>5963</v>
      </c>
      <c r="B1725" t="s">
        <v>5964</v>
      </c>
      <c r="C1725" t="s">
        <v>594</v>
      </c>
      <c r="D1725" t="s">
        <v>5955</v>
      </c>
      <c r="E1725" t="s">
        <v>596</v>
      </c>
      <c r="F1725" t="s">
        <v>574</v>
      </c>
      <c r="G1725" t="s">
        <v>5965</v>
      </c>
      <c r="H1725" t="str">
        <f>HYPERLINK("https://baanknet.com/view-property/275554/04E4953C425FD30142B1B54A121925EB767A4CDF81223C2D440A88C51C218B83", "https://baanknet.com/view-property/275554/04E4953C425FD30142B1B54A121925EB767A4CDF81223C2D440A88C51C218B83")</f>
        <v>https://baanknet.com/view-property/275554/04E4953C425FD30142B1B54A121925EB767A4CDF81223C2D440A88C51C218B83</v>
      </c>
      <c r="I1725" t="str">
        <f>HYPERLINK("https://baanknet.com/view-property/275554/04E4953C425FD30142B1B54A121925EB767A4CDF81223C2D440A88C51C218B83", "Open")</f>
        <v>Open</v>
      </c>
      <c r="J1725" t="s">
        <v>3803</v>
      </c>
      <c r="L1725">
        <v>3060000</v>
      </c>
      <c r="M1725">
        <v>306000</v>
      </c>
    </row>
    <row r="1726" spans="1:13" x14ac:dyDescent="0.25">
      <c r="A1726" t="s">
        <v>5966</v>
      </c>
      <c r="B1726" t="s">
        <v>5967</v>
      </c>
      <c r="C1726" t="s">
        <v>594</v>
      </c>
      <c r="D1726" t="s">
        <v>5968</v>
      </c>
      <c r="E1726" t="s">
        <v>596</v>
      </c>
      <c r="F1726" t="s">
        <v>574</v>
      </c>
      <c r="G1726" t="s">
        <v>5969</v>
      </c>
      <c r="H1726" t="str">
        <f>HYPERLINK("https://baanknet.com/view-property/119131/6B22081C7F5FD962C70A6CE2D7071C71A5F73ACECB8CC3D24E78DB01D8FF212F", "https://baanknet.com/view-property/119131/6B22081C7F5FD962C70A6CE2D7071C71A5F73ACECB8CC3D24E78DB01D8FF212F")</f>
        <v>https://baanknet.com/view-property/119131/6B22081C7F5FD962C70A6CE2D7071C71A5F73ACECB8CC3D24E78DB01D8FF212F</v>
      </c>
      <c r="I1726" t="str">
        <f>HYPERLINK("https://baanknet.com/view-property/119131/6B22081C7F5FD962C70A6CE2D7071C71A5F73ACECB8CC3D24E78DB01D8FF212F", "Open")</f>
        <v>Open</v>
      </c>
      <c r="J1726" t="s">
        <v>3803</v>
      </c>
      <c r="L1726">
        <v>1100000</v>
      </c>
      <c r="M1726">
        <v>110000</v>
      </c>
    </row>
    <row r="1727" spans="1:13" x14ac:dyDescent="0.25">
      <c r="A1727" t="s">
        <v>5970</v>
      </c>
      <c r="B1727" t="s">
        <v>5971</v>
      </c>
      <c r="C1727" t="s">
        <v>594</v>
      </c>
      <c r="D1727" t="s">
        <v>5972</v>
      </c>
      <c r="E1727" t="s">
        <v>596</v>
      </c>
      <c r="F1727" t="s">
        <v>574</v>
      </c>
      <c r="G1727" t="s">
        <v>5973</v>
      </c>
      <c r="H1727" t="str">
        <f>HYPERLINK("https://baanknet.com/view-property/80643/DC47C45F7DE1FA0464DAD5B32BDC860399E2E65D59F00B9FA9A7EC378B8EC5E1", "https://baanknet.com/view-property/80643/DC47C45F7DE1FA0464DAD5B32BDC860399E2E65D59F00B9FA9A7EC378B8EC5E1")</f>
        <v>https://baanknet.com/view-property/80643/DC47C45F7DE1FA0464DAD5B32BDC860399E2E65D59F00B9FA9A7EC378B8EC5E1</v>
      </c>
      <c r="I1727" t="str">
        <f>HYPERLINK("https://baanknet.com/view-property/80643/DC47C45F7DE1FA0464DAD5B32BDC860399E2E65D59F00B9FA9A7EC378B8EC5E1", "Open")</f>
        <v>Open</v>
      </c>
      <c r="J1727" t="s">
        <v>3803</v>
      </c>
      <c r="L1727">
        <v>1583550</v>
      </c>
      <c r="M1727">
        <v>158355</v>
      </c>
    </row>
    <row r="1728" spans="1:13" x14ac:dyDescent="0.25">
      <c r="A1728" t="s">
        <v>5974</v>
      </c>
      <c r="B1728" t="s">
        <v>5975</v>
      </c>
      <c r="C1728" t="s">
        <v>594</v>
      </c>
      <c r="D1728" t="s">
        <v>5976</v>
      </c>
      <c r="E1728" t="s">
        <v>596</v>
      </c>
      <c r="F1728" t="s">
        <v>574</v>
      </c>
      <c r="G1728" t="s">
        <v>5977</v>
      </c>
      <c r="H1728" t="str">
        <f>HYPERLINK("https://baanknet.com/view-property/53549/83E48AE78D7EFE5C92F05A10CAFD0CE548C5544D47F6A0F81D48C9C092AAF95B", "https://baanknet.com/view-property/53549/83E48AE78D7EFE5C92F05A10CAFD0CE548C5544D47F6A0F81D48C9C092AAF95B")</f>
        <v>https://baanknet.com/view-property/53549/83E48AE78D7EFE5C92F05A10CAFD0CE548C5544D47F6A0F81D48C9C092AAF95B</v>
      </c>
      <c r="I1728" t="str">
        <f>HYPERLINK("https://baanknet.com/view-property/53549/83E48AE78D7EFE5C92F05A10CAFD0CE548C5544D47F6A0F81D48C9C092AAF95B", "Open")</f>
        <v>Open</v>
      </c>
      <c r="J1728" t="s">
        <v>3803</v>
      </c>
      <c r="L1728">
        <v>6072570</v>
      </c>
      <c r="M1728">
        <v>607257</v>
      </c>
    </row>
    <row r="1729" spans="1:13" x14ac:dyDescent="0.25">
      <c r="A1729" t="s">
        <v>5978</v>
      </c>
      <c r="B1729" t="s">
        <v>5979</v>
      </c>
      <c r="C1729" t="s">
        <v>594</v>
      </c>
      <c r="D1729" t="s">
        <v>5980</v>
      </c>
      <c r="E1729" t="s">
        <v>596</v>
      </c>
      <c r="F1729" t="s">
        <v>574</v>
      </c>
      <c r="G1729" t="s">
        <v>5981</v>
      </c>
      <c r="H1729" t="str">
        <f>HYPERLINK("https://baanknet.com/view-property/268066/2C59A724B155E9166035C4AC1B2C902ED255BAB0835EE4DF23AB9C33D98B6E24", "https://baanknet.com/view-property/268066/2C59A724B155E9166035C4AC1B2C902ED255BAB0835EE4DF23AB9C33D98B6E24")</f>
        <v>https://baanknet.com/view-property/268066/2C59A724B155E9166035C4AC1B2C902ED255BAB0835EE4DF23AB9C33D98B6E24</v>
      </c>
      <c r="I1729" t="str">
        <f>HYPERLINK("https://baanknet.com/view-property/268066/2C59A724B155E9166035C4AC1B2C902ED255BAB0835EE4DF23AB9C33D98B6E24", "Open")</f>
        <v>Open</v>
      </c>
      <c r="J1729" t="s">
        <v>3803</v>
      </c>
      <c r="L1729">
        <v>2239000</v>
      </c>
      <c r="M1729">
        <v>223900</v>
      </c>
    </row>
    <row r="1730" spans="1:13" x14ac:dyDescent="0.25">
      <c r="A1730" t="s">
        <v>5982</v>
      </c>
      <c r="B1730" t="s">
        <v>5983</v>
      </c>
      <c r="C1730" t="s">
        <v>594</v>
      </c>
      <c r="D1730" t="s">
        <v>2891</v>
      </c>
      <c r="E1730" t="s">
        <v>596</v>
      </c>
      <c r="F1730" t="s">
        <v>574</v>
      </c>
      <c r="G1730" t="s">
        <v>5984</v>
      </c>
      <c r="H1730" t="str">
        <f>HYPERLINK("https://baanknet.com/view-property/171496/1D92E0B50E57DB2B166C37D45BBCD6D27422D0AA9C8F7270CF081594874C27A1", "https://baanknet.com/view-property/171496/1D92E0B50E57DB2B166C37D45BBCD6D27422D0AA9C8F7270CF081594874C27A1")</f>
        <v>https://baanknet.com/view-property/171496/1D92E0B50E57DB2B166C37D45BBCD6D27422D0AA9C8F7270CF081594874C27A1</v>
      </c>
      <c r="I1730" t="str">
        <f>HYPERLINK("https://baanknet.com/view-property/171496/1D92E0B50E57DB2B166C37D45BBCD6D27422D0AA9C8F7270CF081594874C27A1", "Open")</f>
        <v>Open</v>
      </c>
      <c r="J1730" t="s">
        <v>3803</v>
      </c>
      <c r="L1730">
        <v>5560000</v>
      </c>
      <c r="M1730">
        <v>556000</v>
      </c>
    </row>
    <row r="1731" spans="1:13" x14ac:dyDescent="0.25">
      <c r="A1731" t="s">
        <v>5985</v>
      </c>
      <c r="B1731" t="s">
        <v>5986</v>
      </c>
      <c r="C1731" t="s">
        <v>594</v>
      </c>
      <c r="D1731" t="s">
        <v>3554</v>
      </c>
      <c r="E1731" t="s">
        <v>596</v>
      </c>
      <c r="F1731" t="s">
        <v>574</v>
      </c>
      <c r="G1731" t="s">
        <v>5987</v>
      </c>
      <c r="H1731" t="str">
        <f>HYPERLINK("https://baanknet.com/view-property/85520/BC3D49A581B00CB680BC39D21BCEAFD975BED4EDEDCABB1B95A3A480E11B7717", "https://baanknet.com/view-property/85520/BC3D49A581B00CB680BC39D21BCEAFD975BED4EDEDCABB1B95A3A480E11B7717")</f>
        <v>https://baanknet.com/view-property/85520/BC3D49A581B00CB680BC39D21BCEAFD975BED4EDEDCABB1B95A3A480E11B7717</v>
      </c>
      <c r="I1731" t="str">
        <f>HYPERLINK("https://baanknet.com/view-property/85520/BC3D49A581B00CB680BC39D21BCEAFD975BED4EDEDCABB1B95A3A480E11B7717", "Open")</f>
        <v>Open</v>
      </c>
      <c r="J1731" t="s">
        <v>3803</v>
      </c>
      <c r="L1731">
        <v>3368418</v>
      </c>
      <c r="M1731">
        <v>336841.8</v>
      </c>
    </row>
    <row r="1732" spans="1:13" x14ac:dyDescent="0.25">
      <c r="A1732" t="s">
        <v>5988</v>
      </c>
      <c r="B1732" t="s">
        <v>5989</v>
      </c>
      <c r="C1732" t="s">
        <v>594</v>
      </c>
      <c r="D1732" t="s">
        <v>1186</v>
      </c>
      <c r="E1732" t="s">
        <v>596</v>
      </c>
      <c r="F1732" t="s">
        <v>574</v>
      </c>
      <c r="G1732" t="s">
        <v>5990</v>
      </c>
      <c r="H1732" t="str">
        <f>HYPERLINK("https://baanknet.com/view-property/261809/0478423B3A9C5EAC68F09D4DACC7C67B7F008E5ACAB14B8DA36541B097E4B9B1", "https://baanknet.com/view-property/261809/0478423B3A9C5EAC68F09D4DACC7C67B7F008E5ACAB14B8DA36541B097E4B9B1")</f>
        <v>https://baanknet.com/view-property/261809/0478423B3A9C5EAC68F09D4DACC7C67B7F008E5ACAB14B8DA36541B097E4B9B1</v>
      </c>
      <c r="I1732" t="str">
        <f>HYPERLINK("https://baanknet.com/view-property/261809/0478423B3A9C5EAC68F09D4DACC7C67B7F008E5ACAB14B8DA36541B097E4B9B1", "Open")</f>
        <v>Open</v>
      </c>
      <c r="J1732" t="s">
        <v>3803</v>
      </c>
      <c r="L1732">
        <v>1917000</v>
      </c>
      <c r="M1732">
        <v>191700</v>
      </c>
    </row>
    <row r="1733" spans="1:13" x14ac:dyDescent="0.25">
      <c r="A1733" t="s">
        <v>5991</v>
      </c>
      <c r="B1733" t="s">
        <v>5992</v>
      </c>
      <c r="C1733" t="s">
        <v>594</v>
      </c>
      <c r="D1733" t="s">
        <v>1520</v>
      </c>
      <c r="E1733" t="s">
        <v>596</v>
      </c>
      <c r="F1733" t="s">
        <v>574</v>
      </c>
      <c r="G1733" t="s">
        <v>5993</v>
      </c>
      <c r="H1733" t="str">
        <f>HYPERLINK("https://baanknet.com/view-property/187197/5B3C657333A5D9FB22D004E5F08E9C1CCE041954CB3782EA34A130B7D5D52268", "https://baanknet.com/view-property/187197/5B3C657333A5D9FB22D004E5F08E9C1CCE041954CB3782EA34A130B7D5D52268")</f>
        <v>https://baanknet.com/view-property/187197/5B3C657333A5D9FB22D004E5F08E9C1CCE041954CB3782EA34A130B7D5D52268</v>
      </c>
      <c r="I1733" t="str">
        <f>HYPERLINK("https://baanknet.com/view-property/187197/5B3C657333A5D9FB22D004E5F08E9C1CCE041954CB3782EA34A130B7D5D52268", "Open")</f>
        <v>Open</v>
      </c>
      <c r="J1733" t="s">
        <v>3803</v>
      </c>
      <c r="L1733">
        <v>2520000</v>
      </c>
      <c r="M1733">
        <v>252000</v>
      </c>
    </row>
    <row r="1734" spans="1:13" x14ac:dyDescent="0.25">
      <c r="A1734" t="s">
        <v>5994</v>
      </c>
      <c r="B1734" t="s">
        <v>5995</v>
      </c>
      <c r="C1734" t="s">
        <v>594</v>
      </c>
      <c r="D1734" t="s">
        <v>5996</v>
      </c>
      <c r="E1734" t="s">
        <v>596</v>
      </c>
      <c r="F1734" t="s">
        <v>574</v>
      </c>
      <c r="G1734" t="s">
        <v>5997</v>
      </c>
      <c r="H1734" t="str">
        <f>HYPERLINK("https://baanknet.com/view-property/255342/D95668F7374FCBA84FC2F7F8B5A09954E5AE950D47FBA4E2E3667EC1C8FDA9E6", "https://baanknet.com/view-property/255342/D95668F7374FCBA84FC2F7F8B5A09954E5AE950D47FBA4E2E3667EC1C8FDA9E6")</f>
        <v>https://baanknet.com/view-property/255342/D95668F7374FCBA84FC2F7F8B5A09954E5AE950D47FBA4E2E3667EC1C8FDA9E6</v>
      </c>
      <c r="I1734" t="str">
        <f>HYPERLINK("https://baanknet.com/view-property/255342/D95668F7374FCBA84FC2F7F8B5A09954E5AE950D47FBA4E2E3667EC1C8FDA9E6", "Open")</f>
        <v>Open</v>
      </c>
      <c r="J1734" t="s">
        <v>3803</v>
      </c>
      <c r="L1734">
        <v>11463000</v>
      </c>
      <c r="M1734">
        <v>1146300</v>
      </c>
    </row>
    <row r="1735" spans="1:13" x14ac:dyDescent="0.25">
      <c r="A1735" t="s">
        <v>5998</v>
      </c>
      <c r="B1735" t="s">
        <v>5999</v>
      </c>
      <c r="C1735" t="s">
        <v>594</v>
      </c>
      <c r="D1735" t="s">
        <v>3554</v>
      </c>
      <c r="E1735" t="s">
        <v>596</v>
      </c>
      <c r="F1735" t="s">
        <v>574</v>
      </c>
      <c r="G1735" t="s">
        <v>6000</v>
      </c>
      <c r="H1735" t="str">
        <f>HYPERLINK("https://baanknet.com/view-property/269420/2130AACCE6D27EFDE8B86E0D83030974C7AF6ABCC94FB2104924F0FEB2EEB649", "https://baanknet.com/view-property/269420/2130AACCE6D27EFDE8B86E0D83030974C7AF6ABCC94FB2104924F0FEB2EEB649")</f>
        <v>https://baanknet.com/view-property/269420/2130AACCE6D27EFDE8B86E0D83030974C7AF6ABCC94FB2104924F0FEB2EEB649</v>
      </c>
      <c r="I1735" t="str">
        <f>HYPERLINK("https://baanknet.com/view-property/269420/2130AACCE6D27EFDE8B86E0D83030974C7AF6ABCC94FB2104924F0FEB2EEB649", "Open")</f>
        <v>Open</v>
      </c>
      <c r="J1735" t="s">
        <v>3803</v>
      </c>
      <c r="L1735">
        <v>1363563</v>
      </c>
      <c r="M1735">
        <v>136356.29999999999</v>
      </c>
    </row>
    <row r="1736" spans="1:13" x14ac:dyDescent="0.25">
      <c r="A1736" t="s">
        <v>6001</v>
      </c>
      <c r="B1736" t="s">
        <v>6002</v>
      </c>
      <c r="C1736" t="s">
        <v>594</v>
      </c>
      <c r="D1736" t="s">
        <v>6003</v>
      </c>
      <c r="E1736" t="s">
        <v>596</v>
      </c>
      <c r="F1736" t="s">
        <v>574</v>
      </c>
      <c r="G1736" t="s">
        <v>6004</v>
      </c>
      <c r="H1736" t="str">
        <f>HYPERLINK("https://baanknet.com/view-property/122298/0E1BEFBEDF478D39F3EB1C4DDC98D2B21EA93EF19A1E111649EEB99A246EC275", "https://baanknet.com/view-property/122298/0E1BEFBEDF478D39F3EB1C4DDC98D2B21EA93EF19A1E111649EEB99A246EC275")</f>
        <v>https://baanknet.com/view-property/122298/0E1BEFBEDF478D39F3EB1C4DDC98D2B21EA93EF19A1E111649EEB99A246EC275</v>
      </c>
      <c r="I1736" t="str">
        <f>HYPERLINK("https://baanknet.com/view-property/122298/0E1BEFBEDF478D39F3EB1C4DDC98D2B21EA93EF19A1E111649EEB99A246EC275", "Open")</f>
        <v>Open</v>
      </c>
      <c r="J1736" t="s">
        <v>3803</v>
      </c>
      <c r="L1736">
        <v>1385505</v>
      </c>
      <c r="M1736">
        <v>138550.5</v>
      </c>
    </row>
    <row r="1737" spans="1:13" x14ac:dyDescent="0.25">
      <c r="A1737" t="s">
        <v>6005</v>
      </c>
      <c r="B1737" t="s">
        <v>6006</v>
      </c>
      <c r="C1737" t="s">
        <v>594</v>
      </c>
      <c r="D1737" t="s">
        <v>6003</v>
      </c>
      <c r="E1737" t="s">
        <v>596</v>
      </c>
      <c r="F1737" t="s">
        <v>574</v>
      </c>
      <c r="G1737" t="s">
        <v>6007</v>
      </c>
      <c r="H1737" t="str">
        <f>HYPERLINK("https://baanknet.com/view-property/115959/7E38C3BED70601C8E0538AFBACC38E5B3B06E3B3B4D07ED26FEF3D8662220BD6", "https://baanknet.com/view-property/115959/7E38C3BED70601C8E0538AFBACC38E5B3B06E3B3B4D07ED26FEF3D8662220BD6")</f>
        <v>https://baanknet.com/view-property/115959/7E38C3BED70601C8E0538AFBACC38E5B3B06E3B3B4D07ED26FEF3D8662220BD6</v>
      </c>
      <c r="I1737" t="str">
        <f>HYPERLINK("https://baanknet.com/view-property/115959/7E38C3BED70601C8E0538AFBACC38E5B3B06E3B3B4D07ED26FEF3D8662220BD6", "Open")</f>
        <v>Open</v>
      </c>
      <c r="J1737" t="s">
        <v>3803</v>
      </c>
      <c r="L1737">
        <v>1492952</v>
      </c>
      <c r="M1737">
        <v>149295.20000000001</v>
      </c>
    </row>
    <row r="1738" spans="1:13" x14ac:dyDescent="0.25">
      <c r="A1738" t="s">
        <v>6008</v>
      </c>
      <c r="B1738" t="s">
        <v>6009</v>
      </c>
      <c r="C1738" t="s">
        <v>594</v>
      </c>
      <c r="D1738" t="s">
        <v>2891</v>
      </c>
      <c r="E1738" t="s">
        <v>596</v>
      </c>
      <c r="F1738" t="s">
        <v>574</v>
      </c>
      <c r="G1738" t="s">
        <v>6010</v>
      </c>
      <c r="H1738" t="str">
        <f>HYPERLINK("https://baanknet.com/view-property/20971/787799287D51DFA27AE170D47F034F294E4EF736D51FF9029205D46B1C2DD794", "https://baanknet.com/view-property/20971/787799287D51DFA27AE170D47F034F294E4EF736D51FF9029205D46B1C2DD794")</f>
        <v>https://baanknet.com/view-property/20971/787799287D51DFA27AE170D47F034F294E4EF736D51FF9029205D46B1C2DD794</v>
      </c>
      <c r="I1738" t="str">
        <f>HYPERLINK("https://baanknet.com/view-property/20971/787799287D51DFA27AE170D47F034F294E4EF736D51FF9029205D46B1C2DD794", "Open")</f>
        <v>Open</v>
      </c>
      <c r="J1738" t="s">
        <v>3803</v>
      </c>
      <c r="L1738">
        <v>4303125</v>
      </c>
      <c r="M1738">
        <v>430312.5</v>
      </c>
    </row>
    <row r="1739" spans="1:13" x14ac:dyDescent="0.25">
      <c r="A1739" t="s">
        <v>6011</v>
      </c>
      <c r="B1739" t="s">
        <v>6012</v>
      </c>
      <c r="C1739" t="s">
        <v>594</v>
      </c>
      <c r="D1739" t="s">
        <v>5968</v>
      </c>
      <c r="E1739" t="s">
        <v>596</v>
      </c>
      <c r="F1739" t="s">
        <v>574</v>
      </c>
      <c r="G1739" t="s">
        <v>6013</v>
      </c>
      <c r="H1739" t="str">
        <f>HYPERLINK("https://baanknet.com/view-property/102808/EBF6CDC1B66960AB86AB1677E1B082F8ACEA0E188F2068473193AB672587899E", "https://baanknet.com/view-property/102808/EBF6CDC1B66960AB86AB1677E1B082F8ACEA0E188F2068473193AB672587899E")</f>
        <v>https://baanknet.com/view-property/102808/EBF6CDC1B66960AB86AB1677E1B082F8ACEA0E188F2068473193AB672587899E</v>
      </c>
      <c r="I1739" t="str">
        <f>HYPERLINK("https://baanknet.com/view-property/102808/EBF6CDC1B66960AB86AB1677E1B082F8ACEA0E188F2068473193AB672587899E", "Open")</f>
        <v>Open</v>
      </c>
      <c r="J1739" t="s">
        <v>3803</v>
      </c>
      <c r="L1739">
        <v>2005000</v>
      </c>
      <c r="M1739">
        <v>200500</v>
      </c>
    </row>
    <row r="1740" spans="1:13" x14ac:dyDescent="0.25">
      <c r="A1740" t="s">
        <v>6014</v>
      </c>
      <c r="B1740" t="s">
        <v>6015</v>
      </c>
      <c r="C1740" t="s">
        <v>594</v>
      </c>
      <c r="D1740" t="s">
        <v>5803</v>
      </c>
      <c r="E1740" t="s">
        <v>596</v>
      </c>
      <c r="F1740" t="s">
        <v>574</v>
      </c>
      <c r="G1740" t="s">
        <v>6016</v>
      </c>
      <c r="H1740" t="str">
        <f>HYPERLINK("https://baanknet.com/view-property/241286/E90522F576299A7FA3AFE361790D5A481B5C8273A4F72652F3AA5243AD694473", "https://baanknet.com/view-property/241286/E90522F576299A7FA3AFE361790D5A481B5C8273A4F72652F3AA5243AD694473")</f>
        <v>https://baanknet.com/view-property/241286/E90522F576299A7FA3AFE361790D5A481B5C8273A4F72652F3AA5243AD694473</v>
      </c>
      <c r="I1740" t="str">
        <f>HYPERLINK("https://baanknet.com/view-property/241286/E90522F576299A7FA3AFE361790D5A481B5C8273A4F72652F3AA5243AD694473", "Open")</f>
        <v>Open</v>
      </c>
      <c r="J1740" t="s">
        <v>3803</v>
      </c>
      <c r="L1740">
        <v>2400000</v>
      </c>
      <c r="M1740">
        <v>240000</v>
      </c>
    </row>
    <row r="1741" spans="1:13" x14ac:dyDescent="0.25">
      <c r="A1741" t="s">
        <v>6017</v>
      </c>
      <c r="B1741" t="s">
        <v>6018</v>
      </c>
      <c r="C1741" t="s">
        <v>594</v>
      </c>
      <c r="D1741" t="s">
        <v>6019</v>
      </c>
      <c r="E1741" t="s">
        <v>596</v>
      </c>
      <c r="F1741" t="s">
        <v>574</v>
      </c>
      <c r="G1741" t="s">
        <v>6020</v>
      </c>
      <c r="H1741" t="str">
        <f>HYPERLINK("https://baanknet.com/view-property/86205/DA0EF2BE0E91B27C8B0339329348BBAD4C521032FFB3EB54CA51632828ED3930", "https://baanknet.com/view-property/86205/DA0EF2BE0E91B27C8B0339329348BBAD4C521032FFB3EB54CA51632828ED3930")</f>
        <v>https://baanknet.com/view-property/86205/DA0EF2BE0E91B27C8B0339329348BBAD4C521032FFB3EB54CA51632828ED3930</v>
      </c>
      <c r="I1741" t="str">
        <f>HYPERLINK("https://baanknet.com/view-property/86205/DA0EF2BE0E91B27C8B0339329348BBAD4C521032FFB3EB54CA51632828ED3930", "Open")</f>
        <v>Open</v>
      </c>
      <c r="J1741" t="s">
        <v>3803</v>
      </c>
      <c r="L1741">
        <v>5100000</v>
      </c>
      <c r="M1741">
        <v>510000</v>
      </c>
    </row>
    <row r="1742" spans="1:13" x14ac:dyDescent="0.25">
      <c r="A1742" t="s">
        <v>6021</v>
      </c>
      <c r="B1742" t="s">
        <v>6022</v>
      </c>
      <c r="C1742" t="s">
        <v>594</v>
      </c>
      <c r="D1742" t="s">
        <v>1293</v>
      </c>
      <c r="E1742" t="s">
        <v>596</v>
      </c>
      <c r="F1742" t="s">
        <v>574</v>
      </c>
      <c r="G1742" t="s">
        <v>6023</v>
      </c>
      <c r="H1742" t="str">
        <f>HYPERLINK("https://baanknet.com/view-property/96370/3BFB3B2A2A5B7C94CF80D1D8A2832FF67D2D4528D45DEC8F0E49E2027461F942", "https://baanknet.com/view-property/96370/3BFB3B2A2A5B7C94CF80D1D8A2832FF67D2D4528D45DEC8F0E49E2027461F942")</f>
        <v>https://baanknet.com/view-property/96370/3BFB3B2A2A5B7C94CF80D1D8A2832FF67D2D4528D45DEC8F0E49E2027461F942</v>
      </c>
      <c r="I1742" t="str">
        <f>HYPERLINK("https://baanknet.com/view-property/96370/3BFB3B2A2A5B7C94CF80D1D8A2832FF67D2D4528D45DEC8F0E49E2027461F942", "Open")</f>
        <v>Open</v>
      </c>
      <c r="J1742" t="s">
        <v>3803</v>
      </c>
      <c r="L1742">
        <v>4325000</v>
      </c>
      <c r="M1742">
        <v>432500</v>
      </c>
    </row>
    <row r="1743" spans="1:13" x14ac:dyDescent="0.25">
      <c r="A1743" t="s">
        <v>6024</v>
      </c>
      <c r="B1743" t="s">
        <v>6025</v>
      </c>
      <c r="C1743" t="s">
        <v>594</v>
      </c>
      <c r="D1743" t="s">
        <v>6026</v>
      </c>
      <c r="E1743" t="s">
        <v>596</v>
      </c>
      <c r="F1743" t="s">
        <v>574</v>
      </c>
      <c r="G1743" t="s">
        <v>6027</v>
      </c>
      <c r="H1743" t="str">
        <f>HYPERLINK("https://baanknet.com/view-property/21533/9A2F5B6625DACBDDE6F132FB9F8C9BE39917C13BB7BE91CB455FCF825E2786C5", "https://baanknet.com/view-property/21533/9A2F5B6625DACBDDE6F132FB9F8C9BE39917C13BB7BE91CB455FCF825E2786C5")</f>
        <v>https://baanknet.com/view-property/21533/9A2F5B6625DACBDDE6F132FB9F8C9BE39917C13BB7BE91CB455FCF825E2786C5</v>
      </c>
      <c r="I1743" t="str">
        <f>HYPERLINK("https://baanknet.com/view-property/21533/9A2F5B6625DACBDDE6F132FB9F8C9BE39917C13BB7BE91CB455FCF825E2786C5", "Open")</f>
        <v>Open</v>
      </c>
      <c r="J1743" t="s">
        <v>3803</v>
      </c>
      <c r="L1743">
        <v>611000</v>
      </c>
      <c r="M1743">
        <v>61100</v>
      </c>
    </row>
    <row r="1744" spans="1:13" x14ac:dyDescent="0.25">
      <c r="A1744" t="s">
        <v>6028</v>
      </c>
      <c r="B1744" t="s">
        <v>6029</v>
      </c>
      <c r="C1744" t="s">
        <v>594</v>
      </c>
      <c r="D1744" t="s">
        <v>6030</v>
      </c>
      <c r="E1744" t="s">
        <v>596</v>
      </c>
      <c r="F1744" t="s">
        <v>574</v>
      </c>
      <c r="G1744" t="s">
        <v>6031</v>
      </c>
      <c r="H1744" t="str">
        <f>HYPERLINK("https://baanknet.com/view-property/267382/A218C8B944EC0C435311FB714D8E2CA07CF4B648CC5094E2EF886E593CD476CC", "https://baanknet.com/view-property/267382/A218C8B944EC0C435311FB714D8E2CA07CF4B648CC5094E2EF886E593CD476CC")</f>
        <v>https://baanknet.com/view-property/267382/A218C8B944EC0C435311FB714D8E2CA07CF4B648CC5094E2EF886E593CD476CC</v>
      </c>
      <c r="I1744" t="str">
        <f>HYPERLINK("https://baanknet.com/view-property/267382/A218C8B944EC0C435311FB714D8E2CA07CF4B648CC5094E2EF886E593CD476CC", "Open")</f>
        <v>Open</v>
      </c>
      <c r="J1744" t="s">
        <v>3803</v>
      </c>
      <c r="L1744">
        <v>2589300</v>
      </c>
      <c r="M1744">
        <v>258930</v>
      </c>
    </row>
    <row r="1745" spans="1:13" x14ac:dyDescent="0.25">
      <c r="A1745" t="s">
        <v>6032</v>
      </c>
      <c r="B1745" t="s">
        <v>6033</v>
      </c>
      <c r="C1745" t="s">
        <v>594</v>
      </c>
      <c r="D1745" t="s">
        <v>6034</v>
      </c>
      <c r="E1745" t="s">
        <v>596</v>
      </c>
      <c r="F1745" t="s">
        <v>574</v>
      </c>
      <c r="G1745" t="s">
        <v>6035</v>
      </c>
      <c r="H1745" t="str">
        <f>HYPERLINK("https://baanknet.com/view-property/267385/0B1D2AA02B8C2A398BACC20545AE6D7C4C19890B2C4D2ED26031BEB986DB6CBF", "https://baanknet.com/view-property/267385/0B1D2AA02B8C2A398BACC20545AE6D7C4C19890B2C4D2ED26031BEB986DB6CBF")</f>
        <v>https://baanknet.com/view-property/267385/0B1D2AA02B8C2A398BACC20545AE6D7C4C19890B2C4D2ED26031BEB986DB6CBF</v>
      </c>
      <c r="I1745" t="str">
        <f>HYPERLINK("https://baanknet.com/view-property/267385/0B1D2AA02B8C2A398BACC20545AE6D7C4C19890B2C4D2ED26031BEB986DB6CBF", "Open")</f>
        <v>Open</v>
      </c>
      <c r="J1745" t="s">
        <v>3803</v>
      </c>
      <c r="L1745">
        <v>2239000</v>
      </c>
      <c r="M1745">
        <v>223900</v>
      </c>
    </row>
    <row r="1746" spans="1:13" x14ac:dyDescent="0.25">
      <c r="A1746" t="s">
        <v>6036</v>
      </c>
      <c r="B1746" t="s">
        <v>6037</v>
      </c>
      <c r="C1746" t="s">
        <v>594</v>
      </c>
      <c r="D1746" t="s">
        <v>1169</v>
      </c>
      <c r="E1746" t="s">
        <v>596</v>
      </c>
      <c r="F1746" t="s">
        <v>574</v>
      </c>
      <c r="G1746" t="s">
        <v>6038</v>
      </c>
      <c r="H1746" t="str">
        <f>HYPERLINK("https://baanknet.com/view-property/267380/E0D128BAAA3190880D8B1BCAB933F4F01C143D3D407242CCEB64F629DEE264F0", "https://baanknet.com/view-property/267380/E0D128BAAA3190880D8B1BCAB933F4F01C143D3D407242CCEB64F629DEE264F0")</f>
        <v>https://baanknet.com/view-property/267380/E0D128BAAA3190880D8B1BCAB933F4F01C143D3D407242CCEB64F629DEE264F0</v>
      </c>
      <c r="I1746" t="str">
        <f>HYPERLINK("https://baanknet.com/view-property/267380/E0D128BAAA3190880D8B1BCAB933F4F01C143D3D407242CCEB64F629DEE264F0", "Open")</f>
        <v>Open</v>
      </c>
      <c r="J1746" t="s">
        <v>3803</v>
      </c>
      <c r="L1746">
        <v>1730000</v>
      </c>
      <c r="M1746">
        <v>173000</v>
      </c>
    </row>
    <row r="1747" spans="1:13" x14ac:dyDescent="0.25">
      <c r="A1747" t="s">
        <v>6039</v>
      </c>
      <c r="B1747" t="s">
        <v>6040</v>
      </c>
      <c r="C1747" t="s">
        <v>594</v>
      </c>
      <c r="D1747" t="s">
        <v>6041</v>
      </c>
      <c r="E1747" t="s">
        <v>596</v>
      </c>
      <c r="F1747" t="s">
        <v>574</v>
      </c>
      <c r="G1747" t="s">
        <v>6042</v>
      </c>
      <c r="H1747" t="str">
        <f>HYPERLINK("https://baanknet.com/view-property/271789/0A362E706867EBCEF93EAAFE1BB5BD989C09939BE22FAE3CEB0410308AF33D2F", "https://baanknet.com/view-property/271789/0A362E706867EBCEF93EAAFE1BB5BD989C09939BE22FAE3CEB0410308AF33D2F")</f>
        <v>https://baanknet.com/view-property/271789/0A362E706867EBCEF93EAAFE1BB5BD989C09939BE22FAE3CEB0410308AF33D2F</v>
      </c>
      <c r="I1747" t="str">
        <f>HYPERLINK("https://baanknet.com/view-property/271789/0A362E706867EBCEF93EAAFE1BB5BD989C09939BE22FAE3CEB0410308AF33D2F", "Open")</f>
        <v>Open</v>
      </c>
      <c r="J1747" t="s">
        <v>3803</v>
      </c>
      <c r="L1747">
        <v>1316000</v>
      </c>
      <c r="M1747">
        <v>131600</v>
      </c>
    </row>
    <row r="1748" spans="1:13" x14ac:dyDescent="0.25">
      <c r="A1748" t="s">
        <v>6043</v>
      </c>
      <c r="B1748" t="s">
        <v>6044</v>
      </c>
      <c r="C1748" t="s">
        <v>594</v>
      </c>
      <c r="D1748" t="s">
        <v>6034</v>
      </c>
      <c r="E1748" t="s">
        <v>596</v>
      </c>
      <c r="F1748" t="s">
        <v>574</v>
      </c>
      <c r="G1748" t="s">
        <v>6045</v>
      </c>
      <c r="H1748" t="str">
        <f>HYPERLINK("https://baanknet.com/view-property/271786/25C5EABC33B2C46DC6E0E5B8D702BEF74E5183CE36529B89BE8033CBD75F8609", "https://baanknet.com/view-property/271786/25C5EABC33B2C46DC6E0E5B8D702BEF74E5183CE36529B89BE8033CBD75F8609")</f>
        <v>https://baanknet.com/view-property/271786/25C5EABC33B2C46DC6E0E5B8D702BEF74E5183CE36529B89BE8033CBD75F8609</v>
      </c>
      <c r="I1748" t="str">
        <f>HYPERLINK("https://baanknet.com/view-property/271786/25C5EABC33B2C46DC6E0E5B8D702BEF74E5183CE36529B89BE8033CBD75F8609", "Open")</f>
        <v>Open</v>
      </c>
      <c r="J1748" t="s">
        <v>3803</v>
      </c>
      <c r="L1748">
        <v>1614600</v>
      </c>
      <c r="M1748">
        <v>161460</v>
      </c>
    </row>
    <row r="1749" spans="1:13" x14ac:dyDescent="0.25">
      <c r="A1749" t="s">
        <v>6046</v>
      </c>
      <c r="B1749" t="s">
        <v>6047</v>
      </c>
      <c r="C1749" t="s">
        <v>594</v>
      </c>
      <c r="D1749" t="s">
        <v>6034</v>
      </c>
      <c r="E1749" t="s">
        <v>596</v>
      </c>
      <c r="F1749" t="s">
        <v>574</v>
      </c>
      <c r="G1749" t="s">
        <v>6048</v>
      </c>
      <c r="H1749" t="str">
        <f>HYPERLINK("https://baanknet.com/view-property/271787/834D7714ED00B7C6B7AA34B856129017B8AFF6DB70F87E2446D764DAE5B81ED6", "https://baanknet.com/view-property/271787/834D7714ED00B7C6B7AA34B856129017B8AFF6DB70F87E2446D764DAE5B81ED6")</f>
        <v>https://baanknet.com/view-property/271787/834D7714ED00B7C6B7AA34B856129017B8AFF6DB70F87E2446D764DAE5B81ED6</v>
      </c>
      <c r="I1749" t="str">
        <f>HYPERLINK("https://baanknet.com/view-property/271787/834D7714ED00B7C6B7AA34B856129017B8AFF6DB70F87E2446D764DAE5B81ED6", "Open")</f>
        <v>Open</v>
      </c>
      <c r="J1749" t="s">
        <v>3803</v>
      </c>
      <c r="L1749">
        <v>2110000</v>
      </c>
      <c r="M1749">
        <v>211000</v>
      </c>
    </row>
    <row r="1750" spans="1:13" x14ac:dyDescent="0.25">
      <c r="A1750" t="s">
        <v>6049</v>
      </c>
      <c r="B1750" t="s">
        <v>6050</v>
      </c>
      <c r="C1750" t="s">
        <v>594</v>
      </c>
      <c r="D1750" t="s">
        <v>6034</v>
      </c>
      <c r="E1750" t="s">
        <v>596</v>
      </c>
      <c r="F1750" t="s">
        <v>574</v>
      </c>
      <c r="G1750" t="s">
        <v>6051</v>
      </c>
      <c r="H1750" t="str">
        <f>HYPERLINK("https://baanknet.com/view-property/258695/2CDFD0D7CB100379E190447AF04ECC958EF2C8F05693CCD7D873C7B758236E65", "https://baanknet.com/view-property/258695/2CDFD0D7CB100379E190447AF04ECC958EF2C8F05693CCD7D873C7B758236E65")</f>
        <v>https://baanknet.com/view-property/258695/2CDFD0D7CB100379E190447AF04ECC958EF2C8F05693CCD7D873C7B758236E65</v>
      </c>
      <c r="I1750" t="str">
        <f>HYPERLINK("https://baanknet.com/view-property/258695/2CDFD0D7CB100379E190447AF04ECC958EF2C8F05693CCD7D873C7B758236E65", "Open")</f>
        <v>Open</v>
      </c>
      <c r="J1750" t="s">
        <v>3803</v>
      </c>
      <c r="L1750">
        <v>496000</v>
      </c>
      <c r="M1750">
        <v>49600</v>
      </c>
    </row>
    <row r="1751" spans="1:13" x14ac:dyDescent="0.25">
      <c r="A1751" t="s">
        <v>6052</v>
      </c>
      <c r="B1751" t="s">
        <v>6053</v>
      </c>
      <c r="C1751" t="s">
        <v>594</v>
      </c>
      <c r="D1751" t="s">
        <v>6054</v>
      </c>
      <c r="E1751" t="s">
        <v>596</v>
      </c>
      <c r="F1751" t="s">
        <v>574</v>
      </c>
      <c r="G1751" t="s">
        <v>6055</v>
      </c>
      <c r="H1751" t="str">
        <f>HYPERLINK("https://baanknet.com/view-property/19778/C4517C0896AF87011692382800D0C5996633D03991D13328CC01364BFA28EAF5", "https://baanknet.com/view-property/19778/C4517C0896AF87011692382800D0C5996633D03991D13328CC01364BFA28EAF5")</f>
        <v>https://baanknet.com/view-property/19778/C4517C0896AF87011692382800D0C5996633D03991D13328CC01364BFA28EAF5</v>
      </c>
      <c r="I1751" t="str">
        <f>HYPERLINK("https://baanknet.com/view-property/19778/C4517C0896AF87011692382800D0C5996633D03991D13328CC01364BFA28EAF5", "Open")</f>
        <v>Open</v>
      </c>
      <c r="J1751" t="s">
        <v>3803</v>
      </c>
      <c r="L1751">
        <v>1427000</v>
      </c>
      <c r="M1751">
        <v>142700</v>
      </c>
    </row>
    <row r="1752" spans="1:13" x14ac:dyDescent="0.25">
      <c r="A1752" t="s">
        <v>6056</v>
      </c>
      <c r="B1752" t="s">
        <v>6057</v>
      </c>
      <c r="C1752" t="s">
        <v>594</v>
      </c>
      <c r="D1752" t="s">
        <v>6058</v>
      </c>
      <c r="E1752" t="s">
        <v>596</v>
      </c>
      <c r="F1752" t="s">
        <v>574</v>
      </c>
      <c r="G1752" t="s">
        <v>6059</v>
      </c>
      <c r="H1752" t="str">
        <f>HYPERLINK("https://baanknet.com/view-property/51126/80817141A132B29B4AC1450A481229364C260FC8A9DF92BCE3AC9C1E290B183E", "https://baanknet.com/view-property/51126/80817141A132B29B4AC1450A481229364C260FC8A9DF92BCE3AC9C1E290B183E")</f>
        <v>https://baanknet.com/view-property/51126/80817141A132B29B4AC1450A481229364C260FC8A9DF92BCE3AC9C1E290B183E</v>
      </c>
      <c r="I1752" t="str">
        <f>HYPERLINK("https://baanknet.com/view-property/51126/80817141A132B29B4AC1450A481229364C260FC8A9DF92BCE3AC9C1E290B183E", "Open")</f>
        <v>Open</v>
      </c>
      <c r="J1752" t="s">
        <v>3803</v>
      </c>
      <c r="L1752">
        <v>1788500</v>
      </c>
      <c r="M1752">
        <v>178850</v>
      </c>
    </row>
    <row r="1753" spans="1:13" x14ac:dyDescent="0.25">
      <c r="A1753" t="s">
        <v>6060</v>
      </c>
      <c r="B1753" t="s">
        <v>6061</v>
      </c>
      <c r="C1753" t="s">
        <v>594</v>
      </c>
      <c r="D1753" t="s">
        <v>518</v>
      </c>
      <c r="E1753" t="s">
        <v>596</v>
      </c>
      <c r="F1753" t="s">
        <v>574</v>
      </c>
      <c r="G1753" t="s">
        <v>6062</v>
      </c>
      <c r="H1753" t="str">
        <f>HYPERLINK("https://baanknet.com/view-property/67471/C42D9E65D93C2FF7DAE0A2585DC38F32D3599E1590F0167F05D8A94B508BD54B", "https://baanknet.com/view-property/67471/C42D9E65D93C2FF7DAE0A2585DC38F32D3599E1590F0167F05D8A94B508BD54B")</f>
        <v>https://baanknet.com/view-property/67471/C42D9E65D93C2FF7DAE0A2585DC38F32D3599E1590F0167F05D8A94B508BD54B</v>
      </c>
      <c r="I1753" t="str">
        <f>HYPERLINK("https://baanknet.com/view-property/67471/C42D9E65D93C2FF7DAE0A2585DC38F32D3599E1590F0167F05D8A94B508BD54B", "Open")</f>
        <v>Open</v>
      </c>
      <c r="J1753" t="s">
        <v>3803</v>
      </c>
      <c r="L1753">
        <v>671000</v>
      </c>
      <c r="M1753">
        <v>67100</v>
      </c>
    </row>
    <row r="1754" spans="1:13" x14ac:dyDescent="0.25">
      <c r="A1754" t="s">
        <v>6063</v>
      </c>
      <c r="B1754" t="s">
        <v>6064</v>
      </c>
      <c r="C1754" t="s">
        <v>594</v>
      </c>
      <c r="D1754" t="s">
        <v>1300</v>
      </c>
      <c r="E1754" t="s">
        <v>596</v>
      </c>
      <c r="F1754" t="s">
        <v>574</v>
      </c>
      <c r="G1754" t="s">
        <v>6065</v>
      </c>
      <c r="H1754" t="str">
        <f>HYPERLINK("https://baanknet.com/view-property/21366/61529CB3BE83CECCD5F036171D67D9773B15BA7B723C494E4D636CEA814CE729", "https://baanknet.com/view-property/21366/61529CB3BE83CECCD5F036171D67D9773B15BA7B723C494E4D636CEA814CE729")</f>
        <v>https://baanknet.com/view-property/21366/61529CB3BE83CECCD5F036171D67D9773B15BA7B723C494E4D636CEA814CE729</v>
      </c>
      <c r="I1754" t="str">
        <f>HYPERLINK("https://baanknet.com/view-property/21366/61529CB3BE83CECCD5F036171D67D9773B15BA7B723C494E4D636CEA814CE729", "Open")</f>
        <v>Open</v>
      </c>
      <c r="J1754" t="s">
        <v>3803</v>
      </c>
      <c r="L1754">
        <v>1682000</v>
      </c>
      <c r="M1754">
        <v>168200</v>
      </c>
    </row>
    <row r="1755" spans="1:13" x14ac:dyDescent="0.25">
      <c r="A1755" t="s">
        <v>6066</v>
      </c>
      <c r="B1755" t="s">
        <v>6067</v>
      </c>
      <c r="C1755" t="s">
        <v>594</v>
      </c>
      <c r="D1755" t="s">
        <v>6068</v>
      </c>
      <c r="E1755" t="s">
        <v>596</v>
      </c>
      <c r="F1755" t="s">
        <v>574</v>
      </c>
      <c r="G1755" t="s">
        <v>6069</v>
      </c>
      <c r="H1755" t="str">
        <f>HYPERLINK("https://baanknet.com/view-property/4267/E9BEC8AC04A81C4AA9C0BA7AFDF35609E89769FB673ABAEDA5462F7518BCC9E8", "https://baanknet.com/view-property/4267/E9BEC8AC04A81C4AA9C0BA7AFDF35609E89769FB673ABAEDA5462F7518BCC9E8")</f>
        <v>https://baanknet.com/view-property/4267/E9BEC8AC04A81C4AA9C0BA7AFDF35609E89769FB673ABAEDA5462F7518BCC9E8</v>
      </c>
      <c r="I1755" t="str">
        <f>HYPERLINK("https://baanknet.com/view-property/4267/E9BEC8AC04A81C4AA9C0BA7AFDF35609E89769FB673ABAEDA5462F7518BCC9E8", "Open")</f>
        <v>Open</v>
      </c>
      <c r="J1755" t="s">
        <v>3803</v>
      </c>
      <c r="L1755">
        <v>536000</v>
      </c>
      <c r="M1755">
        <v>53600</v>
      </c>
    </row>
    <row r="1756" spans="1:13" x14ac:dyDescent="0.25">
      <c r="A1756" t="s">
        <v>6070</v>
      </c>
      <c r="B1756" t="s">
        <v>6071</v>
      </c>
      <c r="C1756" t="s">
        <v>594</v>
      </c>
      <c r="D1756" t="s">
        <v>572</v>
      </c>
      <c r="E1756" t="s">
        <v>596</v>
      </c>
      <c r="F1756" t="s">
        <v>574</v>
      </c>
      <c r="G1756" t="s">
        <v>6072</v>
      </c>
      <c r="H1756" t="str">
        <f>HYPERLINK("https://baanknet.com/view-property/171998/41E9A87514F9D012D499E32E9E4B318330AE1A9DF85A53CBC771ECFB131A53C1", "https://baanknet.com/view-property/171998/41E9A87514F9D012D499E32E9E4B318330AE1A9DF85A53CBC771ECFB131A53C1")</f>
        <v>https://baanknet.com/view-property/171998/41E9A87514F9D012D499E32E9E4B318330AE1A9DF85A53CBC771ECFB131A53C1</v>
      </c>
      <c r="I1756" t="str">
        <f>HYPERLINK("https://baanknet.com/view-property/171998/41E9A87514F9D012D499E32E9E4B318330AE1A9DF85A53CBC771ECFB131A53C1", "Open")</f>
        <v>Open</v>
      </c>
      <c r="J1756" t="s">
        <v>3803</v>
      </c>
      <c r="L1756">
        <v>1151000</v>
      </c>
      <c r="M1756">
        <v>115100</v>
      </c>
    </row>
    <row r="1757" spans="1:13" x14ac:dyDescent="0.25">
      <c r="A1757" t="s">
        <v>6073</v>
      </c>
      <c r="B1757" t="s">
        <v>6074</v>
      </c>
      <c r="C1757" t="s">
        <v>594</v>
      </c>
      <c r="D1757" t="s">
        <v>518</v>
      </c>
      <c r="E1757" t="s">
        <v>596</v>
      </c>
      <c r="F1757" t="s">
        <v>574</v>
      </c>
      <c r="G1757" t="s">
        <v>6075</v>
      </c>
      <c r="H1757" t="str">
        <f>HYPERLINK("https://baanknet.com/view-property/55447/9F1D88C152F1D4DFB27F63797FE4A9CE5FE7B5F76D101712125A7E7DBFDBD9C4", "https://baanknet.com/view-property/55447/9F1D88C152F1D4DFB27F63797FE4A9CE5FE7B5F76D101712125A7E7DBFDBD9C4")</f>
        <v>https://baanknet.com/view-property/55447/9F1D88C152F1D4DFB27F63797FE4A9CE5FE7B5F76D101712125A7E7DBFDBD9C4</v>
      </c>
      <c r="I1757" t="str">
        <f>HYPERLINK("https://baanknet.com/view-property/55447/9F1D88C152F1D4DFB27F63797FE4A9CE5FE7B5F76D101712125A7E7DBFDBD9C4", "Open")</f>
        <v>Open</v>
      </c>
      <c r="J1757" t="s">
        <v>3803</v>
      </c>
      <c r="L1757">
        <v>704000</v>
      </c>
      <c r="M1757">
        <v>70400</v>
      </c>
    </row>
    <row r="1758" spans="1:13" x14ac:dyDescent="0.25">
      <c r="A1758" t="s">
        <v>6076</v>
      </c>
      <c r="B1758" t="s">
        <v>6077</v>
      </c>
      <c r="C1758" t="s">
        <v>594</v>
      </c>
      <c r="D1758" t="s">
        <v>595</v>
      </c>
      <c r="E1758" t="s">
        <v>596</v>
      </c>
      <c r="F1758" t="s">
        <v>574</v>
      </c>
      <c r="G1758" t="s">
        <v>6078</v>
      </c>
      <c r="H1758" t="str">
        <f>HYPERLINK("https://baanknet.com/view-property/190969/D29EF6F6F8B10718FA1615AD3550CC6A15194BFD5EA7711434DEA9F3AE1E0EB0", "https://baanknet.com/view-property/190969/D29EF6F6F8B10718FA1615AD3550CC6A15194BFD5EA7711434DEA9F3AE1E0EB0")</f>
        <v>https://baanknet.com/view-property/190969/D29EF6F6F8B10718FA1615AD3550CC6A15194BFD5EA7711434DEA9F3AE1E0EB0</v>
      </c>
      <c r="I1758" t="str">
        <f>HYPERLINK("https://baanknet.com/view-property/190969/D29EF6F6F8B10718FA1615AD3550CC6A15194BFD5EA7711434DEA9F3AE1E0EB0", "Open")</f>
        <v>Open</v>
      </c>
      <c r="J1758" t="s">
        <v>3803</v>
      </c>
      <c r="L1758">
        <v>985000</v>
      </c>
      <c r="M1758">
        <v>98500</v>
      </c>
    </row>
    <row r="1759" spans="1:13" x14ac:dyDescent="0.25">
      <c r="A1759" t="s">
        <v>6079</v>
      </c>
      <c r="B1759" t="s">
        <v>6080</v>
      </c>
      <c r="C1759" t="s">
        <v>594</v>
      </c>
      <c r="D1759" t="s">
        <v>595</v>
      </c>
      <c r="E1759" t="s">
        <v>596</v>
      </c>
      <c r="F1759" t="s">
        <v>574</v>
      </c>
      <c r="G1759" t="s">
        <v>6081</v>
      </c>
      <c r="H1759" t="str">
        <f>HYPERLINK("https://baanknet.com/view-property/44605/3343313A8B99F0EC5BAD334AAEF9E7600E3C28681F688662C4C915D93A8F06D3", "https://baanknet.com/view-property/44605/3343313A8B99F0EC5BAD334AAEF9E7600E3C28681F688662C4C915D93A8F06D3")</f>
        <v>https://baanknet.com/view-property/44605/3343313A8B99F0EC5BAD334AAEF9E7600E3C28681F688662C4C915D93A8F06D3</v>
      </c>
      <c r="I1759" t="str">
        <f>HYPERLINK("https://baanknet.com/view-property/44605/3343313A8B99F0EC5BAD334AAEF9E7600E3C28681F688662C4C915D93A8F06D3", "Open")</f>
        <v>Open</v>
      </c>
      <c r="J1759" t="s">
        <v>3803</v>
      </c>
      <c r="L1759">
        <v>1305000</v>
      </c>
      <c r="M1759">
        <v>130500</v>
      </c>
    </row>
    <row r="1760" spans="1:13" x14ac:dyDescent="0.25">
      <c r="A1760" t="s">
        <v>6082</v>
      </c>
      <c r="B1760" t="s">
        <v>6083</v>
      </c>
      <c r="C1760" t="s">
        <v>594</v>
      </c>
      <c r="D1760" t="s">
        <v>1066</v>
      </c>
      <c r="E1760" t="s">
        <v>596</v>
      </c>
      <c r="F1760" t="s">
        <v>574</v>
      </c>
      <c r="G1760" t="s">
        <v>6084</v>
      </c>
      <c r="H1760" t="str">
        <f>HYPERLINK("https://baanknet.com/view-property/60364/7CD28919C5EC4FA59CD15674D48893B49B2861F14E9AA67D3C36C2B7C30FE8D8", "https://baanknet.com/view-property/60364/7CD28919C5EC4FA59CD15674D48893B49B2861F14E9AA67D3C36C2B7C30FE8D8")</f>
        <v>https://baanknet.com/view-property/60364/7CD28919C5EC4FA59CD15674D48893B49B2861F14E9AA67D3C36C2B7C30FE8D8</v>
      </c>
      <c r="I1760" t="str">
        <f>HYPERLINK("https://baanknet.com/view-property/60364/7CD28919C5EC4FA59CD15674D48893B49B2861F14E9AA67D3C36C2B7C30FE8D8", "Open")</f>
        <v>Open</v>
      </c>
      <c r="J1760" t="s">
        <v>3803</v>
      </c>
      <c r="L1760">
        <v>388000</v>
      </c>
      <c r="M1760">
        <v>38800</v>
      </c>
    </row>
    <row r="1761" spans="1:13" x14ac:dyDescent="0.25">
      <c r="A1761" t="s">
        <v>6085</v>
      </c>
      <c r="B1761" t="s">
        <v>6086</v>
      </c>
      <c r="C1761" t="s">
        <v>594</v>
      </c>
      <c r="D1761" t="s">
        <v>1066</v>
      </c>
      <c r="E1761" t="s">
        <v>596</v>
      </c>
      <c r="F1761" t="s">
        <v>574</v>
      </c>
      <c r="G1761" t="s">
        <v>6087</v>
      </c>
      <c r="H1761" t="str">
        <f>HYPERLINK("https://baanknet.com/view-property/282000/0716247BFFABD9CC1E331BB0ECD72E1B48E2D751EE5C3C4DD1657211CBE6C4C7", "https://baanknet.com/view-property/282000/0716247BFFABD9CC1E331BB0ECD72E1B48E2D751EE5C3C4DD1657211CBE6C4C7")</f>
        <v>https://baanknet.com/view-property/282000/0716247BFFABD9CC1E331BB0ECD72E1B48E2D751EE5C3C4DD1657211CBE6C4C7</v>
      </c>
      <c r="I1761" t="str">
        <f>HYPERLINK("https://baanknet.com/view-property/282000/0716247BFFABD9CC1E331BB0ECD72E1B48E2D751EE5C3C4DD1657211CBE6C4C7", "Open")</f>
        <v>Open</v>
      </c>
      <c r="J1761" t="s">
        <v>3803</v>
      </c>
      <c r="L1761">
        <v>704000</v>
      </c>
      <c r="M1761">
        <v>70400</v>
      </c>
    </row>
    <row r="1762" spans="1:13" x14ac:dyDescent="0.25">
      <c r="A1762" t="s">
        <v>6088</v>
      </c>
      <c r="B1762" t="s">
        <v>6089</v>
      </c>
      <c r="C1762" t="s">
        <v>594</v>
      </c>
      <c r="D1762" t="s">
        <v>595</v>
      </c>
      <c r="E1762" t="s">
        <v>596</v>
      </c>
      <c r="F1762" t="s">
        <v>574</v>
      </c>
      <c r="G1762" t="s">
        <v>6090</v>
      </c>
      <c r="H1762" t="str">
        <f>HYPERLINK("https://baanknet.com/view-property/245292/9BEB3E6AC1560141ECAC9C97F72309BE15504F678EAD89DD63BDE431B09B9ED4", "https://baanknet.com/view-property/245292/9BEB3E6AC1560141ECAC9C97F72309BE15504F678EAD89DD63BDE431B09B9ED4")</f>
        <v>https://baanknet.com/view-property/245292/9BEB3E6AC1560141ECAC9C97F72309BE15504F678EAD89DD63BDE431B09B9ED4</v>
      </c>
      <c r="I1762" t="str">
        <f>HYPERLINK("https://baanknet.com/view-property/245292/9BEB3E6AC1560141ECAC9C97F72309BE15504F678EAD89DD63BDE431B09B9ED4", "Open")</f>
        <v>Open</v>
      </c>
      <c r="J1762" t="s">
        <v>3803</v>
      </c>
      <c r="L1762">
        <v>465000</v>
      </c>
      <c r="M1762">
        <v>46500</v>
      </c>
    </row>
    <row r="1763" spans="1:13" x14ac:dyDescent="0.25">
      <c r="A1763" t="s">
        <v>6091</v>
      </c>
      <c r="B1763" t="s">
        <v>6092</v>
      </c>
      <c r="C1763" t="s">
        <v>594</v>
      </c>
      <c r="D1763" t="s">
        <v>497</v>
      </c>
      <c r="E1763" t="s">
        <v>596</v>
      </c>
      <c r="F1763" t="s">
        <v>574</v>
      </c>
      <c r="G1763" t="s">
        <v>6093</v>
      </c>
      <c r="H1763" t="str">
        <f>HYPERLINK("https://baanknet.com/view-property/59997/20F4391EE0852640D8C660B7D899AD039D977EA9E455CDE7E649C6E82006CEC9", "https://baanknet.com/view-property/59997/20F4391EE0852640D8C660B7D899AD039D977EA9E455CDE7E649C6E82006CEC9")</f>
        <v>https://baanknet.com/view-property/59997/20F4391EE0852640D8C660B7D899AD039D977EA9E455CDE7E649C6E82006CEC9</v>
      </c>
      <c r="I1763" t="str">
        <f>HYPERLINK("https://baanknet.com/view-property/59997/20F4391EE0852640D8C660B7D899AD039D977EA9E455CDE7E649C6E82006CEC9", "Open")</f>
        <v>Open</v>
      </c>
      <c r="J1763" t="s">
        <v>3803</v>
      </c>
      <c r="L1763">
        <v>1940000</v>
      </c>
      <c r="M1763">
        <v>194000</v>
      </c>
    </row>
    <row r="1764" spans="1:13" x14ac:dyDescent="0.25">
      <c r="A1764" t="s">
        <v>6094</v>
      </c>
      <c r="B1764" t="s">
        <v>6095</v>
      </c>
      <c r="C1764" t="s">
        <v>594</v>
      </c>
      <c r="D1764" t="s">
        <v>497</v>
      </c>
      <c r="E1764" t="s">
        <v>596</v>
      </c>
      <c r="F1764" t="s">
        <v>574</v>
      </c>
      <c r="G1764" t="s">
        <v>6096</v>
      </c>
      <c r="H1764" t="str">
        <f>HYPERLINK("https://baanknet.com/view-property/191549/2D2F936938354ED9A9A72759FE20B888B2BBB13645D6E096A6FC44884B72ED78", "https://baanknet.com/view-property/191549/2D2F936938354ED9A9A72759FE20B888B2BBB13645D6E096A6FC44884B72ED78")</f>
        <v>https://baanknet.com/view-property/191549/2D2F936938354ED9A9A72759FE20B888B2BBB13645D6E096A6FC44884B72ED78</v>
      </c>
      <c r="I1764" t="str">
        <f>HYPERLINK("https://baanknet.com/view-property/191549/2D2F936938354ED9A9A72759FE20B888B2BBB13645D6E096A6FC44884B72ED78", "Open")</f>
        <v>Open</v>
      </c>
      <c r="J1764" t="s">
        <v>3803</v>
      </c>
      <c r="L1764">
        <v>5030000</v>
      </c>
      <c r="M1764">
        <v>503000</v>
      </c>
    </row>
    <row r="1765" spans="1:13" x14ac:dyDescent="0.25">
      <c r="A1765" t="s">
        <v>6097</v>
      </c>
      <c r="B1765" t="s">
        <v>6098</v>
      </c>
      <c r="C1765" t="s">
        <v>594</v>
      </c>
      <c r="D1765" t="s">
        <v>857</v>
      </c>
      <c r="E1765" t="s">
        <v>596</v>
      </c>
      <c r="F1765" t="s">
        <v>574</v>
      </c>
      <c r="G1765" t="s">
        <v>6099</v>
      </c>
      <c r="H1765" t="str">
        <f>HYPERLINK("https://baanknet.com/view-property/266645/CF8DC9A8D2CD8432E25627820BFF9BBDD6A4C053987AF68A6A653A7C25764F88", "https://baanknet.com/view-property/266645/CF8DC9A8D2CD8432E25627820BFF9BBDD6A4C053987AF68A6A653A7C25764F88")</f>
        <v>https://baanknet.com/view-property/266645/CF8DC9A8D2CD8432E25627820BFF9BBDD6A4C053987AF68A6A653A7C25764F88</v>
      </c>
      <c r="I1765" t="str">
        <f>HYPERLINK("https://baanknet.com/view-property/266645/CF8DC9A8D2CD8432E25627820BFF9BBDD6A4C053987AF68A6A653A7C25764F88", "Open")</f>
        <v>Open</v>
      </c>
      <c r="J1765" t="s">
        <v>3803</v>
      </c>
      <c r="L1765">
        <v>4093000</v>
      </c>
      <c r="M1765">
        <v>409300</v>
      </c>
    </row>
    <row r="1766" spans="1:13" x14ac:dyDescent="0.25">
      <c r="A1766" t="s">
        <v>6100</v>
      </c>
      <c r="B1766" t="s">
        <v>6101</v>
      </c>
      <c r="C1766" t="s">
        <v>594</v>
      </c>
      <c r="D1766" t="s">
        <v>533</v>
      </c>
      <c r="E1766" t="s">
        <v>596</v>
      </c>
      <c r="F1766" t="s">
        <v>574</v>
      </c>
      <c r="G1766" t="s">
        <v>6102</v>
      </c>
      <c r="H1766" t="str">
        <f>HYPERLINK("https://baanknet.com/view-property/275715/B71C462C93392D6ADC752A38CD4FFF9C95AE1C3E84C64760E3D4472E4D2EB21E", "https://baanknet.com/view-property/275715/B71C462C93392D6ADC752A38CD4FFF9C95AE1C3E84C64760E3D4472E4D2EB21E")</f>
        <v>https://baanknet.com/view-property/275715/B71C462C93392D6ADC752A38CD4FFF9C95AE1C3E84C64760E3D4472E4D2EB21E</v>
      </c>
      <c r="I1766" t="str">
        <f>HYPERLINK("https://baanknet.com/view-property/275715/B71C462C93392D6ADC752A38CD4FFF9C95AE1C3E84C64760E3D4472E4D2EB21E", "Open")</f>
        <v>Open</v>
      </c>
      <c r="J1766" t="s">
        <v>3803</v>
      </c>
      <c r="L1766">
        <v>535500</v>
      </c>
      <c r="M1766">
        <v>53550</v>
      </c>
    </row>
    <row r="1767" spans="1:13" x14ac:dyDescent="0.25">
      <c r="A1767" t="s">
        <v>6103</v>
      </c>
      <c r="B1767" t="s">
        <v>6104</v>
      </c>
      <c r="C1767" t="s">
        <v>594</v>
      </c>
      <c r="D1767" t="s">
        <v>937</v>
      </c>
      <c r="E1767" t="s">
        <v>596</v>
      </c>
      <c r="F1767" t="s">
        <v>574</v>
      </c>
      <c r="G1767" t="s">
        <v>6105</v>
      </c>
      <c r="H1767" t="str">
        <f>HYPERLINK("https://baanknet.com/view-property/284099/EDBE8163FD88405AD7747B50DEE7AD0FAA610A8565F33B8D32021CF3B938869F", "https://baanknet.com/view-property/284099/EDBE8163FD88405AD7747B50DEE7AD0FAA610A8565F33B8D32021CF3B938869F")</f>
        <v>https://baanknet.com/view-property/284099/EDBE8163FD88405AD7747B50DEE7AD0FAA610A8565F33B8D32021CF3B938869F</v>
      </c>
      <c r="I1767" t="str">
        <f>HYPERLINK("https://baanknet.com/view-property/284099/EDBE8163FD88405AD7747B50DEE7AD0FAA610A8565F33B8D32021CF3B938869F", "Open")</f>
        <v>Open</v>
      </c>
      <c r="J1767" t="s">
        <v>3803</v>
      </c>
      <c r="L1767">
        <v>2238000</v>
      </c>
      <c r="M1767">
        <v>223800</v>
      </c>
    </row>
    <row r="1768" spans="1:13" x14ac:dyDescent="0.25">
      <c r="A1768" t="s">
        <v>6106</v>
      </c>
      <c r="B1768" t="s">
        <v>6107</v>
      </c>
      <c r="C1768" t="s">
        <v>594</v>
      </c>
      <c r="D1768" t="s">
        <v>533</v>
      </c>
      <c r="E1768" t="s">
        <v>596</v>
      </c>
      <c r="F1768" t="s">
        <v>574</v>
      </c>
      <c r="G1768" t="s">
        <v>6108</v>
      </c>
      <c r="H1768" t="str">
        <f>HYPERLINK("https://baanknet.com/view-property/276436/AFFDF613B72D1AC850034990C5BE21E0F7C02BAAAA5D250BC06E9D167AFBA1A7", "https://baanknet.com/view-property/276436/AFFDF613B72D1AC850034990C5BE21E0F7C02BAAAA5D250BC06E9D167AFBA1A7")</f>
        <v>https://baanknet.com/view-property/276436/AFFDF613B72D1AC850034990C5BE21E0F7C02BAAAA5D250BC06E9D167AFBA1A7</v>
      </c>
      <c r="I1768" t="str">
        <f>HYPERLINK("https://baanknet.com/view-property/276436/AFFDF613B72D1AC850034990C5BE21E0F7C02BAAAA5D250BC06E9D167AFBA1A7", "Open")</f>
        <v>Open</v>
      </c>
      <c r="J1768" t="s">
        <v>3803</v>
      </c>
      <c r="L1768">
        <v>535500</v>
      </c>
      <c r="M1768">
        <v>53550</v>
      </c>
    </row>
    <row r="1769" spans="1:13" x14ac:dyDescent="0.25">
      <c r="A1769" t="s">
        <v>6109</v>
      </c>
      <c r="B1769" t="s">
        <v>6110</v>
      </c>
      <c r="C1769" t="s">
        <v>594</v>
      </c>
      <c r="D1769" t="s">
        <v>533</v>
      </c>
      <c r="E1769" t="s">
        <v>596</v>
      </c>
      <c r="F1769" t="s">
        <v>574</v>
      </c>
      <c r="G1769" t="s">
        <v>6111</v>
      </c>
      <c r="H1769" t="str">
        <f>HYPERLINK("https://baanknet.com/view-property/275727/86FBA839059825CE240AFC84FB8038B1D2C435DDB906BC2FB9CF229295168B04", "https://baanknet.com/view-property/275727/86FBA839059825CE240AFC84FB8038B1D2C435DDB906BC2FB9CF229295168B04")</f>
        <v>https://baanknet.com/view-property/275727/86FBA839059825CE240AFC84FB8038B1D2C435DDB906BC2FB9CF229295168B04</v>
      </c>
      <c r="I1769" t="str">
        <f>HYPERLINK("https://baanknet.com/view-property/275727/86FBA839059825CE240AFC84FB8038B1D2C435DDB906BC2FB9CF229295168B04", "Open")</f>
        <v>Open</v>
      </c>
      <c r="J1769" t="s">
        <v>3803</v>
      </c>
      <c r="L1769">
        <v>535500</v>
      </c>
      <c r="M1769">
        <v>53550</v>
      </c>
    </row>
    <row r="1770" spans="1:13" x14ac:dyDescent="0.25">
      <c r="A1770" t="s">
        <v>6112</v>
      </c>
      <c r="B1770" t="s">
        <v>6113</v>
      </c>
      <c r="C1770" t="s">
        <v>594</v>
      </c>
      <c r="D1770" t="s">
        <v>937</v>
      </c>
      <c r="E1770" t="s">
        <v>596</v>
      </c>
      <c r="F1770" t="s">
        <v>574</v>
      </c>
      <c r="G1770" t="s">
        <v>6114</v>
      </c>
      <c r="H1770" t="str">
        <f>HYPERLINK("https://baanknet.com/view-property/100177/9EF4539BA7F454F703CC6F49979409AB86321E496B57D0E9A1E4AFB7CF308B58", "https://baanknet.com/view-property/100177/9EF4539BA7F454F703CC6F49979409AB86321E496B57D0E9A1E4AFB7CF308B58")</f>
        <v>https://baanknet.com/view-property/100177/9EF4539BA7F454F703CC6F49979409AB86321E496B57D0E9A1E4AFB7CF308B58</v>
      </c>
      <c r="I1770" t="str">
        <f>HYPERLINK("https://baanknet.com/view-property/100177/9EF4539BA7F454F703CC6F49979409AB86321E496B57D0E9A1E4AFB7CF308B58", "Open")</f>
        <v>Open</v>
      </c>
      <c r="J1770" t="s">
        <v>3803</v>
      </c>
      <c r="L1770">
        <v>4896000</v>
      </c>
      <c r="M1770">
        <v>489600</v>
      </c>
    </row>
    <row r="1771" spans="1:13" x14ac:dyDescent="0.25">
      <c r="A1771" t="s">
        <v>6115</v>
      </c>
      <c r="B1771" t="s">
        <v>6116</v>
      </c>
      <c r="C1771" t="s">
        <v>594</v>
      </c>
      <c r="D1771" t="s">
        <v>533</v>
      </c>
      <c r="E1771" t="s">
        <v>596</v>
      </c>
      <c r="F1771" t="s">
        <v>574</v>
      </c>
      <c r="G1771" t="s">
        <v>6117</v>
      </c>
      <c r="H1771" t="str">
        <f>HYPERLINK("https://baanknet.com/view-property/281009/1267001B66F14E319942CC2A0B1954BCFF1FBD36DF26E1D2DE5C7E7BA5F190C0", "https://baanknet.com/view-property/281009/1267001B66F14E319942CC2A0B1954BCFF1FBD36DF26E1D2DE5C7E7BA5F190C0")</f>
        <v>https://baanknet.com/view-property/281009/1267001B66F14E319942CC2A0B1954BCFF1FBD36DF26E1D2DE5C7E7BA5F190C0</v>
      </c>
      <c r="I1771" t="str">
        <f>HYPERLINK("https://baanknet.com/view-property/281009/1267001B66F14E319942CC2A0B1954BCFF1FBD36DF26E1D2DE5C7E7BA5F190C0", "Open")</f>
        <v>Open</v>
      </c>
      <c r="J1771" t="s">
        <v>3803</v>
      </c>
      <c r="L1771">
        <v>505000</v>
      </c>
      <c r="M1771">
        <v>50500</v>
      </c>
    </row>
    <row r="1772" spans="1:13" x14ac:dyDescent="0.25">
      <c r="A1772" t="s">
        <v>6118</v>
      </c>
      <c r="B1772" t="s">
        <v>6119</v>
      </c>
      <c r="C1772" t="s">
        <v>594</v>
      </c>
      <c r="D1772" t="s">
        <v>937</v>
      </c>
      <c r="E1772" t="s">
        <v>596</v>
      </c>
      <c r="F1772" t="s">
        <v>574</v>
      </c>
      <c r="G1772" t="s">
        <v>6120</v>
      </c>
      <c r="H1772" t="str">
        <f>HYPERLINK("https://baanknet.com/view-property/283667/EE540A760EC6A5F78945DE27846B927B7B891C1A3D119B44B773C41AB055E71A", "https://baanknet.com/view-property/283667/EE540A760EC6A5F78945DE27846B927B7B891C1A3D119B44B773C41AB055E71A")</f>
        <v>https://baanknet.com/view-property/283667/EE540A760EC6A5F78945DE27846B927B7B891C1A3D119B44B773C41AB055E71A</v>
      </c>
      <c r="I1772" t="str">
        <f>HYPERLINK("https://baanknet.com/view-property/283667/EE540A760EC6A5F78945DE27846B927B7B891C1A3D119B44B773C41AB055E71A", "Open")</f>
        <v>Open</v>
      </c>
      <c r="J1772" t="s">
        <v>3803</v>
      </c>
      <c r="L1772">
        <v>6754000</v>
      </c>
      <c r="M1772">
        <v>675400</v>
      </c>
    </row>
    <row r="1773" spans="1:13" x14ac:dyDescent="0.25">
      <c r="A1773" t="s">
        <v>6121</v>
      </c>
      <c r="B1773" t="s">
        <v>6122</v>
      </c>
      <c r="C1773" t="s">
        <v>594</v>
      </c>
      <c r="D1773" t="s">
        <v>6123</v>
      </c>
      <c r="E1773" t="s">
        <v>596</v>
      </c>
      <c r="F1773" t="s">
        <v>574</v>
      </c>
      <c r="G1773" t="s">
        <v>6124</v>
      </c>
      <c r="H1773" t="str">
        <f>HYPERLINK("https://baanknet.com/view-property/232468/63E8D127B9BBD085268FAD09FAED2CBE57C8B6F64A0D350C2781DC8269F1810E", "https://baanknet.com/view-property/232468/63E8D127B9BBD085268FAD09FAED2CBE57C8B6F64A0D350C2781DC8269F1810E")</f>
        <v>https://baanknet.com/view-property/232468/63E8D127B9BBD085268FAD09FAED2CBE57C8B6F64A0D350C2781DC8269F1810E</v>
      </c>
      <c r="I1773" t="str">
        <f>HYPERLINK("https://baanknet.com/view-property/232468/63E8D127B9BBD085268FAD09FAED2CBE57C8B6F64A0D350C2781DC8269F1810E", "Open")</f>
        <v>Open</v>
      </c>
      <c r="J1773" t="s">
        <v>3803</v>
      </c>
      <c r="L1773">
        <v>1226000</v>
      </c>
      <c r="M1773">
        <v>122600</v>
      </c>
    </row>
    <row r="1774" spans="1:13" x14ac:dyDescent="0.25">
      <c r="A1774" t="s">
        <v>6125</v>
      </c>
      <c r="B1774" t="s">
        <v>6126</v>
      </c>
      <c r="C1774" t="s">
        <v>594</v>
      </c>
      <c r="D1774" t="s">
        <v>873</v>
      </c>
      <c r="E1774" t="s">
        <v>596</v>
      </c>
      <c r="F1774" t="s">
        <v>574</v>
      </c>
      <c r="G1774" t="s">
        <v>6127</v>
      </c>
      <c r="H1774" t="str">
        <f>HYPERLINK("https://baanknet.com/view-property/103525/867A286702B20584B24E6B977794230F88C0BBA4301152E008C72CBEBD096633", "https://baanknet.com/view-property/103525/867A286702B20584B24E6B977794230F88C0BBA4301152E008C72CBEBD096633")</f>
        <v>https://baanknet.com/view-property/103525/867A286702B20584B24E6B977794230F88C0BBA4301152E008C72CBEBD096633</v>
      </c>
      <c r="I1774" t="str">
        <f>HYPERLINK("https://baanknet.com/view-property/103525/867A286702B20584B24E6B977794230F88C0BBA4301152E008C72CBEBD096633", "Open")</f>
        <v>Open</v>
      </c>
      <c r="J1774" t="s">
        <v>3803</v>
      </c>
      <c r="L1774">
        <v>1307000</v>
      </c>
      <c r="M1774">
        <v>130700</v>
      </c>
    </row>
    <row r="1775" spans="1:13" x14ac:dyDescent="0.25">
      <c r="A1775" t="s">
        <v>6128</v>
      </c>
      <c r="B1775" t="s">
        <v>6129</v>
      </c>
      <c r="C1775" t="s">
        <v>594</v>
      </c>
      <c r="D1775" t="s">
        <v>608</v>
      </c>
      <c r="E1775" t="s">
        <v>596</v>
      </c>
      <c r="F1775" t="s">
        <v>574</v>
      </c>
      <c r="G1775" t="s">
        <v>6130</v>
      </c>
      <c r="H1775" t="str">
        <f>HYPERLINK("https://baanknet.com/view-property/284803/A1AA2AF00A254B04DC9AC9B03580FAB7CF75C823238843FFD2EEB55361016E6A", "https://baanknet.com/view-property/284803/A1AA2AF00A254B04DC9AC9B03580FAB7CF75C823238843FFD2EEB55361016E6A")</f>
        <v>https://baanknet.com/view-property/284803/A1AA2AF00A254B04DC9AC9B03580FAB7CF75C823238843FFD2EEB55361016E6A</v>
      </c>
      <c r="I1775" t="str">
        <f>HYPERLINK("https://baanknet.com/view-property/284803/A1AA2AF00A254B04DC9AC9B03580FAB7CF75C823238843FFD2EEB55361016E6A", "Open")</f>
        <v>Open</v>
      </c>
      <c r="J1775" t="s">
        <v>3803</v>
      </c>
      <c r="L1775">
        <v>1020000</v>
      </c>
      <c r="M1775">
        <v>102000</v>
      </c>
    </row>
    <row r="1776" spans="1:13" x14ac:dyDescent="0.25">
      <c r="A1776" t="s">
        <v>6131</v>
      </c>
      <c r="B1776" t="s">
        <v>6132</v>
      </c>
      <c r="C1776" t="s">
        <v>594</v>
      </c>
      <c r="D1776" t="s">
        <v>608</v>
      </c>
      <c r="E1776" t="s">
        <v>596</v>
      </c>
      <c r="F1776" t="s">
        <v>574</v>
      </c>
      <c r="G1776" t="s">
        <v>6133</v>
      </c>
      <c r="H1776" t="str">
        <f>HYPERLINK("https://baanknet.com/view-property/284799/CFD49C14EEAD8C99BAAB864C5D58E90DFE0B7C070FE42D062EA76CC0C597CCDD", "https://baanknet.com/view-property/284799/CFD49C14EEAD8C99BAAB864C5D58E90DFE0B7C070FE42D062EA76CC0C597CCDD")</f>
        <v>https://baanknet.com/view-property/284799/CFD49C14EEAD8C99BAAB864C5D58E90DFE0B7C070FE42D062EA76CC0C597CCDD</v>
      </c>
      <c r="I1776" t="str">
        <f>HYPERLINK("https://baanknet.com/view-property/284799/CFD49C14EEAD8C99BAAB864C5D58E90DFE0B7C070FE42D062EA76CC0C597CCDD", "Open")</f>
        <v>Open</v>
      </c>
      <c r="J1776" t="s">
        <v>3803</v>
      </c>
      <c r="L1776">
        <v>1020000</v>
      </c>
      <c r="M1776">
        <v>102000</v>
      </c>
    </row>
    <row r="1777" spans="1:13" x14ac:dyDescent="0.25">
      <c r="A1777" t="s">
        <v>6134</v>
      </c>
      <c r="B1777" t="s">
        <v>6135</v>
      </c>
      <c r="C1777" t="s">
        <v>594</v>
      </c>
      <c r="D1777" t="s">
        <v>608</v>
      </c>
      <c r="E1777" t="s">
        <v>596</v>
      </c>
      <c r="F1777" t="s">
        <v>574</v>
      </c>
      <c r="G1777" t="s">
        <v>6136</v>
      </c>
      <c r="H1777" t="str">
        <f>HYPERLINK("https://baanknet.com/view-property/284781/819CCD597E6EA321530D5CFF0F3F7F8BCD6DEE0C54C1C7F88AF0897456AF8149", "https://baanknet.com/view-property/284781/819CCD597E6EA321530D5CFF0F3F7F8BCD6DEE0C54C1C7F88AF0897456AF8149")</f>
        <v>https://baanknet.com/view-property/284781/819CCD597E6EA321530D5CFF0F3F7F8BCD6DEE0C54C1C7F88AF0897456AF8149</v>
      </c>
      <c r="I1777" t="str">
        <f>HYPERLINK("https://baanknet.com/view-property/284781/819CCD597E6EA321530D5CFF0F3F7F8BCD6DEE0C54C1C7F88AF0897456AF8149", "Open")</f>
        <v>Open</v>
      </c>
      <c r="J1777" t="s">
        <v>3803</v>
      </c>
      <c r="L1777">
        <v>1020000</v>
      </c>
      <c r="M1777">
        <v>102000</v>
      </c>
    </row>
    <row r="1778" spans="1:13" x14ac:dyDescent="0.25">
      <c r="A1778" t="s">
        <v>6137</v>
      </c>
      <c r="B1778" t="s">
        <v>6138</v>
      </c>
      <c r="C1778" t="s">
        <v>594</v>
      </c>
      <c r="D1778" t="s">
        <v>608</v>
      </c>
      <c r="E1778" t="s">
        <v>596</v>
      </c>
      <c r="F1778" t="s">
        <v>574</v>
      </c>
      <c r="G1778" t="s">
        <v>6139</v>
      </c>
      <c r="H1778" t="str">
        <f>HYPERLINK("https://baanknet.com/view-property/118106/E78C9014E4CE2DD48EEE482291711B883F12FB6D69D4C61ABB6D5C3F3BF30884", "https://baanknet.com/view-property/118106/E78C9014E4CE2DD48EEE482291711B883F12FB6D69D4C61ABB6D5C3F3BF30884")</f>
        <v>https://baanknet.com/view-property/118106/E78C9014E4CE2DD48EEE482291711B883F12FB6D69D4C61ABB6D5C3F3BF30884</v>
      </c>
      <c r="I1778" t="str">
        <f>HYPERLINK("https://baanknet.com/view-property/118106/E78C9014E4CE2DD48EEE482291711B883F12FB6D69D4C61ABB6D5C3F3BF30884", "Open")</f>
        <v>Open</v>
      </c>
      <c r="J1778" t="s">
        <v>3803</v>
      </c>
      <c r="L1778">
        <v>1885000</v>
      </c>
      <c r="M1778">
        <v>188500</v>
      </c>
    </row>
    <row r="1779" spans="1:13" x14ac:dyDescent="0.25">
      <c r="A1779" t="s">
        <v>6140</v>
      </c>
      <c r="B1779" t="s">
        <v>6141</v>
      </c>
      <c r="C1779" t="s">
        <v>594</v>
      </c>
      <c r="D1779" t="s">
        <v>3607</v>
      </c>
      <c r="E1779" t="s">
        <v>596</v>
      </c>
      <c r="F1779" t="s">
        <v>574</v>
      </c>
      <c r="G1779" t="s">
        <v>6142</v>
      </c>
      <c r="H1779" t="str">
        <f>HYPERLINK("https://baanknet.com/view-property/11758/4293D2144B04DCFDA8A01B394D9F3347A4E1E169E8938DD7293EDA3BB4DE2387", "https://baanknet.com/view-property/11758/4293D2144B04DCFDA8A01B394D9F3347A4E1E169E8938DD7293EDA3BB4DE2387")</f>
        <v>https://baanknet.com/view-property/11758/4293D2144B04DCFDA8A01B394D9F3347A4E1E169E8938DD7293EDA3BB4DE2387</v>
      </c>
      <c r="I1779" t="str">
        <f>HYPERLINK("https://baanknet.com/view-property/11758/4293D2144B04DCFDA8A01B394D9F3347A4E1E169E8938DD7293EDA3BB4DE2387", "Open")</f>
        <v>Open</v>
      </c>
      <c r="J1779" t="s">
        <v>3803</v>
      </c>
      <c r="L1779">
        <v>352000</v>
      </c>
      <c r="M1779">
        <v>35200</v>
      </c>
    </row>
    <row r="1780" spans="1:13" x14ac:dyDescent="0.25">
      <c r="A1780" t="s">
        <v>6143</v>
      </c>
      <c r="B1780" t="s">
        <v>6144</v>
      </c>
      <c r="C1780" t="s">
        <v>594</v>
      </c>
      <c r="D1780" t="s">
        <v>3607</v>
      </c>
      <c r="E1780" t="s">
        <v>596</v>
      </c>
      <c r="F1780" t="s">
        <v>574</v>
      </c>
      <c r="G1780" t="s">
        <v>6145</v>
      </c>
      <c r="H1780" t="str">
        <f>HYPERLINK("https://baanknet.com/view-property/45572/03BD65CEBB11F4A4F16DCBBFE701687A61A9A55D8DD0BDFE1B415653D6F638F5", "https://baanknet.com/view-property/45572/03BD65CEBB11F4A4F16DCBBFE701687A61A9A55D8DD0BDFE1B415653D6F638F5")</f>
        <v>https://baanknet.com/view-property/45572/03BD65CEBB11F4A4F16DCBBFE701687A61A9A55D8DD0BDFE1B415653D6F638F5</v>
      </c>
      <c r="I1780" t="str">
        <f>HYPERLINK("https://baanknet.com/view-property/45572/03BD65CEBB11F4A4F16DCBBFE701687A61A9A55D8DD0BDFE1B415653D6F638F5", "Open")</f>
        <v>Open</v>
      </c>
      <c r="J1780" t="s">
        <v>3803</v>
      </c>
      <c r="L1780">
        <v>467500</v>
      </c>
      <c r="M1780">
        <v>46750</v>
      </c>
    </row>
    <row r="1781" spans="1:13" x14ac:dyDescent="0.25">
      <c r="A1781" t="s">
        <v>6146</v>
      </c>
      <c r="B1781" t="s">
        <v>6147</v>
      </c>
      <c r="C1781" t="s">
        <v>594</v>
      </c>
      <c r="D1781" t="s">
        <v>6148</v>
      </c>
      <c r="E1781" t="s">
        <v>596</v>
      </c>
      <c r="F1781" t="s">
        <v>574</v>
      </c>
      <c r="G1781" t="s">
        <v>6149</v>
      </c>
      <c r="H1781" t="str">
        <f>HYPERLINK("https://baanknet.com/view-property/273791/606ECC9F44D703F645242C15C7D646D333FCFD42D5DA3BDA04506D4288CB3907", "https://baanknet.com/view-property/273791/606ECC9F44D703F645242C15C7D646D333FCFD42D5DA3BDA04506D4288CB3907")</f>
        <v>https://baanknet.com/view-property/273791/606ECC9F44D703F645242C15C7D646D333FCFD42D5DA3BDA04506D4288CB3907</v>
      </c>
      <c r="I1781" t="str">
        <f>HYPERLINK("https://baanknet.com/view-property/273791/606ECC9F44D703F645242C15C7D646D333FCFD42D5DA3BDA04506D4288CB3907", "Open")</f>
        <v>Open</v>
      </c>
      <c r="J1781" t="s">
        <v>3803</v>
      </c>
      <c r="L1781">
        <v>7875000</v>
      </c>
      <c r="M1781">
        <v>787500</v>
      </c>
    </row>
    <row r="1782" spans="1:13" x14ac:dyDescent="0.25">
      <c r="A1782" t="s">
        <v>6150</v>
      </c>
      <c r="B1782" t="s">
        <v>6151</v>
      </c>
      <c r="C1782" t="s">
        <v>594</v>
      </c>
      <c r="D1782" t="s">
        <v>6152</v>
      </c>
      <c r="E1782" t="s">
        <v>596</v>
      </c>
      <c r="F1782" t="s">
        <v>574</v>
      </c>
      <c r="G1782" t="s">
        <v>6153</v>
      </c>
      <c r="H1782" t="str">
        <f>HYPERLINK("https://baanknet.com/view-property/280631/DF5B6456B756A6DA5101DB85785B6BEA9C2B74007E78FBFE305E488AE3F99DC8", "https://baanknet.com/view-property/280631/DF5B6456B756A6DA5101DB85785B6BEA9C2B74007E78FBFE305E488AE3F99DC8")</f>
        <v>https://baanknet.com/view-property/280631/DF5B6456B756A6DA5101DB85785B6BEA9C2B74007E78FBFE305E488AE3F99DC8</v>
      </c>
      <c r="I1782" t="str">
        <f>HYPERLINK("https://baanknet.com/view-property/280631/DF5B6456B756A6DA5101DB85785B6BEA9C2B74007E78FBFE305E488AE3F99DC8", "Open")</f>
        <v>Open</v>
      </c>
      <c r="J1782" t="s">
        <v>3803</v>
      </c>
      <c r="L1782">
        <v>10500000</v>
      </c>
      <c r="M1782">
        <v>1050000</v>
      </c>
    </row>
    <row r="1783" spans="1:13" x14ac:dyDescent="0.25">
      <c r="A1783" t="s">
        <v>6154</v>
      </c>
      <c r="B1783" t="s">
        <v>6155</v>
      </c>
      <c r="C1783" t="s">
        <v>594</v>
      </c>
      <c r="D1783" t="s">
        <v>4500</v>
      </c>
      <c r="E1783" t="s">
        <v>596</v>
      </c>
      <c r="F1783" t="s">
        <v>574</v>
      </c>
      <c r="G1783" t="s">
        <v>6156</v>
      </c>
      <c r="H1783" t="str">
        <f>HYPERLINK("https://baanknet.com/view-property/278109/585C2BF32CAD8769E9F0515D7EC355C239DBDF68446FB9E0A9887114F54CF483", "https://baanknet.com/view-property/278109/585C2BF32CAD8769E9F0515D7EC355C239DBDF68446FB9E0A9887114F54CF483")</f>
        <v>https://baanknet.com/view-property/278109/585C2BF32CAD8769E9F0515D7EC355C239DBDF68446FB9E0A9887114F54CF483</v>
      </c>
      <c r="I1783" t="str">
        <f>HYPERLINK("https://baanknet.com/view-property/278109/585C2BF32CAD8769E9F0515D7EC355C239DBDF68446FB9E0A9887114F54CF483", "Open")</f>
        <v>Open</v>
      </c>
      <c r="J1783" t="s">
        <v>3803</v>
      </c>
      <c r="L1783">
        <v>3020000</v>
      </c>
      <c r="M1783">
        <v>302000</v>
      </c>
    </row>
    <row r="1784" spans="1:13" x14ac:dyDescent="0.25">
      <c r="A1784" t="s">
        <v>6157</v>
      </c>
      <c r="B1784" t="s">
        <v>6158</v>
      </c>
      <c r="C1784" t="s">
        <v>594</v>
      </c>
      <c r="D1784" t="s">
        <v>4500</v>
      </c>
      <c r="E1784" t="s">
        <v>596</v>
      </c>
      <c r="F1784" t="s">
        <v>574</v>
      </c>
      <c r="G1784" t="s">
        <v>6159</v>
      </c>
      <c r="H1784" t="str">
        <f>HYPERLINK("https://baanknet.com/view-property/278110/29B6A04D8FB54BF719AF4BBBEA676DAFA07C1D546AAA20A22E87793123ED433E", "https://baanknet.com/view-property/278110/29B6A04D8FB54BF719AF4BBBEA676DAFA07C1D546AAA20A22E87793123ED433E")</f>
        <v>https://baanknet.com/view-property/278110/29B6A04D8FB54BF719AF4BBBEA676DAFA07C1D546AAA20A22E87793123ED433E</v>
      </c>
      <c r="I1784" t="str">
        <f>HYPERLINK("https://baanknet.com/view-property/278110/29B6A04D8FB54BF719AF4BBBEA676DAFA07C1D546AAA20A22E87793123ED433E", "Open")</f>
        <v>Open</v>
      </c>
      <c r="J1784" t="s">
        <v>3803</v>
      </c>
      <c r="L1784">
        <v>10700000</v>
      </c>
      <c r="M1784">
        <v>1070000</v>
      </c>
    </row>
    <row r="1785" spans="1:13" x14ac:dyDescent="0.25">
      <c r="A1785" t="s">
        <v>6160</v>
      </c>
      <c r="B1785" t="s">
        <v>6161</v>
      </c>
      <c r="C1785" t="s">
        <v>594</v>
      </c>
      <c r="D1785" t="s">
        <v>4500</v>
      </c>
      <c r="E1785" t="s">
        <v>596</v>
      </c>
      <c r="F1785" t="s">
        <v>574</v>
      </c>
      <c r="G1785" t="s">
        <v>6162</v>
      </c>
      <c r="H1785" t="str">
        <f>HYPERLINK("https://baanknet.com/view-property/278113/047A32E32ACA7BE8D87069A0ECFBABFB6E8D82CA3545F6B6F4BC10C9752B15D5", "https://baanknet.com/view-property/278113/047A32E32ACA7BE8D87069A0ECFBABFB6E8D82CA3545F6B6F4BC10C9752B15D5")</f>
        <v>https://baanknet.com/view-property/278113/047A32E32ACA7BE8D87069A0ECFBABFB6E8D82CA3545F6B6F4BC10C9752B15D5</v>
      </c>
      <c r="I1785" t="str">
        <f>HYPERLINK("https://baanknet.com/view-property/278113/047A32E32ACA7BE8D87069A0ECFBABFB6E8D82CA3545F6B6F4BC10C9752B15D5", "Open")</f>
        <v>Open</v>
      </c>
      <c r="J1785" t="s">
        <v>3803</v>
      </c>
      <c r="L1785">
        <v>3900000</v>
      </c>
      <c r="M1785">
        <v>390000</v>
      </c>
    </row>
    <row r="1786" spans="1:13" x14ac:dyDescent="0.25">
      <c r="A1786" t="s">
        <v>6163</v>
      </c>
      <c r="B1786" t="s">
        <v>6164</v>
      </c>
      <c r="C1786" t="s">
        <v>594</v>
      </c>
      <c r="D1786" t="s">
        <v>1051</v>
      </c>
      <c r="E1786" t="s">
        <v>596</v>
      </c>
      <c r="F1786" t="s">
        <v>574</v>
      </c>
      <c r="G1786" t="s">
        <v>6165</v>
      </c>
      <c r="H1786" t="str">
        <f>HYPERLINK("https://baanknet.com/view-property/263746/600614096B2542E85B487E32AD9D56CB41C1442ACA331DD20BD0832F4498028B", "https://baanknet.com/view-property/263746/600614096B2542E85B487E32AD9D56CB41C1442ACA331DD20BD0832F4498028B")</f>
        <v>https://baanknet.com/view-property/263746/600614096B2542E85B487E32AD9D56CB41C1442ACA331DD20BD0832F4498028B</v>
      </c>
      <c r="I1786" t="str">
        <f>HYPERLINK("https://baanknet.com/view-property/263746/600614096B2542E85B487E32AD9D56CB41C1442ACA331DD20BD0832F4498028B", "Open")</f>
        <v>Open</v>
      </c>
      <c r="J1786" t="s">
        <v>3803</v>
      </c>
      <c r="L1786">
        <v>2110000</v>
      </c>
      <c r="M1786">
        <v>211000</v>
      </c>
    </row>
    <row r="1787" spans="1:13" x14ac:dyDescent="0.25">
      <c r="A1787" t="s">
        <v>6166</v>
      </c>
      <c r="B1787" t="s">
        <v>6167</v>
      </c>
      <c r="C1787" t="s">
        <v>594</v>
      </c>
      <c r="D1787" t="s">
        <v>578</v>
      </c>
      <c r="E1787" t="s">
        <v>596</v>
      </c>
      <c r="F1787" t="s">
        <v>574</v>
      </c>
      <c r="G1787" t="s">
        <v>6168</v>
      </c>
      <c r="H1787" t="str">
        <f>HYPERLINK("https://baanknet.com/view-property/275395/877F4731933AECBEE046E9EFCA65176EB2FD2033E1A1754D426FA6F257EC8AC3", "https://baanknet.com/view-property/275395/877F4731933AECBEE046E9EFCA65176EB2FD2033E1A1754D426FA6F257EC8AC3")</f>
        <v>https://baanknet.com/view-property/275395/877F4731933AECBEE046E9EFCA65176EB2FD2033E1A1754D426FA6F257EC8AC3</v>
      </c>
      <c r="I1787" t="str">
        <f>HYPERLINK("https://baanknet.com/view-property/275395/877F4731933AECBEE046E9EFCA65176EB2FD2033E1A1754D426FA6F257EC8AC3", "Open")</f>
        <v>Open</v>
      </c>
      <c r="J1787" t="s">
        <v>3803</v>
      </c>
      <c r="L1787">
        <v>2900000</v>
      </c>
      <c r="M1787">
        <v>290000</v>
      </c>
    </row>
    <row r="1788" spans="1:13" x14ac:dyDescent="0.25">
      <c r="A1788" t="s">
        <v>6169</v>
      </c>
      <c r="B1788" t="s">
        <v>6170</v>
      </c>
      <c r="C1788" t="s">
        <v>594</v>
      </c>
      <c r="D1788" t="s">
        <v>578</v>
      </c>
      <c r="E1788" t="s">
        <v>596</v>
      </c>
      <c r="F1788" t="s">
        <v>574</v>
      </c>
      <c r="G1788" t="s">
        <v>6171</v>
      </c>
      <c r="H1788" t="str">
        <f>HYPERLINK("https://baanknet.com/view-property/275400/8805DCC69307DA8966D2D835F4CF8784970C57B4013EDCA6657BDFDE929497EC", "https://baanknet.com/view-property/275400/8805DCC69307DA8966D2D835F4CF8784970C57B4013EDCA6657BDFDE929497EC")</f>
        <v>https://baanknet.com/view-property/275400/8805DCC69307DA8966D2D835F4CF8784970C57B4013EDCA6657BDFDE929497EC</v>
      </c>
      <c r="I1788" t="str">
        <f>HYPERLINK("https://baanknet.com/view-property/275400/8805DCC69307DA8966D2D835F4CF8784970C57B4013EDCA6657BDFDE929497EC", "Open")</f>
        <v>Open</v>
      </c>
      <c r="J1788" t="s">
        <v>3803</v>
      </c>
      <c r="L1788">
        <v>2340000</v>
      </c>
      <c r="M1788">
        <v>234000</v>
      </c>
    </row>
    <row r="1789" spans="1:13" x14ac:dyDescent="0.25">
      <c r="A1789" t="s">
        <v>6172</v>
      </c>
      <c r="B1789" t="s">
        <v>6173</v>
      </c>
      <c r="C1789" t="s">
        <v>594</v>
      </c>
      <c r="D1789" t="s">
        <v>6174</v>
      </c>
      <c r="E1789" t="s">
        <v>596</v>
      </c>
      <c r="F1789" t="s">
        <v>574</v>
      </c>
      <c r="G1789" t="s">
        <v>6175</v>
      </c>
      <c r="H1789" t="str">
        <f>HYPERLINK("https://baanknet.com/view-property/251305/64C801A2F814D74D86FC83796937CD04A067E83B048449E98A84130DE553B21C", "https://baanknet.com/view-property/251305/64C801A2F814D74D86FC83796937CD04A067E83B048449E98A84130DE553B21C")</f>
        <v>https://baanknet.com/view-property/251305/64C801A2F814D74D86FC83796937CD04A067E83B048449E98A84130DE553B21C</v>
      </c>
      <c r="I1789" t="str">
        <f>HYPERLINK("https://baanknet.com/view-property/251305/64C801A2F814D74D86FC83796937CD04A067E83B048449E98A84130DE553B21C", "Open")</f>
        <v>Open</v>
      </c>
      <c r="J1789" t="s">
        <v>3803</v>
      </c>
      <c r="L1789">
        <v>4856000</v>
      </c>
      <c r="M1789">
        <v>485600</v>
      </c>
    </row>
    <row r="1790" spans="1:13" x14ac:dyDescent="0.25">
      <c r="A1790" t="s">
        <v>6176</v>
      </c>
      <c r="B1790" t="s">
        <v>6177</v>
      </c>
      <c r="C1790" t="s">
        <v>594</v>
      </c>
      <c r="D1790" t="s">
        <v>157</v>
      </c>
      <c r="E1790" t="s">
        <v>596</v>
      </c>
      <c r="F1790" t="s">
        <v>574</v>
      </c>
      <c r="G1790" t="s">
        <v>6178</v>
      </c>
      <c r="H1790" t="str">
        <f>HYPERLINK("https://baanknet.com/view-property/258934/4698144BD4E0BC6B71A9AAE5A19FB1371C8F0F2940AA3ADB28990AD3C1B1A988", "https://baanknet.com/view-property/258934/4698144BD4E0BC6B71A9AAE5A19FB1371C8F0F2940AA3ADB28990AD3C1B1A988")</f>
        <v>https://baanknet.com/view-property/258934/4698144BD4E0BC6B71A9AAE5A19FB1371C8F0F2940AA3ADB28990AD3C1B1A988</v>
      </c>
      <c r="I1790" t="str">
        <f>HYPERLINK("https://baanknet.com/view-property/258934/4698144BD4E0BC6B71A9AAE5A19FB1371C8F0F2940AA3ADB28990AD3C1B1A988", "Open")</f>
        <v>Open</v>
      </c>
      <c r="J1790" t="s">
        <v>3803</v>
      </c>
      <c r="L1790">
        <v>3252000</v>
      </c>
      <c r="M1790">
        <v>325200</v>
      </c>
    </row>
    <row r="1791" spans="1:13" x14ac:dyDescent="0.25">
      <c r="A1791" t="s">
        <v>6179</v>
      </c>
      <c r="B1791" t="s">
        <v>6180</v>
      </c>
      <c r="C1791" t="s">
        <v>594</v>
      </c>
      <c r="D1791" t="s">
        <v>4962</v>
      </c>
      <c r="E1791" t="s">
        <v>596</v>
      </c>
      <c r="F1791" t="s">
        <v>574</v>
      </c>
      <c r="G1791" t="s">
        <v>6181</v>
      </c>
      <c r="H1791" t="str">
        <f>HYPERLINK("https://baanknet.com/view-property/83494/8B3CBAD18CE73111581724DF39682C8A62490C0900F7B56AB678D0C66756A197", "https://baanknet.com/view-property/83494/8B3CBAD18CE73111581724DF39682C8A62490C0900F7B56AB678D0C66756A197")</f>
        <v>https://baanknet.com/view-property/83494/8B3CBAD18CE73111581724DF39682C8A62490C0900F7B56AB678D0C66756A197</v>
      </c>
      <c r="I1791" t="str">
        <f>HYPERLINK("https://baanknet.com/view-property/83494/8B3CBAD18CE73111581724DF39682C8A62490C0900F7B56AB678D0C66756A197", "Open")</f>
        <v>Open</v>
      </c>
      <c r="J1791" t="s">
        <v>3803</v>
      </c>
      <c r="L1791">
        <v>1015000</v>
      </c>
      <c r="M1791">
        <v>101500</v>
      </c>
    </row>
    <row r="1792" spans="1:13" x14ac:dyDescent="0.25">
      <c r="A1792" t="s">
        <v>6182</v>
      </c>
      <c r="B1792" t="s">
        <v>6183</v>
      </c>
      <c r="C1792" t="s">
        <v>594</v>
      </c>
      <c r="D1792" t="s">
        <v>157</v>
      </c>
      <c r="E1792" t="s">
        <v>596</v>
      </c>
      <c r="F1792" t="s">
        <v>574</v>
      </c>
      <c r="G1792" t="s">
        <v>6184</v>
      </c>
      <c r="H1792" t="str">
        <f>HYPERLINK("https://baanknet.com/view-property/258933/A09522206CC881F13A1C3673E3F7272BDAC94FF87E29EE75262FB6C6FEDB3812", "https://baanknet.com/view-property/258933/A09522206CC881F13A1C3673E3F7272BDAC94FF87E29EE75262FB6C6FEDB3812")</f>
        <v>https://baanknet.com/view-property/258933/A09522206CC881F13A1C3673E3F7272BDAC94FF87E29EE75262FB6C6FEDB3812</v>
      </c>
      <c r="I1792" t="str">
        <f>HYPERLINK("https://baanknet.com/view-property/258933/A09522206CC881F13A1C3673E3F7272BDAC94FF87E29EE75262FB6C6FEDB3812", "Open")</f>
        <v>Open</v>
      </c>
      <c r="J1792" t="s">
        <v>3803</v>
      </c>
      <c r="L1792">
        <v>8910000</v>
      </c>
      <c r="M1792">
        <v>891000</v>
      </c>
    </row>
    <row r="1793" spans="1:13" x14ac:dyDescent="0.25">
      <c r="A1793" t="s">
        <v>6185</v>
      </c>
      <c r="B1793" t="s">
        <v>6186</v>
      </c>
      <c r="C1793" t="s">
        <v>594</v>
      </c>
      <c r="D1793" t="s">
        <v>3515</v>
      </c>
      <c r="E1793" t="s">
        <v>596</v>
      </c>
      <c r="F1793" t="s">
        <v>574</v>
      </c>
      <c r="G1793" t="s">
        <v>6187</v>
      </c>
      <c r="H1793" t="str">
        <f>HYPERLINK("https://baanknet.com/view-property/245206/8CE6D8C1F03CBC7DFDFA067741FC985839210894D95A4C6BD984799179329CA1", "https://baanknet.com/view-property/245206/8CE6D8C1F03CBC7DFDFA067741FC985839210894D95A4C6BD984799179329CA1")</f>
        <v>https://baanknet.com/view-property/245206/8CE6D8C1F03CBC7DFDFA067741FC985839210894D95A4C6BD984799179329CA1</v>
      </c>
      <c r="I1793" t="str">
        <f>HYPERLINK("https://baanknet.com/view-property/245206/8CE6D8C1F03CBC7DFDFA067741FC985839210894D95A4C6BD984799179329CA1", "Open")</f>
        <v>Open</v>
      </c>
      <c r="J1793" t="s">
        <v>3803</v>
      </c>
      <c r="L1793">
        <v>818000</v>
      </c>
      <c r="M1793">
        <v>81800</v>
      </c>
    </row>
    <row r="1794" spans="1:13" x14ac:dyDescent="0.25">
      <c r="A1794" t="s">
        <v>6188</v>
      </c>
      <c r="B1794" t="s">
        <v>6189</v>
      </c>
      <c r="C1794" t="s">
        <v>594</v>
      </c>
      <c r="D1794" t="s">
        <v>2117</v>
      </c>
      <c r="E1794" t="s">
        <v>596</v>
      </c>
      <c r="F1794" t="s">
        <v>574</v>
      </c>
      <c r="G1794" t="s">
        <v>6190</v>
      </c>
      <c r="H1794" t="str">
        <f>HYPERLINK("https://baanknet.com/view-property/23552/70D6204C1BD293E45FAA9B61861EED159F4B67F5C767B5687E801334F2A61913", "https://baanknet.com/view-property/23552/70D6204C1BD293E45FAA9B61861EED159F4B67F5C767B5687E801334F2A61913")</f>
        <v>https://baanknet.com/view-property/23552/70D6204C1BD293E45FAA9B61861EED159F4B67F5C767B5687E801334F2A61913</v>
      </c>
      <c r="I1794" t="str">
        <f>HYPERLINK("https://baanknet.com/view-property/23552/70D6204C1BD293E45FAA9B61861EED159F4B67F5C767B5687E801334F2A61913", "Open")</f>
        <v>Open</v>
      </c>
      <c r="J1794" t="s">
        <v>3803</v>
      </c>
      <c r="L1794">
        <v>1865000</v>
      </c>
      <c r="M1794">
        <v>186500</v>
      </c>
    </row>
    <row r="1795" spans="1:13" x14ac:dyDescent="0.25">
      <c r="A1795" t="s">
        <v>6191</v>
      </c>
      <c r="B1795" t="s">
        <v>6192</v>
      </c>
      <c r="C1795" t="s">
        <v>594</v>
      </c>
      <c r="D1795" t="s">
        <v>157</v>
      </c>
      <c r="E1795" t="s">
        <v>596</v>
      </c>
      <c r="F1795" t="s">
        <v>574</v>
      </c>
      <c r="G1795" t="s">
        <v>6193</v>
      </c>
      <c r="H1795" t="str">
        <f>HYPERLINK("https://baanknet.com/view-property/190954/D73098E001F35D5CB513299D17C4B4D3D9B041D102484654CEA347D2CCEF9CA5", "https://baanknet.com/view-property/190954/D73098E001F35D5CB513299D17C4B4D3D9B041D102484654CEA347D2CCEF9CA5")</f>
        <v>https://baanknet.com/view-property/190954/D73098E001F35D5CB513299D17C4B4D3D9B041D102484654CEA347D2CCEF9CA5</v>
      </c>
      <c r="I1795" t="str">
        <f>HYPERLINK("https://baanknet.com/view-property/190954/D73098E001F35D5CB513299D17C4B4D3D9B041D102484654CEA347D2CCEF9CA5", "Open")</f>
        <v>Open</v>
      </c>
      <c r="J1795" t="s">
        <v>3803</v>
      </c>
      <c r="L1795">
        <v>1775000</v>
      </c>
      <c r="M1795">
        <v>177500</v>
      </c>
    </row>
    <row r="1796" spans="1:13" x14ac:dyDescent="0.25">
      <c r="A1796" t="s">
        <v>6194</v>
      </c>
      <c r="B1796" t="s">
        <v>6195</v>
      </c>
      <c r="C1796" t="s">
        <v>594</v>
      </c>
      <c r="D1796" t="s">
        <v>6196</v>
      </c>
      <c r="E1796" t="s">
        <v>596</v>
      </c>
      <c r="F1796" t="s">
        <v>574</v>
      </c>
      <c r="G1796" t="s">
        <v>6197</v>
      </c>
      <c r="H1796" t="str">
        <f>HYPERLINK("https://baanknet.com/view-property/281544/703570F62A4828C712617866A67B5057464F6578855FA1D3FA5AFA591CF4011C", "https://baanknet.com/view-property/281544/703570F62A4828C712617866A67B5057464F6578855FA1D3FA5AFA591CF4011C")</f>
        <v>https://baanknet.com/view-property/281544/703570F62A4828C712617866A67B5057464F6578855FA1D3FA5AFA591CF4011C</v>
      </c>
      <c r="I1796" t="str">
        <f>HYPERLINK("https://baanknet.com/view-property/281544/703570F62A4828C712617866A67B5057464F6578855FA1D3FA5AFA591CF4011C", "Open")</f>
        <v>Open</v>
      </c>
      <c r="J1796" t="s">
        <v>3803</v>
      </c>
      <c r="L1796">
        <v>1110000</v>
      </c>
      <c r="M1796">
        <v>111000</v>
      </c>
    </row>
    <row r="1797" spans="1:13" x14ac:dyDescent="0.25">
      <c r="A1797" t="s">
        <v>6198</v>
      </c>
      <c r="B1797" t="s">
        <v>6199</v>
      </c>
      <c r="C1797" t="s">
        <v>594</v>
      </c>
      <c r="D1797" t="s">
        <v>937</v>
      </c>
      <c r="E1797" t="s">
        <v>596</v>
      </c>
      <c r="F1797" t="s">
        <v>574</v>
      </c>
      <c r="G1797" t="s">
        <v>6200</v>
      </c>
      <c r="H1797" t="str">
        <f>HYPERLINK("https://baanknet.com/view-property/75320/70BD5EEF629815747B8528169D34A9ABE2CEC12C95091B58F36EB18B4103F84F", "https://baanknet.com/view-property/75320/70BD5EEF629815747B8528169D34A9ABE2CEC12C95091B58F36EB18B4103F84F")</f>
        <v>https://baanknet.com/view-property/75320/70BD5EEF629815747B8528169D34A9ABE2CEC12C95091B58F36EB18B4103F84F</v>
      </c>
      <c r="I1797" t="str">
        <f>HYPERLINK("https://baanknet.com/view-property/75320/70BD5EEF629815747B8528169D34A9ABE2CEC12C95091B58F36EB18B4103F84F", "Open")</f>
        <v>Open</v>
      </c>
      <c r="J1797" t="s">
        <v>3803</v>
      </c>
      <c r="L1797">
        <v>4418000</v>
      </c>
      <c r="M1797">
        <v>441800</v>
      </c>
    </row>
    <row r="1798" spans="1:13" x14ac:dyDescent="0.25">
      <c r="A1798" t="s">
        <v>6201</v>
      </c>
      <c r="B1798" t="s">
        <v>6202</v>
      </c>
      <c r="C1798" t="s">
        <v>594</v>
      </c>
      <c r="D1798" t="s">
        <v>937</v>
      </c>
      <c r="E1798" t="s">
        <v>596</v>
      </c>
      <c r="F1798" t="s">
        <v>574</v>
      </c>
      <c r="G1798" t="s">
        <v>6203</v>
      </c>
      <c r="H1798" t="str">
        <f>HYPERLINK("https://baanknet.com/view-property/213749/457DD35C8E521844E40B28EDC6BC5A5EACD15E470B8C469914C2F259611A0CF9", "https://baanknet.com/view-property/213749/457DD35C8E521844E40B28EDC6BC5A5EACD15E470B8C469914C2F259611A0CF9")</f>
        <v>https://baanknet.com/view-property/213749/457DD35C8E521844E40B28EDC6BC5A5EACD15E470B8C469914C2F259611A0CF9</v>
      </c>
      <c r="I1798" t="str">
        <f>HYPERLINK("https://baanknet.com/view-property/213749/457DD35C8E521844E40B28EDC6BC5A5EACD15E470B8C469914C2F259611A0CF9", "Open")</f>
        <v>Open</v>
      </c>
      <c r="J1798" t="s">
        <v>3803</v>
      </c>
      <c r="L1798">
        <v>1629000</v>
      </c>
      <c r="M1798">
        <v>162900</v>
      </c>
    </row>
    <row r="1799" spans="1:13" x14ac:dyDescent="0.25">
      <c r="A1799" t="s">
        <v>6204</v>
      </c>
      <c r="B1799" t="s">
        <v>6205</v>
      </c>
      <c r="C1799" t="s">
        <v>594</v>
      </c>
      <c r="D1799" t="s">
        <v>937</v>
      </c>
      <c r="E1799" t="s">
        <v>596</v>
      </c>
      <c r="F1799" t="s">
        <v>574</v>
      </c>
      <c r="G1799" t="s">
        <v>6206</v>
      </c>
      <c r="H1799" t="str">
        <f>HYPERLINK("https://baanknet.com/view-property/213750/A05A21B6EFB510ADADDCF4FADE7E6EDA9B644F364A0A4AE35CBD512AAED3A206", "https://baanknet.com/view-property/213750/A05A21B6EFB510ADADDCF4FADE7E6EDA9B644F364A0A4AE35CBD512AAED3A206")</f>
        <v>https://baanknet.com/view-property/213750/A05A21B6EFB510ADADDCF4FADE7E6EDA9B644F364A0A4AE35CBD512AAED3A206</v>
      </c>
      <c r="I1799" t="str">
        <f>HYPERLINK("https://baanknet.com/view-property/213750/A05A21B6EFB510ADADDCF4FADE7E6EDA9B644F364A0A4AE35CBD512AAED3A206", "Open")</f>
        <v>Open</v>
      </c>
      <c r="J1799" t="s">
        <v>3803</v>
      </c>
      <c r="L1799">
        <v>690000</v>
      </c>
      <c r="M1799">
        <v>69000</v>
      </c>
    </row>
    <row r="1800" spans="1:13" x14ac:dyDescent="0.25">
      <c r="A1800" t="s">
        <v>6207</v>
      </c>
      <c r="B1800" t="s">
        <v>6208</v>
      </c>
      <c r="C1800" t="s">
        <v>594</v>
      </c>
      <c r="D1800" t="s">
        <v>937</v>
      </c>
      <c r="E1800" t="s">
        <v>596</v>
      </c>
      <c r="F1800" t="s">
        <v>574</v>
      </c>
      <c r="G1800" t="s">
        <v>6209</v>
      </c>
      <c r="H1800" t="str">
        <f>HYPERLINK("https://baanknet.com/view-property/271698/E80A130DBEA52416BB4981DA460298151A95A390EAC95604F3561022D663FD80", "https://baanknet.com/view-property/271698/E80A130DBEA52416BB4981DA460298151A95A390EAC95604F3561022D663FD80")</f>
        <v>https://baanknet.com/view-property/271698/E80A130DBEA52416BB4981DA460298151A95A390EAC95604F3561022D663FD80</v>
      </c>
      <c r="I1800" t="str">
        <f>HYPERLINK("https://baanknet.com/view-property/271698/E80A130DBEA52416BB4981DA460298151A95A390EAC95604F3561022D663FD80", "Open")</f>
        <v>Open</v>
      </c>
      <c r="J1800" t="s">
        <v>3803</v>
      </c>
      <c r="L1800">
        <v>6678000</v>
      </c>
      <c r="M1800">
        <v>667800</v>
      </c>
    </row>
    <row r="1801" spans="1:13" x14ac:dyDescent="0.25">
      <c r="A1801" t="s">
        <v>6210</v>
      </c>
      <c r="B1801" t="s">
        <v>6211</v>
      </c>
      <c r="C1801" t="s">
        <v>594</v>
      </c>
      <c r="D1801" t="s">
        <v>149</v>
      </c>
      <c r="E1801" t="s">
        <v>596</v>
      </c>
      <c r="F1801" t="s">
        <v>574</v>
      </c>
      <c r="G1801" t="s">
        <v>6212</v>
      </c>
      <c r="H1801" t="str">
        <f>HYPERLINK("https://baanknet.com/view-property/275320/E86C35C3E063B79BE163E941C3C0C1B8BD2D2738E34E37C4A72E49E9E9A88C67", "https://baanknet.com/view-property/275320/E86C35C3E063B79BE163E941C3C0C1B8BD2D2738E34E37C4A72E49E9E9A88C67")</f>
        <v>https://baanknet.com/view-property/275320/E86C35C3E063B79BE163E941C3C0C1B8BD2D2738E34E37C4A72E49E9E9A88C67</v>
      </c>
      <c r="I1801" t="str">
        <f>HYPERLINK("https://baanknet.com/view-property/275320/E86C35C3E063B79BE163E941C3C0C1B8BD2D2738E34E37C4A72E49E9E9A88C67", "Open")</f>
        <v>Open</v>
      </c>
      <c r="J1801" t="s">
        <v>3803</v>
      </c>
      <c r="L1801">
        <v>3000000</v>
      </c>
      <c r="M1801">
        <v>300000</v>
      </c>
    </row>
    <row r="1802" spans="1:13" x14ac:dyDescent="0.25">
      <c r="A1802" t="s">
        <v>6213</v>
      </c>
      <c r="B1802" t="s">
        <v>6214</v>
      </c>
      <c r="C1802" t="s">
        <v>594</v>
      </c>
      <c r="D1802" t="s">
        <v>1823</v>
      </c>
      <c r="E1802" t="s">
        <v>596</v>
      </c>
      <c r="F1802" t="s">
        <v>574</v>
      </c>
      <c r="G1802" t="s">
        <v>6215</v>
      </c>
      <c r="H1802" t="str">
        <f>HYPERLINK("https://baanknet.com/view-property/53050/A18E94475416FE45796D03686D554A42C1F04901176A8A0E2A8644521273ACB4", "https://baanknet.com/view-property/53050/A18E94475416FE45796D03686D554A42C1F04901176A8A0E2A8644521273ACB4")</f>
        <v>https://baanknet.com/view-property/53050/A18E94475416FE45796D03686D554A42C1F04901176A8A0E2A8644521273ACB4</v>
      </c>
      <c r="I1802" t="str">
        <f>HYPERLINK("https://baanknet.com/view-property/53050/A18E94475416FE45796D03686D554A42C1F04901176A8A0E2A8644521273ACB4", "Open")</f>
        <v>Open</v>
      </c>
      <c r="J1802" t="s">
        <v>3803</v>
      </c>
      <c r="L1802">
        <v>1065000</v>
      </c>
      <c r="M1802">
        <v>106500</v>
      </c>
    </row>
    <row r="1803" spans="1:13" x14ac:dyDescent="0.25">
      <c r="A1803" t="s">
        <v>6216</v>
      </c>
      <c r="B1803" t="s">
        <v>6217</v>
      </c>
      <c r="C1803" t="s">
        <v>594</v>
      </c>
      <c r="D1803" t="s">
        <v>157</v>
      </c>
      <c r="E1803" t="s">
        <v>596</v>
      </c>
      <c r="F1803" t="s">
        <v>574</v>
      </c>
      <c r="G1803" t="s">
        <v>6218</v>
      </c>
      <c r="H1803" t="str">
        <f>HYPERLINK("https://baanknet.com/view-property/258936/CA5A1534D5D9ED3A6A23401AB33F6CA8B4969FD36B0BCE4BA8AD44071AB3E4FD", "https://baanknet.com/view-property/258936/CA5A1534D5D9ED3A6A23401AB33F6CA8B4969FD36B0BCE4BA8AD44071AB3E4FD")</f>
        <v>https://baanknet.com/view-property/258936/CA5A1534D5D9ED3A6A23401AB33F6CA8B4969FD36B0BCE4BA8AD44071AB3E4FD</v>
      </c>
      <c r="I1803" t="str">
        <f>HYPERLINK("https://baanknet.com/view-property/258936/CA5A1534D5D9ED3A6A23401AB33F6CA8B4969FD36B0BCE4BA8AD44071AB3E4FD", "Open")</f>
        <v>Open</v>
      </c>
      <c r="J1803" t="s">
        <v>3803</v>
      </c>
      <c r="L1803">
        <v>1120000</v>
      </c>
      <c r="M1803">
        <v>112000</v>
      </c>
    </row>
    <row r="1804" spans="1:13" x14ac:dyDescent="0.25">
      <c r="A1804" t="s">
        <v>6219</v>
      </c>
      <c r="B1804" t="s">
        <v>6220</v>
      </c>
      <c r="C1804" t="s">
        <v>594</v>
      </c>
      <c r="D1804" t="s">
        <v>6221</v>
      </c>
      <c r="E1804" t="s">
        <v>596</v>
      </c>
      <c r="F1804" t="s">
        <v>574</v>
      </c>
      <c r="G1804" t="s">
        <v>6222</v>
      </c>
      <c r="H1804" t="str">
        <f>HYPERLINK("https://baanknet.com/view-property/254394/CD5A2CF5D0C5066E84E34EB1003C2ED941E9838E07253F2F79C8D59F33B618AF", "https://baanknet.com/view-property/254394/CD5A2CF5D0C5066E84E34EB1003C2ED941E9838E07253F2F79C8D59F33B618AF")</f>
        <v>https://baanknet.com/view-property/254394/CD5A2CF5D0C5066E84E34EB1003C2ED941E9838E07253F2F79C8D59F33B618AF</v>
      </c>
      <c r="I1804" t="str">
        <f>HYPERLINK("https://baanknet.com/view-property/254394/CD5A2CF5D0C5066E84E34EB1003C2ED941E9838E07253F2F79C8D59F33B618AF", "Open")</f>
        <v>Open</v>
      </c>
      <c r="J1804" t="s">
        <v>3803</v>
      </c>
      <c r="L1804">
        <v>6650000</v>
      </c>
      <c r="M1804">
        <v>665000</v>
      </c>
    </row>
    <row r="1805" spans="1:13" x14ac:dyDescent="0.25">
      <c r="A1805" t="s">
        <v>6223</v>
      </c>
      <c r="B1805" t="s">
        <v>6224</v>
      </c>
      <c r="C1805" t="s">
        <v>594</v>
      </c>
      <c r="D1805" t="s">
        <v>6221</v>
      </c>
      <c r="E1805" t="s">
        <v>596</v>
      </c>
      <c r="F1805" t="s">
        <v>574</v>
      </c>
      <c r="G1805" t="s">
        <v>6225</v>
      </c>
      <c r="H1805" t="str">
        <f>HYPERLINK("https://baanknet.com/view-property/254443/5692070379A33A96D0073869A1949E4BE0A9AF918908208569212859704A5D60", "https://baanknet.com/view-property/254443/5692070379A33A96D0073869A1949E4BE0A9AF918908208569212859704A5D60")</f>
        <v>https://baanknet.com/view-property/254443/5692070379A33A96D0073869A1949E4BE0A9AF918908208569212859704A5D60</v>
      </c>
      <c r="I1805" t="str">
        <f>HYPERLINK("https://baanknet.com/view-property/254443/5692070379A33A96D0073869A1949E4BE0A9AF918908208569212859704A5D60", "Open")</f>
        <v>Open</v>
      </c>
      <c r="J1805" t="s">
        <v>3803</v>
      </c>
      <c r="L1805">
        <v>52700000</v>
      </c>
      <c r="M1805">
        <v>5270000</v>
      </c>
    </row>
    <row r="1806" spans="1:13" x14ac:dyDescent="0.25">
      <c r="A1806" t="s">
        <v>6226</v>
      </c>
      <c r="B1806" t="s">
        <v>6227</v>
      </c>
      <c r="C1806" t="s">
        <v>594</v>
      </c>
      <c r="D1806" t="s">
        <v>6221</v>
      </c>
      <c r="E1806" t="s">
        <v>596</v>
      </c>
      <c r="F1806" t="s">
        <v>574</v>
      </c>
      <c r="G1806" t="s">
        <v>6228</v>
      </c>
      <c r="H1806" t="str">
        <f>HYPERLINK("https://baanknet.com/view-property/254446/E063EE6D4EF71EDEEBDCAE18E3B9F66483882AF3CAB9558E43AF0EB9DCBBA9B4", "https://baanknet.com/view-property/254446/E063EE6D4EF71EDEEBDCAE18E3B9F66483882AF3CAB9558E43AF0EB9DCBBA9B4")</f>
        <v>https://baanknet.com/view-property/254446/E063EE6D4EF71EDEEBDCAE18E3B9F66483882AF3CAB9558E43AF0EB9DCBBA9B4</v>
      </c>
      <c r="I1806" t="str">
        <f>HYPERLINK("https://baanknet.com/view-property/254446/E063EE6D4EF71EDEEBDCAE18E3B9F66483882AF3CAB9558E43AF0EB9DCBBA9B4", "Open")</f>
        <v>Open</v>
      </c>
      <c r="J1806" t="s">
        <v>3803</v>
      </c>
      <c r="L1806">
        <v>42200000</v>
      </c>
      <c r="M1806">
        <v>4220000</v>
      </c>
    </row>
    <row r="1807" spans="1:13" x14ac:dyDescent="0.25">
      <c r="A1807" t="s">
        <v>6229</v>
      </c>
      <c r="B1807" t="s">
        <v>6230</v>
      </c>
      <c r="C1807" t="s">
        <v>594</v>
      </c>
      <c r="D1807" t="s">
        <v>6231</v>
      </c>
      <c r="E1807" t="s">
        <v>596</v>
      </c>
      <c r="F1807" t="s">
        <v>574</v>
      </c>
      <c r="G1807" t="s">
        <v>6232</v>
      </c>
      <c r="H1807" t="str">
        <f>HYPERLINK("https://baanknet.com/view-property/280066/3A147A9B64FBC89A4F8B3170D7D16D6E6FBB8C9D6FDBEA58E9A86F4975F75556", "https://baanknet.com/view-property/280066/3A147A9B64FBC89A4F8B3170D7D16D6E6FBB8C9D6FDBEA58E9A86F4975F75556")</f>
        <v>https://baanknet.com/view-property/280066/3A147A9B64FBC89A4F8B3170D7D16D6E6FBB8C9D6FDBEA58E9A86F4975F75556</v>
      </c>
      <c r="I1807" t="str">
        <f>HYPERLINK("https://baanknet.com/view-property/280066/3A147A9B64FBC89A4F8B3170D7D16D6E6FBB8C9D6FDBEA58E9A86F4975F75556", "Open")</f>
        <v>Open</v>
      </c>
      <c r="J1807" t="s">
        <v>3803</v>
      </c>
      <c r="L1807">
        <v>18499230</v>
      </c>
      <c r="M1807">
        <v>1849923</v>
      </c>
    </row>
    <row r="1808" spans="1:13" x14ac:dyDescent="0.25">
      <c r="A1808" t="s">
        <v>6233</v>
      </c>
      <c r="B1808" t="s">
        <v>6234</v>
      </c>
      <c r="C1808" t="s">
        <v>594</v>
      </c>
      <c r="D1808" t="s">
        <v>6235</v>
      </c>
      <c r="E1808" t="s">
        <v>596</v>
      </c>
      <c r="F1808" t="s">
        <v>574</v>
      </c>
      <c r="G1808" t="s">
        <v>6236</v>
      </c>
      <c r="H1808" t="str">
        <f>HYPERLINK("https://baanknet.com/view-property/287196/2425C3F0FB16F5A3F896FF48313CDC15C3EF9DEE64D17D6E9FA713E6B1B946A4", "https://baanknet.com/view-property/287196/2425C3F0FB16F5A3F896FF48313CDC15C3EF9DEE64D17D6E9FA713E6B1B946A4")</f>
        <v>https://baanknet.com/view-property/287196/2425C3F0FB16F5A3F896FF48313CDC15C3EF9DEE64D17D6E9FA713E6B1B946A4</v>
      </c>
      <c r="I1808" t="str">
        <f>HYPERLINK("https://baanknet.com/view-property/287196/2425C3F0FB16F5A3F896FF48313CDC15C3EF9DEE64D17D6E9FA713E6B1B946A4", "Open")</f>
        <v>Open</v>
      </c>
      <c r="J1808" t="s">
        <v>3803</v>
      </c>
      <c r="L1808">
        <v>2550000</v>
      </c>
      <c r="M1808">
        <v>255000</v>
      </c>
    </row>
    <row r="1809" spans="1:13" x14ac:dyDescent="0.25">
      <c r="A1809" t="s">
        <v>6237</v>
      </c>
      <c r="B1809" t="s">
        <v>6238</v>
      </c>
      <c r="C1809" t="s">
        <v>594</v>
      </c>
      <c r="D1809" t="s">
        <v>608</v>
      </c>
      <c r="E1809" t="s">
        <v>596</v>
      </c>
      <c r="F1809" t="s">
        <v>574</v>
      </c>
      <c r="G1809" t="s">
        <v>6239</v>
      </c>
      <c r="H1809" t="str">
        <f>HYPERLINK("https://baanknet.com/view-property/235871/5F0B94E0D2677C5E4CEE251575F0AAB045AF7D269339C89E1B853109EBFBC696", "https://baanknet.com/view-property/235871/5F0B94E0D2677C5E4CEE251575F0AAB045AF7D269339C89E1B853109EBFBC696")</f>
        <v>https://baanknet.com/view-property/235871/5F0B94E0D2677C5E4CEE251575F0AAB045AF7D269339C89E1B853109EBFBC696</v>
      </c>
      <c r="I1809" t="str">
        <f>HYPERLINK("https://baanknet.com/view-property/235871/5F0B94E0D2677C5E4CEE251575F0AAB045AF7D269339C89E1B853109EBFBC696", "Open")</f>
        <v>Open</v>
      </c>
      <c r="J1809" t="s">
        <v>3803</v>
      </c>
      <c r="L1809">
        <v>2337075</v>
      </c>
      <c r="M1809">
        <v>233707.5</v>
      </c>
    </row>
    <row r="1810" spans="1:13" x14ac:dyDescent="0.25">
      <c r="A1810" t="s">
        <v>6240</v>
      </c>
      <c r="B1810" t="s">
        <v>6241</v>
      </c>
      <c r="C1810" t="s">
        <v>594</v>
      </c>
      <c r="D1810" t="s">
        <v>853</v>
      </c>
      <c r="E1810" t="s">
        <v>596</v>
      </c>
      <c r="F1810" t="s">
        <v>574</v>
      </c>
      <c r="G1810" t="s">
        <v>6242</v>
      </c>
      <c r="H1810" t="str">
        <f>HYPERLINK("https://baanknet.com/view-property/219197/F7B5D9D33F1FC68C1B060118FC76092AD0998657D05179141BB2B562702AC1B1", "https://baanknet.com/view-property/219197/F7B5D9D33F1FC68C1B060118FC76092AD0998657D05179141BB2B562702AC1B1")</f>
        <v>https://baanknet.com/view-property/219197/F7B5D9D33F1FC68C1B060118FC76092AD0998657D05179141BB2B562702AC1B1</v>
      </c>
      <c r="I1810" t="str">
        <f>HYPERLINK("https://baanknet.com/view-property/219197/F7B5D9D33F1FC68C1B060118FC76092AD0998657D05179141BB2B562702AC1B1", "Open")</f>
        <v>Open</v>
      </c>
      <c r="J1810" t="s">
        <v>3803</v>
      </c>
      <c r="L1810">
        <v>2443000</v>
      </c>
      <c r="M1810">
        <v>244300</v>
      </c>
    </row>
    <row r="1811" spans="1:13" x14ac:dyDescent="0.25">
      <c r="A1811" t="s">
        <v>6243</v>
      </c>
      <c r="B1811" t="s">
        <v>6244</v>
      </c>
      <c r="C1811" t="s">
        <v>594</v>
      </c>
      <c r="D1811" t="s">
        <v>6245</v>
      </c>
      <c r="E1811" t="s">
        <v>596</v>
      </c>
      <c r="F1811" t="s">
        <v>574</v>
      </c>
      <c r="G1811" t="s">
        <v>6246</v>
      </c>
      <c r="H1811" t="str">
        <f>HYPERLINK("https://baanknet.com/view-property/277523/2FE1C00F655AB8AC0239A26E9F4E2412C6670EF1C5147B8A2AA06D8DCCA39713", "https://baanknet.com/view-property/277523/2FE1C00F655AB8AC0239A26E9F4E2412C6670EF1C5147B8A2AA06D8DCCA39713")</f>
        <v>https://baanknet.com/view-property/277523/2FE1C00F655AB8AC0239A26E9F4E2412C6670EF1C5147B8A2AA06D8DCCA39713</v>
      </c>
      <c r="I1811" t="str">
        <f>HYPERLINK("https://baanknet.com/view-property/277523/2FE1C00F655AB8AC0239A26E9F4E2412C6670EF1C5147B8A2AA06D8DCCA39713", "Open")</f>
        <v>Open</v>
      </c>
      <c r="J1811" t="s">
        <v>3803</v>
      </c>
      <c r="L1811">
        <v>5476000</v>
      </c>
      <c r="M1811">
        <v>547600</v>
      </c>
    </row>
    <row r="1812" spans="1:13" x14ac:dyDescent="0.25">
      <c r="A1812" t="s">
        <v>6247</v>
      </c>
      <c r="B1812" t="s">
        <v>6248</v>
      </c>
      <c r="C1812" t="s">
        <v>594</v>
      </c>
      <c r="D1812" t="s">
        <v>2163</v>
      </c>
      <c r="E1812" t="s">
        <v>596</v>
      </c>
      <c r="F1812" t="s">
        <v>574</v>
      </c>
      <c r="G1812" t="s">
        <v>6249</v>
      </c>
      <c r="H1812" t="str">
        <f>HYPERLINK("https://baanknet.com/view-property/285501/3F5CBB93497E02DA59F8D451FA7BFD3029C4D6BDB5CE500E36CBE04602009B80", "https://baanknet.com/view-property/285501/3F5CBB93497E02DA59F8D451FA7BFD3029C4D6BDB5CE500E36CBE04602009B80")</f>
        <v>https://baanknet.com/view-property/285501/3F5CBB93497E02DA59F8D451FA7BFD3029C4D6BDB5CE500E36CBE04602009B80</v>
      </c>
      <c r="I1812" t="str">
        <f>HYPERLINK("https://baanknet.com/view-property/285501/3F5CBB93497E02DA59F8D451FA7BFD3029C4D6BDB5CE500E36CBE04602009B80", "Open")</f>
        <v>Open</v>
      </c>
      <c r="J1812" t="s">
        <v>3803</v>
      </c>
      <c r="L1812">
        <v>3862000</v>
      </c>
      <c r="M1812">
        <v>386200</v>
      </c>
    </row>
    <row r="1813" spans="1:13" x14ac:dyDescent="0.25">
      <c r="A1813" t="s">
        <v>6250</v>
      </c>
      <c r="B1813" t="s">
        <v>6251</v>
      </c>
      <c r="C1813" t="s">
        <v>594</v>
      </c>
      <c r="D1813" t="s">
        <v>608</v>
      </c>
      <c r="E1813" t="s">
        <v>596</v>
      </c>
      <c r="F1813" t="s">
        <v>574</v>
      </c>
      <c r="G1813" t="s">
        <v>6252</v>
      </c>
      <c r="H1813" t="str">
        <f>HYPERLINK("https://baanknet.com/view-property/258931/1C8530781B7AE67BAF6431EF478DF14F181C6979AC3BD65DC79066919EBD5C73", "https://baanknet.com/view-property/258931/1C8530781B7AE67BAF6431EF478DF14F181C6979AC3BD65DC79066919EBD5C73")</f>
        <v>https://baanknet.com/view-property/258931/1C8530781B7AE67BAF6431EF478DF14F181C6979AC3BD65DC79066919EBD5C73</v>
      </c>
      <c r="I1813" t="str">
        <f>HYPERLINK("https://baanknet.com/view-property/258931/1C8530781B7AE67BAF6431EF478DF14F181C6979AC3BD65DC79066919EBD5C73", "Open")</f>
        <v>Open</v>
      </c>
      <c r="J1813" t="s">
        <v>3803</v>
      </c>
      <c r="L1813">
        <v>7497000</v>
      </c>
      <c r="M1813">
        <v>749700</v>
      </c>
    </row>
    <row r="1814" spans="1:13" x14ac:dyDescent="0.25">
      <c r="A1814" t="s">
        <v>6253</v>
      </c>
      <c r="B1814" t="s">
        <v>6254</v>
      </c>
      <c r="C1814" t="s">
        <v>594</v>
      </c>
      <c r="D1814" t="s">
        <v>32</v>
      </c>
      <c r="E1814" t="s">
        <v>596</v>
      </c>
      <c r="F1814" t="s">
        <v>574</v>
      </c>
      <c r="G1814" t="s">
        <v>6255</v>
      </c>
      <c r="H1814" t="str">
        <f>HYPERLINK("https://baanknet.com/view-property/285367/D714A8A86897EEE2F4D68AFB56D5832461894F188A90F39E250C626AE32D5F72", "https://baanknet.com/view-property/285367/D714A8A86897EEE2F4D68AFB56D5832461894F188A90F39E250C626AE32D5F72")</f>
        <v>https://baanknet.com/view-property/285367/D714A8A86897EEE2F4D68AFB56D5832461894F188A90F39E250C626AE32D5F72</v>
      </c>
      <c r="I1814" t="str">
        <f>HYPERLINK("https://baanknet.com/view-property/285367/D714A8A86897EEE2F4D68AFB56D5832461894F188A90F39E250C626AE32D5F72", "Open")</f>
        <v>Open</v>
      </c>
      <c r="J1814" t="s">
        <v>3803</v>
      </c>
      <c r="L1814">
        <v>7798000</v>
      </c>
      <c r="M1814">
        <v>780000</v>
      </c>
    </row>
    <row r="1815" spans="1:13" x14ac:dyDescent="0.25">
      <c r="A1815" t="s">
        <v>6256</v>
      </c>
      <c r="B1815" t="s">
        <v>6257</v>
      </c>
      <c r="C1815" t="s">
        <v>594</v>
      </c>
      <c r="D1815" t="s">
        <v>6258</v>
      </c>
      <c r="E1815" t="s">
        <v>596</v>
      </c>
      <c r="F1815" t="s">
        <v>574</v>
      </c>
      <c r="G1815" t="s">
        <v>6259</v>
      </c>
      <c r="H1815" t="str">
        <f>HYPERLINK("https://baanknet.com/view-property/277155/668B624A5754BB9DDE30DE9B8F213B2F9980CFD4282756460717739192B9CD58", "https://baanknet.com/view-property/277155/668B624A5754BB9DDE30DE9B8F213B2F9980CFD4282756460717739192B9CD58")</f>
        <v>https://baanknet.com/view-property/277155/668B624A5754BB9DDE30DE9B8F213B2F9980CFD4282756460717739192B9CD58</v>
      </c>
      <c r="I1815" t="str">
        <f>HYPERLINK("https://baanknet.com/view-property/277155/668B624A5754BB9DDE30DE9B8F213B2F9980CFD4282756460717739192B9CD58", "Open")</f>
        <v>Open</v>
      </c>
      <c r="J1815" t="s">
        <v>3803</v>
      </c>
      <c r="L1815">
        <v>2549000</v>
      </c>
      <c r="M1815">
        <v>254900</v>
      </c>
    </row>
    <row r="1816" spans="1:13" x14ac:dyDescent="0.25">
      <c r="A1816" t="s">
        <v>6260</v>
      </c>
      <c r="B1816" t="s">
        <v>6261</v>
      </c>
      <c r="C1816" t="s">
        <v>594</v>
      </c>
      <c r="D1816" t="s">
        <v>6262</v>
      </c>
      <c r="E1816" t="s">
        <v>596</v>
      </c>
      <c r="F1816" t="s">
        <v>574</v>
      </c>
      <c r="G1816" t="s">
        <v>6263</v>
      </c>
      <c r="H1816" t="str">
        <f>HYPERLINK("https://baanknet.com/view-property/248029/27F78F3E301EC99CB38D31B44C69C02D3CCFE639A17E773E28116A817D533752", "https://baanknet.com/view-property/248029/27F78F3E301EC99CB38D31B44C69C02D3CCFE639A17E773E28116A817D533752")</f>
        <v>https://baanknet.com/view-property/248029/27F78F3E301EC99CB38D31B44C69C02D3CCFE639A17E773E28116A817D533752</v>
      </c>
      <c r="I1816" t="str">
        <f>HYPERLINK("https://baanknet.com/view-property/248029/27F78F3E301EC99CB38D31B44C69C02D3CCFE639A17E773E28116A817D533752", "Open")</f>
        <v>Open</v>
      </c>
      <c r="J1816" t="s">
        <v>3803</v>
      </c>
      <c r="L1816">
        <v>600000</v>
      </c>
      <c r="M1816">
        <v>60000</v>
      </c>
    </row>
    <row r="1817" spans="1:13" x14ac:dyDescent="0.25">
      <c r="A1817" t="s">
        <v>6264</v>
      </c>
      <c r="B1817" t="s">
        <v>6265</v>
      </c>
      <c r="C1817" t="s">
        <v>594</v>
      </c>
      <c r="D1817" t="s">
        <v>6258</v>
      </c>
      <c r="E1817" t="s">
        <v>596</v>
      </c>
      <c r="F1817" t="s">
        <v>574</v>
      </c>
      <c r="G1817" t="s">
        <v>6266</v>
      </c>
      <c r="H1817" t="str">
        <f>HYPERLINK("https://baanknet.com/view-property/202982/19E761A9E49D77319283F386B44BBB95B5011F1574337C5901F1D77DE253CE29", "https://baanknet.com/view-property/202982/19E761A9E49D77319283F386B44BBB95B5011F1574337C5901F1D77DE253CE29")</f>
        <v>https://baanknet.com/view-property/202982/19E761A9E49D77319283F386B44BBB95B5011F1574337C5901F1D77DE253CE29</v>
      </c>
      <c r="I1817" t="str">
        <f>HYPERLINK("https://baanknet.com/view-property/202982/19E761A9E49D77319283F386B44BBB95B5011F1574337C5901F1D77DE253CE29", "Open")</f>
        <v>Open</v>
      </c>
      <c r="J1817" t="s">
        <v>3803</v>
      </c>
      <c r="L1817">
        <v>2600000</v>
      </c>
      <c r="M1817">
        <v>260000</v>
      </c>
    </row>
    <row r="1818" spans="1:13" x14ac:dyDescent="0.25">
      <c r="A1818" t="s">
        <v>6267</v>
      </c>
      <c r="B1818" t="s">
        <v>6268</v>
      </c>
      <c r="C1818" t="s">
        <v>594</v>
      </c>
      <c r="D1818" t="s">
        <v>32</v>
      </c>
      <c r="E1818" t="s">
        <v>596</v>
      </c>
      <c r="F1818" t="s">
        <v>574</v>
      </c>
      <c r="G1818" t="s">
        <v>6269</v>
      </c>
      <c r="H1818" t="str">
        <f>HYPERLINK("https://baanknet.com/view-property/284193/7A118F5C7D525F7C67D6D607BE3834F5C5DFF5A5515214C025ECC36380319249", "https://baanknet.com/view-property/284193/7A118F5C7D525F7C67D6D607BE3834F5C5DFF5A5515214C025ECC36380319249")</f>
        <v>https://baanknet.com/view-property/284193/7A118F5C7D525F7C67D6D607BE3834F5C5DFF5A5515214C025ECC36380319249</v>
      </c>
      <c r="I1818" t="str">
        <f>HYPERLINK("https://baanknet.com/view-property/284193/7A118F5C7D525F7C67D6D607BE3834F5C5DFF5A5515214C025ECC36380319249", "Open")</f>
        <v>Open</v>
      </c>
      <c r="J1818" t="s">
        <v>3803</v>
      </c>
      <c r="L1818">
        <v>6060000</v>
      </c>
      <c r="M1818">
        <v>660000</v>
      </c>
    </row>
    <row r="1819" spans="1:13" x14ac:dyDescent="0.25">
      <c r="A1819" t="s">
        <v>6270</v>
      </c>
      <c r="B1819" t="s">
        <v>6271</v>
      </c>
      <c r="C1819" t="s">
        <v>594</v>
      </c>
      <c r="D1819" t="s">
        <v>853</v>
      </c>
      <c r="E1819" t="s">
        <v>596</v>
      </c>
      <c r="F1819" t="s">
        <v>574</v>
      </c>
      <c r="G1819" t="s">
        <v>6272</v>
      </c>
      <c r="H1819" t="str">
        <f>HYPERLINK("https://baanknet.com/view-property/235315/36D295F7BCE8D494CE3705DE66504ECA344FF3F228FB34FE974E6B3B6FA64902", "https://baanknet.com/view-property/235315/36D295F7BCE8D494CE3705DE66504ECA344FF3F228FB34FE974E6B3B6FA64902")</f>
        <v>https://baanknet.com/view-property/235315/36D295F7BCE8D494CE3705DE66504ECA344FF3F228FB34FE974E6B3B6FA64902</v>
      </c>
      <c r="I1819" t="str">
        <f>HYPERLINK("https://baanknet.com/view-property/235315/36D295F7BCE8D494CE3705DE66504ECA344FF3F228FB34FE974E6B3B6FA64902", "Open")</f>
        <v>Open</v>
      </c>
      <c r="J1819" t="s">
        <v>3803</v>
      </c>
      <c r="L1819">
        <v>2662000</v>
      </c>
      <c r="M1819">
        <v>266200</v>
      </c>
    </row>
    <row r="1820" spans="1:13" x14ac:dyDescent="0.25">
      <c r="A1820" t="s">
        <v>6273</v>
      </c>
      <c r="B1820" t="s">
        <v>6274</v>
      </c>
      <c r="C1820" t="s">
        <v>594</v>
      </c>
      <c r="D1820" t="s">
        <v>1602</v>
      </c>
      <c r="E1820" t="s">
        <v>596</v>
      </c>
      <c r="F1820" t="s">
        <v>574</v>
      </c>
      <c r="G1820" t="s">
        <v>6275</v>
      </c>
      <c r="H1820" t="str">
        <f>HYPERLINK("https://baanknet.com/view-property/281224/E704019575CC0996163EBA2F7D116559A559A4A7488B3AF69EE94299A0D5B795", "https://baanknet.com/view-property/281224/E704019575CC0996163EBA2F7D116559A559A4A7488B3AF69EE94299A0D5B795")</f>
        <v>https://baanknet.com/view-property/281224/E704019575CC0996163EBA2F7D116559A559A4A7488B3AF69EE94299A0D5B795</v>
      </c>
      <c r="I1820" t="str">
        <f>HYPERLINK("https://baanknet.com/view-property/281224/E704019575CC0996163EBA2F7D116559A559A4A7488B3AF69EE94299A0D5B795", "Open")</f>
        <v>Open</v>
      </c>
      <c r="J1820" t="s">
        <v>3803</v>
      </c>
      <c r="L1820">
        <v>39600000</v>
      </c>
      <c r="M1820">
        <v>3960000</v>
      </c>
    </row>
    <row r="1821" spans="1:13" x14ac:dyDescent="0.25">
      <c r="A1821" t="s">
        <v>6276</v>
      </c>
      <c r="B1821" t="s">
        <v>6277</v>
      </c>
      <c r="C1821" t="s">
        <v>594</v>
      </c>
      <c r="D1821" t="s">
        <v>1293</v>
      </c>
      <c r="E1821" t="s">
        <v>596</v>
      </c>
      <c r="F1821" t="s">
        <v>574</v>
      </c>
      <c r="G1821" t="s">
        <v>6278</v>
      </c>
      <c r="H1821" t="str">
        <f>HYPERLINK("https://baanknet.com/view-property/272795/801775A28C3E3C490469B3DFF2F1B4121F52FC541C102D7A9BB5E83E3006A660", "https://baanknet.com/view-property/272795/801775A28C3E3C490469B3DFF2F1B4121F52FC541C102D7A9BB5E83E3006A660")</f>
        <v>https://baanknet.com/view-property/272795/801775A28C3E3C490469B3DFF2F1B4121F52FC541C102D7A9BB5E83E3006A660</v>
      </c>
      <c r="I1821" t="str">
        <f>HYPERLINK("https://baanknet.com/view-property/272795/801775A28C3E3C490469B3DFF2F1B4121F52FC541C102D7A9BB5E83E3006A660", "Open")</f>
        <v>Open</v>
      </c>
      <c r="J1821" t="s">
        <v>3803</v>
      </c>
      <c r="L1821">
        <v>8861200</v>
      </c>
      <c r="M1821">
        <v>886120</v>
      </c>
    </row>
    <row r="1822" spans="1:13" x14ac:dyDescent="0.25">
      <c r="A1822" t="s">
        <v>6279</v>
      </c>
      <c r="B1822" t="s">
        <v>6280</v>
      </c>
      <c r="C1822" t="s">
        <v>594</v>
      </c>
      <c r="D1822" t="s">
        <v>1293</v>
      </c>
      <c r="E1822" t="s">
        <v>596</v>
      </c>
      <c r="F1822" t="s">
        <v>574</v>
      </c>
      <c r="G1822" t="s">
        <v>6281</v>
      </c>
      <c r="H1822" t="str">
        <f>HYPERLINK("https://baanknet.com/view-property/272796/90C503BA3F8034EEBA35D766D485BA297C1E603580D3D6986C04F4BE20396F87", "https://baanknet.com/view-property/272796/90C503BA3F8034EEBA35D766D485BA297C1E603580D3D6986C04F4BE20396F87")</f>
        <v>https://baanknet.com/view-property/272796/90C503BA3F8034EEBA35D766D485BA297C1E603580D3D6986C04F4BE20396F87</v>
      </c>
      <c r="I1822" t="str">
        <f>HYPERLINK("https://baanknet.com/view-property/272796/90C503BA3F8034EEBA35D766D485BA297C1E603580D3D6986C04F4BE20396F87", "Open")</f>
        <v>Open</v>
      </c>
      <c r="J1822" t="s">
        <v>3803</v>
      </c>
      <c r="L1822">
        <v>4967400</v>
      </c>
      <c r="M1822">
        <v>496740</v>
      </c>
    </row>
    <row r="1823" spans="1:13" x14ac:dyDescent="0.25">
      <c r="A1823" t="s">
        <v>6282</v>
      </c>
      <c r="B1823" t="s">
        <v>6283</v>
      </c>
      <c r="C1823" t="s">
        <v>594</v>
      </c>
      <c r="D1823" t="s">
        <v>1602</v>
      </c>
      <c r="E1823" t="s">
        <v>596</v>
      </c>
      <c r="F1823" t="s">
        <v>574</v>
      </c>
      <c r="G1823" t="s">
        <v>6284</v>
      </c>
      <c r="H1823" t="str">
        <f>HYPERLINK("https://baanknet.com/view-property/281225/4D995D7A1EF1893B1B63F1069CB5E3715A34DA2524479E15F4DA2736FEAAB8E2", "https://baanknet.com/view-property/281225/4D995D7A1EF1893B1B63F1069CB5E3715A34DA2524479E15F4DA2736FEAAB8E2")</f>
        <v>https://baanknet.com/view-property/281225/4D995D7A1EF1893B1B63F1069CB5E3715A34DA2524479E15F4DA2736FEAAB8E2</v>
      </c>
      <c r="I1823" t="str">
        <f>HYPERLINK("https://baanknet.com/view-property/281225/4D995D7A1EF1893B1B63F1069CB5E3715A34DA2524479E15F4DA2736FEAAB8E2", "Open")</f>
        <v>Open</v>
      </c>
      <c r="J1823" t="s">
        <v>3803</v>
      </c>
      <c r="L1823">
        <v>10900000</v>
      </c>
      <c r="M1823">
        <v>1090000</v>
      </c>
    </row>
    <row r="1824" spans="1:13" x14ac:dyDescent="0.25">
      <c r="A1824" t="s">
        <v>6285</v>
      </c>
      <c r="B1824" t="s">
        <v>6286</v>
      </c>
      <c r="C1824" t="s">
        <v>594</v>
      </c>
      <c r="D1824" t="s">
        <v>6287</v>
      </c>
      <c r="E1824" t="s">
        <v>596</v>
      </c>
      <c r="F1824" t="s">
        <v>574</v>
      </c>
      <c r="G1824" t="s">
        <v>6288</v>
      </c>
      <c r="H1824" t="str">
        <f>HYPERLINK("https://baanknet.com/view-property/230029/CF9D64A39B6B709529FE81FE88DD6E2576CC8829EF1B9E55B7999676AE71AFE3", "https://baanknet.com/view-property/230029/CF9D64A39B6B709529FE81FE88DD6E2576CC8829EF1B9E55B7999676AE71AFE3")</f>
        <v>https://baanknet.com/view-property/230029/CF9D64A39B6B709529FE81FE88DD6E2576CC8829EF1B9E55B7999676AE71AFE3</v>
      </c>
      <c r="I1824" t="str">
        <f>HYPERLINK("https://baanknet.com/view-property/230029/CF9D64A39B6B709529FE81FE88DD6E2576CC8829EF1B9E55B7999676AE71AFE3", "Open")</f>
        <v>Open</v>
      </c>
      <c r="J1824" t="s">
        <v>3803</v>
      </c>
      <c r="L1824">
        <v>8750000</v>
      </c>
      <c r="M1824">
        <v>875000</v>
      </c>
    </row>
    <row r="1825" spans="1:13" x14ac:dyDescent="0.25">
      <c r="A1825" t="s">
        <v>6289</v>
      </c>
      <c r="B1825" t="s">
        <v>6290</v>
      </c>
      <c r="C1825" t="s">
        <v>594</v>
      </c>
      <c r="D1825" t="s">
        <v>6291</v>
      </c>
      <c r="E1825" t="s">
        <v>596</v>
      </c>
      <c r="F1825" t="s">
        <v>574</v>
      </c>
      <c r="G1825" t="s">
        <v>6292</v>
      </c>
      <c r="H1825" t="str">
        <f>HYPERLINK("https://baanknet.com/view-property/235010/0D65B8682ABCEDF3A47D32431E10A01289C498223DFB5DC39EBFBC865ED5C7EC", "https://baanknet.com/view-property/235010/0D65B8682ABCEDF3A47D32431E10A01289C498223DFB5DC39EBFBC865ED5C7EC")</f>
        <v>https://baanknet.com/view-property/235010/0D65B8682ABCEDF3A47D32431E10A01289C498223DFB5DC39EBFBC865ED5C7EC</v>
      </c>
      <c r="I1825" t="str">
        <f>HYPERLINK("https://baanknet.com/view-property/235010/0D65B8682ABCEDF3A47D32431E10A01289C498223DFB5DC39EBFBC865ED5C7EC", "Open")</f>
        <v>Open</v>
      </c>
      <c r="J1825" t="s">
        <v>3803</v>
      </c>
      <c r="L1825">
        <v>2080000</v>
      </c>
      <c r="M1825">
        <v>208000</v>
      </c>
    </row>
    <row r="1826" spans="1:13" x14ac:dyDescent="0.25">
      <c r="A1826" t="s">
        <v>6293</v>
      </c>
      <c r="B1826" t="s">
        <v>6294</v>
      </c>
      <c r="C1826" t="s">
        <v>594</v>
      </c>
      <c r="D1826" t="s">
        <v>1602</v>
      </c>
      <c r="E1826" t="s">
        <v>596</v>
      </c>
      <c r="F1826" t="s">
        <v>574</v>
      </c>
      <c r="G1826" t="s">
        <v>6295</v>
      </c>
      <c r="H1826" t="str">
        <f>HYPERLINK("https://baanknet.com/view-property/281226/CD598C5EE869D0098DA1156AF47BDB5FCD2E77792C6CAA12056A4EC86FB249DC", "https://baanknet.com/view-property/281226/CD598C5EE869D0098DA1156AF47BDB5FCD2E77792C6CAA12056A4EC86FB249DC")</f>
        <v>https://baanknet.com/view-property/281226/CD598C5EE869D0098DA1156AF47BDB5FCD2E77792C6CAA12056A4EC86FB249DC</v>
      </c>
      <c r="I1826" t="str">
        <f>HYPERLINK("https://baanknet.com/view-property/281226/CD598C5EE869D0098DA1156AF47BDB5FCD2E77792C6CAA12056A4EC86FB249DC", "Open")</f>
        <v>Open</v>
      </c>
      <c r="J1826" t="s">
        <v>3803</v>
      </c>
      <c r="L1826">
        <v>21200000</v>
      </c>
      <c r="M1826">
        <v>2120000</v>
      </c>
    </row>
    <row r="1827" spans="1:13" x14ac:dyDescent="0.25">
      <c r="A1827" t="s">
        <v>6296</v>
      </c>
      <c r="B1827" t="s">
        <v>6297</v>
      </c>
      <c r="C1827" t="s">
        <v>594</v>
      </c>
      <c r="D1827" t="s">
        <v>6287</v>
      </c>
      <c r="E1827" t="s">
        <v>596</v>
      </c>
      <c r="F1827" t="s">
        <v>574</v>
      </c>
      <c r="G1827" t="s">
        <v>6298</v>
      </c>
      <c r="H1827" t="str">
        <f>HYPERLINK("https://baanknet.com/view-property/85161/7765B67525EF73656021C23F20AD42ED27FCE5E2708775C62BCA71347F229E20", "https://baanknet.com/view-property/85161/7765B67525EF73656021C23F20AD42ED27FCE5E2708775C62BCA71347F229E20")</f>
        <v>https://baanknet.com/view-property/85161/7765B67525EF73656021C23F20AD42ED27FCE5E2708775C62BCA71347F229E20</v>
      </c>
      <c r="I1827" t="str">
        <f>HYPERLINK("https://baanknet.com/view-property/85161/7765B67525EF73656021C23F20AD42ED27FCE5E2708775C62BCA71347F229E20", "Open")</f>
        <v>Open</v>
      </c>
      <c r="J1827" t="s">
        <v>3803</v>
      </c>
      <c r="L1827">
        <v>711000</v>
      </c>
      <c r="M1827">
        <v>71100</v>
      </c>
    </row>
    <row r="1828" spans="1:13" x14ac:dyDescent="0.25">
      <c r="A1828" t="s">
        <v>6299</v>
      </c>
      <c r="B1828" t="s">
        <v>6300</v>
      </c>
      <c r="C1828" t="s">
        <v>594</v>
      </c>
      <c r="D1828" t="s">
        <v>6287</v>
      </c>
      <c r="E1828" t="s">
        <v>596</v>
      </c>
      <c r="F1828" t="s">
        <v>574</v>
      </c>
      <c r="G1828" t="s">
        <v>6301</v>
      </c>
      <c r="H1828" t="str">
        <f>HYPERLINK("https://baanknet.com/view-property/38457/5E584FF0303039C42EB42463DAA5373818608B18959614E947ADE6279EA2708B", "https://baanknet.com/view-property/38457/5E584FF0303039C42EB42463DAA5373818608B18959614E947ADE6279EA2708B")</f>
        <v>https://baanknet.com/view-property/38457/5E584FF0303039C42EB42463DAA5373818608B18959614E947ADE6279EA2708B</v>
      </c>
      <c r="I1828" t="str">
        <f>HYPERLINK("https://baanknet.com/view-property/38457/5E584FF0303039C42EB42463DAA5373818608B18959614E947ADE6279EA2708B", "Open")</f>
        <v>Open</v>
      </c>
      <c r="J1828" t="s">
        <v>3803</v>
      </c>
      <c r="L1828">
        <v>1180000</v>
      </c>
      <c r="M1828">
        <v>118000</v>
      </c>
    </row>
    <row r="1829" spans="1:13" x14ac:dyDescent="0.25">
      <c r="A1829" t="s">
        <v>6302</v>
      </c>
      <c r="B1829" t="s">
        <v>6303</v>
      </c>
      <c r="C1829" t="s">
        <v>594</v>
      </c>
      <c r="D1829" t="s">
        <v>6304</v>
      </c>
      <c r="E1829" t="s">
        <v>596</v>
      </c>
      <c r="F1829" t="s">
        <v>574</v>
      </c>
      <c r="G1829" t="s">
        <v>6305</v>
      </c>
      <c r="H1829" t="str">
        <f>HYPERLINK("https://baanknet.com/view-property/106504/5125271AC9CED3ED31338E7A0428E98D91499E7D2A22C84DBCAF3766D03B0355", "https://baanknet.com/view-property/106504/5125271AC9CED3ED31338E7A0428E98D91499E7D2A22C84DBCAF3766D03B0355")</f>
        <v>https://baanknet.com/view-property/106504/5125271AC9CED3ED31338E7A0428E98D91499E7D2A22C84DBCAF3766D03B0355</v>
      </c>
      <c r="I1829" t="str">
        <f>HYPERLINK("https://baanknet.com/view-property/106504/5125271AC9CED3ED31338E7A0428E98D91499E7D2A22C84DBCAF3766D03B0355", "Open")</f>
        <v>Open</v>
      </c>
      <c r="J1829" t="s">
        <v>3803</v>
      </c>
      <c r="L1829">
        <v>1787000</v>
      </c>
      <c r="M1829">
        <v>178700</v>
      </c>
    </row>
    <row r="1830" spans="1:13" x14ac:dyDescent="0.25">
      <c r="A1830" t="s">
        <v>6306</v>
      </c>
      <c r="B1830" t="s">
        <v>6307</v>
      </c>
      <c r="C1830" t="s">
        <v>594</v>
      </c>
      <c r="D1830" t="s">
        <v>6287</v>
      </c>
      <c r="E1830" t="s">
        <v>596</v>
      </c>
      <c r="F1830" t="s">
        <v>574</v>
      </c>
      <c r="G1830" t="s">
        <v>6308</v>
      </c>
      <c r="H1830" t="str">
        <f>HYPERLINK("https://baanknet.com/view-property/230030/2E03EDCFFF2BAB81E1FC40A56C41330BC6EFB76D3083F949665E48C79349928E", "https://baanknet.com/view-property/230030/2E03EDCFFF2BAB81E1FC40A56C41330BC6EFB76D3083F949665E48C79349928E")</f>
        <v>https://baanknet.com/view-property/230030/2E03EDCFFF2BAB81E1FC40A56C41330BC6EFB76D3083F949665E48C79349928E</v>
      </c>
      <c r="I1830" t="str">
        <f>HYPERLINK("https://baanknet.com/view-property/230030/2E03EDCFFF2BAB81E1FC40A56C41330BC6EFB76D3083F949665E48C79349928E", "Open")</f>
        <v>Open</v>
      </c>
      <c r="J1830" t="s">
        <v>3803</v>
      </c>
      <c r="L1830">
        <v>6775000</v>
      </c>
      <c r="M1830">
        <v>677500</v>
      </c>
    </row>
    <row r="1831" spans="1:13" x14ac:dyDescent="0.25">
      <c r="A1831" t="s">
        <v>6309</v>
      </c>
      <c r="B1831" t="s">
        <v>6310</v>
      </c>
      <c r="C1831" t="s">
        <v>594</v>
      </c>
      <c r="D1831" t="s">
        <v>127</v>
      </c>
      <c r="E1831" t="s">
        <v>596</v>
      </c>
      <c r="F1831" t="s">
        <v>574</v>
      </c>
      <c r="G1831" t="s">
        <v>6311</v>
      </c>
      <c r="H1831" t="str">
        <f>HYPERLINK("https://baanknet.com/view-property/235013/ED32D92BCF26371B8C912C0ED129DDCA3B360F0DB2CFF80AB231B7B278377372", "https://baanknet.com/view-property/235013/ED32D92BCF26371B8C912C0ED129DDCA3B360F0DB2CFF80AB231B7B278377372")</f>
        <v>https://baanknet.com/view-property/235013/ED32D92BCF26371B8C912C0ED129DDCA3B360F0DB2CFF80AB231B7B278377372</v>
      </c>
      <c r="I1831" t="str">
        <f>HYPERLINK("https://baanknet.com/view-property/235013/ED32D92BCF26371B8C912C0ED129DDCA3B360F0DB2CFF80AB231B7B278377372", "Open")</f>
        <v>Open</v>
      </c>
      <c r="J1831" t="s">
        <v>3803</v>
      </c>
      <c r="L1831">
        <v>2552000</v>
      </c>
      <c r="M1831">
        <v>255200</v>
      </c>
    </row>
    <row r="1832" spans="1:13" x14ac:dyDescent="0.25">
      <c r="A1832" t="s">
        <v>6312</v>
      </c>
      <c r="B1832" t="s">
        <v>6313</v>
      </c>
      <c r="C1832" t="s">
        <v>594</v>
      </c>
      <c r="D1832" t="s">
        <v>6258</v>
      </c>
      <c r="E1832" t="s">
        <v>596</v>
      </c>
      <c r="F1832" t="s">
        <v>574</v>
      </c>
      <c r="G1832" t="s">
        <v>6314</v>
      </c>
      <c r="H1832" t="str">
        <f>HYPERLINK("https://baanknet.com/view-property/206157/4D5B7F1FE94736E22F238ABFE3A0234864A4D8B14B5841A4B6AD9A758420F72F", "https://baanknet.com/view-property/206157/4D5B7F1FE94736E22F238ABFE3A0234864A4D8B14B5841A4B6AD9A758420F72F")</f>
        <v>https://baanknet.com/view-property/206157/4D5B7F1FE94736E22F238ABFE3A0234864A4D8B14B5841A4B6AD9A758420F72F</v>
      </c>
      <c r="I1832" t="str">
        <f>HYPERLINK("https://baanknet.com/view-property/206157/4D5B7F1FE94736E22F238ABFE3A0234864A4D8B14B5841A4B6AD9A758420F72F", "Open")</f>
        <v>Open</v>
      </c>
      <c r="J1832" t="s">
        <v>3803</v>
      </c>
      <c r="L1832">
        <v>1500000</v>
      </c>
      <c r="M1832">
        <v>150000</v>
      </c>
    </row>
    <row r="1833" spans="1:13" x14ac:dyDescent="0.25">
      <c r="A1833" t="s">
        <v>6315</v>
      </c>
      <c r="B1833" t="s">
        <v>6316</v>
      </c>
      <c r="C1833" t="s">
        <v>594</v>
      </c>
      <c r="D1833" t="s">
        <v>6317</v>
      </c>
      <c r="E1833" t="s">
        <v>596</v>
      </c>
      <c r="F1833" t="s">
        <v>574</v>
      </c>
      <c r="G1833" t="s">
        <v>6318</v>
      </c>
      <c r="H1833" t="str">
        <f>HYPERLINK("https://baanknet.com/view-property/287304/F94541FFE2A73772DE45F20CAF950E6C6D8CED1D5AA30326629E3238BFDC5CC4", "https://baanknet.com/view-property/287304/F94541FFE2A73772DE45F20CAF950E6C6D8CED1D5AA30326629E3238BFDC5CC4")</f>
        <v>https://baanknet.com/view-property/287304/F94541FFE2A73772DE45F20CAF950E6C6D8CED1D5AA30326629E3238BFDC5CC4</v>
      </c>
      <c r="I1833" t="str">
        <f>HYPERLINK("https://baanknet.com/view-property/287304/F94541FFE2A73772DE45F20CAF950E6C6D8CED1D5AA30326629E3238BFDC5CC4", "Open")</f>
        <v>Open</v>
      </c>
      <c r="J1833" t="s">
        <v>3803</v>
      </c>
      <c r="L1833">
        <v>5611000</v>
      </c>
      <c r="M1833">
        <v>561100</v>
      </c>
    </row>
    <row r="1834" spans="1:13" x14ac:dyDescent="0.25">
      <c r="A1834" t="s">
        <v>6319</v>
      </c>
      <c r="B1834" t="s">
        <v>6320</v>
      </c>
      <c r="C1834" t="s">
        <v>594</v>
      </c>
      <c r="D1834" t="s">
        <v>6321</v>
      </c>
      <c r="E1834" t="s">
        <v>596</v>
      </c>
      <c r="F1834" t="s">
        <v>574</v>
      </c>
      <c r="G1834" t="s">
        <v>6322</v>
      </c>
      <c r="H1834" t="str">
        <f>HYPERLINK("https://baanknet.com/view-property/93003/17D3A98C8CD864D4AAD3E7ECADC0A16E34A218D67FC69EB48336DFFD9E7548F3", "https://baanknet.com/view-property/93003/17D3A98C8CD864D4AAD3E7ECADC0A16E34A218D67FC69EB48336DFFD9E7548F3")</f>
        <v>https://baanknet.com/view-property/93003/17D3A98C8CD864D4AAD3E7ECADC0A16E34A218D67FC69EB48336DFFD9E7548F3</v>
      </c>
      <c r="I1834" t="str">
        <f>HYPERLINK("https://baanknet.com/view-property/93003/17D3A98C8CD864D4AAD3E7ECADC0A16E34A218D67FC69EB48336DFFD9E7548F3", "Open")</f>
        <v>Open</v>
      </c>
      <c r="J1834" t="s">
        <v>3803</v>
      </c>
      <c r="L1834">
        <v>18000000</v>
      </c>
      <c r="M1834">
        <v>1800000</v>
      </c>
    </row>
    <row r="1835" spans="1:13" x14ac:dyDescent="0.25">
      <c r="A1835" t="s">
        <v>6323</v>
      </c>
      <c r="B1835" t="s">
        <v>6324</v>
      </c>
      <c r="C1835" t="s">
        <v>594</v>
      </c>
      <c r="D1835" t="s">
        <v>4557</v>
      </c>
      <c r="E1835" t="s">
        <v>596</v>
      </c>
      <c r="F1835" t="s">
        <v>574</v>
      </c>
      <c r="G1835" t="s">
        <v>6325</v>
      </c>
      <c r="H1835" t="str">
        <f>HYPERLINK("https://baanknet.com/view-property/126104/A95F3FE6141FC9EE10C8DCAFBB2B82C92CDB95647EAA151A6B98301335E70259", "https://baanknet.com/view-property/126104/A95F3FE6141FC9EE10C8DCAFBB2B82C92CDB95647EAA151A6B98301335E70259")</f>
        <v>https://baanknet.com/view-property/126104/A95F3FE6141FC9EE10C8DCAFBB2B82C92CDB95647EAA151A6B98301335E70259</v>
      </c>
      <c r="I1835" t="str">
        <f>HYPERLINK("https://baanknet.com/view-property/126104/A95F3FE6141FC9EE10C8DCAFBB2B82C92CDB95647EAA151A6B98301335E70259", "Open")</f>
        <v>Open</v>
      </c>
      <c r="J1835" t="s">
        <v>3803</v>
      </c>
      <c r="L1835">
        <v>2111000</v>
      </c>
      <c r="M1835">
        <v>211100</v>
      </c>
    </row>
    <row r="1836" spans="1:13" x14ac:dyDescent="0.25">
      <c r="A1836" t="s">
        <v>6326</v>
      </c>
      <c r="B1836" t="s">
        <v>6327</v>
      </c>
      <c r="C1836" t="s">
        <v>594</v>
      </c>
      <c r="D1836" t="s">
        <v>3747</v>
      </c>
      <c r="E1836" t="s">
        <v>596</v>
      </c>
      <c r="F1836" t="s">
        <v>574</v>
      </c>
      <c r="G1836" t="s">
        <v>6328</v>
      </c>
      <c r="H1836" t="str">
        <f>HYPERLINK("https://baanknet.com/view-property/104748/18BB6220698B8402D65047CF3C6A6E8B8D589F53378F5927888CE5F97BBC15F8", "https://baanknet.com/view-property/104748/18BB6220698B8402D65047CF3C6A6E8B8D589F53378F5927888CE5F97BBC15F8")</f>
        <v>https://baanknet.com/view-property/104748/18BB6220698B8402D65047CF3C6A6E8B8D589F53378F5927888CE5F97BBC15F8</v>
      </c>
      <c r="I1836" t="str">
        <f>HYPERLINK("https://baanknet.com/view-property/104748/18BB6220698B8402D65047CF3C6A6E8B8D589F53378F5927888CE5F97BBC15F8", "Open")</f>
        <v>Open</v>
      </c>
      <c r="J1836" t="s">
        <v>3803</v>
      </c>
      <c r="L1836">
        <v>4140000</v>
      </c>
      <c r="M1836">
        <v>414000</v>
      </c>
    </row>
    <row r="1837" spans="1:13" x14ac:dyDescent="0.25">
      <c r="A1837" t="s">
        <v>6329</v>
      </c>
      <c r="B1837" t="s">
        <v>6330</v>
      </c>
      <c r="C1837" t="s">
        <v>594</v>
      </c>
      <c r="D1837" t="s">
        <v>6331</v>
      </c>
      <c r="E1837" t="s">
        <v>596</v>
      </c>
      <c r="F1837" t="s">
        <v>574</v>
      </c>
      <c r="G1837" t="s">
        <v>6332</v>
      </c>
      <c r="H1837" t="str">
        <f>HYPERLINK("https://baanknet.com/view-property/112252/D2A9BE8246AC5A504FFADD7B82E4F1AB0F4CD03CC677EC754D71A7CB79533D6A", "https://baanknet.com/view-property/112252/D2A9BE8246AC5A504FFADD7B82E4F1AB0F4CD03CC677EC754D71A7CB79533D6A")</f>
        <v>https://baanknet.com/view-property/112252/D2A9BE8246AC5A504FFADD7B82E4F1AB0F4CD03CC677EC754D71A7CB79533D6A</v>
      </c>
      <c r="I1837" t="str">
        <f>HYPERLINK("https://baanknet.com/view-property/112252/D2A9BE8246AC5A504FFADD7B82E4F1AB0F4CD03CC677EC754D71A7CB79533D6A", "Open")</f>
        <v>Open</v>
      </c>
      <c r="J1837" t="s">
        <v>3803</v>
      </c>
      <c r="L1837">
        <v>1434000</v>
      </c>
      <c r="M1837">
        <v>143400</v>
      </c>
    </row>
    <row r="1838" spans="1:13" x14ac:dyDescent="0.25">
      <c r="A1838" t="s">
        <v>6333</v>
      </c>
      <c r="B1838" t="s">
        <v>6334</v>
      </c>
      <c r="C1838" t="s">
        <v>594</v>
      </c>
      <c r="D1838" t="s">
        <v>6258</v>
      </c>
      <c r="E1838" t="s">
        <v>596</v>
      </c>
      <c r="F1838" t="s">
        <v>574</v>
      </c>
      <c r="G1838" t="s">
        <v>6335</v>
      </c>
      <c r="H1838" t="str">
        <f>HYPERLINK("https://baanknet.com/view-property/282146/11BDB9EC72E495310F5E57ED3D6CFF9F81A4DE5D5B7A8A7D789A3E3EF08804A8", "https://baanknet.com/view-property/282146/11BDB9EC72E495310F5E57ED3D6CFF9F81A4DE5D5B7A8A7D789A3E3EF08804A8")</f>
        <v>https://baanknet.com/view-property/282146/11BDB9EC72E495310F5E57ED3D6CFF9F81A4DE5D5B7A8A7D789A3E3EF08804A8</v>
      </c>
      <c r="I1838" t="str">
        <f>HYPERLINK("https://baanknet.com/view-property/282146/11BDB9EC72E495310F5E57ED3D6CFF9F81A4DE5D5B7A8A7D789A3E3EF08804A8", "Open")</f>
        <v>Open</v>
      </c>
      <c r="J1838" t="s">
        <v>3803</v>
      </c>
      <c r="L1838">
        <v>2380000</v>
      </c>
      <c r="M1838">
        <v>238000</v>
      </c>
    </row>
    <row r="1839" spans="1:13" x14ac:dyDescent="0.25">
      <c r="A1839" t="s">
        <v>6336</v>
      </c>
      <c r="B1839" t="s">
        <v>6337</v>
      </c>
      <c r="C1839" t="s">
        <v>594</v>
      </c>
      <c r="D1839" t="s">
        <v>6258</v>
      </c>
      <c r="E1839" t="s">
        <v>596</v>
      </c>
      <c r="F1839" t="s">
        <v>574</v>
      </c>
      <c r="G1839" t="s">
        <v>6338</v>
      </c>
      <c r="H1839" t="str">
        <f>HYPERLINK("https://baanknet.com/view-property/206158/C00519ECEDAC7EF65C4CB6F7E79233738C2EB619F3454D6773AE36123BC2B28F", "https://baanknet.com/view-property/206158/C00519ECEDAC7EF65C4CB6F7E79233738C2EB619F3454D6773AE36123BC2B28F")</f>
        <v>https://baanknet.com/view-property/206158/C00519ECEDAC7EF65C4CB6F7E79233738C2EB619F3454D6773AE36123BC2B28F</v>
      </c>
      <c r="I1839" t="str">
        <f>HYPERLINK("https://baanknet.com/view-property/206158/C00519ECEDAC7EF65C4CB6F7E79233738C2EB619F3454D6773AE36123BC2B28F", "Open")</f>
        <v>Open</v>
      </c>
      <c r="J1839" t="s">
        <v>3803</v>
      </c>
      <c r="L1839">
        <v>4200000</v>
      </c>
      <c r="M1839">
        <v>420000</v>
      </c>
    </row>
    <row r="1840" spans="1:13" x14ac:dyDescent="0.25">
      <c r="A1840" t="s">
        <v>6339</v>
      </c>
      <c r="B1840" t="s">
        <v>6340</v>
      </c>
      <c r="C1840" t="s">
        <v>594</v>
      </c>
      <c r="D1840" t="s">
        <v>6258</v>
      </c>
      <c r="E1840" t="s">
        <v>596</v>
      </c>
      <c r="F1840" t="s">
        <v>574</v>
      </c>
      <c r="G1840" t="s">
        <v>6341</v>
      </c>
      <c r="H1840" t="str">
        <f>HYPERLINK("https://baanknet.com/view-property/206159/F786831C89184FBFA9B88C13D8A335A154EF832166CE59801BF8EF4ADD4E060B", "https://baanknet.com/view-property/206159/F786831C89184FBFA9B88C13D8A335A154EF832166CE59801BF8EF4ADD4E060B")</f>
        <v>https://baanknet.com/view-property/206159/F786831C89184FBFA9B88C13D8A335A154EF832166CE59801BF8EF4ADD4E060B</v>
      </c>
      <c r="I1840" t="str">
        <f>HYPERLINK("https://baanknet.com/view-property/206159/F786831C89184FBFA9B88C13D8A335A154EF832166CE59801BF8EF4ADD4E060B", "Open")</f>
        <v>Open</v>
      </c>
      <c r="J1840" t="s">
        <v>3803</v>
      </c>
      <c r="L1840">
        <v>816000</v>
      </c>
      <c r="M1840">
        <v>81600</v>
      </c>
    </row>
    <row r="1841" spans="1:13" x14ac:dyDescent="0.25">
      <c r="A1841" t="s">
        <v>6342</v>
      </c>
      <c r="B1841" t="s">
        <v>6343</v>
      </c>
      <c r="C1841" t="s">
        <v>594</v>
      </c>
      <c r="D1841" t="s">
        <v>608</v>
      </c>
      <c r="E1841" t="s">
        <v>596</v>
      </c>
      <c r="F1841" t="s">
        <v>574</v>
      </c>
      <c r="G1841" t="s">
        <v>6344</v>
      </c>
      <c r="H1841" t="str">
        <f>HYPERLINK("https://baanknet.com/view-property/272671/172CE341EF64008B1251EA4BCA1FA4C901B3D7D3BD58823F9524C06A4A01FBE9", "https://baanknet.com/view-property/272671/172CE341EF64008B1251EA4BCA1FA4C901B3D7D3BD58823F9524C06A4A01FBE9")</f>
        <v>https://baanknet.com/view-property/272671/172CE341EF64008B1251EA4BCA1FA4C901B3D7D3BD58823F9524C06A4A01FBE9</v>
      </c>
      <c r="I1841" t="str">
        <f>HYPERLINK("https://baanknet.com/view-property/272671/172CE341EF64008B1251EA4BCA1FA4C901B3D7D3BD58823F9524C06A4A01FBE9", "Open")</f>
        <v>Open</v>
      </c>
      <c r="J1841" t="s">
        <v>3803</v>
      </c>
      <c r="L1841">
        <v>1305000</v>
      </c>
      <c r="M1841">
        <v>130500</v>
      </c>
    </row>
    <row r="1842" spans="1:13" x14ac:dyDescent="0.25">
      <c r="A1842" t="s">
        <v>6345</v>
      </c>
      <c r="B1842" t="s">
        <v>6346</v>
      </c>
      <c r="C1842" t="s">
        <v>594</v>
      </c>
      <c r="D1842" t="s">
        <v>608</v>
      </c>
      <c r="E1842" t="s">
        <v>596</v>
      </c>
      <c r="F1842" t="s">
        <v>574</v>
      </c>
      <c r="G1842" t="s">
        <v>6347</v>
      </c>
      <c r="H1842" t="str">
        <f>HYPERLINK("https://baanknet.com/view-property/277133/D2071DA5C1E4DF1405729946F1B3FDEAD5BEAA5B153A574166F2AF3AEC672161", "https://baanknet.com/view-property/277133/D2071DA5C1E4DF1405729946F1B3FDEAD5BEAA5B153A574166F2AF3AEC672161")</f>
        <v>https://baanknet.com/view-property/277133/D2071DA5C1E4DF1405729946F1B3FDEAD5BEAA5B153A574166F2AF3AEC672161</v>
      </c>
      <c r="I1842" t="str">
        <f>HYPERLINK("https://baanknet.com/view-property/277133/D2071DA5C1E4DF1405729946F1B3FDEAD5BEAA5B153A574166F2AF3AEC672161", "Open")</f>
        <v>Open</v>
      </c>
      <c r="J1842" t="s">
        <v>3803</v>
      </c>
      <c r="L1842">
        <v>19350000</v>
      </c>
      <c r="M1842">
        <v>1935000</v>
      </c>
    </row>
    <row r="1843" spans="1:13" x14ac:dyDescent="0.25">
      <c r="A1843" t="s">
        <v>6348</v>
      </c>
      <c r="B1843" t="s">
        <v>6349</v>
      </c>
      <c r="C1843" t="s">
        <v>594</v>
      </c>
      <c r="D1843" t="s">
        <v>608</v>
      </c>
      <c r="E1843" t="s">
        <v>596</v>
      </c>
      <c r="F1843" t="s">
        <v>574</v>
      </c>
      <c r="G1843" t="s">
        <v>6350</v>
      </c>
      <c r="H1843" t="str">
        <f>HYPERLINK("https://baanknet.com/view-property/272669/2B4973CCF8123F6C459CF4B5BA801B6EAF3B0D45DA0B7108B3CCFC485631CA63", "https://baanknet.com/view-property/272669/2B4973CCF8123F6C459CF4B5BA801B6EAF3B0D45DA0B7108B3CCFC485631CA63")</f>
        <v>https://baanknet.com/view-property/272669/2B4973CCF8123F6C459CF4B5BA801B6EAF3B0D45DA0B7108B3CCFC485631CA63</v>
      </c>
      <c r="I1843" t="str">
        <f>HYPERLINK("https://baanknet.com/view-property/272669/2B4973CCF8123F6C459CF4B5BA801B6EAF3B0D45DA0B7108B3CCFC485631CA63", "Open")</f>
        <v>Open</v>
      </c>
      <c r="J1843" t="s">
        <v>3803</v>
      </c>
      <c r="L1843">
        <v>14000000</v>
      </c>
      <c r="M1843">
        <v>1400000</v>
      </c>
    </row>
    <row r="1844" spans="1:13" x14ac:dyDescent="0.25">
      <c r="A1844" t="s">
        <v>6351</v>
      </c>
      <c r="B1844" t="s">
        <v>6352</v>
      </c>
      <c r="C1844" t="s">
        <v>594</v>
      </c>
      <c r="D1844" t="s">
        <v>608</v>
      </c>
      <c r="E1844" t="s">
        <v>596</v>
      </c>
      <c r="F1844" t="s">
        <v>574</v>
      </c>
      <c r="G1844" t="s">
        <v>6353</v>
      </c>
      <c r="H1844" t="str">
        <f>HYPERLINK("https://baanknet.com/view-property/60667/0B02A6E406B167871B6F82E8BB498B78EF739E48750D8D19AE6BB0D9132FDE92", "https://baanknet.com/view-property/60667/0B02A6E406B167871B6F82E8BB498B78EF739E48750D8D19AE6BB0D9132FDE92")</f>
        <v>https://baanknet.com/view-property/60667/0B02A6E406B167871B6F82E8BB498B78EF739E48750D8D19AE6BB0D9132FDE92</v>
      </c>
      <c r="I1844" t="str">
        <f>HYPERLINK("https://baanknet.com/view-property/60667/0B02A6E406B167871B6F82E8BB498B78EF739E48750D8D19AE6BB0D9132FDE92", "Open")</f>
        <v>Open</v>
      </c>
      <c r="J1844" t="s">
        <v>3803</v>
      </c>
      <c r="L1844">
        <v>1610000</v>
      </c>
      <c r="M1844">
        <v>161000</v>
      </c>
    </row>
    <row r="1845" spans="1:13" x14ac:dyDescent="0.25">
      <c r="A1845" t="s">
        <v>6354</v>
      </c>
      <c r="B1845" t="s">
        <v>6355</v>
      </c>
      <c r="C1845" t="s">
        <v>594</v>
      </c>
      <c r="D1845" t="s">
        <v>6287</v>
      </c>
      <c r="E1845" t="s">
        <v>596</v>
      </c>
      <c r="F1845" t="s">
        <v>574</v>
      </c>
      <c r="G1845" t="s">
        <v>6356</v>
      </c>
      <c r="H1845" t="str">
        <f>HYPERLINK("https://baanknet.com/view-property/220938/E5151DD11CCE9AB8FB4C55CF740B3D86E30E3CB3B146B5E9031C0AB91EABD710", "https://baanknet.com/view-property/220938/E5151DD11CCE9AB8FB4C55CF740B3D86E30E3CB3B146B5E9031C0AB91EABD710")</f>
        <v>https://baanknet.com/view-property/220938/E5151DD11CCE9AB8FB4C55CF740B3D86E30E3CB3B146B5E9031C0AB91EABD710</v>
      </c>
      <c r="I1845" t="str">
        <f>HYPERLINK("https://baanknet.com/view-property/220938/E5151DD11CCE9AB8FB4C55CF740B3D86E30E3CB3B146B5E9031C0AB91EABD710", "Open")</f>
        <v>Open</v>
      </c>
      <c r="J1845" t="s">
        <v>3803</v>
      </c>
      <c r="L1845">
        <v>6764000</v>
      </c>
      <c r="M1845">
        <v>676400</v>
      </c>
    </row>
    <row r="1846" spans="1:13" x14ac:dyDescent="0.25">
      <c r="A1846" t="s">
        <v>6357</v>
      </c>
      <c r="B1846" t="s">
        <v>6358</v>
      </c>
      <c r="C1846" t="s">
        <v>594</v>
      </c>
      <c r="D1846" t="s">
        <v>6287</v>
      </c>
      <c r="E1846" t="s">
        <v>596</v>
      </c>
      <c r="F1846" t="s">
        <v>574</v>
      </c>
      <c r="G1846" t="s">
        <v>6359</v>
      </c>
      <c r="H1846" t="str">
        <f>HYPERLINK("https://baanknet.com/view-property/220937/E016C92E48ECBBD031AB0AC4244490603F54A44617E4ECCDE092503A0F3F7D28", "https://baanknet.com/view-property/220937/E016C92E48ECBBD031AB0AC4244490603F54A44617E4ECCDE092503A0F3F7D28")</f>
        <v>https://baanknet.com/view-property/220937/E016C92E48ECBBD031AB0AC4244490603F54A44617E4ECCDE092503A0F3F7D28</v>
      </c>
      <c r="I1846" t="str">
        <f>HYPERLINK("https://baanknet.com/view-property/220937/E016C92E48ECBBD031AB0AC4244490603F54A44617E4ECCDE092503A0F3F7D28", "Open")</f>
        <v>Open</v>
      </c>
      <c r="J1846" t="s">
        <v>3803</v>
      </c>
      <c r="L1846">
        <v>6205000</v>
      </c>
      <c r="M1846">
        <v>620500</v>
      </c>
    </row>
    <row r="1847" spans="1:13" x14ac:dyDescent="0.25">
      <c r="A1847" t="s">
        <v>6360</v>
      </c>
      <c r="B1847" t="s">
        <v>6361</v>
      </c>
      <c r="C1847" t="s">
        <v>594</v>
      </c>
      <c r="D1847" t="s">
        <v>6287</v>
      </c>
      <c r="E1847" t="s">
        <v>596</v>
      </c>
      <c r="F1847" t="s">
        <v>574</v>
      </c>
      <c r="G1847" t="s">
        <v>6362</v>
      </c>
      <c r="H1847" t="str">
        <f>HYPERLINK("https://baanknet.com/view-property/247942/CE3A1FB9CE4770BA2CE950B45A500742B9AB03F0FF37E88AA3BC50B1D2C1E456", "https://baanknet.com/view-property/247942/CE3A1FB9CE4770BA2CE950B45A500742B9AB03F0FF37E88AA3BC50B1D2C1E456")</f>
        <v>https://baanknet.com/view-property/247942/CE3A1FB9CE4770BA2CE950B45A500742B9AB03F0FF37E88AA3BC50B1D2C1E456</v>
      </c>
      <c r="I1847" t="str">
        <f>HYPERLINK("https://baanknet.com/view-property/247942/CE3A1FB9CE4770BA2CE950B45A500742B9AB03F0FF37E88AA3BC50B1D2C1E456", "Open")</f>
        <v>Open</v>
      </c>
      <c r="J1847" t="s">
        <v>3803</v>
      </c>
      <c r="L1847">
        <v>10800000</v>
      </c>
      <c r="M1847">
        <v>1080000</v>
      </c>
    </row>
    <row r="1848" spans="1:13" x14ac:dyDescent="0.25">
      <c r="A1848" t="s">
        <v>6363</v>
      </c>
      <c r="B1848" t="s">
        <v>6364</v>
      </c>
      <c r="C1848" t="s">
        <v>594</v>
      </c>
      <c r="D1848" t="s">
        <v>518</v>
      </c>
      <c r="E1848" t="s">
        <v>596</v>
      </c>
      <c r="F1848" t="s">
        <v>574</v>
      </c>
      <c r="G1848" t="s">
        <v>6365</v>
      </c>
      <c r="H1848" t="str">
        <f>HYPERLINK("https://baanknet.com/view-property/281193/2782F57369A7D55153E23DE897ADA6BECE66D90308A7B36985F341D75E264C10", "https://baanknet.com/view-property/281193/2782F57369A7D55153E23DE897ADA6BECE66D90308A7B36985F341D75E264C10")</f>
        <v>https://baanknet.com/view-property/281193/2782F57369A7D55153E23DE897ADA6BECE66D90308A7B36985F341D75E264C10</v>
      </c>
      <c r="I1848" t="str">
        <f>HYPERLINK("https://baanknet.com/view-property/281193/2782F57369A7D55153E23DE897ADA6BECE66D90308A7B36985F341D75E264C10", "Open")</f>
        <v>Open</v>
      </c>
      <c r="J1848" t="s">
        <v>3803</v>
      </c>
      <c r="L1848">
        <v>11000000</v>
      </c>
      <c r="M1848">
        <v>1100000</v>
      </c>
    </row>
    <row r="1849" spans="1:13" x14ac:dyDescent="0.25">
      <c r="A1849" t="s">
        <v>6366</v>
      </c>
      <c r="B1849" t="s">
        <v>6367</v>
      </c>
      <c r="C1849" t="s">
        <v>594</v>
      </c>
      <c r="D1849" t="s">
        <v>1310</v>
      </c>
      <c r="E1849" t="s">
        <v>596</v>
      </c>
      <c r="F1849" t="s">
        <v>574</v>
      </c>
      <c r="G1849" t="s">
        <v>6368</v>
      </c>
      <c r="H1849" t="str">
        <f>HYPERLINK("https://baanknet.com/view-property/246507/F46B6742CE9923A3F2AABFB01F847879486EC2D4A06C78D580946DC51F628083", "https://baanknet.com/view-property/246507/F46B6742CE9923A3F2AABFB01F847879486EC2D4A06C78D580946DC51F628083")</f>
        <v>https://baanknet.com/view-property/246507/F46B6742CE9923A3F2AABFB01F847879486EC2D4A06C78D580946DC51F628083</v>
      </c>
      <c r="I1849" t="str">
        <f>HYPERLINK("https://baanknet.com/view-property/246507/F46B6742CE9923A3F2AABFB01F847879486EC2D4A06C78D580946DC51F628083", "Open")</f>
        <v>Open</v>
      </c>
      <c r="J1849" t="s">
        <v>3803</v>
      </c>
      <c r="L1849">
        <v>36500000</v>
      </c>
      <c r="M1849">
        <v>3650000</v>
      </c>
    </row>
    <row r="1850" spans="1:13" x14ac:dyDescent="0.25">
      <c r="A1850" t="s">
        <v>6369</v>
      </c>
      <c r="B1850" t="s">
        <v>6370</v>
      </c>
      <c r="C1850" t="s">
        <v>594</v>
      </c>
      <c r="D1850" t="s">
        <v>1310</v>
      </c>
      <c r="E1850" t="s">
        <v>596</v>
      </c>
      <c r="F1850" t="s">
        <v>574</v>
      </c>
      <c r="G1850" t="s">
        <v>6371</v>
      </c>
      <c r="H1850" t="str">
        <f>HYPERLINK("https://baanknet.com/view-property/35486/4935AC5C8BA273877BC117D201B00B357B02324C1065E4A545F7F435D2E97164", "https://baanknet.com/view-property/35486/4935AC5C8BA273877BC117D201B00B357B02324C1065E4A545F7F435D2E97164")</f>
        <v>https://baanknet.com/view-property/35486/4935AC5C8BA273877BC117D201B00B357B02324C1065E4A545F7F435D2E97164</v>
      </c>
      <c r="I1850" t="str">
        <f>HYPERLINK("https://baanknet.com/view-property/35486/4935AC5C8BA273877BC117D201B00B357B02324C1065E4A545F7F435D2E97164", "Open")</f>
        <v>Open</v>
      </c>
      <c r="J1850" t="s">
        <v>3803</v>
      </c>
      <c r="L1850">
        <v>9400000</v>
      </c>
      <c r="M1850">
        <v>940000</v>
      </c>
    </row>
    <row r="1851" spans="1:13" x14ac:dyDescent="0.25">
      <c r="A1851" t="s">
        <v>6372</v>
      </c>
      <c r="B1851" t="s">
        <v>6373</v>
      </c>
      <c r="C1851" t="s">
        <v>594</v>
      </c>
      <c r="D1851" t="s">
        <v>1310</v>
      </c>
      <c r="E1851" t="s">
        <v>596</v>
      </c>
      <c r="F1851" t="s">
        <v>574</v>
      </c>
      <c r="G1851" t="s">
        <v>6374</v>
      </c>
      <c r="H1851" t="str">
        <f>HYPERLINK("https://baanknet.com/view-property/216854/D483919057DE500021AB7FB47B8FF212388B24B4FFE9B9D7E05F7C2A186D7EC5", "https://baanknet.com/view-property/216854/D483919057DE500021AB7FB47B8FF212388B24B4FFE9B9D7E05F7C2A186D7EC5")</f>
        <v>https://baanknet.com/view-property/216854/D483919057DE500021AB7FB47B8FF212388B24B4FFE9B9D7E05F7C2A186D7EC5</v>
      </c>
      <c r="I1851" t="str">
        <f>HYPERLINK("https://baanknet.com/view-property/216854/D483919057DE500021AB7FB47B8FF212388B24B4FFE9B9D7E05F7C2A186D7EC5", "Open")</f>
        <v>Open</v>
      </c>
      <c r="J1851" t="s">
        <v>3803</v>
      </c>
      <c r="L1851">
        <v>6750000</v>
      </c>
      <c r="M1851">
        <v>675000</v>
      </c>
    </row>
    <row r="1852" spans="1:13" x14ac:dyDescent="0.25">
      <c r="A1852" t="s">
        <v>6375</v>
      </c>
      <c r="B1852" t="s">
        <v>6376</v>
      </c>
      <c r="C1852" t="s">
        <v>594</v>
      </c>
      <c r="D1852" t="s">
        <v>853</v>
      </c>
      <c r="E1852" t="s">
        <v>596</v>
      </c>
      <c r="F1852" t="s">
        <v>574</v>
      </c>
      <c r="G1852" t="s">
        <v>6377</v>
      </c>
      <c r="H1852" t="str">
        <f>HYPERLINK("https://baanknet.com/view-property/272485/F2A86CF1A32A88AA1731BE0546DBDC0CD06DF0486B98C2BB1F59ED04D31AF0E7", "https://baanknet.com/view-property/272485/F2A86CF1A32A88AA1731BE0546DBDC0CD06DF0486B98C2BB1F59ED04D31AF0E7")</f>
        <v>https://baanknet.com/view-property/272485/F2A86CF1A32A88AA1731BE0546DBDC0CD06DF0486B98C2BB1F59ED04D31AF0E7</v>
      </c>
      <c r="I1852" t="str">
        <f>HYPERLINK("https://baanknet.com/view-property/272485/F2A86CF1A32A88AA1731BE0546DBDC0CD06DF0486B98C2BB1F59ED04D31AF0E7", "Open")</f>
        <v>Open</v>
      </c>
      <c r="J1852" t="s">
        <v>3803</v>
      </c>
      <c r="L1852">
        <v>3712000</v>
      </c>
      <c r="M1852">
        <v>371200</v>
      </c>
    </row>
    <row r="1853" spans="1:13" x14ac:dyDescent="0.25">
      <c r="A1853" t="s">
        <v>6378</v>
      </c>
      <c r="B1853" t="s">
        <v>6379</v>
      </c>
      <c r="C1853" t="s">
        <v>594</v>
      </c>
      <c r="D1853" t="s">
        <v>549</v>
      </c>
      <c r="E1853" t="s">
        <v>596</v>
      </c>
      <c r="F1853" t="s">
        <v>574</v>
      </c>
      <c r="G1853" t="s">
        <v>6380</v>
      </c>
      <c r="H1853" t="str">
        <f>HYPERLINK("https://baanknet.com/view-property/100921/95C98BDD297D2C661ACE454297CD74B5011AE3A9854D4EF5FB3F059D7ABA2F3C", "https://baanknet.com/view-property/100921/95C98BDD297D2C661ACE454297CD74B5011AE3A9854D4EF5FB3F059D7ABA2F3C")</f>
        <v>https://baanknet.com/view-property/100921/95C98BDD297D2C661ACE454297CD74B5011AE3A9854D4EF5FB3F059D7ABA2F3C</v>
      </c>
      <c r="I1853" t="str">
        <f>HYPERLINK("https://baanknet.com/view-property/100921/95C98BDD297D2C661ACE454297CD74B5011AE3A9854D4EF5FB3F059D7ABA2F3C", "Open")</f>
        <v>Open</v>
      </c>
      <c r="J1853" t="s">
        <v>3803</v>
      </c>
      <c r="L1853">
        <v>2150000</v>
      </c>
      <c r="M1853">
        <v>215000</v>
      </c>
    </row>
    <row r="1854" spans="1:13" x14ac:dyDescent="0.25">
      <c r="A1854" t="s">
        <v>6381</v>
      </c>
      <c r="B1854" t="s">
        <v>6382</v>
      </c>
      <c r="C1854" t="s">
        <v>594</v>
      </c>
      <c r="D1854" t="s">
        <v>4799</v>
      </c>
      <c r="E1854" t="s">
        <v>596</v>
      </c>
      <c r="F1854" t="s">
        <v>574</v>
      </c>
      <c r="G1854" t="s">
        <v>6383</v>
      </c>
      <c r="H1854" t="str">
        <f>HYPERLINK("https://baanknet.com/view-property/236289/99AA36F5605ACC1430A99B0DE58E253B9488DCCAD2A2228AFC2E2C4A63AD657A", "https://baanknet.com/view-property/236289/99AA36F5605ACC1430A99B0DE58E253B9488DCCAD2A2228AFC2E2C4A63AD657A")</f>
        <v>https://baanknet.com/view-property/236289/99AA36F5605ACC1430A99B0DE58E253B9488DCCAD2A2228AFC2E2C4A63AD657A</v>
      </c>
      <c r="I1854" t="str">
        <f>HYPERLINK("https://baanknet.com/view-property/236289/99AA36F5605ACC1430A99B0DE58E253B9488DCCAD2A2228AFC2E2C4A63AD657A", "Open")</f>
        <v>Open</v>
      </c>
      <c r="J1854" t="s">
        <v>3803</v>
      </c>
      <c r="L1854">
        <v>6380000</v>
      </c>
      <c r="M1854">
        <v>638000</v>
      </c>
    </row>
    <row r="1855" spans="1:13" x14ac:dyDescent="0.25">
      <c r="A1855" t="s">
        <v>6384</v>
      </c>
      <c r="B1855" t="s">
        <v>6385</v>
      </c>
      <c r="C1855" t="s">
        <v>594</v>
      </c>
      <c r="D1855" t="s">
        <v>4799</v>
      </c>
      <c r="E1855" t="s">
        <v>596</v>
      </c>
      <c r="F1855" t="s">
        <v>574</v>
      </c>
      <c r="G1855" t="s">
        <v>6386</v>
      </c>
      <c r="H1855" t="str">
        <f>HYPERLINK("https://baanknet.com/view-property/236287/D055D124AFACB0B21A0C3AB1CCE99122358D2F6437CE250D84644A79E1AE367F", "https://baanknet.com/view-property/236287/D055D124AFACB0B21A0C3AB1CCE99122358D2F6437CE250D84644A79E1AE367F")</f>
        <v>https://baanknet.com/view-property/236287/D055D124AFACB0B21A0C3AB1CCE99122358D2F6437CE250D84644A79E1AE367F</v>
      </c>
      <c r="I1855" t="str">
        <f>HYPERLINK("https://baanknet.com/view-property/236287/D055D124AFACB0B21A0C3AB1CCE99122358D2F6437CE250D84644A79E1AE367F", "Open")</f>
        <v>Open</v>
      </c>
      <c r="J1855" t="s">
        <v>3803</v>
      </c>
      <c r="L1855">
        <v>1535000</v>
      </c>
      <c r="M1855">
        <v>153500</v>
      </c>
    </row>
    <row r="1856" spans="1:13" x14ac:dyDescent="0.25">
      <c r="A1856" t="s">
        <v>6387</v>
      </c>
      <c r="B1856" t="s">
        <v>6388</v>
      </c>
      <c r="C1856" t="s">
        <v>594</v>
      </c>
      <c r="D1856" t="s">
        <v>6389</v>
      </c>
      <c r="E1856" t="s">
        <v>596</v>
      </c>
      <c r="F1856" t="s">
        <v>574</v>
      </c>
      <c r="G1856" t="s">
        <v>6390</v>
      </c>
      <c r="H1856" t="str">
        <f>HYPERLINK("https://baanknet.com/view-property/277151/7DB11C1E411835CC9D1FCDCE79367A26CB3ADABAD202434928E4CF07192CC3D3", "https://baanknet.com/view-property/277151/7DB11C1E411835CC9D1FCDCE79367A26CB3ADABAD202434928E4CF07192CC3D3")</f>
        <v>https://baanknet.com/view-property/277151/7DB11C1E411835CC9D1FCDCE79367A26CB3ADABAD202434928E4CF07192CC3D3</v>
      </c>
      <c r="I1856" t="str">
        <f>HYPERLINK("https://baanknet.com/view-property/277151/7DB11C1E411835CC9D1FCDCE79367A26CB3ADABAD202434928E4CF07192CC3D3", "Open")</f>
        <v>Open</v>
      </c>
      <c r="J1856" t="s">
        <v>3803</v>
      </c>
      <c r="L1856">
        <v>2030000</v>
      </c>
      <c r="M1856">
        <v>203000</v>
      </c>
    </row>
    <row r="1857" spans="1:13" x14ac:dyDescent="0.25">
      <c r="A1857" t="s">
        <v>6391</v>
      </c>
      <c r="B1857" t="s">
        <v>6392</v>
      </c>
      <c r="C1857" t="s">
        <v>594</v>
      </c>
      <c r="D1857" t="s">
        <v>5259</v>
      </c>
      <c r="E1857" t="s">
        <v>596</v>
      </c>
      <c r="F1857" t="s">
        <v>574</v>
      </c>
      <c r="G1857" t="s">
        <v>6393</v>
      </c>
      <c r="H1857" t="str">
        <f>HYPERLINK("https://baanknet.com/view-property/277177/120A6AA3B5AE42B1FF4275FB0303D304B51313C1C85999896F4E84BD4DFA7791", "https://baanknet.com/view-property/277177/120A6AA3B5AE42B1FF4275FB0303D304B51313C1C85999896F4E84BD4DFA7791")</f>
        <v>https://baanknet.com/view-property/277177/120A6AA3B5AE42B1FF4275FB0303D304B51313C1C85999896F4E84BD4DFA7791</v>
      </c>
      <c r="I1857" t="str">
        <f>HYPERLINK("https://baanknet.com/view-property/277177/120A6AA3B5AE42B1FF4275FB0303D304B51313C1C85999896F4E84BD4DFA7791", "Open")</f>
        <v>Open</v>
      </c>
      <c r="J1857" t="s">
        <v>3803</v>
      </c>
      <c r="L1857">
        <v>5500000</v>
      </c>
      <c r="M1857">
        <v>550000</v>
      </c>
    </row>
    <row r="1858" spans="1:13" x14ac:dyDescent="0.25">
      <c r="A1858" t="s">
        <v>6394</v>
      </c>
      <c r="B1858" t="s">
        <v>6395</v>
      </c>
      <c r="C1858" t="s">
        <v>594</v>
      </c>
      <c r="D1858" t="s">
        <v>5259</v>
      </c>
      <c r="E1858" t="s">
        <v>596</v>
      </c>
      <c r="F1858" t="s">
        <v>574</v>
      </c>
      <c r="G1858" t="s">
        <v>6396</v>
      </c>
      <c r="H1858" t="str">
        <f>HYPERLINK("https://baanknet.com/view-property/259295/915C66D900B6D97FA1A42EBD8CFFD1CF9E27B4311ED5838B62D15D1DD2F45ABD", "https://baanknet.com/view-property/259295/915C66D900B6D97FA1A42EBD8CFFD1CF9E27B4311ED5838B62D15D1DD2F45ABD")</f>
        <v>https://baanknet.com/view-property/259295/915C66D900B6D97FA1A42EBD8CFFD1CF9E27B4311ED5838B62D15D1DD2F45ABD</v>
      </c>
      <c r="I1858" t="str">
        <f>HYPERLINK("https://baanknet.com/view-property/259295/915C66D900B6D97FA1A42EBD8CFFD1CF9E27B4311ED5838B62D15D1DD2F45ABD", "Open")</f>
        <v>Open</v>
      </c>
      <c r="J1858" t="s">
        <v>3803</v>
      </c>
      <c r="L1858">
        <v>820000</v>
      </c>
      <c r="M1858">
        <v>82000</v>
      </c>
    </row>
    <row r="1859" spans="1:13" x14ac:dyDescent="0.25">
      <c r="A1859" t="s">
        <v>6397</v>
      </c>
      <c r="B1859" t="s">
        <v>6398</v>
      </c>
      <c r="C1859" t="s">
        <v>594</v>
      </c>
      <c r="D1859" t="s">
        <v>4471</v>
      </c>
      <c r="E1859" t="s">
        <v>596</v>
      </c>
      <c r="F1859" t="s">
        <v>574</v>
      </c>
      <c r="G1859" t="s">
        <v>6399</v>
      </c>
      <c r="H1859" t="str">
        <f>HYPERLINK("https://baanknet.com/view-property/269029/DF4266C3B6F3C645D2F5F5D8886E55F678390FE9A374C2B56D65D92CF3F7D3C5", "https://baanknet.com/view-property/269029/DF4266C3B6F3C645D2F5F5D8886E55F678390FE9A374C2B56D65D92CF3F7D3C5")</f>
        <v>https://baanknet.com/view-property/269029/DF4266C3B6F3C645D2F5F5D8886E55F678390FE9A374C2B56D65D92CF3F7D3C5</v>
      </c>
      <c r="I1859" t="str">
        <f>HYPERLINK("https://baanknet.com/view-property/269029/DF4266C3B6F3C645D2F5F5D8886E55F678390FE9A374C2B56D65D92CF3F7D3C5", "Open")</f>
        <v>Open</v>
      </c>
      <c r="J1859" t="s">
        <v>3803</v>
      </c>
      <c r="L1859">
        <v>1300000</v>
      </c>
      <c r="M1859">
        <v>130000</v>
      </c>
    </row>
    <row r="1860" spans="1:13" x14ac:dyDescent="0.25">
      <c r="A1860" t="s">
        <v>6400</v>
      </c>
      <c r="B1860" t="s">
        <v>6401</v>
      </c>
      <c r="C1860" t="s">
        <v>594</v>
      </c>
      <c r="D1860" t="s">
        <v>5259</v>
      </c>
      <c r="E1860" t="s">
        <v>596</v>
      </c>
      <c r="F1860" t="s">
        <v>574</v>
      </c>
      <c r="G1860" t="s">
        <v>6402</v>
      </c>
      <c r="H1860" t="str">
        <f>HYPERLINK("https://baanknet.com/view-property/149/EE2A85BFE36467DCF34A0915C968CCFFF887B2FD7B2A1E63DC6ECBC78C3D4ED3", "https://baanknet.com/view-property/149/EE2A85BFE36467DCF34A0915C968CCFFF887B2FD7B2A1E63DC6ECBC78C3D4ED3")</f>
        <v>https://baanknet.com/view-property/149/EE2A85BFE36467DCF34A0915C968CCFFF887B2FD7B2A1E63DC6ECBC78C3D4ED3</v>
      </c>
      <c r="I1860" t="str">
        <f>HYPERLINK("https://baanknet.com/view-property/149/EE2A85BFE36467DCF34A0915C968CCFFF887B2FD7B2A1E63DC6ECBC78C3D4ED3", "Open")</f>
        <v>Open</v>
      </c>
      <c r="J1860" t="s">
        <v>3803</v>
      </c>
      <c r="L1860">
        <v>1150000</v>
      </c>
      <c r="M1860">
        <v>115000</v>
      </c>
    </row>
    <row r="1861" spans="1:13" x14ac:dyDescent="0.25">
      <c r="A1861" t="s">
        <v>6403</v>
      </c>
      <c r="B1861" t="s">
        <v>6404</v>
      </c>
      <c r="C1861" t="s">
        <v>594</v>
      </c>
      <c r="D1861" t="s">
        <v>4471</v>
      </c>
      <c r="E1861" t="s">
        <v>596</v>
      </c>
      <c r="F1861" t="s">
        <v>574</v>
      </c>
      <c r="G1861" t="s">
        <v>6405</v>
      </c>
      <c r="H1861" t="str">
        <f>HYPERLINK("https://baanknet.com/view-property/269019/9671ADDBB1D36F2F20986B17B8896F73F18A77F1236D6390D3C13DC9C59C2C39", "https://baanknet.com/view-property/269019/9671ADDBB1D36F2F20986B17B8896F73F18A77F1236D6390D3C13DC9C59C2C39")</f>
        <v>https://baanknet.com/view-property/269019/9671ADDBB1D36F2F20986B17B8896F73F18A77F1236D6390D3C13DC9C59C2C39</v>
      </c>
      <c r="I1861" t="str">
        <f>HYPERLINK("https://baanknet.com/view-property/269019/9671ADDBB1D36F2F20986B17B8896F73F18A77F1236D6390D3C13DC9C59C2C39", "Open")</f>
        <v>Open</v>
      </c>
      <c r="J1861" t="s">
        <v>3803</v>
      </c>
      <c r="L1861">
        <v>2385000</v>
      </c>
      <c r="M1861">
        <v>238500</v>
      </c>
    </row>
    <row r="1862" spans="1:13" x14ac:dyDescent="0.25">
      <c r="A1862" t="s">
        <v>6406</v>
      </c>
      <c r="B1862" t="s">
        <v>6407</v>
      </c>
      <c r="C1862" t="s">
        <v>594</v>
      </c>
      <c r="D1862" t="s">
        <v>5259</v>
      </c>
      <c r="E1862" t="s">
        <v>596</v>
      </c>
      <c r="F1862" t="s">
        <v>574</v>
      </c>
      <c r="G1862" t="s">
        <v>6408</v>
      </c>
      <c r="H1862" t="str">
        <f>HYPERLINK("https://baanknet.com/view-property/216216/FFB7AC77C852B21D2F9E84DB98F30EDED13972CB72A98E772DFEF255F361DFE8", "https://baanknet.com/view-property/216216/FFB7AC77C852B21D2F9E84DB98F30EDED13972CB72A98E772DFEF255F361DFE8")</f>
        <v>https://baanknet.com/view-property/216216/FFB7AC77C852B21D2F9E84DB98F30EDED13972CB72A98E772DFEF255F361DFE8</v>
      </c>
      <c r="I1862" t="str">
        <f>HYPERLINK("https://baanknet.com/view-property/216216/FFB7AC77C852B21D2F9E84DB98F30EDED13972CB72A98E772DFEF255F361DFE8", "Open")</f>
        <v>Open</v>
      </c>
      <c r="J1862" t="s">
        <v>3803</v>
      </c>
      <c r="L1862">
        <v>2718000</v>
      </c>
      <c r="M1862">
        <v>271800</v>
      </c>
    </row>
    <row r="1863" spans="1:13" x14ac:dyDescent="0.25">
      <c r="A1863" t="s">
        <v>6409</v>
      </c>
      <c r="B1863" t="s">
        <v>6410</v>
      </c>
      <c r="C1863" t="s">
        <v>594</v>
      </c>
      <c r="D1863" t="s">
        <v>4471</v>
      </c>
      <c r="E1863" t="s">
        <v>596</v>
      </c>
      <c r="F1863" t="s">
        <v>574</v>
      </c>
      <c r="G1863" t="s">
        <v>6411</v>
      </c>
      <c r="H1863" t="str">
        <f>HYPERLINK("https://baanknet.com/view-property/269018/4AB7A70BD6D01A44F2F0D89DAAF1F5EADFB7519562A3DFFF89BDE16A3AB711B1", "https://baanknet.com/view-property/269018/4AB7A70BD6D01A44F2F0D89DAAF1F5EADFB7519562A3DFFF89BDE16A3AB711B1")</f>
        <v>https://baanknet.com/view-property/269018/4AB7A70BD6D01A44F2F0D89DAAF1F5EADFB7519562A3DFFF89BDE16A3AB711B1</v>
      </c>
      <c r="I1863" t="str">
        <f>HYPERLINK("https://baanknet.com/view-property/269018/4AB7A70BD6D01A44F2F0D89DAAF1F5EADFB7519562A3DFFF89BDE16A3AB711B1", "Open")</f>
        <v>Open</v>
      </c>
      <c r="J1863" t="s">
        <v>3803</v>
      </c>
      <c r="L1863">
        <v>1540000</v>
      </c>
      <c r="M1863">
        <v>154000</v>
      </c>
    </row>
    <row r="1864" spans="1:13" x14ac:dyDescent="0.25">
      <c r="A1864" t="s">
        <v>6412</v>
      </c>
      <c r="B1864" t="s">
        <v>6413</v>
      </c>
      <c r="C1864" t="s">
        <v>594</v>
      </c>
      <c r="D1864" t="s">
        <v>5259</v>
      </c>
      <c r="E1864" t="s">
        <v>596</v>
      </c>
      <c r="F1864" t="s">
        <v>574</v>
      </c>
      <c r="G1864" t="s">
        <v>6414</v>
      </c>
      <c r="H1864" t="str">
        <f>HYPERLINK("https://baanknet.com/view-property/127554/09B3B9432C0F4E7A367FEC05ABDF6ACA3F16C455C4DDAF37EE26BC58CBDB3D4D", "https://baanknet.com/view-property/127554/09B3B9432C0F4E7A367FEC05ABDF6ACA3F16C455C4DDAF37EE26BC58CBDB3D4D")</f>
        <v>https://baanknet.com/view-property/127554/09B3B9432C0F4E7A367FEC05ABDF6ACA3F16C455C4DDAF37EE26BC58CBDB3D4D</v>
      </c>
      <c r="I1864" t="str">
        <f>HYPERLINK("https://baanknet.com/view-property/127554/09B3B9432C0F4E7A367FEC05ABDF6ACA3F16C455C4DDAF37EE26BC58CBDB3D4D", "Open")</f>
        <v>Open</v>
      </c>
      <c r="J1864" t="s">
        <v>3803</v>
      </c>
      <c r="L1864">
        <v>2440000</v>
      </c>
      <c r="M1864">
        <v>244000</v>
      </c>
    </row>
    <row r="1865" spans="1:13" x14ac:dyDescent="0.25">
      <c r="A1865" t="s">
        <v>6415</v>
      </c>
      <c r="B1865" t="s">
        <v>6416</v>
      </c>
      <c r="C1865" t="s">
        <v>594</v>
      </c>
      <c r="D1865" t="s">
        <v>6417</v>
      </c>
      <c r="E1865" t="s">
        <v>596</v>
      </c>
      <c r="F1865" t="s">
        <v>574</v>
      </c>
      <c r="G1865" t="s">
        <v>6418</v>
      </c>
      <c r="H1865" t="str">
        <f>HYPERLINK("https://baanknet.com/view-property/246006/AC1112E2E7ED3AF6A1A57E4317765BBB78D4EE34DFB01D868494970E0C19A9EA", "https://baanknet.com/view-property/246006/AC1112E2E7ED3AF6A1A57E4317765BBB78D4EE34DFB01D868494970E0C19A9EA")</f>
        <v>https://baanknet.com/view-property/246006/AC1112E2E7ED3AF6A1A57E4317765BBB78D4EE34DFB01D868494970E0C19A9EA</v>
      </c>
      <c r="I1865" t="str">
        <f>HYPERLINK("https://baanknet.com/view-property/246006/AC1112E2E7ED3AF6A1A57E4317765BBB78D4EE34DFB01D868494970E0C19A9EA", "Open")</f>
        <v>Open</v>
      </c>
      <c r="J1865" t="s">
        <v>3803</v>
      </c>
      <c r="L1865">
        <v>2190000</v>
      </c>
      <c r="M1865">
        <v>219000</v>
      </c>
    </row>
    <row r="1866" spans="1:13" x14ac:dyDescent="0.25">
      <c r="A1866" t="s">
        <v>6419</v>
      </c>
      <c r="B1866" t="s">
        <v>6420</v>
      </c>
      <c r="C1866" t="s">
        <v>594</v>
      </c>
      <c r="D1866" t="s">
        <v>6421</v>
      </c>
      <c r="E1866" t="s">
        <v>596</v>
      </c>
      <c r="F1866" t="s">
        <v>574</v>
      </c>
      <c r="G1866" t="s">
        <v>6422</v>
      </c>
      <c r="H1866" t="str">
        <f>HYPERLINK("https://baanknet.com/view-property/277160/64142295AFE814D16EED33ECCAE5F70A90F17CC665617A2789DF56BB355A71DE", "https://baanknet.com/view-property/277160/64142295AFE814D16EED33ECCAE5F70A90F17CC665617A2789DF56BB355A71DE")</f>
        <v>https://baanknet.com/view-property/277160/64142295AFE814D16EED33ECCAE5F70A90F17CC665617A2789DF56BB355A71DE</v>
      </c>
      <c r="I1866" t="str">
        <f>HYPERLINK("https://baanknet.com/view-property/277160/64142295AFE814D16EED33ECCAE5F70A90F17CC665617A2789DF56BB355A71DE", "Open")</f>
        <v>Open</v>
      </c>
      <c r="J1866" t="s">
        <v>3803</v>
      </c>
      <c r="L1866">
        <v>2560000</v>
      </c>
      <c r="M1866">
        <v>256000</v>
      </c>
    </row>
    <row r="1867" spans="1:13" x14ac:dyDescent="0.25">
      <c r="A1867" t="s">
        <v>6423</v>
      </c>
      <c r="B1867" t="s">
        <v>6424</v>
      </c>
      <c r="C1867" t="s">
        <v>594</v>
      </c>
      <c r="D1867" t="s">
        <v>4471</v>
      </c>
      <c r="E1867" t="s">
        <v>596</v>
      </c>
      <c r="F1867" t="s">
        <v>574</v>
      </c>
      <c r="G1867" t="s">
        <v>6425</v>
      </c>
      <c r="H1867" t="str">
        <f>HYPERLINK("https://baanknet.com/view-property/269017/E49474131D5ADBAEFA7F43FA6B4D6272B17A8A80A135A3F428E718502397C4E2", "https://baanknet.com/view-property/269017/E49474131D5ADBAEFA7F43FA6B4D6272B17A8A80A135A3F428E718502397C4E2")</f>
        <v>https://baanknet.com/view-property/269017/E49474131D5ADBAEFA7F43FA6B4D6272B17A8A80A135A3F428E718502397C4E2</v>
      </c>
      <c r="I1867" t="str">
        <f>HYPERLINK("https://baanknet.com/view-property/269017/E49474131D5ADBAEFA7F43FA6B4D6272B17A8A80A135A3F428E718502397C4E2", "Open")</f>
        <v>Open</v>
      </c>
      <c r="J1867" t="s">
        <v>3803</v>
      </c>
      <c r="L1867">
        <v>1620000</v>
      </c>
      <c r="M1867">
        <v>162000</v>
      </c>
    </row>
    <row r="1868" spans="1:13" x14ac:dyDescent="0.25">
      <c r="A1868" t="s">
        <v>6426</v>
      </c>
      <c r="B1868" t="s">
        <v>6427</v>
      </c>
      <c r="C1868" t="s">
        <v>594</v>
      </c>
      <c r="D1868" t="s">
        <v>4471</v>
      </c>
      <c r="E1868" t="s">
        <v>596</v>
      </c>
      <c r="F1868" t="s">
        <v>574</v>
      </c>
      <c r="G1868" t="s">
        <v>6428</v>
      </c>
      <c r="H1868" t="str">
        <f>HYPERLINK("https://baanknet.com/view-property/14124/75C1B72B54253E76D72627A120081FCA4FCE2FB98327AC6C956422816DA71D75", "https://baanknet.com/view-property/14124/75C1B72B54253E76D72627A120081FCA4FCE2FB98327AC6C956422816DA71D75")</f>
        <v>https://baanknet.com/view-property/14124/75C1B72B54253E76D72627A120081FCA4FCE2FB98327AC6C956422816DA71D75</v>
      </c>
      <c r="I1868" t="str">
        <f>HYPERLINK("https://baanknet.com/view-property/14124/75C1B72B54253E76D72627A120081FCA4FCE2FB98327AC6C956422816DA71D75", "Open")</f>
        <v>Open</v>
      </c>
      <c r="J1868" t="s">
        <v>3803</v>
      </c>
      <c r="L1868">
        <v>2165000</v>
      </c>
      <c r="M1868">
        <v>216500</v>
      </c>
    </row>
    <row r="1869" spans="1:13" x14ac:dyDescent="0.25">
      <c r="A1869" t="s">
        <v>6429</v>
      </c>
      <c r="B1869" t="s">
        <v>6430</v>
      </c>
      <c r="C1869" t="s">
        <v>594</v>
      </c>
      <c r="D1869" t="s">
        <v>4471</v>
      </c>
      <c r="E1869" t="s">
        <v>596</v>
      </c>
      <c r="F1869" t="s">
        <v>574</v>
      </c>
      <c r="G1869" t="s">
        <v>6431</v>
      </c>
      <c r="H1869" t="str">
        <f>HYPERLINK("https://baanknet.com/view-property/216219/43DC513B87106898C42C7546CE24A8322A5B6A4019E93A0F1EB9E39A063DA25B", "https://baanknet.com/view-property/216219/43DC513B87106898C42C7546CE24A8322A5B6A4019E93A0F1EB9E39A063DA25B")</f>
        <v>https://baanknet.com/view-property/216219/43DC513B87106898C42C7546CE24A8322A5B6A4019E93A0F1EB9E39A063DA25B</v>
      </c>
      <c r="I1869" t="str">
        <f>HYPERLINK("https://baanknet.com/view-property/216219/43DC513B87106898C42C7546CE24A8322A5B6A4019E93A0F1EB9E39A063DA25B", "Open")</f>
        <v>Open</v>
      </c>
      <c r="J1869" t="s">
        <v>3803</v>
      </c>
      <c r="L1869">
        <v>1620000</v>
      </c>
      <c r="M1869">
        <v>162000</v>
      </c>
    </row>
    <row r="1870" spans="1:13" x14ac:dyDescent="0.25">
      <c r="A1870" t="s">
        <v>6432</v>
      </c>
      <c r="B1870" t="s">
        <v>6433</v>
      </c>
      <c r="C1870" t="s">
        <v>594</v>
      </c>
      <c r="D1870" t="s">
        <v>4471</v>
      </c>
      <c r="E1870" t="s">
        <v>596</v>
      </c>
      <c r="F1870" t="s">
        <v>574</v>
      </c>
      <c r="G1870" t="s">
        <v>6434</v>
      </c>
      <c r="H1870" t="str">
        <f>HYPERLINK("https://baanknet.com/view-property/272034/536183A18CA568DFBA71A69D73A9A37EEBFC2CFF4315C9C70F841A878B9F1DE1", "https://baanknet.com/view-property/272034/536183A18CA568DFBA71A69D73A9A37EEBFC2CFF4315C9C70F841A878B9F1DE1")</f>
        <v>https://baanknet.com/view-property/272034/536183A18CA568DFBA71A69D73A9A37EEBFC2CFF4315C9C70F841A878B9F1DE1</v>
      </c>
      <c r="I1870" t="str">
        <f>HYPERLINK("https://baanknet.com/view-property/272034/536183A18CA568DFBA71A69D73A9A37EEBFC2CFF4315C9C70F841A878B9F1DE1", "Open")</f>
        <v>Open</v>
      </c>
      <c r="J1870" t="s">
        <v>3803</v>
      </c>
      <c r="L1870">
        <v>1475000</v>
      </c>
      <c r="M1870">
        <v>147500</v>
      </c>
    </row>
    <row r="1871" spans="1:13" x14ac:dyDescent="0.25">
      <c r="A1871" t="s">
        <v>6435</v>
      </c>
      <c r="B1871" t="s">
        <v>6436</v>
      </c>
      <c r="C1871" t="s">
        <v>594</v>
      </c>
      <c r="D1871" t="s">
        <v>706</v>
      </c>
      <c r="E1871" t="s">
        <v>596</v>
      </c>
      <c r="F1871" t="s">
        <v>574</v>
      </c>
      <c r="G1871" t="s">
        <v>6437</v>
      </c>
      <c r="H1871" t="str">
        <f>HYPERLINK("https://baanknet.com/view-property/287430/8E72E527B4F918A915D27BD52CBF592A6386C20865B4DF3534F57DAFD905F23F", "https://baanknet.com/view-property/287430/8E72E527B4F918A915D27BD52CBF592A6386C20865B4DF3534F57DAFD905F23F")</f>
        <v>https://baanknet.com/view-property/287430/8E72E527B4F918A915D27BD52CBF592A6386C20865B4DF3534F57DAFD905F23F</v>
      </c>
      <c r="I1871" t="str">
        <f>HYPERLINK("https://baanknet.com/view-property/287430/8E72E527B4F918A915D27BD52CBF592A6386C20865B4DF3534F57DAFD905F23F", "Open")</f>
        <v>Open</v>
      </c>
      <c r="J1871" t="s">
        <v>3803</v>
      </c>
      <c r="L1871">
        <v>4850000</v>
      </c>
      <c r="M1871">
        <v>485000</v>
      </c>
    </row>
    <row r="1872" spans="1:13" x14ac:dyDescent="0.25">
      <c r="A1872" t="s">
        <v>6438</v>
      </c>
      <c r="B1872" t="s">
        <v>6439</v>
      </c>
      <c r="C1872" t="s">
        <v>594</v>
      </c>
      <c r="D1872" t="s">
        <v>6440</v>
      </c>
      <c r="E1872" t="s">
        <v>596</v>
      </c>
      <c r="F1872" t="s">
        <v>574</v>
      </c>
      <c r="G1872" t="s">
        <v>6441</v>
      </c>
      <c r="H1872" t="str">
        <f>HYPERLINK("https://baanknet.com/view-property/280858/B01102D2833783948D94049CD62EBE66DC3832279745B1110CE8E5DD4209950C", "https://baanknet.com/view-property/280858/B01102D2833783948D94049CD62EBE66DC3832279745B1110CE8E5DD4209950C")</f>
        <v>https://baanknet.com/view-property/280858/B01102D2833783948D94049CD62EBE66DC3832279745B1110CE8E5DD4209950C</v>
      </c>
      <c r="I1872" t="str">
        <f>HYPERLINK("https://baanknet.com/view-property/280858/B01102D2833783948D94049CD62EBE66DC3832279745B1110CE8E5DD4209950C", "Open")</f>
        <v>Open</v>
      </c>
      <c r="J1872" t="s">
        <v>3803</v>
      </c>
      <c r="L1872">
        <v>2150000</v>
      </c>
      <c r="M1872">
        <v>215000</v>
      </c>
    </row>
    <row r="1873" spans="1:13" x14ac:dyDescent="0.25">
      <c r="A1873" t="s">
        <v>6442</v>
      </c>
      <c r="B1873" t="s">
        <v>6443</v>
      </c>
      <c r="C1873" t="s">
        <v>594</v>
      </c>
      <c r="D1873" t="s">
        <v>4806</v>
      </c>
      <c r="E1873" t="s">
        <v>596</v>
      </c>
      <c r="F1873" t="s">
        <v>574</v>
      </c>
      <c r="G1873" t="s">
        <v>6444</v>
      </c>
      <c r="H1873" t="str">
        <f>HYPERLINK("https://baanknet.com/view-property/280854/D9489F183DE99692A73CB063D1CB5CA59F9B0CF526A0DF12ED5E031CCBD9CAE1", "https://baanknet.com/view-property/280854/D9489F183DE99692A73CB063D1CB5CA59F9B0CF526A0DF12ED5E031CCBD9CAE1")</f>
        <v>https://baanknet.com/view-property/280854/D9489F183DE99692A73CB063D1CB5CA59F9B0CF526A0DF12ED5E031CCBD9CAE1</v>
      </c>
      <c r="I1873" t="str">
        <f>HYPERLINK("https://baanknet.com/view-property/280854/D9489F183DE99692A73CB063D1CB5CA59F9B0CF526A0DF12ED5E031CCBD9CAE1", "Open")</f>
        <v>Open</v>
      </c>
      <c r="J1873" t="s">
        <v>3803</v>
      </c>
      <c r="L1873">
        <v>1430000</v>
      </c>
      <c r="M1873">
        <v>143000</v>
      </c>
    </row>
    <row r="1874" spans="1:13" x14ac:dyDescent="0.25">
      <c r="A1874" t="s">
        <v>6445</v>
      </c>
      <c r="B1874" t="s">
        <v>6446</v>
      </c>
      <c r="C1874" t="s">
        <v>594</v>
      </c>
      <c r="D1874" t="s">
        <v>6321</v>
      </c>
      <c r="E1874" t="s">
        <v>596</v>
      </c>
      <c r="F1874" t="s">
        <v>574</v>
      </c>
      <c r="G1874" t="s">
        <v>6447</v>
      </c>
      <c r="H1874" t="str">
        <f>HYPERLINK("https://baanknet.com/view-property/268876/6C043956A6AD146BA51C19B9BB91CAADE1E0FE938E5F627949F80B32F0CA0837", "https://baanknet.com/view-property/268876/6C043956A6AD146BA51C19B9BB91CAADE1E0FE938E5F627949F80B32F0CA0837")</f>
        <v>https://baanknet.com/view-property/268876/6C043956A6AD146BA51C19B9BB91CAADE1E0FE938E5F627949F80B32F0CA0837</v>
      </c>
      <c r="I1874" t="str">
        <f>HYPERLINK("https://baanknet.com/view-property/268876/6C043956A6AD146BA51C19B9BB91CAADE1E0FE938E5F627949F80B32F0CA0837", "Open")</f>
        <v>Open</v>
      </c>
      <c r="J1874" t="s">
        <v>3803</v>
      </c>
      <c r="L1874">
        <v>3700000</v>
      </c>
      <c r="M1874">
        <v>370000</v>
      </c>
    </row>
    <row r="1875" spans="1:13" x14ac:dyDescent="0.25">
      <c r="A1875" t="s">
        <v>6448</v>
      </c>
      <c r="B1875" t="s">
        <v>6449</v>
      </c>
      <c r="C1875" t="s">
        <v>594</v>
      </c>
      <c r="D1875" t="s">
        <v>4917</v>
      </c>
      <c r="E1875" t="s">
        <v>596</v>
      </c>
      <c r="F1875" t="s">
        <v>574</v>
      </c>
      <c r="G1875" t="s">
        <v>6450</v>
      </c>
      <c r="H1875" t="str">
        <f>HYPERLINK("https://baanknet.com/view-property/283447/D1A1BDB11C57BAD3BDE4F684FCDD31DB272C7E50B898E79CBDB672123F0262AF", "https://baanknet.com/view-property/283447/D1A1BDB11C57BAD3BDE4F684FCDD31DB272C7E50B898E79CBDB672123F0262AF")</f>
        <v>https://baanknet.com/view-property/283447/D1A1BDB11C57BAD3BDE4F684FCDD31DB272C7E50B898E79CBDB672123F0262AF</v>
      </c>
      <c r="I1875" t="str">
        <f>HYPERLINK("https://baanknet.com/view-property/283447/D1A1BDB11C57BAD3BDE4F684FCDD31DB272C7E50B898E79CBDB672123F0262AF", "Open")</f>
        <v>Open</v>
      </c>
      <c r="J1875" t="s">
        <v>3803</v>
      </c>
      <c r="L1875">
        <v>1580000</v>
      </c>
      <c r="M1875">
        <v>158000</v>
      </c>
    </row>
    <row r="1876" spans="1:13" x14ac:dyDescent="0.25">
      <c r="A1876" t="s">
        <v>6451</v>
      </c>
      <c r="B1876" t="s">
        <v>6452</v>
      </c>
      <c r="C1876" t="s">
        <v>594</v>
      </c>
      <c r="D1876" t="s">
        <v>4471</v>
      </c>
      <c r="E1876" t="s">
        <v>596</v>
      </c>
      <c r="F1876" t="s">
        <v>574</v>
      </c>
      <c r="G1876" t="s">
        <v>6453</v>
      </c>
      <c r="H1876" t="str">
        <f>HYPERLINK("https://baanknet.com/view-property/269015/7021A6D6FEDDEE919B6712A887F917347AE801AED879D7C98F5219E50AA3384F", "https://baanknet.com/view-property/269015/7021A6D6FEDDEE919B6712A887F917347AE801AED879D7C98F5219E50AA3384F")</f>
        <v>https://baanknet.com/view-property/269015/7021A6D6FEDDEE919B6712A887F917347AE801AED879D7C98F5219E50AA3384F</v>
      </c>
      <c r="I1876" t="str">
        <f>HYPERLINK("https://baanknet.com/view-property/269015/7021A6D6FEDDEE919B6712A887F917347AE801AED879D7C98F5219E50AA3384F", "Open")</f>
        <v>Open</v>
      </c>
      <c r="J1876" t="s">
        <v>3803</v>
      </c>
      <c r="L1876">
        <v>1280000</v>
      </c>
      <c r="M1876">
        <v>128000</v>
      </c>
    </row>
    <row r="1877" spans="1:13" x14ac:dyDescent="0.25">
      <c r="A1877" t="s">
        <v>6454</v>
      </c>
      <c r="B1877" t="s">
        <v>6455</v>
      </c>
      <c r="C1877" t="s">
        <v>594</v>
      </c>
      <c r="D1877" t="s">
        <v>4471</v>
      </c>
      <c r="E1877" t="s">
        <v>596</v>
      </c>
      <c r="F1877" t="s">
        <v>574</v>
      </c>
      <c r="G1877" t="s">
        <v>6456</v>
      </c>
      <c r="H1877" t="str">
        <f>HYPERLINK("https://baanknet.com/view-property/269020/677DECEDAAC00E1CA0B5ED00E7BEB3B95744F59C685AA06C0FCF0B7E2BAC5D2D", "https://baanknet.com/view-property/269020/677DECEDAAC00E1CA0B5ED00E7BEB3B95744F59C685AA06C0FCF0B7E2BAC5D2D")</f>
        <v>https://baanknet.com/view-property/269020/677DECEDAAC00E1CA0B5ED00E7BEB3B95744F59C685AA06C0FCF0B7E2BAC5D2D</v>
      </c>
      <c r="I1877" t="str">
        <f>HYPERLINK("https://baanknet.com/view-property/269020/677DECEDAAC00E1CA0B5ED00E7BEB3B95744F59C685AA06C0FCF0B7E2BAC5D2D", "Open")</f>
        <v>Open</v>
      </c>
      <c r="J1877" t="s">
        <v>3803</v>
      </c>
      <c r="L1877">
        <v>2475000</v>
      </c>
      <c r="M1877">
        <v>247500</v>
      </c>
    </row>
    <row r="1878" spans="1:13" x14ac:dyDescent="0.25">
      <c r="A1878" t="s">
        <v>6457</v>
      </c>
      <c r="B1878" t="s">
        <v>6458</v>
      </c>
      <c r="C1878" t="s">
        <v>594</v>
      </c>
      <c r="D1878" t="s">
        <v>6389</v>
      </c>
      <c r="E1878" t="s">
        <v>596</v>
      </c>
      <c r="F1878" t="s">
        <v>574</v>
      </c>
      <c r="G1878" t="s">
        <v>6459</v>
      </c>
      <c r="H1878" t="str">
        <f>HYPERLINK("https://baanknet.com/view-property/236290/4E41DB38D11C9DE836C21AB32CEA5B6BD43619B92EE26BCB61A9D49E42F6A5C4", "https://baanknet.com/view-property/236290/4E41DB38D11C9DE836C21AB32CEA5B6BD43619B92EE26BCB61A9D49E42F6A5C4")</f>
        <v>https://baanknet.com/view-property/236290/4E41DB38D11C9DE836C21AB32CEA5B6BD43619B92EE26BCB61A9D49E42F6A5C4</v>
      </c>
      <c r="I1878" t="str">
        <f>HYPERLINK("https://baanknet.com/view-property/236290/4E41DB38D11C9DE836C21AB32CEA5B6BD43619B92EE26BCB61A9D49E42F6A5C4", "Open")</f>
        <v>Open</v>
      </c>
      <c r="J1878" t="s">
        <v>3803</v>
      </c>
      <c r="L1878">
        <v>3100000</v>
      </c>
      <c r="M1878">
        <v>310000</v>
      </c>
    </row>
    <row r="1879" spans="1:13" x14ac:dyDescent="0.25">
      <c r="A1879" t="s">
        <v>6460</v>
      </c>
      <c r="B1879" t="s">
        <v>6461</v>
      </c>
      <c r="C1879" t="s">
        <v>594</v>
      </c>
      <c r="D1879" t="s">
        <v>6462</v>
      </c>
      <c r="E1879" t="s">
        <v>596</v>
      </c>
      <c r="F1879" t="s">
        <v>574</v>
      </c>
      <c r="G1879" t="s">
        <v>6463</v>
      </c>
      <c r="H1879" t="str">
        <f>HYPERLINK("https://baanknet.com/view-property/30401/22A17C6AB3B4484E44E40710155A50625D85D3F456DD1F61B94FC95CE0D43CDD", "https://baanknet.com/view-property/30401/22A17C6AB3B4484E44E40710155A50625D85D3F456DD1F61B94FC95CE0D43CDD")</f>
        <v>https://baanknet.com/view-property/30401/22A17C6AB3B4484E44E40710155A50625D85D3F456DD1F61B94FC95CE0D43CDD</v>
      </c>
      <c r="I1879" t="str">
        <f>HYPERLINK("https://baanknet.com/view-property/30401/22A17C6AB3B4484E44E40710155A50625D85D3F456DD1F61B94FC95CE0D43CDD", "Open")</f>
        <v>Open</v>
      </c>
      <c r="J1879" t="s">
        <v>3803</v>
      </c>
      <c r="L1879">
        <v>1670000</v>
      </c>
      <c r="M1879">
        <v>167000</v>
      </c>
    </row>
    <row r="1880" spans="1:13" x14ac:dyDescent="0.25">
      <c r="A1880" t="s">
        <v>6464</v>
      </c>
      <c r="B1880" t="s">
        <v>6465</v>
      </c>
      <c r="C1880" t="s">
        <v>594</v>
      </c>
      <c r="D1880" t="s">
        <v>6389</v>
      </c>
      <c r="E1880" t="s">
        <v>596</v>
      </c>
      <c r="F1880" t="s">
        <v>574</v>
      </c>
      <c r="G1880" t="s">
        <v>6466</v>
      </c>
      <c r="H1880" t="str">
        <f>HYPERLINK("https://baanknet.com/view-property/277231/166FCFF017A592E9EDFDFFE2622DF5F48A1EAF08CDA2D71A80372EEA26728FF7", "https://baanknet.com/view-property/277231/166FCFF017A592E9EDFDFFE2622DF5F48A1EAF08CDA2D71A80372EEA26728FF7")</f>
        <v>https://baanknet.com/view-property/277231/166FCFF017A592E9EDFDFFE2622DF5F48A1EAF08CDA2D71A80372EEA26728FF7</v>
      </c>
      <c r="I1880" t="str">
        <f>HYPERLINK("https://baanknet.com/view-property/277231/166FCFF017A592E9EDFDFFE2622DF5F48A1EAF08CDA2D71A80372EEA26728FF7", "Open")</f>
        <v>Open</v>
      </c>
      <c r="J1880" t="s">
        <v>3803</v>
      </c>
      <c r="L1880">
        <v>1290000</v>
      </c>
      <c r="M1880">
        <v>129000</v>
      </c>
    </row>
    <row r="1881" spans="1:13" x14ac:dyDescent="0.25">
      <c r="A1881" t="s">
        <v>6467</v>
      </c>
      <c r="B1881" t="s">
        <v>6468</v>
      </c>
      <c r="C1881" t="s">
        <v>594</v>
      </c>
      <c r="D1881" t="s">
        <v>5259</v>
      </c>
      <c r="E1881" t="s">
        <v>596</v>
      </c>
      <c r="F1881" t="s">
        <v>574</v>
      </c>
      <c r="G1881" t="s">
        <v>6469</v>
      </c>
      <c r="H1881" t="str">
        <f>HYPERLINK("https://baanknet.com/view-property/277196/66C5C9B736E2543B7EC64284CEB740EB104A198FCB96E7D78AAF17A97A787F44", "https://baanknet.com/view-property/277196/66C5C9B736E2543B7EC64284CEB740EB104A198FCB96E7D78AAF17A97A787F44")</f>
        <v>https://baanknet.com/view-property/277196/66C5C9B736E2543B7EC64284CEB740EB104A198FCB96E7D78AAF17A97A787F44</v>
      </c>
      <c r="I1881" t="str">
        <f>HYPERLINK("https://baanknet.com/view-property/277196/66C5C9B736E2543B7EC64284CEB740EB104A198FCB96E7D78AAF17A97A787F44", "Open")</f>
        <v>Open</v>
      </c>
      <c r="J1881" t="s">
        <v>3803</v>
      </c>
      <c r="L1881">
        <v>5220000</v>
      </c>
      <c r="M1881">
        <v>522000</v>
      </c>
    </row>
    <row r="1882" spans="1:13" x14ac:dyDescent="0.25">
      <c r="A1882" t="s">
        <v>6470</v>
      </c>
      <c r="B1882" t="s">
        <v>6471</v>
      </c>
      <c r="C1882" t="s">
        <v>594</v>
      </c>
      <c r="D1882" t="s">
        <v>4471</v>
      </c>
      <c r="E1882" t="s">
        <v>596</v>
      </c>
      <c r="F1882" t="s">
        <v>574</v>
      </c>
      <c r="G1882" t="s">
        <v>6472</v>
      </c>
      <c r="H1882" t="str">
        <f>HYPERLINK("https://baanknet.com/view-property/269025/EC2C909ACAFB8452E5792C90B0CDBDEF0A0F18CC546749546863DD274545D1CC", "https://baanknet.com/view-property/269025/EC2C909ACAFB8452E5792C90B0CDBDEF0A0F18CC546749546863DD274545D1CC")</f>
        <v>https://baanknet.com/view-property/269025/EC2C909ACAFB8452E5792C90B0CDBDEF0A0F18CC546749546863DD274545D1CC</v>
      </c>
      <c r="I1882" t="str">
        <f>HYPERLINK("https://baanknet.com/view-property/269025/EC2C909ACAFB8452E5792C90B0CDBDEF0A0F18CC546749546863DD274545D1CC", "Open")</f>
        <v>Open</v>
      </c>
      <c r="J1882" t="s">
        <v>3803</v>
      </c>
      <c r="L1882">
        <v>3820000</v>
      </c>
      <c r="M1882">
        <v>382000</v>
      </c>
    </row>
    <row r="1883" spans="1:13" x14ac:dyDescent="0.25">
      <c r="A1883" t="s">
        <v>6473</v>
      </c>
      <c r="B1883" t="s">
        <v>6474</v>
      </c>
      <c r="C1883" t="s">
        <v>594</v>
      </c>
      <c r="D1883" t="s">
        <v>4471</v>
      </c>
      <c r="E1883" t="s">
        <v>596</v>
      </c>
      <c r="F1883" t="s">
        <v>574</v>
      </c>
      <c r="G1883" t="s">
        <v>6475</v>
      </c>
      <c r="H1883" t="str">
        <f>HYPERLINK("https://baanknet.com/view-property/108945/56A4274B3CC4EC0413D432A32338B8B1E9AC2D592D9934DD1516E420038625CF", "https://baanknet.com/view-property/108945/56A4274B3CC4EC0413D432A32338B8B1E9AC2D592D9934DD1516E420038625CF")</f>
        <v>https://baanknet.com/view-property/108945/56A4274B3CC4EC0413D432A32338B8B1E9AC2D592D9934DD1516E420038625CF</v>
      </c>
      <c r="I1883" t="str">
        <f>HYPERLINK("https://baanknet.com/view-property/108945/56A4274B3CC4EC0413D432A32338B8B1E9AC2D592D9934DD1516E420038625CF", "Open")</f>
        <v>Open</v>
      </c>
      <c r="J1883" t="s">
        <v>3803</v>
      </c>
      <c r="L1883">
        <v>2970000</v>
      </c>
      <c r="M1883">
        <v>297000</v>
      </c>
    </row>
    <row r="1884" spans="1:13" x14ac:dyDescent="0.25">
      <c r="A1884" t="s">
        <v>6476</v>
      </c>
      <c r="B1884" t="s">
        <v>6477</v>
      </c>
      <c r="C1884" t="s">
        <v>594</v>
      </c>
      <c r="D1884" t="s">
        <v>4542</v>
      </c>
      <c r="E1884" t="s">
        <v>596</v>
      </c>
      <c r="F1884" t="s">
        <v>574</v>
      </c>
      <c r="G1884" t="s">
        <v>6478</v>
      </c>
      <c r="H1884" t="str">
        <f>HYPERLINK("https://baanknet.com/view-property/120000/ECD5459E10FA2106476BF0D1EBFB0C85336F4F2A623B8409CE6A5ED7780653E0", "https://baanknet.com/view-property/120000/ECD5459E10FA2106476BF0D1EBFB0C85336F4F2A623B8409CE6A5ED7780653E0")</f>
        <v>https://baanknet.com/view-property/120000/ECD5459E10FA2106476BF0D1EBFB0C85336F4F2A623B8409CE6A5ED7780653E0</v>
      </c>
      <c r="I1884" t="str">
        <f>HYPERLINK("https://baanknet.com/view-property/120000/ECD5459E10FA2106476BF0D1EBFB0C85336F4F2A623B8409CE6A5ED7780653E0", "Open")</f>
        <v>Open</v>
      </c>
      <c r="J1884" t="s">
        <v>3803</v>
      </c>
      <c r="L1884">
        <v>2448000</v>
      </c>
      <c r="M1884">
        <v>244800</v>
      </c>
    </row>
    <row r="1885" spans="1:13" x14ac:dyDescent="0.25">
      <c r="A1885" t="s">
        <v>6479</v>
      </c>
      <c r="B1885" t="s">
        <v>6480</v>
      </c>
      <c r="C1885" t="s">
        <v>594</v>
      </c>
      <c r="D1885" t="s">
        <v>4799</v>
      </c>
      <c r="E1885" t="s">
        <v>596</v>
      </c>
      <c r="F1885" t="s">
        <v>574</v>
      </c>
      <c r="G1885" t="s">
        <v>6481</v>
      </c>
      <c r="H1885" t="str">
        <f>HYPERLINK("https://baanknet.com/view-property/74633/694FCD1D02EBB6D53EE686C9FFB4DCB31B531A9CCEBB1ACF0AAA306439732E7D", "https://baanknet.com/view-property/74633/694FCD1D02EBB6D53EE686C9FFB4DCB31B531A9CCEBB1ACF0AAA306439732E7D")</f>
        <v>https://baanknet.com/view-property/74633/694FCD1D02EBB6D53EE686C9FFB4DCB31B531A9CCEBB1ACF0AAA306439732E7D</v>
      </c>
      <c r="I1885" t="str">
        <f>HYPERLINK("https://baanknet.com/view-property/74633/694FCD1D02EBB6D53EE686C9FFB4DCB31B531A9CCEBB1ACF0AAA306439732E7D", "Open")</f>
        <v>Open</v>
      </c>
      <c r="J1885" t="s">
        <v>3803</v>
      </c>
      <c r="L1885">
        <v>2600000</v>
      </c>
      <c r="M1885">
        <v>260000</v>
      </c>
    </row>
    <row r="1886" spans="1:13" x14ac:dyDescent="0.25">
      <c r="A1886" t="s">
        <v>6482</v>
      </c>
      <c r="B1886" t="s">
        <v>6483</v>
      </c>
      <c r="C1886" t="s">
        <v>594</v>
      </c>
      <c r="D1886" t="s">
        <v>4799</v>
      </c>
      <c r="E1886" t="s">
        <v>596</v>
      </c>
      <c r="F1886" t="s">
        <v>574</v>
      </c>
      <c r="G1886" t="s">
        <v>6484</v>
      </c>
      <c r="H1886" t="str">
        <f>HYPERLINK("https://baanknet.com/view-property/261357/46381F4C70E121381331DBEBA855FD976375E880D237E8B643CBA1B78D0744E6", "https://baanknet.com/view-property/261357/46381F4C70E121381331DBEBA855FD976375E880D237E8B643CBA1B78D0744E6")</f>
        <v>https://baanknet.com/view-property/261357/46381F4C70E121381331DBEBA855FD976375E880D237E8B643CBA1B78D0744E6</v>
      </c>
      <c r="I1886" t="str">
        <f>HYPERLINK("https://baanknet.com/view-property/261357/46381F4C70E121381331DBEBA855FD976375E880D237E8B643CBA1B78D0744E6", "Open")</f>
        <v>Open</v>
      </c>
      <c r="J1886" t="s">
        <v>3803</v>
      </c>
      <c r="L1886">
        <v>1910000</v>
      </c>
      <c r="M1886">
        <v>191000</v>
      </c>
    </row>
    <row r="1887" spans="1:13" x14ac:dyDescent="0.25">
      <c r="A1887" t="s">
        <v>6485</v>
      </c>
      <c r="B1887" t="s">
        <v>6486</v>
      </c>
      <c r="C1887" t="s">
        <v>594</v>
      </c>
      <c r="D1887" t="s">
        <v>4542</v>
      </c>
      <c r="E1887" t="s">
        <v>596</v>
      </c>
      <c r="F1887" t="s">
        <v>574</v>
      </c>
      <c r="G1887" t="s">
        <v>6487</v>
      </c>
      <c r="H1887" t="str">
        <f>HYPERLINK("https://baanknet.com/view-property/120241/72236782C4F0F3E99E68A3A1BEC28ED4BC78A7105C7A9434214CEA676DB8EFCC", "https://baanknet.com/view-property/120241/72236782C4F0F3E99E68A3A1BEC28ED4BC78A7105C7A9434214CEA676DB8EFCC")</f>
        <v>https://baanknet.com/view-property/120241/72236782C4F0F3E99E68A3A1BEC28ED4BC78A7105C7A9434214CEA676DB8EFCC</v>
      </c>
      <c r="I1887" t="str">
        <f>HYPERLINK("https://baanknet.com/view-property/120241/72236782C4F0F3E99E68A3A1BEC28ED4BC78A7105C7A9434214CEA676DB8EFCC", "Open")</f>
        <v>Open</v>
      </c>
      <c r="J1887" t="s">
        <v>3803</v>
      </c>
      <c r="L1887">
        <v>1649000</v>
      </c>
      <c r="M1887">
        <v>164900</v>
      </c>
    </row>
    <row r="1888" spans="1:13" x14ac:dyDescent="0.25">
      <c r="A1888" t="s">
        <v>6488</v>
      </c>
      <c r="B1888" t="s">
        <v>6489</v>
      </c>
      <c r="C1888" t="s">
        <v>594</v>
      </c>
      <c r="D1888" t="s">
        <v>4542</v>
      </c>
      <c r="E1888" t="s">
        <v>596</v>
      </c>
      <c r="F1888" t="s">
        <v>574</v>
      </c>
      <c r="G1888" t="s">
        <v>6490</v>
      </c>
      <c r="H1888" t="str">
        <f>HYPERLINK("https://baanknet.com/view-property/278526/D0A3353E79D2D675ED251142F9837D398D66B3B83A54614349789B22B22F754D", "https://baanknet.com/view-property/278526/D0A3353E79D2D675ED251142F9837D398D66B3B83A54614349789B22B22F754D")</f>
        <v>https://baanknet.com/view-property/278526/D0A3353E79D2D675ED251142F9837D398D66B3B83A54614349789B22B22F754D</v>
      </c>
      <c r="I1888" t="str">
        <f>HYPERLINK("https://baanknet.com/view-property/278526/D0A3353E79D2D675ED251142F9837D398D66B3B83A54614349789B22B22F754D", "Open")</f>
        <v>Open</v>
      </c>
      <c r="J1888" t="s">
        <v>3803</v>
      </c>
      <c r="L1888">
        <v>2257000</v>
      </c>
      <c r="M1888">
        <v>225700</v>
      </c>
    </row>
    <row r="1889" spans="1:13" x14ac:dyDescent="0.25">
      <c r="A1889" t="s">
        <v>6491</v>
      </c>
      <c r="B1889" t="s">
        <v>6492</v>
      </c>
      <c r="C1889" t="s">
        <v>594</v>
      </c>
      <c r="D1889" t="s">
        <v>6493</v>
      </c>
      <c r="E1889" t="s">
        <v>596</v>
      </c>
      <c r="F1889" t="s">
        <v>574</v>
      </c>
      <c r="G1889" t="s">
        <v>6494</v>
      </c>
      <c r="H1889" t="str">
        <f>HYPERLINK("https://baanknet.com/view-property/43073/65FE779C973755FE7A7FEDE01AB764E610B650E8ABBA9C571645F785378C015E", "https://baanknet.com/view-property/43073/65FE779C973755FE7A7FEDE01AB764E610B650E8ABBA9C571645F785378C015E")</f>
        <v>https://baanknet.com/view-property/43073/65FE779C973755FE7A7FEDE01AB764E610B650E8ABBA9C571645F785378C015E</v>
      </c>
      <c r="I1889" t="str">
        <f>HYPERLINK("https://baanknet.com/view-property/43073/65FE779C973755FE7A7FEDE01AB764E610B650E8ABBA9C571645F785378C015E", "Open")</f>
        <v>Open</v>
      </c>
      <c r="J1889" t="s">
        <v>3803</v>
      </c>
      <c r="L1889">
        <v>2057000</v>
      </c>
      <c r="M1889">
        <v>205700</v>
      </c>
    </row>
    <row r="1890" spans="1:13" x14ac:dyDescent="0.25">
      <c r="A1890" t="s">
        <v>6495</v>
      </c>
      <c r="B1890" t="s">
        <v>6496</v>
      </c>
      <c r="C1890" t="s">
        <v>594</v>
      </c>
      <c r="D1890" t="s">
        <v>5259</v>
      </c>
      <c r="E1890" t="s">
        <v>596</v>
      </c>
      <c r="F1890" t="s">
        <v>574</v>
      </c>
      <c r="G1890" t="s">
        <v>6497</v>
      </c>
      <c r="H1890" t="str">
        <f>HYPERLINK("https://baanknet.com/view-property/277200/66F9F9A152861CBF34F35190172F7B43FBC776DA18F65AD70A8CD0659F84D2F1", "https://baanknet.com/view-property/277200/66F9F9A152861CBF34F35190172F7B43FBC776DA18F65AD70A8CD0659F84D2F1")</f>
        <v>https://baanknet.com/view-property/277200/66F9F9A152861CBF34F35190172F7B43FBC776DA18F65AD70A8CD0659F84D2F1</v>
      </c>
      <c r="I1890" t="str">
        <f>HYPERLINK("https://baanknet.com/view-property/277200/66F9F9A152861CBF34F35190172F7B43FBC776DA18F65AD70A8CD0659F84D2F1", "Open")</f>
        <v>Open</v>
      </c>
      <c r="J1890" t="s">
        <v>3803</v>
      </c>
      <c r="L1890">
        <v>3410000</v>
      </c>
      <c r="M1890">
        <v>341000</v>
      </c>
    </row>
    <row r="1891" spans="1:13" x14ac:dyDescent="0.25">
      <c r="A1891" t="s">
        <v>6498</v>
      </c>
      <c r="B1891" t="s">
        <v>6499</v>
      </c>
      <c r="C1891" t="s">
        <v>594</v>
      </c>
      <c r="D1891" t="s">
        <v>4542</v>
      </c>
      <c r="E1891" t="s">
        <v>596</v>
      </c>
      <c r="F1891" t="s">
        <v>574</v>
      </c>
      <c r="G1891" t="s">
        <v>6500</v>
      </c>
      <c r="H1891" t="str">
        <f>HYPERLINK("https://baanknet.com/view-property/276476/D53E950133C92C212C5CBEC2AF6EED21A3CFF5E922E9DF94F9AE6380F85CF52C", "https://baanknet.com/view-property/276476/D53E950133C92C212C5CBEC2AF6EED21A3CFF5E922E9DF94F9AE6380F85CF52C")</f>
        <v>https://baanknet.com/view-property/276476/D53E950133C92C212C5CBEC2AF6EED21A3CFF5E922E9DF94F9AE6380F85CF52C</v>
      </c>
      <c r="I1891" t="str">
        <f>HYPERLINK("https://baanknet.com/view-property/276476/D53E950133C92C212C5CBEC2AF6EED21A3CFF5E922E9DF94F9AE6380F85CF52C", "Open")</f>
        <v>Open</v>
      </c>
      <c r="J1891" t="s">
        <v>3803</v>
      </c>
      <c r="L1891">
        <v>7336000</v>
      </c>
      <c r="M1891">
        <v>733600</v>
      </c>
    </row>
    <row r="1892" spans="1:13" x14ac:dyDescent="0.25">
      <c r="A1892" t="s">
        <v>6501</v>
      </c>
      <c r="B1892" t="s">
        <v>6502</v>
      </c>
      <c r="C1892" t="s">
        <v>594</v>
      </c>
      <c r="D1892" t="s">
        <v>4471</v>
      </c>
      <c r="E1892" t="s">
        <v>596</v>
      </c>
      <c r="F1892" t="s">
        <v>574</v>
      </c>
      <c r="G1892" t="s">
        <v>6503</v>
      </c>
      <c r="H1892" t="str">
        <f>HYPERLINK("https://baanknet.com/view-property/274419/06FDD422ECC0B569C1C2D9663541513038CA5A9474F6803347F6A5E86A9823CB", "https://baanknet.com/view-property/274419/06FDD422ECC0B569C1C2D9663541513038CA5A9474F6803347F6A5E86A9823CB")</f>
        <v>https://baanknet.com/view-property/274419/06FDD422ECC0B569C1C2D9663541513038CA5A9474F6803347F6A5E86A9823CB</v>
      </c>
      <c r="I1892" t="str">
        <f>HYPERLINK("https://baanknet.com/view-property/274419/06FDD422ECC0B569C1C2D9663541513038CA5A9474F6803347F6A5E86A9823CB", "Open")</f>
        <v>Open</v>
      </c>
      <c r="J1892" t="s">
        <v>3803</v>
      </c>
      <c r="L1892">
        <v>925000</v>
      </c>
      <c r="M1892">
        <v>92500</v>
      </c>
    </row>
    <row r="1893" spans="1:13" x14ac:dyDescent="0.25">
      <c r="A1893" t="s">
        <v>6504</v>
      </c>
      <c r="B1893" t="s">
        <v>6505</v>
      </c>
      <c r="C1893" t="s">
        <v>594</v>
      </c>
      <c r="D1893" t="s">
        <v>4542</v>
      </c>
      <c r="E1893" t="s">
        <v>596</v>
      </c>
      <c r="F1893" t="s">
        <v>574</v>
      </c>
      <c r="G1893" t="s">
        <v>6506</v>
      </c>
      <c r="H1893" t="str">
        <f>HYPERLINK("https://baanknet.com/view-property/104679/511E05470948860DF5F3C7D608D43B6F08EE7D70FD02E9C5282843F415671E32", "https://baanknet.com/view-property/104679/511E05470948860DF5F3C7D608D43B6F08EE7D70FD02E9C5282843F415671E32")</f>
        <v>https://baanknet.com/view-property/104679/511E05470948860DF5F3C7D608D43B6F08EE7D70FD02E9C5282843F415671E32</v>
      </c>
      <c r="I1893" t="str">
        <f>HYPERLINK("https://baanknet.com/view-property/104679/511E05470948860DF5F3C7D608D43B6F08EE7D70FD02E9C5282843F415671E32", "Open")</f>
        <v>Open</v>
      </c>
      <c r="J1893" t="s">
        <v>3803</v>
      </c>
      <c r="L1893">
        <v>1853000</v>
      </c>
      <c r="M1893">
        <v>185300</v>
      </c>
    </row>
    <row r="1894" spans="1:13" x14ac:dyDescent="0.25">
      <c r="A1894" t="s">
        <v>6507</v>
      </c>
      <c r="B1894" t="s">
        <v>6508</v>
      </c>
      <c r="C1894" t="s">
        <v>594</v>
      </c>
      <c r="D1894" t="s">
        <v>4471</v>
      </c>
      <c r="E1894" t="s">
        <v>596</v>
      </c>
      <c r="F1894" t="s">
        <v>574</v>
      </c>
      <c r="G1894" t="s">
        <v>6509</v>
      </c>
      <c r="H1894" t="str">
        <f>HYPERLINK("https://baanknet.com/view-property/287315/A43153CB32C922A26AF9C98E1BC7DEEF89E5886C62EC682FA6CFB5F4F1C371FE", "https://baanknet.com/view-property/287315/A43153CB32C922A26AF9C98E1BC7DEEF89E5886C62EC682FA6CFB5F4F1C371FE")</f>
        <v>https://baanknet.com/view-property/287315/A43153CB32C922A26AF9C98E1BC7DEEF89E5886C62EC682FA6CFB5F4F1C371FE</v>
      </c>
      <c r="I1894" t="str">
        <f>HYPERLINK("https://baanknet.com/view-property/287315/A43153CB32C922A26AF9C98E1BC7DEEF89E5886C62EC682FA6CFB5F4F1C371FE", "Open")</f>
        <v>Open</v>
      </c>
      <c r="J1894" t="s">
        <v>3803</v>
      </c>
      <c r="L1894">
        <v>2030000</v>
      </c>
      <c r="M1894">
        <v>203000</v>
      </c>
    </row>
    <row r="1895" spans="1:13" x14ac:dyDescent="0.25">
      <c r="A1895" t="s">
        <v>6510</v>
      </c>
      <c r="B1895" t="s">
        <v>6511</v>
      </c>
      <c r="C1895" t="s">
        <v>594</v>
      </c>
      <c r="D1895" t="s">
        <v>4542</v>
      </c>
      <c r="E1895" t="s">
        <v>596</v>
      </c>
      <c r="F1895" t="s">
        <v>574</v>
      </c>
      <c r="G1895" t="s">
        <v>6512</v>
      </c>
      <c r="H1895" t="str">
        <f>HYPERLINK("https://baanknet.com/view-property/104457/0E4DE81D2FF1ADA7B42D0B91709E4666F2A00DF3A806E1568800E22FB95DA953", "https://baanknet.com/view-property/104457/0E4DE81D2FF1ADA7B42D0B91709E4666F2A00DF3A806E1568800E22FB95DA953")</f>
        <v>https://baanknet.com/view-property/104457/0E4DE81D2FF1ADA7B42D0B91709E4666F2A00DF3A806E1568800E22FB95DA953</v>
      </c>
      <c r="I1895" t="str">
        <f>HYPERLINK("https://baanknet.com/view-property/104457/0E4DE81D2FF1ADA7B42D0B91709E4666F2A00DF3A806E1568800E22FB95DA953", "Open")</f>
        <v>Open</v>
      </c>
      <c r="J1895" t="s">
        <v>3803</v>
      </c>
      <c r="L1895">
        <v>1923000</v>
      </c>
      <c r="M1895">
        <v>192300</v>
      </c>
    </row>
    <row r="1896" spans="1:13" x14ac:dyDescent="0.25">
      <c r="A1896" t="s">
        <v>6513</v>
      </c>
      <c r="B1896" t="s">
        <v>6514</v>
      </c>
      <c r="C1896" t="s">
        <v>15</v>
      </c>
      <c r="D1896" t="s">
        <v>3968</v>
      </c>
      <c r="E1896" t="s">
        <v>3516</v>
      </c>
      <c r="F1896" t="s">
        <v>17</v>
      </c>
      <c r="G1896" t="s">
        <v>6515</v>
      </c>
      <c r="H1896" t="str">
        <f>HYPERLINK("https://baanknet.com/view-property/192004/2045B4819E848995B07FF76A4846C3100CE7738D9838792528E481D011F13753", "https://baanknet.com/view-property/192004/2045B4819E848995B07FF76A4846C3100CE7738D9838792528E481D011F13753")</f>
        <v>https://baanknet.com/view-property/192004/2045B4819E848995B07FF76A4846C3100CE7738D9838792528E481D011F13753</v>
      </c>
      <c r="I1896" t="str">
        <f>HYPERLINK("https://baanknet.com/view-property/192004/2045B4819E848995B07FF76A4846C3100CE7738D9838792528E481D011F13753", "Open")</f>
        <v>Open</v>
      </c>
      <c r="J1896" t="s">
        <v>20</v>
      </c>
      <c r="K1896" t="s">
        <v>21</v>
      </c>
      <c r="L1896">
        <v>2850000</v>
      </c>
      <c r="M1896">
        <v>285000</v>
      </c>
    </row>
    <row r="1897" spans="1:13" x14ac:dyDescent="0.25">
      <c r="A1897" t="s">
        <v>6516</v>
      </c>
      <c r="B1897" t="s">
        <v>6517</v>
      </c>
      <c r="C1897" t="s">
        <v>594</v>
      </c>
      <c r="D1897" t="s">
        <v>4799</v>
      </c>
      <c r="E1897" t="s">
        <v>596</v>
      </c>
      <c r="F1897" t="s">
        <v>574</v>
      </c>
      <c r="G1897" t="s">
        <v>6518</v>
      </c>
      <c r="H1897" t="str">
        <f>HYPERLINK("https://baanknet.com/view-property/287321/194CBD99DAA309DEFCE98BAE2697FC2B97E485382700D61348BC72D590070B0A", "https://baanknet.com/view-property/287321/194CBD99DAA309DEFCE98BAE2697FC2B97E485382700D61348BC72D590070B0A")</f>
        <v>https://baanknet.com/view-property/287321/194CBD99DAA309DEFCE98BAE2697FC2B97E485382700D61348BC72D590070B0A</v>
      </c>
      <c r="I1897" t="str">
        <f>HYPERLINK("https://baanknet.com/view-property/287321/194CBD99DAA309DEFCE98BAE2697FC2B97E485382700D61348BC72D590070B0A", "Open")</f>
        <v>Open</v>
      </c>
      <c r="J1897" t="s">
        <v>3803</v>
      </c>
      <c r="L1897">
        <v>1800000</v>
      </c>
      <c r="M1897">
        <v>180000</v>
      </c>
    </row>
    <row r="1898" spans="1:13" x14ac:dyDescent="0.25">
      <c r="A1898" t="s">
        <v>6519</v>
      </c>
      <c r="B1898" t="s">
        <v>6520</v>
      </c>
      <c r="C1898" t="s">
        <v>594</v>
      </c>
      <c r="D1898" t="s">
        <v>4542</v>
      </c>
      <c r="E1898" t="s">
        <v>596</v>
      </c>
      <c r="F1898" t="s">
        <v>574</v>
      </c>
      <c r="G1898" t="s">
        <v>6521</v>
      </c>
      <c r="H1898" t="str">
        <f>HYPERLINK("https://baanknet.com/view-property/282724/E21E823F93C4ABD8480997B82C46E848FFF8B1BE2FBB61D0294AEBB8904DA569", "https://baanknet.com/view-property/282724/E21E823F93C4ABD8480997B82C46E848FFF8B1BE2FBB61D0294AEBB8904DA569")</f>
        <v>https://baanknet.com/view-property/282724/E21E823F93C4ABD8480997B82C46E848FFF8B1BE2FBB61D0294AEBB8904DA569</v>
      </c>
      <c r="I1898" t="str">
        <f>HYPERLINK("https://baanknet.com/view-property/282724/E21E823F93C4ABD8480997B82C46E848FFF8B1BE2FBB61D0294AEBB8904DA569", "Open")</f>
        <v>Open</v>
      </c>
      <c r="J1898" t="s">
        <v>3803</v>
      </c>
      <c r="L1898">
        <v>4487000</v>
      </c>
      <c r="M1898">
        <v>448700</v>
      </c>
    </row>
    <row r="1899" spans="1:13" x14ac:dyDescent="0.25">
      <c r="A1899" t="s">
        <v>6522</v>
      </c>
      <c r="B1899" t="s">
        <v>6523</v>
      </c>
      <c r="C1899" t="s">
        <v>594</v>
      </c>
      <c r="D1899" t="s">
        <v>4542</v>
      </c>
      <c r="E1899" t="s">
        <v>596</v>
      </c>
      <c r="F1899" t="s">
        <v>574</v>
      </c>
      <c r="G1899" t="s">
        <v>6524</v>
      </c>
      <c r="H1899" t="str">
        <f>HYPERLINK("https://baanknet.com/view-property/282731/F269DA916299FDE505AF6A43786033B89C16BACF9803B3DEFDF2EFFE78CDA91B", "https://baanknet.com/view-property/282731/F269DA916299FDE505AF6A43786033B89C16BACF9803B3DEFDF2EFFE78CDA91B")</f>
        <v>https://baanknet.com/view-property/282731/F269DA916299FDE505AF6A43786033B89C16BACF9803B3DEFDF2EFFE78CDA91B</v>
      </c>
      <c r="I1899" t="str">
        <f>HYPERLINK("https://baanknet.com/view-property/282731/F269DA916299FDE505AF6A43786033B89C16BACF9803B3DEFDF2EFFE78CDA91B", "Open")</f>
        <v>Open</v>
      </c>
      <c r="J1899" t="s">
        <v>3803</v>
      </c>
      <c r="L1899">
        <v>2543000</v>
      </c>
      <c r="M1899">
        <v>254300</v>
      </c>
    </row>
    <row r="1900" spans="1:13" x14ac:dyDescent="0.25">
      <c r="A1900" t="s">
        <v>6525</v>
      </c>
      <c r="B1900" t="s">
        <v>6526</v>
      </c>
      <c r="C1900" t="s">
        <v>594</v>
      </c>
      <c r="D1900" t="s">
        <v>6527</v>
      </c>
      <c r="E1900" t="s">
        <v>596</v>
      </c>
      <c r="F1900" t="s">
        <v>574</v>
      </c>
      <c r="G1900" t="s">
        <v>6528</v>
      </c>
      <c r="H1900" t="str">
        <f>HYPERLINK("https://baanknet.com/view-property/258429/CC854EE6F2551B604D5B397D4AB50535753627B5E0BE8E50E02CFF6F5C432661", "https://baanknet.com/view-property/258429/CC854EE6F2551B604D5B397D4AB50535753627B5E0BE8E50E02CFF6F5C432661")</f>
        <v>https://baanknet.com/view-property/258429/CC854EE6F2551B604D5B397D4AB50535753627B5E0BE8E50E02CFF6F5C432661</v>
      </c>
      <c r="I1900" t="str">
        <f>HYPERLINK("https://baanknet.com/view-property/258429/CC854EE6F2551B604D5B397D4AB50535753627B5E0BE8E50E02CFF6F5C432661", "Open")</f>
        <v>Open</v>
      </c>
      <c r="J1900" t="s">
        <v>3803</v>
      </c>
      <c r="L1900">
        <v>6510000</v>
      </c>
      <c r="M1900">
        <v>651000</v>
      </c>
    </row>
    <row r="1901" spans="1:13" x14ac:dyDescent="0.25">
      <c r="A1901" t="s">
        <v>6529</v>
      </c>
      <c r="B1901" t="s">
        <v>6530</v>
      </c>
      <c r="C1901" t="s">
        <v>594</v>
      </c>
      <c r="D1901" t="s">
        <v>6531</v>
      </c>
      <c r="E1901" t="s">
        <v>596</v>
      </c>
      <c r="F1901" t="s">
        <v>574</v>
      </c>
      <c r="G1901" t="s">
        <v>6532</v>
      </c>
      <c r="H1901" t="str">
        <f>HYPERLINK("https://baanknet.com/view-property/227321/B5949A8C41366EE5B36C189BFB613BC24551972D125A307715D7AF409A5D103C", "https://baanknet.com/view-property/227321/B5949A8C41366EE5B36C189BFB613BC24551972D125A307715D7AF409A5D103C")</f>
        <v>https://baanknet.com/view-property/227321/B5949A8C41366EE5B36C189BFB613BC24551972D125A307715D7AF409A5D103C</v>
      </c>
      <c r="I1901" t="str">
        <f>HYPERLINK("https://baanknet.com/view-property/227321/B5949A8C41366EE5B36C189BFB613BC24551972D125A307715D7AF409A5D103C", "Open")</f>
        <v>Open</v>
      </c>
      <c r="J1901" t="s">
        <v>3803</v>
      </c>
      <c r="L1901">
        <v>1720000</v>
      </c>
      <c r="M1901">
        <v>172000</v>
      </c>
    </row>
    <row r="1902" spans="1:13" x14ac:dyDescent="0.25">
      <c r="A1902" t="s">
        <v>6533</v>
      </c>
      <c r="B1902" t="s">
        <v>6534</v>
      </c>
      <c r="C1902" t="s">
        <v>594</v>
      </c>
      <c r="D1902" t="s">
        <v>6531</v>
      </c>
      <c r="E1902" t="s">
        <v>596</v>
      </c>
      <c r="F1902" t="s">
        <v>574</v>
      </c>
      <c r="G1902" t="s">
        <v>6535</v>
      </c>
      <c r="H1902" t="str">
        <f>HYPERLINK("https://baanknet.com/view-property/227322/D34E83364C967B4721A4D5D303DCB41284829E24AFF3B291683B236EE66EEB65", "https://baanknet.com/view-property/227322/D34E83364C967B4721A4D5D303DCB41284829E24AFF3B291683B236EE66EEB65")</f>
        <v>https://baanknet.com/view-property/227322/D34E83364C967B4721A4D5D303DCB41284829E24AFF3B291683B236EE66EEB65</v>
      </c>
      <c r="I1902" t="str">
        <f>HYPERLINK("https://baanknet.com/view-property/227322/D34E83364C967B4721A4D5D303DCB41284829E24AFF3B291683B236EE66EEB65", "Open")</f>
        <v>Open</v>
      </c>
      <c r="J1902" t="s">
        <v>3803</v>
      </c>
      <c r="L1902">
        <v>1180000</v>
      </c>
      <c r="M1902">
        <v>118000</v>
      </c>
    </row>
    <row r="1903" spans="1:13" x14ac:dyDescent="0.25">
      <c r="A1903" t="s">
        <v>6536</v>
      </c>
      <c r="B1903" t="s">
        <v>6537</v>
      </c>
      <c r="C1903" t="s">
        <v>594</v>
      </c>
      <c r="D1903" t="s">
        <v>4095</v>
      </c>
      <c r="E1903" t="s">
        <v>596</v>
      </c>
      <c r="F1903" t="s">
        <v>574</v>
      </c>
      <c r="G1903" t="s">
        <v>6538</v>
      </c>
      <c r="H1903" t="str">
        <f>HYPERLINK("https://baanknet.com/view-property/287335/D7784667A503329314E0930F30040082630848B168EC221C27CF6F27A10A5A64", "https://baanknet.com/view-property/287335/D7784667A503329314E0930F30040082630848B168EC221C27CF6F27A10A5A64")</f>
        <v>https://baanknet.com/view-property/287335/D7784667A503329314E0930F30040082630848B168EC221C27CF6F27A10A5A64</v>
      </c>
      <c r="I1903" t="str">
        <f>HYPERLINK("https://baanknet.com/view-property/287335/D7784667A503329314E0930F30040082630848B168EC221C27CF6F27A10A5A64", "Open")</f>
        <v>Open</v>
      </c>
      <c r="J1903" t="s">
        <v>3803</v>
      </c>
      <c r="L1903">
        <v>9200000</v>
      </c>
      <c r="M1903">
        <v>920000</v>
      </c>
    </row>
    <row r="1904" spans="1:13" x14ac:dyDescent="0.25">
      <c r="A1904" t="s">
        <v>6539</v>
      </c>
      <c r="B1904" t="s">
        <v>6540</v>
      </c>
      <c r="C1904" t="s">
        <v>594</v>
      </c>
      <c r="D1904" t="s">
        <v>4095</v>
      </c>
      <c r="E1904" t="s">
        <v>596</v>
      </c>
      <c r="F1904" t="s">
        <v>574</v>
      </c>
      <c r="G1904" t="s">
        <v>6541</v>
      </c>
      <c r="H1904" t="str">
        <f>HYPERLINK("https://baanknet.com/view-property/287338/AEBC4B1A5D2D50BD381E7B16D6DE619AFB5767174345BAF97044EDE76A249435", "https://baanknet.com/view-property/287338/AEBC4B1A5D2D50BD381E7B16D6DE619AFB5767174345BAF97044EDE76A249435")</f>
        <v>https://baanknet.com/view-property/287338/AEBC4B1A5D2D50BD381E7B16D6DE619AFB5767174345BAF97044EDE76A249435</v>
      </c>
      <c r="I1904" t="str">
        <f>HYPERLINK("https://baanknet.com/view-property/287338/AEBC4B1A5D2D50BD381E7B16D6DE619AFB5767174345BAF97044EDE76A249435", "Open")</f>
        <v>Open</v>
      </c>
      <c r="J1904" t="s">
        <v>3803</v>
      </c>
      <c r="L1904">
        <v>6610000</v>
      </c>
      <c r="M1904">
        <v>661000</v>
      </c>
    </row>
    <row r="1905" spans="1:13" x14ac:dyDescent="0.25">
      <c r="A1905" t="s">
        <v>6542</v>
      </c>
      <c r="B1905" t="s">
        <v>6543</v>
      </c>
      <c r="C1905" t="s">
        <v>594</v>
      </c>
      <c r="D1905" t="s">
        <v>4095</v>
      </c>
      <c r="E1905" t="s">
        <v>596</v>
      </c>
      <c r="F1905" t="s">
        <v>574</v>
      </c>
      <c r="G1905" t="s">
        <v>6544</v>
      </c>
      <c r="H1905" t="str">
        <f>HYPERLINK("https://baanknet.com/view-property/287342/6BC749549AF9F8215D2234FF2AE75277E0B230CDA3B5F3AB1064D203B61E0EE0", "https://baanknet.com/view-property/287342/6BC749549AF9F8215D2234FF2AE75277E0B230CDA3B5F3AB1064D203B61E0EE0")</f>
        <v>https://baanknet.com/view-property/287342/6BC749549AF9F8215D2234FF2AE75277E0B230CDA3B5F3AB1064D203B61E0EE0</v>
      </c>
      <c r="I1905" t="str">
        <f>HYPERLINK("https://baanknet.com/view-property/287342/6BC749549AF9F8215D2234FF2AE75277E0B230CDA3B5F3AB1064D203B61E0EE0", "Open")</f>
        <v>Open</v>
      </c>
      <c r="J1905" t="s">
        <v>3803</v>
      </c>
      <c r="L1905">
        <v>2090000</v>
      </c>
      <c r="M1905">
        <v>209000</v>
      </c>
    </row>
    <row r="1906" spans="1:13" x14ac:dyDescent="0.25">
      <c r="A1906" t="s">
        <v>6545</v>
      </c>
      <c r="B1906" t="s">
        <v>6546</v>
      </c>
      <c r="C1906" t="s">
        <v>594</v>
      </c>
      <c r="D1906" t="s">
        <v>4095</v>
      </c>
      <c r="E1906" t="s">
        <v>596</v>
      </c>
      <c r="F1906" t="s">
        <v>574</v>
      </c>
      <c r="G1906" t="s">
        <v>6547</v>
      </c>
      <c r="H1906" t="str">
        <f>HYPERLINK("https://baanknet.com/view-property/287362/253B2145A2B38885F647670CCE3AC7F1B1F5C7E4CB87F59C7449E4A84963602C", "https://baanknet.com/view-property/287362/253B2145A2B38885F647670CCE3AC7F1B1F5C7E4CB87F59C7449E4A84963602C")</f>
        <v>https://baanknet.com/view-property/287362/253B2145A2B38885F647670CCE3AC7F1B1F5C7E4CB87F59C7449E4A84963602C</v>
      </c>
      <c r="I1906" t="str">
        <f>HYPERLINK("https://baanknet.com/view-property/287362/253B2145A2B38885F647670CCE3AC7F1B1F5C7E4CB87F59C7449E4A84963602C", "Open")</f>
        <v>Open</v>
      </c>
      <c r="J1906" t="s">
        <v>3803</v>
      </c>
      <c r="L1906">
        <v>12600000</v>
      </c>
      <c r="M1906">
        <v>1260000</v>
      </c>
    </row>
    <row r="1907" spans="1:13" x14ac:dyDescent="0.25">
      <c r="A1907" t="s">
        <v>6548</v>
      </c>
      <c r="B1907" t="s">
        <v>6549</v>
      </c>
      <c r="C1907" t="s">
        <v>594</v>
      </c>
      <c r="D1907" t="s">
        <v>518</v>
      </c>
      <c r="E1907" t="s">
        <v>596</v>
      </c>
      <c r="F1907" t="s">
        <v>574</v>
      </c>
      <c r="G1907" t="s">
        <v>6550</v>
      </c>
      <c r="H1907" t="str">
        <f>HYPERLINK("https://baanknet.com/view-property/281197/7BDEC5581420BD0673F2383B2978AEC8ADF4FA5341F5C378CABA3927E849611C", "https://baanknet.com/view-property/281197/7BDEC5581420BD0673F2383B2978AEC8ADF4FA5341F5C378CABA3927E849611C")</f>
        <v>https://baanknet.com/view-property/281197/7BDEC5581420BD0673F2383B2978AEC8ADF4FA5341F5C378CABA3927E849611C</v>
      </c>
      <c r="I1907" t="str">
        <f>HYPERLINK("https://baanknet.com/view-property/281197/7BDEC5581420BD0673F2383B2978AEC8ADF4FA5341F5C378CABA3927E849611C", "Open")</f>
        <v>Open</v>
      </c>
      <c r="J1907" t="s">
        <v>3803</v>
      </c>
      <c r="L1907">
        <v>11000000</v>
      </c>
      <c r="M1907">
        <v>1100000</v>
      </c>
    </row>
    <row r="1908" spans="1:13" x14ac:dyDescent="0.25">
      <c r="A1908" t="s">
        <v>6551</v>
      </c>
      <c r="B1908" t="s">
        <v>6552</v>
      </c>
      <c r="C1908" t="s">
        <v>594</v>
      </c>
      <c r="D1908" t="s">
        <v>338</v>
      </c>
      <c r="E1908" t="s">
        <v>596</v>
      </c>
      <c r="F1908" t="s">
        <v>574</v>
      </c>
      <c r="G1908" t="s">
        <v>6553</v>
      </c>
      <c r="H1908" t="str">
        <f>HYPERLINK("https://baanknet.com/view-property/268242/0F29F709B7F6954CB2699778A4D37B5563F85E444EAC02AA0827D78C2F725945", "https://baanknet.com/view-property/268242/0F29F709B7F6954CB2699778A4D37B5563F85E444EAC02AA0827D78C2F725945")</f>
        <v>https://baanknet.com/view-property/268242/0F29F709B7F6954CB2699778A4D37B5563F85E444EAC02AA0827D78C2F725945</v>
      </c>
      <c r="I1908" t="str">
        <f>HYPERLINK("https://baanknet.com/view-property/268242/0F29F709B7F6954CB2699778A4D37B5563F85E444EAC02AA0827D78C2F725945", "Open")</f>
        <v>Open</v>
      </c>
      <c r="J1908" t="s">
        <v>3803</v>
      </c>
      <c r="L1908">
        <v>3050000</v>
      </c>
      <c r="M1908">
        <v>305000</v>
      </c>
    </row>
    <row r="1909" spans="1:13" x14ac:dyDescent="0.25">
      <c r="A1909" t="s">
        <v>6554</v>
      </c>
      <c r="B1909" t="s">
        <v>6555</v>
      </c>
      <c r="C1909" t="s">
        <v>594</v>
      </c>
      <c r="D1909" t="s">
        <v>1463</v>
      </c>
      <c r="E1909" t="s">
        <v>596</v>
      </c>
      <c r="F1909" t="s">
        <v>574</v>
      </c>
      <c r="G1909" t="s">
        <v>6556</v>
      </c>
      <c r="H1909" t="str">
        <f>HYPERLINK("https://baanknet.com/view-property/98650/3C22C7F4ACE184047D722A4461C5CF8A379A586E3E0F257A011EE0382E186D82", "https://baanknet.com/view-property/98650/3C22C7F4ACE184047D722A4461C5CF8A379A586E3E0F257A011EE0382E186D82")</f>
        <v>https://baanknet.com/view-property/98650/3C22C7F4ACE184047D722A4461C5CF8A379A586E3E0F257A011EE0382E186D82</v>
      </c>
      <c r="I1909" t="str">
        <f>HYPERLINK("https://baanknet.com/view-property/98650/3C22C7F4ACE184047D722A4461C5CF8A379A586E3E0F257A011EE0382E186D82", "Open")</f>
        <v>Open</v>
      </c>
      <c r="J1909" t="s">
        <v>3803</v>
      </c>
      <c r="L1909">
        <v>650000</v>
      </c>
      <c r="M1909">
        <v>65000</v>
      </c>
    </row>
    <row r="1910" spans="1:13" x14ac:dyDescent="0.25">
      <c r="A1910" t="s">
        <v>6557</v>
      </c>
      <c r="B1910" t="s">
        <v>6558</v>
      </c>
      <c r="C1910" t="s">
        <v>594</v>
      </c>
      <c r="D1910" t="s">
        <v>1463</v>
      </c>
      <c r="E1910" t="s">
        <v>596</v>
      </c>
      <c r="F1910" t="s">
        <v>574</v>
      </c>
      <c r="G1910" t="s">
        <v>6559</v>
      </c>
      <c r="H1910" t="str">
        <f>HYPERLINK("https://baanknet.com/view-property/98653/56B8DDEF5C7DC6BE1107FDD1BAB2BFCF152A7523B42F7788D8007E87BAB1F9B4", "https://baanknet.com/view-property/98653/56B8DDEF5C7DC6BE1107FDD1BAB2BFCF152A7523B42F7788D8007E87BAB1F9B4")</f>
        <v>https://baanknet.com/view-property/98653/56B8DDEF5C7DC6BE1107FDD1BAB2BFCF152A7523B42F7788D8007E87BAB1F9B4</v>
      </c>
      <c r="I1910" t="str">
        <f>HYPERLINK("https://baanknet.com/view-property/98653/56B8DDEF5C7DC6BE1107FDD1BAB2BFCF152A7523B42F7788D8007E87BAB1F9B4", "Open")</f>
        <v>Open</v>
      </c>
      <c r="J1910" t="s">
        <v>3803</v>
      </c>
      <c r="L1910">
        <v>150000</v>
      </c>
      <c r="M1910">
        <v>15000</v>
      </c>
    </row>
    <row r="1911" spans="1:13" x14ac:dyDescent="0.25">
      <c r="A1911" t="s">
        <v>6560</v>
      </c>
      <c r="B1911" t="s">
        <v>6561</v>
      </c>
      <c r="C1911" t="s">
        <v>594</v>
      </c>
      <c r="D1911" t="s">
        <v>338</v>
      </c>
      <c r="E1911" t="s">
        <v>596</v>
      </c>
      <c r="F1911" t="s">
        <v>574</v>
      </c>
      <c r="G1911" t="s">
        <v>6562</v>
      </c>
      <c r="H1911" t="str">
        <f>HYPERLINK("https://baanknet.com/view-property/273803/DBA7FABCA6D80AA83BB576DFCC49212EFF9C0DC94EDE904FF4C8033269C44576", "https://baanknet.com/view-property/273803/DBA7FABCA6D80AA83BB576DFCC49212EFF9C0DC94EDE904FF4C8033269C44576")</f>
        <v>https://baanknet.com/view-property/273803/DBA7FABCA6D80AA83BB576DFCC49212EFF9C0DC94EDE904FF4C8033269C44576</v>
      </c>
      <c r="I1911" t="str">
        <f>HYPERLINK("https://baanknet.com/view-property/273803/DBA7FABCA6D80AA83BB576DFCC49212EFF9C0DC94EDE904FF4C8033269C44576", "Open")</f>
        <v>Open</v>
      </c>
      <c r="J1911" t="s">
        <v>3803</v>
      </c>
      <c r="L1911">
        <v>4110000</v>
      </c>
      <c r="M1911">
        <v>411000</v>
      </c>
    </row>
    <row r="1912" spans="1:13" x14ac:dyDescent="0.25">
      <c r="A1912" t="s">
        <v>6563</v>
      </c>
      <c r="B1912" t="s">
        <v>6564</v>
      </c>
      <c r="C1912" t="s">
        <v>594</v>
      </c>
      <c r="D1912" t="s">
        <v>6565</v>
      </c>
      <c r="E1912" t="s">
        <v>596</v>
      </c>
      <c r="F1912" t="s">
        <v>574</v>
      </c>
      <c r="G1912" t="s">
        <v>6566</v>
      </c>
      <c r="H1912" t="str">
        <f>HYPERLINK("https://baanknet.com/view-property/281294/D0F86744A640B136303BDA2A05EE7E47C39EFAB08FBDEA921EB2C73FEA2BCC3C", "https://baanknet.com/view-property/281294/D0F86744A640B136303BDA2A05EE7E47C39EFAB08FBDEA921EB2C73FEA2BCC3C")</f>
        <v>https://baanknet.com/view-property/281294/D0F86744A640B136303BDA2A05EE7E47C39EFAB08FBDEA921EB2C73FEA2BCC3C</v>
      </c>
      <c r="I1912" t="str">
        <f>HYPERLINK("https://baanknet.com/view-property/281294/D0F86744A640B136303BDA2A05EE7E47C39EFAB08FBDEA921EB2C73FEA2BCC3C", "Open")</f>
        <v>Open</v>
      </c>
      <c r="J1912" t="s">
        <v>3803</v>
      </c>
      <c r="L1912">
        <v>4375000</v>
      </c>
      <c r="M1912">
        <v>437500</v>
      </c>
    </row>
    <row r="1913" spans="1:13" x14ac:dyDescent="0.25">
      <c r="A1913" t="s">
        <v>6567</v>
      </c>
      <c r="B1913" t="s">
        <v>6568</v>
      </c>
      <c r="C1913" t="s">
        <v>594</v>
      </c>
      <c r="D1913" t="s">
        <v>6565</v>
      </c>
      <c r="E1913" t="s">
        <v>596</v>
      </c>
      <c r="F1913" t="s">
        <v>574</v>
      </c>
      <c r="G1913" t="s">
        <v>6569</v>
      </c>
      <c r="H1913" t="str">
        <f>HYPERLINK("https://baanknet.com/view-property/281295/9F5EF623CD2D2A3B680E59AAEA1B02A450E1FA435FD69E83AAA36D8CEB65661B", "https://baanknet.com/view-property/281295/9F5EF623CD2D2A3B680E59AAEA1B02A450E1FA435FD69E83AAA36D8CEB65661B")</f>
        <v>https://baanknet.com/view-property/281295/9F5EF623CD2D2A3B680E59AAEA1B02A450E1FA435FD69E83AAA36D8CEB65661B</v>
      </c>
      <c r="I1913" t="str">
        <f>HYPERLINK("https://baanknet.com/view-property/281295/9F5EF623CD2D2A3B680E59AAEA1B02A450E1FA435FD69E83AAA36D8CEB65661B", "Open")</f>
        <v>Open</v>
      </c>
      <c r="J1913" t="s">
        <v>3803</v>
      </c>
      <c r="L1913">
        <v>18700000</v>
      </c>
      <c r="M1913">
        <v>1870000</v>
      </c>
    </row>
    <row r="1914" spans="1:13" x14ac:dyDescent="0.25">
      <c r="A1914" t="s">
        <v>6570</v>
      </c>
      <c r="B1914" t="s">
        <v>6571</v>
      </c>
      <c r="C1914" t="s">
        <v>594</v>
      </c>
      <c r="D1914" t="s">
        <v>3460</v>
      </c>
      <c r="E1914" t="s">
        <v>596</v>
      </c>
      <c r="F1914" t="s">
        <v>574</v>
      </c>
      <c r="G1914" t="s">
        <v>6572</v>
      </c>
      <c r="H1914" t="str">
        <f>HYPERLINK("https://baanknet.com/view-property/53351/74EA8BE82DE3FAD0396611E715EE7A505D4038426A312854AB6DD1A6597579D9", "https://baanknet.com/view-property/53351/74EA8BE82DE3FAD0396611E715EE7A505D4038426A312854AB6DD1A6597579D9")</f>
        <v>https://baanknet.com/view-property/53351/74EA8BE82DE3FAD0396611E715EE7A505D4038426A312854AB6DD1A6597579D9</v>
      </c>
      <c r="I1914" t="str">
        <f>HYPERLINK("https://baanknet.com/view-property/53351/74EA8BE82DE3FAD0396611E715EE7A505D4038426A312854AB6DD1A6597579D9", "Open")</f>
        <v>Open</v>
      </c>
      <c r="J1914" t="s">
        <v>3803</v>
      </c>
      <c r="L1914">
        <v>1126000</v>
      </c>
      <c r="M1914">
        <v>112600</v>
      </c>
    </row>
    <row r="1915" spans="1:13" x14ac:dyDescent="0.25">
      <c r="A1915" t="s">
        <v>6573</v>
      </c>
      <c r="B1915" t="s">
        <v>6574</v>
      </c>
      <c r="C1915" t="s">
        <v>594</v>
      </c>
      <c r="D1915" t="s">
        <v>3460</v>
      </c>
      <c r="E1915" t="s">
        <v>596</v>
      </c>
      <c r="F1915" t="s">
        <v>574</v>
      </c>
      <c r="G1915" t="s">
        <v>6575</v>
      </c>
      <c r="H1915" t="str">
        <f>HYPERLINK("https://baanknet.com/view-property/198401/9B178A4C5FCD3C6F1BEAC4091B170A3F1FA4E54EBEBDFBD07BECFEF0B47166EE", "https://baanknet.com/view-property/198401/9B178A4C5FCD3C6F1BEAC4091B170A3F1FA4E54EBEBDFBD07BECFEF0B47166EE")</f>
        <v>https://baanknet.com/view-property/198401/9B178A4C5FCD3C6F1BEAC4091B170A3F1FA4E54EBEBDFBD07BECFEF0B47166EE</v>
      </c>
      <c r="I1915" t="str">
        <f>HYPERLINK("https://baanknet.com/view-property/198401/9B178A4C5FCD3C6F1BEAC4091B170A3F1FA4E54EBEBDFBD07BECFEF0B47166EE", "Open")</f>
        <v>Open</v>
      </c>
      <c r="J1915" t="s">
        <v>3803</v>
      </c>
      <c r="L1915">
        <v>2445000</v>
      </c>
      <c r="M1915">
        <v>244500</v>
      </c>
    </row>
    <row r="1916" spans="1:13" x14ac:dyDescent="0.25">
      <c r="A1916" t="s">
        <v>6576</v>
      </c>
      <c r="B1916" t="s">
        <v>6577</v>
      </c>
      <c r="C1916" t="s">
        <v>594</v>
      </c>
      <c r="D1916" t="s">
        <v>1007</v>
      </c>
      <c r="E1916" t="s">
        <v>596</v>
      </c>
      <c r="F1916" t="s">
        <v>574</v>
      </c>
      <c r="G1916" t="s">
        <v>6578</v>
      </c>
      <c r="H1916" t="str">
        <f>HYPERLINK("https://baanknet.com/view-property/191212/D1828A4FB1FA6100F29951868F80A8B6918C2BE07328070A52F78FDF604329C4", "https://baanknet.com/view-property/191212/D1828A4FB1FA6100F29951868F80A8B6918C2BE07328070A52F78FDF604329C4")</f>
        <v>https://baanknet.com/view-property/191212/D1828A4FB1FA6100F29951868F80A8B6918C2BE07328070A52F78FDF604329C4</v>
      </c>
      <c r="I1916" t="str">
        <f>HYPERLINK("https://baanknet.com/view-property/191212/D1828A4FB1FA6100F29951868F80A8B6918C2BE07328070A52F78FDF604329C4", "Open")</f>
        <v>Open</v>
      </c>
      <c r="J1916" t="s">
        <v>3803</v>
      </c>
      <c r="L1916">
        <v>1530000</v>
      </c>
      <c r="M1916">
        <v>153000</v>
      </c>
    </row>
    <row r="1917" spans="1:13" x14ac:dyDescent="0.25">
      <c r="A1917" t="s">
        <v>6579</v>
      </c>
      <c r="B1917" t="s">
        <v>6580</v>
      </c>
      <c r="C1917" t="s">
        <v>594</v>
      </c>
      <c r="D1917" t="s">
        <v>1007</v>
      </c>
      <c r="E1917" t="s">
        <v>596</v>
      </c>
      <c r="F1917" t="s">
        <v>574</v>
      </c>
      <c r="G1917" t="s">
        <v>6581</v>
      </c>
      <c r="H1917" t="str">
        <f>HYPERLINK("https://baanknet.com/view-property/256827/B98ACFFF9A278A61EF53DDD03E121758C439B8E8E227A8A50DA0F57444438B51", "https://baanknet.com/view-property/256827/B98ACFFF9A278A61EF53DDD03E121758C439B8E8E227A8A50DA0F57444438B51")</f>
        <v>https://baanknet.com/view-property/256827/B98ACFFF9A278A61EF53DDD03E121758C439B8E8E227A8A50DA0F57444438B51</v>
      </c>
      <c r="I1917" t="str">
        <f>HYPERLINK("https://baanknet.com/view-property/256827/B98ACFFF9A278A61EF53DDD03E121758C439B8E8E227A8A50DA0F57444438B51", "Open")</f>
        <v>Open</v>
      </c>
      <c r="J1917" t="s">
        <v>3803</v>
      </c>
      <c r="L1917">
        <v>2259000</v>
      </c>
      <c r="M1917">
        <v>225900</v>
      </c>
    </row>
    <row r="1918" spans="1:13" x14ac:dyDescent="0.25">
      <c r="A1918" t="s">
        <v>6582</v>
      </c>
      <c r="B1918" t="s">
        <v>6583</v>
      </c>
      <c r="C1918" t="s">
        <v>594</v>
      </c>
      <c r="D1918" t="s">
        <v>1007</v>
      </c>
      <c r="E1918" t="s">
        <v>596</v>
      </c>
      <c r="F1918" t="s">
        <v>574</v>
      </c>
      <c r="G1918" t="s">
        <v>6584</v>
      </c>
      <c r="H1918" t="str">
        <f>HYPERLINK("https://baanknet.com/view-property/205829/F9880388934B98149F2F21E89C89A32D2FE5D93DE6B731BE6436EA94504F10F8", "https://baanknet.com/view-property/205829/F9880388934B98149F2F21E89C89A32D2FE5D93DE6B731BE6436EA94504F10F8")</f>
        <v>https://baanknet.com/view-property/205829/F9880388934B98149F2F21E89C89A32D2FE5D93DE6B731BE6436EA94504F10F8</v>
      </c>
      <c r="I1918" t="str">
        <f>HYPERLINK("https://baanknet.com/view-property/205829/F9880388934B98149F2F21E89C89A32D2FE5D93DE6B731BE6436EA94504F10F8", "Open")</f>
        <v>Open</v>
      </c>
      <c r="J1918" t="s">
        <v>3803</v>
      </c>
      <c r="L1918">
        <v>1134000</v>
      </c>
      <c r="M1918">
        <v>113400</v>
      </c>
    </row>
    <row r="1919" spans="1:13" x14ac:dyDescent="0.25">
      <c r="A1919" t="s">
        <v>6585</v>
      </c>
      <c r="B1919" t="s">
        <v>6586</v>
      </c>
      <c r="C1919" t="s">
        <v>594</v>
      </c>
      <c r="D1919" t="s">
        <v>1007</v>
      </c>
      <c r="E1919" t="s">
        <v>596</v>
      </c>
      <c r="F1919" t="s">
        <v>574</v>
      </c>
      <c r="G1919" t="s">
        <v>6587</v>
      </c>
      <c r="H1919" t="str">
        <f>HYPERLINK("https://baanknet.com/view-property/12428/12C6C02E6E79A482A81B92449D5CA6A3123EC2B2821BEB43316E275F7C6E7FC3", "https://baanknet.com/view-property/12428/12C6C02E6E79A482A81B92449D5CA6A3123EC2B2821BEB43316E275F7C6E7FC3")</f>
        <v>https://baanknet.com/view-property/12428/12C6C02E6E79A482A81B92449D5CA6A3123EC2B2821BEB43316E275F7C6E7FC3</v>
      </c>
      <c r="I1919" t="str">
        <f>HYPERLINK("https://baanknet.com/view-property/12428/12C6C02E6E79A482A81B92449D5CA6A3123EC2B2821BEB43316E275F7C6E7FC3", "Open")</f>
        <v>Open</v>
      </c>
      <c r="J1919" t="s">
        <v>3803</v>
      </c>
      <c r="L1919">
        <v>810000</v>
      </c>
      <c r="M1919">
        <v>81000</v>
      </c>
    </row>
    <row r="1920" spans="1:13" x14ac:dyDescent="0.25">
      <c r="A1920" t="s">
        <v>6588</v>
      </c>
      <c r="B1920" t="s">
        <v>6589</v>
      </c>
      <c r="C1920" t="s">
        <v>594</v>
      </c>
      <c r="D1920" t="s">
        <v>1007</v>
      </c>
      <c r="E1920" t="s">
        <v>596</v>
      </c>
      <c r="F1920" t="s">
        <v>574</v>
      </c>
      <c r="G1920" t="s">
        <v>6590</v>
      </c>
      <c r="H1920" t="str">
        <f>HYPERLINK("https://baanknet.com/view-property/269873/2809FD47443778DF6604F60739E51AA7FBA8B6E8272CA5AD5D62BFE54BCCA920", "https://baanknet.com/view-property/269873/2809FD47443778DF6604F60739E51AA7FBA8B6E8272CA5AD5D62BFE54BCCA920")</f>
        <v>https://baanknet.com/view-property/269873/2809FD47443778DF6604F60739E51AA7FBA8B6E8272CA5AD5D62BFE54BCCA920</v>
      </c>
      <c r="I1920" t="str">
        <f>HYPERLINK("https://baanknet.com/view-property/269873/2809FD47443778DF6604F60739E51AA7FBA8B6E8272CA5AD5D62BFE54BCCA920", "Open")</f>
        <v>Open</v>
      </c>
      <c r="J1920" t="s">
        <v>3803</v>
      </c>
      <c r="L1920">
        <v>1440000</v>
      </c>
      <c r="M1920">
        <v>144000</v>
      </c>
    </row>
    <row r="1921" spans="1:13" x14ac:dyDescent="0.25">
      <c r="A1921" t="s">
        <v>6591</v>
      </c>
      <c r="B1921" t="s">
        <v>6592</v>
      </c>
      <c r="C1921" t="s">
        <v>594</v>
      </c>
      <c r="D1921" t="s">
        <v>1007</v>
      </c>
      <c r="E1921" t="s">
        <v>596</v>
      </c>
      <c r="F1921" t="s">
        <v>574</v>
      </c>
      <c r="G1921" t="s">
        <v>6593</v>
      </c>
      <c r="H1921" t="str">
        <f>HYPERLINK("https://baanknet.com/view-property/269294/D298FD9D7ACBBCDC182881CEF69984DA7838B83437D1FBA0ABB440C0DACB4CD7", "https://baanknet.com/view-property/269294/D298FD9D7ACBBCDC182881CEF69984DA7838B83437D1FBA0ABB440C0DACB4CD7")</f>
        <v>https://baanknet.com/view-property/269294/D298FD9D7ACBBCDC182881CEF69984DA7838B83437D1FBA0ABB440C0DACB4CD7</v>
      </c>
      <c r="I1921" t="str">
        <f>HYPERLINK("https://baanknet.com/view-property/269294/D298FD9D7ACBBCDC182881CEF69984DA7838B83437D1FBA0ABB440C0DACB4CD7", "Open")</f>
        <v>Open</v>
      </c>
      <c r="J1921" t="s">
        <v>3803</v>
      </c>
      <c r="L1921">
        <v>1530000</v>
      </c>
      <c r="M1921">
        <v>153000</v>
      </c>
    </row>
    <row r="1922" spans="1:13" x14ac:dyDescent="0.25">
      <c r="A1922" t="s">
        <v>6594</v>
      </c>
      <c r="B1922" t="s">
        <v>6595</v>
      </c>
      <c r="C1922" t="s">
        <v>594</v>
      </c>
      <c r="D1922" t="s">
        <v>3460</v>
      </c>
      <c r="E1922" t="s">
        <v>596</v>
      </c>
      <c r="F1922" t="s">
        <v>574</v>
      </c>
      <c r="G1922" t="s">
        <v>6596</v>
      </c>
      <c r="H1922" t="str">
        <f>HYPERLINK("https://baanknet.com/view-property/272460/EE132B998CA778BCC8B934EAD56B1D4C7106F802D2DA459B2C4CD2BDBE093BAD", "https://baanknet.com/view-property/272460/EE132B998CA778BCC8B934EAD56B1D4C7106F802D2DA459B2C4CD2BDBE093BAD")</f>
        <v>https://baanknet.com/view-property/272460/EE132B998CA778BCC8B934EAD56B1D4C7106F802D2DA459B2C4CD2BDBE093BAD</v>
      </c>
      <c r="I1922" t="str">
        <f>HYPERLINK("https://baanknet.com/view-property/272460/EE132B998CA778BCC8B934EAD56B1D4C7106F802D2DA459B2C4CD2BDBE093BAD", "Open")</f>
        <v>Open</v>
      </c>
      <c r="J1922" t="s">
        <v>3803</v>
      </c>
      <c r="L1922">
        <v>1410000</v>
      </c>
      <c r="M1922">
        <v>141000</v>
      </c>
    </row>
    <row r="1923" spans="1:13" x14ac:dyDescent="0.25">
      <c r="A1923" t="s">
        <v>6597</v>
      </c>
      <c r="B1923" t="s">
        <v>6598</v>
      </c>
      <c r="C1923" t="s">
        <v>594</v>
      </c>
      <c r="D1923" t="s">
        <v>1007</v>
      </c>
      <c r="E1923" t="s">
        <v>596</v>
      </c>
      <c r="F1923" t="s">
        <v>574</v>
      </c>
      <c r="G1923" t="s">
        <v>6599</v>
      </c>
      <c r="H1923" t="str">
        <f>HYPERLINK("https://baanknet.com/view-property/256828/7BAD150F884C3C98703AADC230F91323BB9801721CEEDC384F5333EE0D4C9553", "https://baanknet.com/view-property/256828/7BAD150F884C3C98703AADC230F91323BB9801721CEEDC384F5333EE0D4C9553")</f>
        <v>https://baanknet.com/view-property/256828/7BAD150F884C3C98703AADC230F91323BB9801721CEEDC384F5333EE0D4C9553</v>
      </c>
      <c r="I1923" t="str">
        <f>HYPERLINK("https://baanknet.com/view-property/256828/7BAD150F884C3C98703AADC230F91323BB9801721CEEDC384F5333EE0D4C9553", "Open")</f>
        <v>Open</v>
      </c>
      <c r="J1923" t="s">
        <v>3803</v>
      </c>
      <c r="L1923">
        <v>3366000</v>
      </c>
      <c r="M1923">
        <v>336600</v>
      </c>
    </row>
    <row r="1924" spans="1:13" x14ac:dyDescent="0.25">
      <c r="A1924" t="s">
        <v>6600</v>
      </c>
      <c r="B1924" t="s">
        <v>6601</v>
      </c>
      <c r="C1924" t="s">
        <v>594</v>
      </c>
      <c r="D1924" t="s">
        <v>3460</v>
      </c>
      <c r="E1924" t="s">
        <v>596</v>
      </c>
      <c r="F1924" t="s">
        <v>574</v>
      </c>
      <c r="G1924" t="s">
        <v>6602</v>
      </c>
      <c r="H1924" t="str">
        <f>HYPERLINK("https://baanknet.com/view-property/272452/F381AAEBA69132669C5CFC2B9A78B6E3D38A98C3CEFC710846EAE40EF017C4BA", "https://baanknet.com/view-property/272452/F381AAEBA69132669C5CFC2B9A78B6E3D38A98C3CEFC710846EAE40EF017C4BA")</f>
        <v>https://baanknet.com/view-property/272452/F381AAEBA69132669C5CFC2B9A78B6E3D38A98C3CEFC710846EAE40EF017C4BA</v>
      </c>
      <c r="I1924" t="str">
        <f>HYPERLINK("https://baanknet.com/view-property/272452/F381AAEBA69132669C5CFC2B9A78B6E3D38A98C3CEFC710846EAE40EF017C4BA", "Open")</f>
        <v>Open</v>
      </c>
      <c r="J1924" t="s">
        <v>3803</v>
      </c>
      <c r="L1924">
        <v>2363000</v>
      </c>
      <c r="M1924">
        <v>236300</v>
      </c>
    </row>
    <row r="1925" spans="1:13" x14ac:dyDescent="0.25">
      <c r="A1925" t="s">
        <v>6603</v>
      </c>
      <c r="B1925" t="s">
        <v>6604</v>
      </c>
      <c r="C1925" t="s">
        <v>594</v>
      </c>
      <c r="D1925" t="s">
        <v>3460</v>
      </c>
      <c r="E1925" t="s">
        <v>596</v>
      </c>
      <c r="F1925" t="s">
        <v>574</v>
      </c>
      <c r="G1925" t="s">
        <v>6605</v>
      </c>
      <c r="H1925" t="str">
        <f>HYPERLINK("https://baanknet.com/view-property/69778/8C466AF31DB2A0543EE40059666F958F9C2AF3ACF6F2CB90DBEA785FB38B320E", "https://baanknet.com/view-property/69778/8C466AF31DB2A0543EE40059666F958F9C2AF3ACF6F2CB90DBEA785FB38B320E")</f>
        <v>https://baanknet.com/view-property/69778/8C466AF31DB2A0543EE40059666F958F9C2AF3ACF6F2CB90DBEA785FB38B320E</v>
      </c>
      <c r="I1925" t="str">
        <f>HYPERLINK("https://baanknet.com/view-property/69778/8C466AF31DB2A0543EE40059666F958F9C2AF3ACF6F2CB90DBEA785FB38B320E", "Open")</f>
        <v>Open</v>
      </c>
      <c r="J1925" t="s">
        <v>3803</v>
      </c>
      <c r="L1925">
        <v>2190000</v>
      </c>
      <c r="M1925">
        <v>219000</v>
      </c>
    </row>
    <row r="1926" spans="1:13" x14ac:dyDescent="0.25">
      <c r="A1926" t="s">
        <v>6606</v>
      </c>
      <c r="B1926" t="s">
        <v>6607</v>
      </c>
      <c r="C1926" t="s">
        <v>594</v>
      </c>
      <c r="D1926" t="s">
        <v>2052</v>
      </c>
      <c r="E1926" t="s">
        <v>596</v>
      </c>
      <c r="F1926" t="s">
        <v>574</v>
      </c>
      <c r="G1926" t="s">
        <v>6608</v>
      </c>
      <c r="H1926" t="str">
        <f>HYPERLINK("https://baanknet.com/view-property/287509/49C863A07FD4AFC89B00C47B66A25EDF4C6E59E1687A1124626380718E51B3F5", "https://baanknet.com/view-property/287509/49C863A07FD4AFC89B00C47B66A25EDF4C6E59E1687A1124626380718E51B3F5")</f>
        <v>https://baanknet.com/view-property/287509/49C863A07FD4AFC89B00C47B66A25EDF4C6E59E1687A1124626380718E51B3F5</v>
      </c>
      <c r="I1926" t="str">
        <f>HYPERLINK("https://baanknet.com/view-property/287509/49C863A07FD4AFC89B00C47B66A25EDF4C6E59E1687A1124626380718E51B3F5", "Open")</f>
        <v>Open</v>
      </c>
      <c r="J1926" t="s">
        <v>3803</v>
      </c>
      <c r="L1926">
        <v>5877000</v>
      </c>
      <c r="M1926">
        <v>587700</v>
      </c>
    </row>
    <row r="1927" spans="1:13" x14ac:dyDescent="0.25">
      <c r="A1927" t="s">
        <v>6609</v>
      </c>
      <c r="B1927" t="s">
        <v>6610</v>
      </c>
      <c r="C1927" t="s">
        <v>594</v>
      </c>
      <c r="D1927" t="s">
        <v>3460</v>
      </c>
      <c r="E1927" t="s">
        <v>596</v>
      </c>
      <c r="F1927" t="s">
        <v>574</v>
      </c>
      <c r="G1927" t="s">
        <v>6611</v>
      </c>
      <c r="H1927" t="str">
        <f>HYPERLINK("https://baanknet.com/view-property/84918/B2D50BC9E51E30CE5407E136C1A55A04895F3D7A4F39A9D728F4FA84765482FE", "https://baanknet.com/view-property/84918/B2D50BC9E51E30CE5407E136C1A55A04895F3D7A4F39A9D728F4FA84765482FE")</f>
        <v>https://baanknet.com/view-property/84918/B2D50BC9E51E30CE5407E136C1A55A04895F3D7A4F39A9D728F4FA84765482FE</v>
      </c>
      <c r="I1927" t="str">
        <f>HYPERLINK("https://baanknet.com/view-property/84918/B2D50BC9E51E30CE5407E136C1A55A04895F3D7A4F39A9D728F4FA84765482FE", "Open")</f>
        <v>Open</v>
      </c>
      <c r="J1927" t="s">
        <v>3803</v>
      </c>
      <c r="L1927">
        <v>2740000</v>
      </c>
      <c r="M1927">
        <v>274000</v>
      </c>
    </row>
    <row r="1928" spans="1:13" x14ac:dyDescent="0.25">
      <c r="A1928" t="s">
        <v>6612</v>
      </c>
      <c r="B1928" t="s">
        <v>6613</v>
      </c>
      <c r="C1928" t="s">
        <v>594</v>
      </c>
      <c r="D1928" t="s">
        <v>6614</v>
      </c>
      <c r="E1928" t="s">
        <v>596</v>
      </c>
      <c r="F1928" t="s">
        <v>574</v>
      </c>
      <c r="G1928" t="s">
        <v>6615</v>
      </c>
      <c r="H1928" t="str">
        <f>HYPERLINK("https://baanknet.com/view-property/273475/F0AE6D0C6B7A39494A0C480D3A3B00BA75139470E13AFA21E89FB16A2D8AC72B", "https://baanknet.com/view-property/273475/F0AE6D0C6B7A39494A0C480D3A3B00BA75139470E13AFA21E89FB16A2D8AC72B")</f>
        <v>https://baanknet.com/view-property/273475/F0AE6D0C6B7A39494A0C480D3A3B00BA75139470E13AFA21E89FB16A2D8AC72B</v>
      </c>
      <c r="I1928" t="str">
        <f>HYPERLINK("https://baanknet.com/view-property/273475/F0AE6D0C6B7A39494A0C480D3A3B00BA75139470E13AFA21E89FB16A2D8AC72B", "Open")</f>
        <v>Open</v>
      </c>
      <c r="J1928" t="s">
        <v>3803</v>
      </c>
      <c r="L1928">
        <v>3230000</v>
      </c>
      <c r="M1928">
        <v>323000</v>
      </c>
    </row>
    <row r="1929" spans="1:13" x14ac:dyDescent="0.25">
      <c r="A1929" t="s">
        <v>6616</v>
      </c>
      <c r="B1929" t="s">
        <v>6617</v>
      </c>
      <c r="C1929" t="s">
        <v>594</v>
      </c>
      <c r="D1929" t="s">
        <v>900</v>
      </c>
      <c r="E1929" t="s">
        <v>596</v>
      </c>
      <c r="F1929" t="s">
        <v>574</v>
      </c>
      <c r="G1929" t="s">
        <v>6618</v>
      </c>
      <c r="H1929" t="str">
        <f>HYPERLINK("https://baanknet.com/view-property/287500/8FD9C1174811E2D8CE2FB17B43471D73BCDF780DCAEE759E3AA800E498929AC2", "https://baanknet.com/view-property/287500/8FD9C1174811E2D8CE2FB17B43471D73BCDF780DCAEE759E3AA800E498929AC2")</f>
        <v>https://baanknet.com/view-property/287500/8FD9C1174811E2D8CE2FB17B43471D73BCDF780DCAEE759E3AA800E498929AC2</v>
      </c>
      <c r="I1929" t="str">
        <f>HYPERLINK("https://baanknet.com/view-property/287500/8FD9C1174811E2D8CE2FB17B43471D73BCDF780DCAEE759E3AA800E498929AC2", "Open")</f>
        <v>Open</v>
      </c>
      <c r="J1929" t="s">
        <v>3803</v>
      </c>
      <c r="L1929">
        <v>10508000</v>
      </c>
      <c r="M1929">
        <v>1050800</v>
      </c>
    </row>
    <row r="1930" spans="1:13" x14ac:dyDescent="0.25">
      <c r="A1930" t="s">
        <v>6619</v>
      </c>
      <c r="B1930" t="s">
        <v>6620</v>
      </c>
      <c r="C1930" t="s">
        <v>594</v>
      </c>
      <c r="D1930" t="s">
        <v>1007</v>
      </c>
      <c r="E1930" t="s">
        <v>596</v>
      </c>
      <c r="F1930" t="s">
        <v>574</v>
      </c>
      <c r="G1930" t="s">
        <v>6621</v>
      </c>
      <c r="H1930" t="str">
        <f>HYPERLINK("https://baanknet.com/view-property/119687/C5E57C37D8A83790FCADA051089D515BB1C697113029668DAADAFC5BA2E8C0AB", "https://baanknet.com/view-property/119687/C5E57C37D8A83790FCADA051089D515BB1C697113029668DAADAFC5BA2E8C0AB")</f>
        <v>https://baanknet.com/view-property/119687/C5E57C37D8A83790FCADA051089D515BB1C697113029668DAADAFC5BA2E8C0AB</v>
      </c>
      <c r="I1930" t="str">
        <f>HYPERLINK("https://baanknet.com/view-property/119687/C5E57C37D8A83790FCADA051089D515BB1C697113029668DAADAFC5BA2E8C0AB", "Open")</f>
        <v>Open</v>
      </c>
      <c r="J1930" t="s">
        <v>3803</v>
      </c>
      <c r="L1930">
        <v>630000</v>
      </c>
      <c r="M1930">
        <v>63000</v>
      </c>
    </row>
    <row r="1931" spans="1:13" x14ac:dyDescent="0.25">
      <c r="A1931" t="s">
        <v>6622</v>
      </c>
      <c r="B1931" t="s">
        <v>6623</v>
      </c>
      <c r="C1931" t="s">
        <v>594</v>
      </c>
      <c r="D1931" t="s">
        <v>900</v>
      </c>
      <c r="E1931" t="s">
        <v>596</v>
      </c>
      <c r="F1931" t="s">
        <v>574</v>
      </c>
      <c r="G1931" t="s">
        <v>6624</v>
      </c>
      <c r="H1931" t="str">
        <f>HYPERLINK("https://baanknet.com/view-property/279418/8005FEDA35D611C2EBB8620B487297F7C768914E30C95C7479ED35FBC3EAAA3C", "https://baanknet.com/view-property/279418/8005FEDA35D611C2EBB8620B487297F7C768914E30C95C7479ED35FBC3EAAA3C")</f>
        <v>https://baanknet.com/view-property/279418/8005FEDA35D611C2EBB8620B487297F7C768914E30C95C7479ED35FBC3EAAA3C</v>
      </c>
      <c r="I1931" t="str">
        <f>HYPERLINK("https://baanknet.com/view-property/279418/8005FEDA35D611C2EBB8620B487297F7C768914E30C95C7479ED35FBC3EAAA3C", "Open")</f>
        <v>Open</v>
      </c>
      <c r="J1931" t="s">
        <v>3803</v>
      </c>
      <c r="L1931">
        <v>1869000</v>
      </c>
      <c r="M1931">
        <v>186900</v>
      </c>
    </row>
    <row r="1932" spans="1:13" x14ac:dyDescent="0.25">
      <c r="A1932" t="s">
        <v>6625</v>
      </c>
      <c r="B1932" t="s">
        <v>6626</v>
      </c>
      <c r="C1932" t="s">
        <v>594</v>
      </c>
      <c r="D1932" t="s">
        <v>6627</v>
      </c>
      <c r="E1932" t="s">
        <v>596</v>
      </c>
      <c r="F1932" t="s">
        <v>574</v>
      </c>
      <c r="G1932" t="s">
        <v>6628</v>
      </c>
      <c r="H1932" t="str">
        <f>HYPERLINK("https://baanknet.com/view-property/281529/A6ED9CA9E33A426E877287D69F78D513ECD3AA70CB37B5B98E8AEB4D1A5A6FC9", "https://baanknet.com/view-property/281529/A6ED9CA9E33A426E877287D69F78D513ECD3AA70CB37B5B98E8AEB4D1A5A6FC9")</f>
        <v>https://baanknet.com/view-property/281529/A6ED9CA9E33A426E877287D69F78D513ECD3AA70CB37B5B98E8AEB4D1A5A6FC9</v>
      </c>
      <c r="I1932" t="str">
        <f>HYPERLINK("https://baanknet.com/view-property/281529/A6ED9CA9E33A426E877287D69F78D513ECD3AA70CB37B5B98E8AEB4D1A5A6FC9", "Open")</f>
        <v>Open</v>
      </c>
      <c r="J1932" t="s">
        <v>3803</v>
      </c>
      <c r="L1932">
        <v>3978000</v>
      </c>
      <c r="M1932">
        <v>397800</v>
      </c>
    </row>
    <row r="1933" spans="1:13" x14ac:dyDescent="0.25">
      <c r="A1933" t="s">
        <v>6629</v>
      </c>
      <c r="B1933" t="s">
        <v>6630</v>
      </c>
      <c r="C1933" t="s">
        <v>594</v>
      </c>
      <c r="D1933" t="s">
        <v>518</v>
      </c>
      <c r="E1933" t="s">
        <v>596</v>
      </c>
      <c r="F1933" t="s">
        <v>574</v>
      </c>
      <c r="G1933" t="s">
        <v>6631</v>
      </c>
      <c r="H1933" t="str">
        <f>HYPERLINK("https://baanknet.com/view-property/78687/6CC19D08918C4D519D4029DF62D8FA4D790DB41F6FCE25F9E5CECF2AB1B270A1", "https://baanknet.com/view-property/78687/6CC19D08918C4D519D4029DF62D8FA4D790DB41F6FCE25F9E5CECF2AB1B270A1")</f>
        <v>https://baanknet.com/view-property/78687/6CC19D08918C4D519D4029DF62D8FA4D790DB41F6FCE25F9E5CECF2AB1B270A1</v>
      </c>
      <c r="I1933" t="str">
        <f>HYPERLINK("https://baanknet.com/view-property/78687/6CC19D08918C4D519D4029DF62D8FA4D790DB41F6FCE25F9E5CECF2AB1B270A1", "Open")</f>
        <v>Open</v>
      </c>
      <c r="J1933" t="s">
        <v>3803</v>
      </c>
      <c r="L1933">
        <v>929000</v>
      </c>
      <c r="M1933">
        <v>92900</v>
      </c>
    </row>
    <row r="1934" spans="1:13" x14ac:dyDescent="0.25">
      <c r="A1934" t="s">
        <v>6632</v>
      </c>
      <c r="B1934" t="s">
        <v>6633</v>
      </c>
      <c r="C1934" t="s">
        <v>594</v>
      </c>
      <c r="D1934" t="s">
        <v>518</v>
      </c>
      <c r="E1934" t="s">
        <v>596</v>
      </c>
      <c r="F1934" t="s">
        <v>574</v>
      </c>
      <c r="G1934" t="s">
        <v>6634</v>
      </c>
      <c r="H1934" t="str">
        <f>HYPERLINK("https://baanknet.com/view-property/94624/EF853C7D2ABF9452FE3DB8DCA940EB38BF85235641AF6C9FF17918AA873538A9", "https://baanknet.com/view-property/94624/EF853C7D2ABF9452FE3DB8DCA940EB38BF85235641AF6C9FF17918AA873538A9")</f>
        <v>https://baanknet.com/view-property/94624/EF853C7D2ABF9452FE3DB8DCA940EB38BF85235641AF6C9FF17918AA873538A9</v>
      </c>
      <c r="I1934" t="str">
        <f>HYPERLINK("https://baanknet.com/view-property/94624/EF853C7D2ABF9452FE3DB8DCA940EB38BF85235641AF6C9FF17918AA873538A9", "Open")</f>
        <v>Open</v>
      </c>
      <c r="J1934" t="s">
        <v>3803</v>
      </c>
      <c r="L1934">
        <v>693000</v>
      </c>
      <c r="M1934">
        <v>69300</v>
      </c>
    </row>
    <row r="1935" spans="1:13" x14ac:dyDescent="0.25">
      <c r="A1935" t="s">
        <v>6635</v>
      </c>
      <c r="B1935" t="s">
        <v>6636</v>
      </c>
      <c r="C1935" t="s">
        <v>594</v>
      </c>
      <c r="D1935" t="s">
        <v>608</v>
      </c>
      <c r="E1935" t="s">
        <v>596</v>
      </c>
      <c r="F1935" t="s">
        <v>574</v>
      </c>
      <c r="G1935" t="s">
        <v>6637</v>
      </c>
      <c r="H1935" t="str">
        <f>HYPERLINK("https://baanknet.com/view-property/287198/DF774DC2AD433B5B700B689CF65A540B5FB8CD82F8A020EB20FA391059DA9E35", "https://baanknet.com/view-property/287198/DF774DC2AD433B5B700B689CF65A540B5FB8CD82F8A020EB20FA391059DA9E35")</f>
        <v>https://baanknet.com/view-property/287198/DF774DC2AD433B5B700B689CF65A540B5FB8CD82F8A020EB20FA391059DA9E35</v>
      </c>
      <c r="I1935" t="str">
        <f>HYPERLINK("https://baanknet.com/view-property/287198/DF774DC2AD433B5B700B689CF65A540B5FB8CD82F8A020EB20FA391059DA9E35", "Open")</f>
        <v>Open</v>
      </c>
      <c r="J1935" t="s">
        <v>3803</v>
      </c>
      <c r="L1935">
        <v>20400000</v>
      </c>
      <c r="M1935">
        <v>2040000</v>
      </c>
    </row>
    <row r="1936" spans="1:13" x14ac:dyDescent="0.25">
      <c r="A1936" t="s">
        <v>6638</v>
      </c>
      <c r="B1936" t="s">
        <v>6639</v>
      </c>
      <c r="C1936" t="s">
        <v>594</v>
      </c>
      <c r="D1936" t="s">
        <v>6640</v>
      </c>
      <c r="E1936" t="s">
        <v>596</v>
      </c>
      <c r="F1936" t="s">
        <v>574</v>
      </c>
      <c r="G1936" t="s">
        <v>6641</v>
      </c>
      <c r="H1936" t="str">
        <f>HYPERLINK("https://baanknet.com/view-property/270452/C5185E7965A0FA16C7276601C9DC215081B20D238BFD4873FE1636C65A5FF7B1", "https://baanknet.com/view-property/270452/C5185E7965A0FA16C7276601C9DC215081B20D238BFD4873FE1636C65A5FF7B1")</f>
        <v>https://baanknet.com/view-property/270452/C5185E7965A0FA16C7276601C9DC215081B20D238BFD4873FE1636C65A5FF7B1</v>
      </c>
      <c r="I1936" t="str">
        <f>HYPERLINK("https://baanknet.com/view-property/270452/C5185E7965A0FA16C7276601C9DC215081B20D238BFD4873FE1636C65A5FF7B1", "Open")</f>
        <v>Open</v>
      </c>
      <c r="J1936" t="s">
        <v>3803</v>
      </c>
      <c r="L1936">
        <v>418200</v>
      </c>
      <c r="M1936">
        <v>42000</v>
      </c>
    </row>
    <row r="1937" spans="1:13" x14ac:dyDescent="0.25">
      <c r="A1937" t="s">
        <v>6642</v>
      </c>
      <c r="B1937" t="s">
        <v>6643</v>
      </c>
      <c r="C1937" t="s">
        <v>594</v>
      </c>
      <c r="D1937" t="s">
        <v>6644</v>
      </c>
      <c r="E1937" t="s">
        <v>596</v>
      </c>
      <c r="F1937" t="s">
        <v>574</v>
      </c>
      <c r="G1937" t="s">
        <v>6645</v>
      </c>
      <c r="H1937" t="str">
        <f>HYPERLINK("https://baanknet.com/view-property/236895/F176825FF4CA3610A7F7B78B6915FB18C6712F1706B5B05B0DDF096CFA0397C2", "https://baanknet.com/view-property/236895/F176825FF4CA3610A7F7B78B6915FB18C6712F1706B5B05B0DDF096CFA0397C2")</f>
        <v>https://baanknet.com/view-property/236895/F176825FF4CA3610A7F7B78B6915FB18C6712F1706B5B05B0DDF096CFA0397C2</v>
      </c>
      <c r="I1937" t="str">
        <f>HYPERLINK("https://baanknet.com/view-property/236895/F176825FF4CA3610A7F7B78B6915FB18C6712F1706B5B05B0DDF096CFA0397C2", "Open")</f>
        <v>Open</v>
      </c>
      <c r="J1937" t="s">
        <v>3803</v>
      </c>
      <c r="L1937">
        <v>2754000</v>
      </c>
      <c r="M1937">
        <v>275400</v>
      </c>
    </row>
    <row r="1938" spans="1:13" x14ac:dyDescent="0.25">
      <c r="A1938" t="s">
        <v>6646</v>
      </c>
      <c r="B1938" t="s">
        <v>6647</v>
      </c>
      <c r="C1938" t="s">
        <v>594</v>
      </c>
      <c r="D1938" t="s">
        <v>6648</v>
      </c>
      <c r="E1938" t="s">
        <v>596</v>
      </c>
      <c r="F1938" t="s">
        <v>574</v>
      </c>
      <c r="G1938" t="s">
        <v>6649</v>
      </c>
      <c r="H1938" t="str">
        <f>HYPERLINK("https://baanknet.com/view-property/272990/AE94EEBE76E66933DA2D4C5C9620B4B7488CBD2E5FBF353CCC7276B15F88591B", "https://baanknet.com/view-property/272990/AE94EEBE76E66933DA2D4C5C9620B4B7488CBD2E5FBF353CCC7276B15F88591B")</f>
        <v>https://baanknet.com/view-property/272990/AE94EEBE76E66933DA2D4C5C9620B4B7488CBD2E5FBF353CCC7276B15F88591B</v>
      </c>
      <c r="I1938" t="str">
        <f>HYPERLINK("https://baanknet.com/view-property/272990/AE94EEBE76E66933DA2D4C5C9620B4B7488CBD2E5FBF353CCC7276B15F88591B", "Open")</f>
        <v>Open</v>
      </c>
      <c r="J1938" t="s">
        <v>3803</v>
      </c>
      <c r="L1938">
        <v>561000</v>
      </c>
      <c r="M1938">
        <v>56100</v>
      </c>
    </row>
    <row r="1939" spans="1:13" x14ac:dyDescent="0.25">
      <c r="A1939" t="s">
        <v>6650</v>
      </c>
      <c r="B1939" t="s">
        <v>6651</v>
      </c>
      <c r="C1939" t="s">
        <v>594</v>
      </c>
      <c r="D1939" t="s">
        <v>6644</v>
      </c>
      <c r="E1939" t="s">
        <v>596</v>
      </c>
      <c r="F1939" t="s">
        <v>574</v>
      </c>
      <c r="G1939" t="s">
        <v>6652</v>
      </c>
      <c r="H1939" t="str">
        <f>HYPERLINK("https://baanknet.com/view-property/236905/4B2F8F8BC811300AA0E75E9E4019F4CE1B2CF29CA8F938B7A4C230E7DDC96C57", "https://baanknet.com/view-property/236905/4B2F8F8BC811300AA0E75E9E4019F4CE1B2CF29CA8F938B7A4C230E7DDC96C57")</f>
        <v>https://baanknet.com/view-property/236905/4B2F8F8BC811300AA0E75E9E4019F4CE1B2CF29CA8F938B7A4C230E7DDC96C57</v>
      </c>
      <c r="I1939" t="str">
        <f>HYPERLINK("https://baanknet.com/view-property/236905/4B2F8F8BC811300AA0E75E9E4019F4CE1B2CF29CA8F938B7A4C230E7DDC96C57", "Open")</f>
        <v>Open</v>
      </c>
      <c r="J1939" t="s">
        <v>3803</v>
      </c>
      <c r="L1939">
        <v>1377000</v>
      </c>
      <c r="M1939">
        <v>137700</v>
      </c>
    </row>
    <row r="1940" spans="1:13" x14ac:dyDescent="0.25">
      <c r="A1940" t="s">
        <v>6653</v>
      </c>
      <c r="B1940" t="s">
        <v>6654</v>
      </c>
      <c r="C1940" t="s">
        <v>594</v>
      </c>
      <c r="D1940" t="s">
        <v>6655</v>
      </c>
      <c r="E1940" t="s">
        <v>596</v>
      </c>
      <c r="F1940" t="s">
        <v>574</v>
      </c>
      <c r="G1940" t="s">
        <v>6656</v>
      </c>
      <c r="H1940" t="str">
        <f>HYPERLINK("https://baanknet.com/view-property/286278/C8660F2C1A911569B232EA0B4BD0F53B7AAEDA666E71BB96DF3304BB5BCBB3BB", "https://baanknet.com/view-property/286278/C8660F2C1A911569B232EA0B4BD0F53B7AAEDA666E71BB96DF3304BB5BCBB3BB")</f>
        <v>https://baanknet.com/view-property/286278/C8660F2C1A911569B232EA0B4BD0F53B7AAEDA666E71BB96DF3304BB5BCBB3BB</v>
      </c>
      <c r="I1940" t="str">
        <f>HYPERLINK("https://baanknet.com/view-property/286278/C8660F2C1A911569B232EA0B4BD0F53B7AAEDA666E71BB96DF3304BB5BCBB3BB", "Open")</f>
        <v>Open</v>
      </c>
      <c r="J1940" t="s">
        <v>3803</v>
      </c>
      <c r="L1940">
        <v>1785000</v>
      </c>
      <c r="M1940">
        <v>178500</v>
      </c>
    </row>
    <row r="1941" spans="1:13" x14ac:dyDescent="0.25">
      <c r="A1941" t="s">
        <v>6657</v>
      </c>
      <c r="B1941" t="s">
        <v>6658</v>
      </c>
      <c r="C1941" t="s">
        <v>594</v>
      </c>
      <c r="D1941" t="s">
        <v>3830</v>
      </c>
      <c r="E1941" t="s">
        <v>596</v>
      </c>
      <c r="F1941" t="s">
        <v>574</v>
      </c>
      <c r="G1941" t="s">
        <v>6659</v>
      </c>
      <c r="H1941" t="str">
        <f>HYPERLINK("https://baanknet.com/view-property/249987/CAC054DACD335422BB38D7EB3D05E5E14A5F3B81C2996EAB82407E93F86044A7", "https://baanknet.com/view-property/249987/CAC054DACD335422BB38D7EB3D05E5E14A5F3B81C2996EAB82407E93F86044A7")</f>
        <v>https://baanknet.com/view-property/249987/CAC054DACD335422BB38D7EB3D05E5E14A5F3B81C2996EAB82407E93F86044A7</v>
      </c>
      <c r="I1941" t="str">
        <f>HYPERLINK("https://baanknet.com/view-property/249987/CAC054DACD335422BB38D7EB3D05E5E14A5F3B81C2996EAB82407E93F86044A7", "Open")</f>
        <v>Open</v>
      </c>
      <c r="J1941" t="s">
        <v>3803</v>
      </c>
      <c r="L1941">
        <v>732000</v>
      </c>
      <c r="M1941">
        <v>73200</v>
      </c>
    </row>
    <row r="1942" spans="1:13" x14ac:dyDescent="0.25">
      <c r="A1942" t="s">
        <v>6660</v>
      </c>
      <c r="B1942" t="s">
        <v>6661</v>
      </c>
      <c r="C1942" t="s">
        <v>594</v>
      </c>
      <c r="D1942" t="s">
        <v>4085</v>
      </c>
      <c r="E1942" t="s">
        <v>596</v>
      </c>
      <c r="F1942" t="s">
        <v>574</v>
      </c>
      <c r="G1942" t="s">
        <v>6662</v>
      </c>
      <c r="H1942" t="str">
        <f>HYPERLINK("https://baanknet.com/view-property/69638/BEAD6E40E66A4B0B1F5236B4F71B55D6ADFF0F1137F6B0EBA173D854E898F514", "https://baanknet.com/view-property/69638/BEAD6E40E66A4B0B1F5236B4F71B55D6ADFF0F1137F6B0EBA173D854E898F514")</f>
        <v>https://baanknet.com/view-property/69638/BEAD6E40E66A4B0B1F5236B4F71B55D6ADFF0F1137F6B0EBA173D854E898F514</v>
      </c>
      <c r="I1942" t="str">
        <f>HYPERLINK("https://baanknet.com/view-property/69638/BEAD6E40E66A4B0B1F5236B4F71B55D6ADFF0F1137F6B0EBA173D854E898F514", "Open")</f>
        <v>Open</v>
      </c>
      <c r="J1942" t="s">
        <v>3803</v>
      </c>
      <c r="L1942">
        <v>1318000</v>
      </c>
      <c r="M1942">
        <v>131800</v>
      </c>
    </row>
    <row r="1943" spans="1:13" x14ac:dyDescent="0.25">
      <c r="A1943" t="s">
        <v>6663</v>
      </c>
      <c r="B1943" t="s">
        <v>6664</v>
      </c>
      <c r="C1943" t="s">
        <v>594</v>
      </c>
      <c r="D1943" t="s">
        <v>4085</v>
      </c>
      <c r="E1943" t="s">
        <v>596</v>
      </c>
      <c r="F1943" t="s">
        <v>574</v>
      </c>
      <c r="G1943" t="s">
        <v>6665</v>
      </c>
      <c r="H1943" t="str">
        <f>HYPERLINK("https://baanknet.com/view-property/29326/F7DF1FE919F77757524AD89449766575B99C41E253DB30772FF5911ED58D3F3B", "https://baanknet.com/view-property/29326/F7DF1FE919F77757524AD89449766575B99C41E253DB30772FF5911ED58D3F3B")</f>
        <v>https://baanknet.com/view-property/29326/F7DF1FE919F77757524AD89449766575B99C41E253DB30772FF5911ED58D3F3B</v>
      </c>
      <c r="I1943" t="str">
        <f>HYPERLINK("https://baanknet.com/view-property/29326/F7DF1FE919F77757524AD89449766575B99C41E253DB30772FF5911ED58D3F3B", "Open")</f>
        <v>Open</v>
      </c>
      <c r="J1943" t="s">
        <v>3803</v>
      </c>
      <c r="L1943">
        <v>1302000</v>
      </c>
      <c r="M1943">
        <v>130200</v>
      </c>
    </row>
    <row r="1944" spans="1:13" x14ac:dyDescent="0.25">
      <c r="A1944" t="s">
        <v>6666</v>
      </c>
      <c r="B1944" t="s">
        <v>6667</v>
      </c>
      <c r="C1944" t="s">
        <v>594</v>
      </c>
      <c r="D1944" t="s">
        <v>4085</v>
      </c>
      <c r="E1944" t="s">
        <v>596</v>
      </c>
      <c r="F1944" t="s">
        <v>574</v>
      </c>
      <c r="G1944" t="s">
        <v>6668</v>
      </c>
      <c r="H1944" t="str">
        <f>HYPERLINK("https://baanknet.com/view-property/66102/123F9AA860A6C3A946523AE4A2668D5D6EAAECC8B7FBF535A62AB07600E3CE3B", "https://baanknet.com/view-property/66102/123F9AA860A6C3A946523AE4A2668D5D6EAAECC8B7FBF535A62AB07600E3CE3B")</f>
        <v>https://baanknet.com/view-property/66102/123F9AA860A6C3A946523AE4A2668D5D6EAAECC8B7FBF535A62AB07600E3CE3B</v>
      </c>
      <c r="I1944" t="str">
        <f>HYPERLINK("https://baanknet.com/view-property/66102/123F9AA860A6C3A946523AE4A2668D5D6EAAECC8B7FBF535A62AB07600E3CE3B", "Open")</f>
        <v>Open</v>
      </c>
      <c r="J1944" t="s">
        <v>3803</v>
      </c>
      <c r="L1944">
        <v>1342000</v>
      </c>
      <c r="M1944">
        <v>134200</v>
      </c>
    </row>
    <row r="1945" spans="1:13" x14ac:dyDescent="0.25">
      <c r="A1945" t="s">
        <v>6669</v>
      </c>
      <c r="B1945" t="s">
        <v>6670</v>
      </c>
      <c r="C1945" t="s">
        <v>594</v>
      </c>
      <c r="D1945" t="s">
        <v>4085</v>
      </c>
      <c r="E1945" t="s">
        <v>596</v>
      </c>
      <c r="F1945" t="s">
        <v>574</v>
      </c>
      <c r="G1945" t="s">
        <v>6671</v>
      </c>
      <c r="H1945" t="str">
        <f>HYPERLINK("https://baanknet.com/view-property/48474/7C61D5F98577A0A84E3AABBF2E0B37AE9A22EE72CF30CDB412137D710FE778E3", "https://baanknet.com/view-property/48474/7C61D5F98577A0A84E3AABBF2E0B37AE9A22EE72CF30CDB412137D710FE778E3")</f>
        <v>https://baanknet.com/view-property/48474/7C61D5F98577A0A84E3AABBF2E0B37AE9A22EE72CF30CDB412137D710FE778E3</v>
      </c>
      <c r="I1945" t="str">
        <f>HYPERLINK("https://baanknet.com/view-property/48474/7C61D5F98577A0A84E3AABBF2E0B37AE9A22EE72CF30CDB412137D710FE778E3", "Open")</f>
        <v>Open</v>
      </c>
      <c r="J1945" t="s">
        <v>3803</v>
      </c>
      <c r="L1945">
        <v>1302000</v>
      </c>
      <c r="M1945">
        <v>130200</v>
      </c>
    </row>
    <row r="1946" spans="1:13" x14ac:dyDescent="0.25">
      <c r="A1946" t="s">
        <v>6672</v>
      </c>
      <c r="B1946" t="s">
        <v>6673</v>
      </c>
      <c r="C1946" t="s">
        <v>594</v>
      </c>
      <c r="D1946" t="s">
        <v>4085</v>
      </c>
      <c r="E1946" t="s">
        <v>596</v>
      </c>
      <c r="F1946" t="s">
        <v>574</v>
      </c>
      <c r="G1946" t="s">
        <v>6674</v>
      </c>
      <c r="H1946" t="str">
        <f>HYPERLINK("https://baanknet.com/view-property/66207/FD3D62709BCFBD363824B2B2F18C0C1C6EFA295EC611CE8DA1527890DD10BCDB", "https://baanknet.com/view-property/66207/FD3D62709BCFBD363824B2B2F18C0C1C6EFA295EC611CE8DA1527890DD10BCDB")</f>
        <v>https://baanknet.com/view-property/66207/FD3D62709BCFBD363824B2B2F18C0C1C6EFA295EC611CE8DA1527890DD10BCDB</v>
      </c>
      <c r="I1946" t="str">
        <f>HYPERLINK("https://baanknet.com/view-property/66207/FD3D62709BCFBD363824B2B2F18C0C1C6EFA295EC611CE8DA1527890DD10BCDB", "Open")</f>
        <v>Open</v>
      </c>
      <c r="J1946" t="s">
        <v>3803</v>
      </c>
      <c r="L1946">
        <v>1318000</v>
      </c>
      <c r="M1946">
        <v>131800</v>
      </c>
    </row>
    <row r="1947" spans="1:13" x14ac:dyDescent="0.25">
      <c r="A1947" t="s">
        <v>6675</v>
      </c>
      <c r="B1947" t="s">
        <v>6676</v>
      </c>
      <c r="C1947" t="s">
        <v>594</v>
      </c>
      <c r="D1947" t="s">
        <v>6677</v>
      </c>
      <c r="E1947" t="s">
        <v>596</v>
      </c>
      <c r="F1947" t="s">
        <v>574</v>
      </c>
      <c r="G1947" t="s">
        <v>6678</v>
      </c>
      <c r="H1947" t="str">
        <f>HYPERLINK("https://baanknet.com/view-property/249634/E9B54B1E4169555F28ADA0965C967E1B9281460C255A0DC8DDD73DE56F2E65A0", "https://baanknet.com/view-property/249634/E9B54B1E4169555F28ADA0965C967E1B9281460C255A0DC8DDD73DE56F2E65A0")</f>
        <v>https://baanknet.com/view-property/249634/E9B54B1E4169555F28ADA0965C967E1B9281460C255A0DC8DDD73DE56F2E65A0</v>
      </c>
      <c r="I1947" t="str">
        <f>HYPERLINK("https://baanknet.com/view-property/249634/E9B54B1E4169555F28ADA0965C967E1B9281460C255A0DC8DDD73DE56F2E65A0", "Open")</f>
        <v>Open</v>
      </c>
      <c r="J1947" t="s">
        <v>3803</v>
      </c>
      <c r="L1947">
        <v>455800</v>
      </c>
      <c r="M1947">
        <v>45580</v>
      </c>
    </row>
    <row r="1948" spans="1:13" x14ac:dyDescent="0.25">
      <c r="A1948" t="s">
        <v>6679</v>
      </c>
      <c r="B1948" t="s">
        <v>6680</v>
      </c>
      <c r="C1948" t="s">
        <v>594</v>
      </c>
      <c r="D1948" t="s">
        <v>282</v>
      </c>
      <c r="E1948" t="s">
        <v>596</v>
      </c>
      <c r="F1948" t="s">
        <v>574</v>
      </c>
      <c r="G1948" t="s">
        <v>6681</v>
      </c>
      <c r="H1948" t="str">
        <f>HYPERLINK("https://baanknet.com/view-property/249631/5B599D447083C9A3637CF3DABA7FD99B30538268E326CFCFD699A672EBA12BFC", "https://baanknet.com/view-property/249631/5B599D447083C9A3637CF3DABA7FD99B30538268E326CFCFD699A672EBA12BFC")</f>
        <v>https://baanknet.com/view-property/249631/5B599D447083C9A3637CF3DABA7FD99B30538268E326CFCFD699A672EBA12BFC</v>
      </c>
      <c r="I1948" t="str">
        <f>HYPERLINK("https://baanknet.com/view-property/249631/5B599D447083C9A3637CF3DABA7FD99B30538268E326CFCFD699A672EBA12BFC", "Open")</f>
        <v>Open</v>
      </c>
      <c r="J1948" t="s">
        <v>3803</v>
      </c>
      <c r="L1948">
        <v>637500</v>
      </c>
      <c r="M1948">
        <v>63750</v>
      </c>
    </row>
    <row r="1949" spans="1:13" x14ac:dyDescent="0.25">
      <c r="A1949" t="s">
        <v>6682</v>
      </c>
      <c r="B1949" t="s">
        <v>6683</v>
      </c>
      <c r="C1949" t="s">
        <v>594</v>
      </c>
      <c r="D1949" t="s">
        <v>6684</v>
      </c>
      <c r="E1949" t="s">
        <v>596</v>
      </c>
      <c r="F1949" t="s">
        <v>574</v>
      </c>
      <c r="G1949" t="s">
        <v>6685</v>
      </c>
      <c r="H1949" t="str">
        <f>HYPERLINK("https://baanknet.com/view-property/265027/782222059E721E83A18E35B296298F2F4D6DF4F4158EB2686B6AD99EB1B5CC22", "https://baanknet.com/view-property/265027/782222059E721E83A18E35B296298F2F4D6DF4F4158EB2686B6AD99EB1B5CC22")</f>
        <v>https://baanknet.com/view-property/265027/782222059E721E83A18E35B296298F2F4D6DF4F4158EB2686B6AD99EB1B5CC22</v>
      </c>
      <c r="I1949" t="str">
        <f>HYPERLINK("https://baanknet.com/view-property/265027/782222059E721E83A18E35B296298F2F4D6DF4F4158EB2686B6AD99EB1B5CC22", "Open")</f>
        <v>Open</v>
      </c>
      <c r="J1949" t="s">
        <v>3803</v>
      </c>
      <c r="L1949">
        <v>2764530</v>
      </c>
      <c r="M1949">
        <v>276453</v>
      </c>
    </row>
    <row r="1950" spans="1:13" x14ac:dyDescent="0.25">
      <c r="A1950" t="s">
        <v>6686</v>
      </c>
      <c r="B1950" t="s">
        <v>6687</v>
      </c>
      <c r="C1950" t="s">
        <v>594</v>
      </c>
      <c r="D1950" t="s">
        <v>6688</v>
      </c>
      <c r="E1950" t="s">
        <v>596</v>
      </c>
      <c r="F1950" t="s">
        <v>574</v>
      </c>
      <c r="G1950" t="s">
        <v>6689</v>
      </c>
      <c r="H1950" t="str">
        <f>HYPERLINK("https://baanknet.com/view-property/285390/69BFA59B4DC59F0E7C52119C058ACF3590273B7A20D95041CA53907D353426BA", "https://baanknet.com/view-property/285390/69BFA59B4DC59F0E7C52119C058ACF3590273B7A20D95041CA53907D353426BA")</f>
        <v>https://baanknet.com/view-property/285390/69BFA59B4DC59F0E7C52119C058ACF3590273B7A20D95041CA53907D353426BA</v>
      </c>
      <c r="I1950" t="str">
        <f>HYPERLINK("https://baanknet.com/view-property/285390/69BFA59B4DC59F0E7C52119C058ACF3590273B7A20D95041CA53907D353426BA", "Open")</f>
        <v>Open</v>
      </c>
      <c r="J1950" t="s">
        <v>3803</v>
      </c>
      <c r="L1950">
        <v>2487600</v>
      </c>
      <c r="M1950">
        <v>248760</v>
      </c>
    </row>
    <row r="1951" spans="1:13" x14ac:dyDescent="0.25">
      <c r="A1951" t="s">
        <v>6690</v>
      </c>
      <c r="B1951" t="s">
        <v>6691</v>
      </c>
      <c r="C1951" t="s">
        <v>594</v>
      </c>
      <c r="D1951" t="s">
        <v>6684</v>
      </c>
      <c r="E1951" t="s">
        <v>596</v>
      </c>
      <c r="F1951" t="s">
        <v>574</v>
      </c>
      <c r="G1951" t="s">
        <v>6692</v>
      </c>
      <c r="H1951" t="str">
        <f>HYPERLINK("https://baanknet.com/view-property/276031/292A53728E8DB24280A8E443C997F350D6B732A6808BA48E81F1ADAAB608FC0F", "https://baanknet.com/view-property/276031/292A53728E8DB24280A8E443C997F350D6B732A6808BA48E81F1ADAAB608FC0F")</f>
        <v>https://baanknet.com/view-property/276031/292A53728E8DB24280A8E443C997F350D6B732A6808BA48E81F1ADAAB608FC0F</v>
      </c>
      <c r="I1951" t="str">
        <f>HYPERLINK("https://baanknet.com/view-property/276031/292A53728E8DB24280A8E443C997F350D6B732A6808BA48E81F1ADAAB608FC0F", "Open")</f>
        <v>Open</v>
      </c>
      <c r="J1951" t="s">
        <v>3803</v>
      </c>
      <c r="L1951">
        <v>3600000</v>
      </c>
      <c r="M1951">
        <v>360000</v>
      </c>
    </row>
    <row r="1952" spans="1:13" x14ac:dyDescent="0.25">
      <c r="A1952" t="s">
        <v>6693</v>
      </c>
      <c r="B1952" t="s">
        <v>6694</v>
      </c>
      <c r="C1952" t="s">
        <v>594</v>
      </c>
      <c r="D1952" t="s">
        <v>6695</v>
      </c>
      <c r="E1952" t="s">
        <v>596</v>
      </c>
      <c r="F1952" t="s">
        <v>574</v>
      </c>
      <c r="G1952" t="s">
        <v>6696</v>
      </c>
      <c r="H1952" t="str">
        <f>HYPERLINK("https://baanknet.com/view-property/202691/0C8CEB15F835954809D95E3FF3DDE7DE776595164A9179C193D46DFEDA783B20", "https://baanknet.com/view-property/202691/0C8CEB15F835954809D95E3FF3DDE7DE776595164A9179C193D46DFEDA783B20")</f>
        <v>https://baanknet.com/view-property/202691/0C8CEB15F835954809D95E3FF3DDE7DE776595164A9179C193D46DFEDA783B20</v>
      </c>
      <c r="I1952" t="str">
        <f>HYPERLINK("https://baanknet.com/view-property/202691/0C8CEB15F835954809D95E3FF3DDE7DE776595164A9179C193D46DFEDA783B20", "Open")</f>
        <v>Open</v>
      </c>
      <c r="J1952" t="s">
        <v>3803</v>
      </c>
      <c r="L1952">
        <v>1285000</v>
      </c>
      <c r="M1952">
        <v>128500</v>
      </c>
    </row>
    <row r="1953" spans="1:13" x14ac:dyDescent="0.25">
      <c r="A1953" t="s">
        <v>6697</v>
      </c>
      <c r="B1953" t="s">
        <v>6698</v>
      </c>
      <c r="C1953" t="s">
        <v>594</v>
      </c>
      <c r="D1953" t="s">
        <v>6695</v>
      </c>
      <c r="E1953" t="s">
        <v>596</v>
      </c>
      <c r="F1953" t="s">
        <v>574</v>
      </c>
      <c r="G1953" t="s">
        <v>6699</v>
      </c>
      <c r="H1953" t="str">
        <f>HYPERLINK("https://baanknet.com/view-property/202702/219755D09B39B13B3C70B1D7D52DBC313396E1EACDCE1548C1399317035B1F37", "https://baanknet.com/view-property/202702/219755D09B39B13B3C70B1D7D52DBC313396E1EACDCE1548C1399317035B1F37")</f>
        <v>https://baanknet.com/view-property/202702/219755D09B39B13B3C70B1D7D52DBC313396E1EACDCE1548C1399317035B1F37</v>
      </c>
      <c r="I1953" t="str">
        <f>HYPERLINK("https://baanknet.com/view-property/202702/219755D09B39B13B3C70B1D7D52DBC313396E1EACDCE1548C1399317035B1F37", "Open")</f>
        <v>Open</v>
      </c>
      <c r="J1953" t="s">
        <v>3803</v>
      </c>
      <c r="L1953">
        <v>2615000</v>
      </c>
      <c r="M1953">
        <v>261500</v>
      </c>
    </row>
    <row r="1954" spans="1:13" x14ac:dyDescent="0.25">
      <c r="A1954" t="s">
        <v>6700</v>
      </c>
      <c r="B1954" t="s">
        <v>6701</v>
      </c>
      <c r="C1954" t="s">
        <v>594</v>
      </c>
      <c r="D1954" t="s">
        <v>6695</v>
      </c>
      <c r="E1954" t="s">
        <v>596</v>
      </c>
      <c r="F1954" t="s">
        <v>574</v>
      </c>
      <c r="G1954" t="s">
        <v>6702</v>
      </c>
      <c r="H1954" t="str">
        <f>HYPERLINK("https://baanknet.com/view-property/202705/1278B94E80390B06C9B3CE8C34B41EB825379C8379EEF3470AAFBEE85A0DDCF1", "https://baanknet.com/view-property/202705/1278B94E80390B06C9B3CE8C34B41EB825379C8379EEF3470AAFBEE85A0DDCF1")</f>
        <v>https://baanknet.com/view-property/202705/1278B94E80390B06C9B3CE8C34B41EB825379C8379EEF3470AAFBEE85A0DDCF1</v>
      </c>
      <c r="I1954" t="str">
        <f>HYPERLINK("https://baanknet.com/view-property/202705/1278B94E80390B06C9B3CE8C34B41EB825379C8379EEF3470AAFBEE85A0DDCF1", "Open")</f>
        <v>Open</v>
      </c>
      <c r="J1954" t="s">
        <v>3803</v>
      </c>
      <c r="L1954">
        <v>1140000</v>
      </c>
      <c r="M1954">
        <v>114000</v>
      </c>
    </row>
    <row r="1955" spans="1:13" x14ac:dyDescent="0.25">
      <c r="A1955" t="s">
        <v>6703</v>
      </c>
      <c r="B1955" t="s">
        <v>6704</v>
      </c>
      <c r="C1955" t="s">
        <v>594</v>
      </c>
      <c r="D1955" t="s">
        <v>1823</v>
      </c>
      <c r="E1955" t="s">
        <v>596</v>
      </c>
      <c r="F1955" t="s">
        <v>574</v>
      </c>
      <c r="G1955" t="s">
        <v>6705</v>
      </c>
      <c r="H1955" t="str">
        <f>HYPERLINK("https://baanknet.com/view-property/285285/6DDC2A08B676D3633AC8BB099219F41FF966D784A5EC0DA7553FD7C9A1E13158", "https://baanknet.com/view-property/285285/6DDC2A08B676D3633AC8BB099219F41FF966D784A5EC0DA7553FD7C9A1E13158")</f>
        <v>https://baanknet.com/view-property/285285/6DDC2A08B676D3633AC8BB099219F41FF966D784A5EC0DA7553FD7C9A1E13158</v>
      </c>
      <c r="I1955" t="str">
        <f>HYPERLINK("https://baanknet.com/view-property/285285/6DDC2A08B676D3633AC8BB099219F41FF966D784A5EC0DA7553FD7C9A1E13158", "Open")</f>
        <v>Open</v>
      </c>
      <c r="J1955" t="s">
        <v>3803</v>
      </c>
      <c r="L1955">
        <v>2600000</v>
      </c>
      <c r="M1955">
        <v>260000</v>
      </c>
    </row>
    <row r="1956" spans="1:13" x14ac:dyDescent="0.25">
      <c r="A1956" t="s">
        <v>6706</v>
      </c>
      <c r="B1956" t="s">
        <v>6707</v>
      </c>
      <c r="C1956" t="s">
        <v>594</v>
      </c>
      <c r="D1956" t="s">
        <v>1712</v>
      </c>
      <c r="E1956" t="s">
        <v>596</v>
      </c>
      <c r="F1956" t="s">
        <v>574</v>
      </c>
      <c r="G1956" t="s">
        <v>6708</v>
      </c>
      <c r="H1956" t="str">
        <f>HYPERLINK("https://baanknet.com/view-property/96199/F1FBA2EB1E1EA3BE6A74402502F27534C8FE5F8C449E9D42C5871B2ADF0D123C", "https://baanknet.com/view-property/96199/F1FBA2EB1E1EA3BE6A74402502F27534C8FE5F8C449E9D42C5871B2ADF0D123C")</f>
        <v>https://baanknet.com/view-property/96199/F1FBA2EB1E1EA3BE6A74402502F27534C8FE5F8C449E9D42C5871B2ADF0D123C</v>
      </c>
      <c r="I1956" t="str">
        <f>HYPERLINK("https://baanknet.com/view-property/96199/F1FBA2EB1E1EA3BE6A74402502F27534C8FE5F8C449E9D42C5871B2ADF0D123C", "Open")</f>
        <v>Open</v>
      </c>
      <c r="J1956" t="s">
        <v>3803</v>
      </c>
      <c r="L1956">
        <v>3200000</v>
      </c>
      <c r="M1956">
        <v>320000</v>
      </c>
    </row>
    <row r="1957" spans="1:13" x14ac:dyDescent="0.25">
      <c r="A1957" t="s">
        <v>6709</v>
      </c>
      <c r="B1957" t="s">
        <v>6710</v>
      </c>
      <c r="C1957" t="s">
        <v>594</v>
      </c>
      <c r="D1957" t="s">
        <v>6711</v>
      </c>
      <c r="E1957" t="s">
        <v>596</v>
      </c>
      <c r="F1957" t="s">
        <v>574</v>
      </c>
      <c r="G1957" t="s">
        <v>6712</v>
      </c>
      <c r="H1957" t="str">
        <f>HYPERLINK("https://baanknet.com/view-property/272513/FBD8D9CA1FFD4E20FE6E6CD6DD668F31D0973C94105EB96073510DC602BE3AD0", "https://baanknet.com/view-property/272513/FBD8D9CA1FFD4E20FE6E6CD6DD668F31D0973C94105EB96073510DC602BE3AD0")</f>
        <v>https://baanknet.com/view-property/272513/FBD8D9CA1FFD4E20FE6E6CD6DD668F31D0973C94105EB96073510DC602BE3AD0</v>
      </c>
      <c r="I1957" t="str">
        <f>HYPERLINK("https://baanknet.com/view-property/272513/FBD8D9CA1FFD4E20FE6E6CD6DD668F31D0973C94105EB96073510DC602BE3AD0", "Open")</f>
        <v>Open</v>
      </c>
      <c r="J1957" t="s">
        <v>3803</v>
      </c>
      <c r="L1957">
        <v>5800000</v>
      </c>
      <c r="M1957">
        <v>580000</v>
      </c>
    </row>
    <row r="1958" spans="1:13" x14ac:dyDescent="0.25">
      <c r="A1958" t="s">
        <v>6713</v>
      </c>
      <c r="B1958" t="s">
        <v>6714</v>
      </c>
      <c r="C1958" t="s">
        <v>594</v>
      </c>
      <c r="D1958" t="s">
        <v>157</v>
      </c>
      <c r="E1958" t="s">
        <v>596</v>
      </c>
      <c r="F1958" t="s">
        <v>574</v>
      </c>
      <c r="G1958" t="s">
        <v>6715</v>
      </c>
      <c r="H1958" t="str">
        <f>HYPERLINK("https://baanknet.com/view-property/276308/47459F969A0024F6E07471AD546E72C40C10C5C7DAC733500BA322AE1F44327B", "https://baanknet.com/view-property/276308/47459F969A0024F6E07471AD546E72C40C10C5C7DAC733500BA322AE1F44327B")</f>
        <v>https://baanknet.com/view-property/276308/47459F969A0024F6E07471AD546E72C40C10C5C7DAC733500BA322AE1F44327B</v>
      </c>
      <c r="I1958" t="str">
        <f>HYPERLINK("https://baanknet.com/view-property/276308/47459F969A0024F6E07471AD546E72C40C10C5C7DAC733500BA322AE1F44327B", "Open")</f>
        <v>Open</v>
      </c>
      <c r="J1958" t="s">
        <v>3803</v>
      </c>
      <c r="L1958">
        <v>5600000</v>
      </c>
      <c r="M1958">
        <v>560000</v>
      </c>
    </row>
    <row r="1959" spans="1:13" x14ac:dyDescent="0.25">
      <c r="A1959" t="s">
        <v>6716</v>
      </c>
      <c r="B1959" t="s">
        <v>6717</v>
      </c>
      <c r="C1959" t="s">
        <v>594</v>
      </c>
      <c r="D1959" t="s">
        <v>6718</v>
      </c>
      <c r="E1959" t="s">
        <v>596</v>
      </c>
      <c r="F1959" t="s">
        <v>574</v>
      </c>
      <c r="G1959" t="s">
        <v>6719</v>
      </c>
      <c r="H1959" t="str">
        <f>HYPERLINK("https://baanknet.com/view-property/287748/877EA40E979D6F832AA7C0193B1677BBFF4EFD7E5E911C699E54F6E6F8DFC1DD", "https://baanknet.com/view-property/287748/877EA40E979D6F832AA7C0193B1677BBFF4EFD7E5E911C699E54F6E6F8DFC1DD")</f>
        <v>https://baanknet.com/view-property/287748/877EA40E979D6F832AA7C0193B1677BBFF4EFD7E5E911C699E54F6E6F8DFC1DD</v>
      </c>
      <c r="I1959" t="str">
        <f>HYPERLINK("https://baanknet.com/view-property/287748/877EA40E979D6F832AA7C0193B1677BBFF4EFD7E5E911C699E54F6E6F8DFC1DD", "Open")</f>
        <v>Open</v>
      </c>
      <c r="J1959" t="s">
        <v>3803</v>
      </c>
      <c r="L1959">
        <v>3985000</v>
      </c>
      <c r="M1959">
        <v>398500</v>
      </c>
    </row>
    <row r="1960" spans="1:13" x14ac:dyDescent="0.25">
      <c r="A1960" t="s">
        <v>6720</v>
      </c>
      <c r="B1960" t="s">
        <v>6721</v>
      </c>
      <c r="C1960" t="s">
        <v>594</v>
      </c>
      <c r="D1960" t="s">
        <v>157</v>
      </c>
      <c r="E1960" t="s">
        <v>596</v>
      </c>
      <c r="F1960" t="s">
        <v>574</v>
      </c>
      <c r="G1960" t="s">
        <v>6722</v>
      </c>
      <c r="H1960" t="str">
        <f>HYPERLINK("https://baanknet.com/view-property/252456/73CA911A8FB278510EF6DF9A6AEDF28FD690B49666D686A0288A8BCD0369FFD7", "https://baanknet.com/view-property/252456/73CA911A8FB278510EF6DF9A6AEDF28FD690B49666D686A0288A8BCD0369FFD7")</f>
        <v>https://baanknet.com/view-property/252456/73CA911A8FB278510EF6DF9A6AEDF28FD690B49666D686A0288A8BCD0369FFD7</v>
      </c>
      <c r="I1960" t="str">
        <f>HYPERLINK("https://baanknet.com/view-property/252456/73CA911A8FB278510EF6DF9A6AEDF28FD690B49666D686A0288A8BCD0369FFD7", "Open")</f>
        <v>Open</v>
      </c>
      <c r="J1960" t="s">
        <v>3803</v>
      </c>
      <c r="L1960">
        <v>5760000</v>
      </c>
      <c r="M1960">
        <v>576000</v>
      </c>
    </row>
    <row r="1961" spans="1:13" x14ac:dyDescent="0.25">
      <c r="A1961" t="s">
        <v>6723</v>
      </c>
      <c r="B1961" t="s">
        <v>6724</v>
      </c>
      <c r="C1961" t="s">
        <v>594</v>
      </c>
      <c r="D1961" t="s">
        <v>282</v>
      </c>
      <c r="E1961" t="s">
        <v>596</v>
      </c>
      <c r="F1961" t="s">
        <v>574</v>
      </c>
      <c r="G1961" t="s">
        <v>6725</v>
      </c>
      <c r="H1961" t="str">
        <f>HYPERLINK("https://baanknet.com/view-property/33816/1FFBA35308C283BAC1B60053B58DB834A82EA9A09A68CA4B31C039E6FDFE794F", "https://baanknet.com/view-property/33816/1FFBA35308C283BAC1B60053B58DB834A82EA9A09A68CA4B31C039E6FDFE794F")</f>
        <v>https://baanknet.com/view-property/33816/1FFBA35308C283BAC1B60053B58DB834A82EA9A09A68CA4B31C039E6FDFE794F</v>
      </c>
      <c r="I1961" t="str">
        <f>HYPERLINK("https://baanknet.com/view-property/33816/1FFBA35308C283BAC1B60053B58DB834A82EA9A09A68CA4B31C039E6FDFE794F", "Open")</f>
        <v>Open</v>
      </c>
      <c r="J1961" t="s">
        <v>3803</v>
      </c>
      <c r="L1961">
        <v>943000</v>
      </c>
      <c r="M1961">
        <v>94300</v>
      </c>
    </row>
    <row r="1962" spans="1:13" x14ac:dyDescent="0.25">
      <c r="A1962" t="s">
        <v>6726</v>
      </c>
      <c r="B1962" t="s">
        <v>6727</v>
      </c>
      <c r="C1962" t="s">
        <v>594</v>
      </c>
      <c r="D1962" t="s">
        <v>157</v>
      </c>
      <c r="E1962" t="s">
        <v>596</v>
      </c>
      <c r="F1962" t="s">
        <v>574</v>
      </c>
      <c r="G1962" t="s">
        <v>6728</v>
      </c>
      <c r="H1962" t="str">
        <f>HYPERLINK("https://baanknet.com/view-property/18696/76B31B8FEC20A8F176EAD76832EA43560EF8DA4D78C460C0C9C22086857A721C", "https://baanknet.com/view-property/18696/76B31B8FEC20A8F176EAD76832EA43560EF8DA4D78C460C0C9C22086857A721C")</f>
        <v>https://baanknet.com/view-property/18696/76B31B8FEC20A8F176EAD76832EA43560EF8DA4D78C460C0C9C22086857A721C</v>
      </c>
      <c r="I1962" t="str">
        <f>HYPERLINK("https://baanknet.com/view-property/18696/76B31B8FEC20A8F176EAD76832EA43560EF8DA4D78C460C0C9C22086857A721C", "Open")</f>
        <v>Open</v>
      </c>
      <c r="J1962" t="s">
        <v>3803</v>
      </c>
      <c r="L1962">
        <v>5200000</v>
      </c>
      <c r="M1962">
        <v>520000</v>
      </c>
    </row>
    <row r="1963" spans="1:13" x14ac:dyDescent="0.25">
      <c r="A1963" t="s">
        <v>6729</v>
      </c>
      <c r="B1963" t="s">
        <v>6730</v>
      </c>
      <c r="C1963" t="s">
        <v>594</v>
      </c>
      <c r="D1963" t="s">
        <v>2117</v>
      </c>
      <c r="E1963" t="s">
        <v>596</v>
      </c>
      <c r="F1963" t="s">
        <v>574</v>
      </c>
      <c r="G1963" t="s">
        <v>6731</v>
      </c>
      <c r="H1963" t="str">
        <f>HYPERLINK("https://baanknet.com/view-property/191724/91D498511B3B4F064D29C24ADDC82EC1AB5267D7798BAA1E155E22DEF1FF043F", "https://baanknet.com/view-property/191724/91D498511B3B4F064D29C24ADDC82EC1AB5267D7798BAA1E155E22DEF1FF043F")</f>
        <v>https://baanknet.com/view-property/191724/91D498511B3B4F064D29C24ADDC82EC1AB5267D7798BAA1E155E22DEF1FF043F</v>
      </c>
      <c r="I1963" t="str">
        <f>HYPERLINK("https://baanknet.com/view-property/191724/91D498511B3B4F064D29C24ADDC82EC1AB5267D7798BAA1E155E22DEF1FF043F", "Open")</f>
        <v>Open</v>
      </c>
      <c r="J1963" t="s">
        <v>3803</v>
      </c>
      <c r="L1963">
        <v>3200000</v>
      </c>
      <c r="M1963">
        <v>320000</v>
      </c>
    </row>
    <row r="1964" spans="1:13" x14ac:dyDescent="0.25">
      <c r="A1964" t="s">
        <v>6732</v>
      </c>
      <c r="B1964" t="s">
        <v>6733</v>
      </c>
      <c r="C1964" t="s">
        <v>594</v>
      </c>
      <c r="D1964" t="s">
        <v>2117</v>
      </c>
      <c r="E1964" t="s">
        <v>596</v>
      </c>
      <c r="F1964" t="s">
        <v>574</v>
      </c>
      <c r="G1964" t="s">
        <v>6734</v>
      </c>
      <c r="H1964" t="str">
        <f>HYPERLINK("https://baanknet.com/view-property/191726/8D3EDB0931BC374C6FD7ADB9121655A9CA877094A8B2395163534818A765E1DA", "https://baanknet.com/view-property/191726/8D3EDB0931BC374C6FD7ADB9121655A9CA877094A8B2395163534818A765E1DA")</f>
        <v>https://baanknet.com/view-property/191726/8D3EDB0931BC374C6FD7ADB9121655A9CA877094A8B2395163534818A765E1DA</v>
      </c>
      <c r="I1964" t="str">
        <f>HYPERLINK("https://baanknet.com/view-property/191726/8D3EDB0931BC374C6FD7ADB9121655A9CA877094A8B2395163534818A765E1DA", "Open")</f>
        <v>Open</v>
      </c>
      <c r="J1964" t="s">
        <v>3803</v>
      </c>
      <c r="L1964">
        <v>2250000</v>
      </c>
      <c r="M1964">
        <v>225000</v>
      </c>
    </row>
    <row r="1965" spans="1:13" x14ac:dyDescent="0.25">
      <c r="A1965" t="s">
        <v>6735</v>
      </c>
      <c r="B1965" t="s">
        <v>6736</v>
      </c>
      <c r="C1965" t="s">
        <v>594</v>
      </c>
      <c r="D1965" t="s">
        <v>157</v>
      </c>
      <c r="E1965" t="s">
        <v>596</v>
      </c>
      <c r="F1965" t="s">
        <v>574</v>
      </c>
      <c r="G1965" t="s">
        <v>6737</v>
      </c>
      <c r="H1965" t="str">
        <f>HYPERLINK("https://baanknet.com/view-property/82673/20EA06DA18EF7CD95D0EA744F193624E3032FE754FD0A10E13871B629F29DC17", "https://baanknet.com/view-property/82673/20EA06DA18EF7CD95D0EA744F193624E3032FE754FD0A10E13871B629F29DC17")</f>
        <v>https://baanknet.com/view-property/82673/20EA06DA18EF7CD95D0EA744F193624E3032FE754FD0A10E13871B629F29DC17</v>
      </c>
      <c r="I1965" t="str">
        <f>HYPERLINK("https://baanknet.com/view-property/82673/20EA06DA18EF7CD95D0EA744F193624E3032FE754FD0A10E13871B629F29DC17", "Open")</f>
        <v>Open</v>
      </c>
      <c r="J1965" t="s">
        <v>3803</v>
      </c>
      <c r="L1965">
        <v>2025000</v>
      </c>
      <c r="M1965">
        <v>202500</v>
      </c>
    </row>
    <row r="1966" spans="1:13" x14ac:dyDescent="0.25">
      <c r="A1966" t="s">
        <v>6738</v>
      </c>
      <c r="B1966" t="s">
        <v>6739</v>
      </c>
      <c r="C1966" t="s">
        <v>594</v>
      </c>
      <c r="D1966" t="s">
        <v>157</v>
      </c>
      <c r="E1966" t="s">
        <v>596</v>
      </c>
      <c r="F1966" t="s">
        <v>574</v>
      </c>
      <c r="G1966" t="s">
        <v>6740</v>
      </c>
      <c r="H1966" t="str">
        <f>HYPERLINK("https://baanknet.com/view-property/272514/3A8A317C904ACE8072ED545CCECEFC98349E1D647FDBA3F43099918585D0D092", "https://baanknet.com/view-property/272514/3A8A317C904ACE8072ED545CCECEFC98349E1D647FDBA3F43099918585D0D092")</f>
        <v>https://baanknet.com/view-property/272514/3A8A317C904ACE8072ED545CCECEFC98349E1D647FDBA3F43099918585D0D092</v>
      </c>
      <c r="I1966" t="str">
        <f>HYPERLINK("https://baanknet.com/view-property/272514/3A8A317C904ACE8072ED545CCECEFC98349E1D647FDBA3F43099918585D0D092", "Open")</f>
        <v>Open</v>
      </c>
      <c r="J1966" t="s">
        <v>3803</v>
      </c>
      <c r="L1966">
        <v>1911000</v>
      </c>
      <c r="M1966">
        <v>191100</v>
      </c>
    </row>
    <row r="1967" spans="1:13" x14ac:dyDescent="0.25">
      <c r="A1967" t="s">
        <v>6741</v>
      </c>
      <c r="B1967" t="s">
        <v>6742</v>
      </c>
      <c r="C1967" t="s">
        <v>594</v>
      </c>
      <c r="D1967" t="s">
        <v>102</v>
      </c>
      <c r="E1967" t="s">
        <v>596</v>
      </c>
      <c r="F1967" t="s">
        <v>574</v>
      </c>
      <c r="G1967" t="s">
        <v>6743</v>
      </c>
      <c r="H1967" t="str">
        <f>HYPERLINK("https://baanknet.com/view-property/287762/2B6ACB3D118A232652013B008E08D9485C44C13BD4C9049961EF4B7BA0000078", "https://baanknet.com/view-property/287762/2B6ACB3D118A232652013B008E08D9485C44C13BD4C9049961EF4B7BA0000078")</f>
        <v>https://baanknet.com/view-property/287762/2B6ACB3D118A232652013B008E08D9485C44C13BD4C9049961EF4B7BA0000078</v>
      </c>
      <c r="I1967" t="str">
        <f>HYPERLINK("https://baanknet.com/view-property/287762/2B6ACB3D118A232652013B008E08D9485C44C13BD4C9049961EF4B7BA0000078", "Open")</f>
        <v>Open</v>
      </c>
      <c r="J1967" t="s">
        <v>3803</v>
      </c>
      <c r="L1967">
        <v>3856500</v>
      </c>
      <c r="M1967">
        <v>385650</v>
      </c>
    </row>
    <row r="1968" spans="1:13" x14ac:dyDescent="0.25">
      <c r="A1968" t="s">
        <v>6744</v>
      </c>
      <c r="B1968" t="s">
        <v>6745</v>
      </c>
      <c r="C1968" t="s">
        <v>594</v>
      </c>
      <c r="D1968" t="s">
        <v>1909</v>
      </c>
      <c r="E1968" t="s">
        <v>596</v>
      </c>
      <c r="F1968" t="s">
        <v>574</v>
      </c>
      <c r="G1968" t="s">
        <v>6746</v>
      </c>
      <c r="H1968" t="str">
        <f>HYPERLINK("https://baanknet.com/view-property/208008/219FEB64E4D6F6223E9F836931001BE61C492FA7100652440F2DF2F01BC765D2", "https://baanknet.com/view-property/208008/219FEB64E4D6F6223E9F836931001BE61C492FA7100652440F2DF2F01BC765D2")</f>
        <v>https://baanknet.com/view-property/208008/219FEB64E4D6F6223E9F836931001BE61C492FA7100652440F2DF2F01BC765D2</v>
      </c>
      <c r="I1968" t="str">
        <f>HYPERLINK("https://baanknet.com/view-property/208008/219FEB64E4D6F6223E9F836931001BE61C492FA7100652440F2DF2F01BC765D2", "Open")</f>
        <v>Open</v>
      </c>
      <c r="J1968" t="s">
        <v>3803</v>
      </c>
      <c r="L1968">
        <v>1805000</v>
      </c>
      <c r="M1968">
        <v>180500</v>
      </c>
    </row>
    <row r="1969" spans="1:13" x14ac:dyDescent="0.25">
      <c r="A1969" t="s">
        <v>6747</v>
      </c>
      <c r="B1969" t="s">
        <v>6748</v>
      </c>
      <c r="C1969" t="s">
        <v>594</v>
      </c>
      <c r="D1969" t="s">
        <v>157</v>
      </c>
      <c r="E1969" t="s">
        <v>596</v>
      </c>
      <c r="F1969" t="s">
        <v>574</v>
      </c>
      <c r="G1969" t="s">
        <v>6749</v>
      </c>
      <c r="H1969" t="str">
        <f>HYPERLINK("https://baanknet.com/view-property/111912/C3AD20ABAA0E168AF2D33B6E875C86F054F3C2B9AC4948513987C9C371DDB82C", "https://baanknet.com/view-property/111912/C3AD20ABAA0E168AF2D33B6E875C86F054F3C2B9AC4948513987C9C371DDB82C")</f>
        <v>https://baanknet.com/view-property/111912/C3AD20ABAA0E168AF2D33B6E875C86F054F3C2B9AC4948513987C9C371DDB82C</v>
      </c>
      <c r="I1969" t="str">
        <f>HYPERLINK("https://baanknet.com/view-property/111912/C3AD20ABAA0E168AF2D33B6E875C86F054F3C2B9AC4948513987C9C371DDB82C", "Open")</f>
        <v>Open</v>
      </c>
      <c r="J1969" t="s">
        <v>3803</v>
      </c>
      <c r="L1969">
        <v>2600000</v>
      </c>
      <c r="M1969">
        <v>260000</v>
      </c>
    </row>
    <row r="1970" spans="1:13" x14ac:dyDescent="0.25">
      <c r="A1970" t="s">
        <v>6750</v>
      </c>
      <c r="B1970" t="s">
        <v>6751</v>
      </c>
      <c r="C1970" t="s">
        <v>594</v>
      </c>
      <c r="D1970" t="s">
        <v>3453</v>
      </c>
      <c r="E1970" t="s">
        <v>596</v>
      </c>
      <c r="F1970" t="s">
        <v>574</v>
      </c>
      <c r="G1970" t="s">
        <v>6752</v>
      </c>
      <c r="H1970" t="str">
        <f>HYPERLINK("https://baanknet.com/view-property/59977/AACBC5C4C7BFE01C0480413FB34A5C134DC67672539C1F596905173D27E91A1C", "https://baanknet.com/view-property/59977/AACBC5C4C7BFE01C0480413FB34A5C134DC67672539C1F596905173D27E91A1C")</f>
        <v>https://baanknet.com/view-property/59977/AACBC5C4C7BFE01C0480413FB34A5C134DC67672539C1F596905173D27E91A1C</v>
      </c>
      <c r="I1970" t="str">
        <f>HYPERLINK("https://baanknet.com/view-property/59977/AACBC5C4C7BFE01C0480413FB34A5C134DC67672539C1F596905173D27E91A1C", "Open")</f>
        <v>Open</v>
      </c>
      <c r="J1970" t="s">
        <v>3803</v>
      </c>
      <c r="L1970">
        <v>2523000</v>
      </c>
      <c r="M1970">
        <v>252300</v>
      </c>
    </row>
    <row r="1971" spans="1:13" x14ac:dyDescent="0.25">
      <c r="A1971" t="s">
        <v>6753</v>
      </c>
      <c r="B1971" t="s">
        <v>6754</v>
      </c>
      <c r="C1971" t="s">
        <v>594</v>
      </c>
      <c r="D1971" t="s">
        <v>2658</v>
      </c>
      <c r="E1971" t="s">
        <v>596</v>
      </c>
      <c r="F1971" t="s">
        <v>574</v>
      </c>
      <c r="G1971" t="s">
        <v>6755</v>
      </c>
      <c r="H1971" t="str">
        <f>HYPERLINK("https://baanknet.com/view-property/251436/AECE40CE3D84B4C128460618D5D5B126D9717CC8105049024D86A79D0EB7C968", "https://baanknet.com/view-property/251436/AECE40CE3D84B4C128460618D5D5B126D9717CC8105049024D86A79D0EB7C968")</f>
        <v>https://baanknet.com/view-property/251436/AECE40CE3D84B4C128460618D5D5B126D9717CC8105049024D86A79D0EB7C968</v>
      </c>
      <c r="I1971" t="str">
        <f>HYPERLINK("https://baanknet.com/view-property/251436/AECE40CE3D84B4C128460618D5D5B126D9717CC8105049024D86A79D0EB7C968", "Open")</f>
        <v>Open</v>
      </c>
      <c r="J1971" t="s">
        <v>3803</v>
      </c>
      <c r="L1971">
        <v>2200000</v>
      </c>
      <c r="M1971">
        <v>220000</v>
      </c>
    </row>
    <row r="1972" spans="1:13" x14ac:dyDescent="0.25">
      <c r="A1972" t="s">
        <v>6756</v>
      </c>
      <c r="B1972" t="s">
        <v>6757</v>
      </c>
      <c r="C1972" t="s">
        <v>594</v>
      </c>
      <c r="D1972" t="s">
        <v>2658</v>
      </c>
      <c r="E1972" t="s">
        <v>596</v>
      </c>
      <c r="F1972" t="s">
        <v>574</v>
      </c>
      <c r="G1972" t="s">
        <v>6758</v>
      </c>
      <c r="H1972" t="str">
        <f>HYPERLINK("https://baanknet.com/view-property/251438/54F36C9AB5AAED5CC4412B5C594502413833D869EA04416FA900F8923EEC9A4E", "https://baanknet.com/view-property/251438/54F36C9AB5AAED5CC4412B5C594502413833D869EA04416FA900F8923EEC9A4E")</f>
        <v>https://baanknet.com/view-property/251438/54F36C9AB5AAED5CC4412B5C594502413833D869EA04416FA900F8923EEC9A4E</v>
      </c>
      <c r="I1972" t="str">
        <f>HYPERLINK("https://baanknet.com/view-property/251438/54F36C9AB5AAED5CC4412B5C594502413833D869EA04416FA900F8923EEC9A4E", "Open")</f>
        <v>Open</v>
      </c>
      <c r="J1972" t="s">
        <v>3803</v>
      </c>
      <c r="L1972">
        <v>1100000</v>
      </c>
      <c r="M1972">
        <v>110000</v>
      </c>
    </row>
    <row r="1973" spans="1:13" x14ac:dyDescent="0.25">
      <c r="A1973" t="s">
        <v>6759</v>
      </c>
      <c r="B1973" t="s">
        <v>6760</v>
      </c>
      <c r="C1973" t="s">
        <v>594</v>
      </c>
      <c r="D1973" t="s">
        <v>2658</v>
      </c>
      <c r="E1973" t="s">
        <v>596</v>
      </c>
      <c r="F1973" t="s">
        <v>574</v>
      </c>
      <c r="G1973" t="s">
        <v>6761</v>
      </c>
      <c r="H1973" t="str">
        <f>HYPERLINK("https://baanknet.com/view-property/251439/F7B506505871418FFE384B83EC1DFD48157A3148F627EF3F17DD7D11CCA6D733", "https://baanknet.com/view-property/251439/F7B506505871418FFE384B83EC1DFD48157A3148F627EF3F17DD7D11CCA6D733")</f>
        <v>https://baanknet.com/view-property/251439/F7B506505871418FFE384B83EC1DFD48157A3148F627EF3F17DD7D11CCA6D733</v>
      </c>
      <c r="I1973" t="str">
        <f>HYPERLINK("https://baanknet.com/view-property/251439/F7B506505871418FFE384B83EC1DFD48157A3148F627EF3F17DD7D11CCA6D733", "Open")</f>
        <v>Open</v>
      </c>
      <c r="J1973" t="s">
        <v>3803</v>
      </c>
      <c r="L1973">
        <v>1600000</v>
      </c>
      <c r="M1973">
        <v>160000</v>
      </c>
    </row>
    <row r="1974" spans="1:13" x14ac:dyDescent="0.25">
      <c r="A1974" t="s">
        <v>6762</v>
      </c>
      <c r="B1974" t="s">
        <v>6763</v>
      </c>
      <c r="C1974" t="s">
        <v>594</v>
      </c>
      <c r="D1974" t="s">
        <v>2658</v>
      </c>
      <c r="E1974" t="s">
        <v>596</v>
      </c>
      <c r="F1974" t="s">
        <v>574</v>
      </c>
      <c r="G1974" t="s">
        <v>6764</v>
      </c>
      <c r="H1974" t="str">
        <f>HYPERLINK("https://baanknet.com/view-property/253261/31DB770E87DB680BA363FC557C986CC45C794CF59789497F58057334F6F21753", "https://baanknet.com/view-property/253261/31DB770E87DB680BA363FC557C986CC45C794CF59789497F58057334F6F21753")</f>
        <v>https://baanknet.com/view-property/253261/31DB770E87DB680BA363FC557C986CC45C794CF59789497F58057334F6F21753</v>
      </c>
      <c r="I1974" t="str">
        <f>HYPERLINK("https://baanknet.com/view-property/253261/31DB770E87DB680BA363FC557C986CC45C794CF59789497F58057334F6F21753", "Open")</f>
        <v>Open</v>
      </c>
      <c r="J1974" t="s">
        <v>3803</v>
      </c>
      <c r="L1974">
        <v>18050000</v>
      </c>
      <c r="M1974">
        <v>1805000</v>
      </c>
    </row>
    <row r="1975" spans="1:13" x14ac:dyDescent="0.25">
      <c r="A1975" t="s">
        <v>6765</v>
      </c>
      <c r="B1975" t="s">
        <v>6766</v>
      </c>
      <c r="C1975" t="s">
        <v>594</v>
      </c>
      <c r="D1975" t="s">
        <v>2341</v>
      </c>
      <c r="E1975" t="s">
        <v>596</v>
      </c>
      <c r="F1975" t="s">
        <v>574</v>
      </c>
      <c r="G1975" t="s">
        <v>6767</v>
      </c>
      <c r="H1975" t="str">
        <f>HYPERLINK("https://baanknet.com/view-property/126095/8D51BA3B4615F26848EE2E59DC91C8782B37897FCE529DD57091C39E3A69DA51", "https://baanknet.com/view-property/126095/8D51BA3B4615F26848EE2E59DC91C8782B37897FCE529DD57091C39E3A69DA51")</f>
        <v>https://baanknet.com/view-property/126095/8D51BA3B4615F26848EE2E59DC91C8782B37897FCE529DD57091C39E3A69DA51</v>
      </c>
      <c r="I1975" t="str">
        <f>HYPERLINK("https://baanknet.com/view-property/126095/8D51BA3B4615F26848EE2E59DC91C8782B37897FCE529DD57091C39E3A69DA51", "Open")</f>
        <v>Open</v>
      </c>
      <c r="J1975" t="s">
        <v>3803</v>
      </c>
      <c r="L1975">
        <v>3921000</v>
      </c>
      <c r="M1975">
        <v>392100</v>
      </c>
    </row>
    <row r="1976" spans="1:13" x14ac:dyDescent="0.25">
      <c r="A1976" t="s">
        <v>6768</v>
      </c>
      <c r="B1976" t="s">
        <v>6769</v>
      </c>
      <c r="C1976" t="s">
        <v>594</v>
      </c>
      <c r="D1976" t="s">
        <v>157</v>
      </c>
      <c r="E1976" t="s">
        <v>596</v>
      </c>
      <c r="F1976" t="s">
        <v>574</v>
      </c>
      <c r="G1976" t="s">
        <v>6770</v>
      </c>
      <c r="H1976" t="str">
        <f>HYPERLINK("https://baanknet.com/view-property/69455/A43D58A8CBEAC1B18E81FBC4C08385566F3C62ABB8487607AAA2E5F96E9394A6", "https://baanknet.com/view-property/69455/A43D58A8CBEAC1B18E81FBC4C08385566F3C62ABB8487607AAA2E5F96E9394A6")</f>
        <v>https://baanknet.com/view-property/69455/A43D58A8CBEAC1B18E81FBC4C08385566F3C62ABB8487607AAA2E5F96E9394A6</v>
      </c>
      <c r="I1976" t="str">
        <f>HYPERLINK("https://baanknet.com/view-property/69455/A43D58A8CBEAC1B18E81FBC4C08385566F3C62ABB8487607AAA2E5F96E9394A6", "Open")</f>
        <v>Open</v>
      </c>
      <c r="J1976" t="s">
        <v>3803</v>
      </c>
      <c r="L1976">
        <v>2512000</v>
      </c>
      <c r="M1976">
        <v>251200</v>
      </c>
    </row>
    <row r="1977" spans="1:13" x14ac:dyDescent="0.25">
      <c r="A1977" t="s">
        <v>6771</v>
      </c>
      <c r="B1977" t="s">
        <v>6772</v>
      </c>
      <c r="C1977" t="s">
        <v>594</v>
      </c>
      <c r="D1977" t="s">
        <v>6773</v>
      </c>
      <c r="E1977" t="s">
        <v>596</v>
      </c>
      <c r="F1977" t="s">
        <v>574</v>
      </c>
      <c r="G1977" t="s">
        <v>6774</v>
      </c>
      <c r="H1977" t="str">
        <f>HYPERLINK("https://baanknet.com/view-property/7652/B7EE2AA84342CA4B5E64BD8AC7B9AD023EA9C75A07C93AE02B237788AA370C1A", "https://baanknet.com/view-property/7652/B7EE2AA84342CA4B5E64BD8AC7B9AD023EA9C75A07C93AE02B237788AA370C1A")</f>
        <v>https://baanknet.com/view-property/7652/B7EE2AA84342CA4B5E64BD8AC7B9AD023EA9C75A07C93AE02B237788AA370C1A</v>
      </c>
      <c r="I1977" t="str">
        <f>HYPERLINK("https://baanknet.com/view-property/7652/B7EE2AA84342CA4B5E64BD8AC7B9AD023EA9C75A07C93AE02B237788AA370C1A", "Open")</f>
        <v>Open</v>
      </c>
      <c r="J1977" t="s">
        <v>3803</v>
      </c>
      <c r="L1977">
        <v>3160000</v>
      </c>
      <c r="M1977">
        <v>316000</v>
      </c>
    </row>
    <row r="1978" spans="1:13" x14ac:dyDescent="0.25">
      <c r="A1978" t="s">
        <v>6775</v>
      </c>
      <c r="B1978" t="s">
        <v>6776</v>
      </c>
      <c r="C1978" t="s">
        <v>594</v>
      </c>
      <c r="D1978" t="s">
        <v>553</v>
      </c>
      <c r="E1978" t="s">
        <v>596</v>
      </c>
      <c r="F1978" t="s">
        <v>574</v>
      </c>
      <c r="G1978" t="s">
        <v>6777</v>
      </c>
      <c r="H1978" t="str">
        <f>HYPERLINK("https://baanknet.com/view-property/279374/92EEE79A6EE667BB48FB70ABCDAAC254603FA099D4F17B5D26E747AF7F6A3E73", "https://baanknet.com/view-property/279374/92EEE79A6EE667BB48FB70ABCDAAC254603FA099D4F17B5D26E747AF7F6A3E73")</f>
        <v>https://baanknet.com/view-property/279374/92EEE79A6EE667BB48FB70ABCDAAC254603FA099D4F17B5D26E747AF7F6A3E73</v>
      </c>
      <c r="I1978" t="str">
        <f>HYPERLINK("https://baanknet.com/view-property/279374/92EEE79A6EE667BB48FB70ABCDAAC254603FA099D4F17B5D26E747AF7F6A3E73", "Open")</f>
        <v>Open</v>
      </c>
      <c r="J1978" t="s">
        <v>3803</v>
      </c>
      <c r="L1978">
        <v>4212600</v>
      </c>
      <c r="M1978">
        <v>421126</v>
      </c>
    </row>
    <row r="1979" spans="1:13" x14ac:dyDescent="0.25">
      <c r="A1979" t="s">
        <v>6778</v>
      </c>
      <c r="B1979" t="s">
        <v>6779</v>
      </c>
      <c r="C1979" t="s">
        <v>594</v>
      </c>
      <c r="D1979" t="s">
        <v>553</v>
      </c>
      <c r="E1979" t="s">
        <v>596</v>
      </c>
      <c r="F1979" t="s">
        <v>574</v>
      </c>
      <c r="G1979" t="s">
        <v>6780</v>
      </c>
      <c r="H1979" t="str">
        <f>HYPERLINK("https://baanknet.com/view-property/279369/13D08B172C4A1EFA7422011A0B744AF4C1A5C0B415679A2FE6226097473EE2D7", "https://baanknet.com/view-property/279369/13D08B172C4A1EFA7422011A0B744AF4C1A5C0B415679A2FE6226097473EE2D7")</f>
        <v>https://baanknet.com/view-property/279369/13D08B172C4A1EFA7422011A0B744AF4C1A5C0B415679A2FE6226097473EE2D7</v>
      </c>
      <c r="I1979" t="str">
        <f>HYPERLINK("https://baanknet.com/view-property/279369/13D08B172C4A1EFA7422011A0B744AF4C1A5C0B415679A2FE6226097473EE2D7", "Open")</f>
        <v>Open</v>
      </c>
      <c r="J1979" t="s">
        <v>3803</v>
      </c>
      <c r="L1979">
        <v>2817000</v>
      </c>
      <c r="M1979">
        <v>281700</v>
      </c>
    </row>
    <row r="1980" spans="1:13" x14ac:dyDescent="0.25">
      <c r="A1980" t="s">
        <v>6781</v>
      </c>
      <c r="B1980" t="s">
        <v>6782</v>
      </c>
      <c r="C1980" t="s">
        <v>594</v>
      </c>
      <c r="D1980" t="s">
        <v>845</v>
      </c>
      <c r="E1980" t="s">
        <v>596</v>
      </c>
      <c r="F1980" t="s">
        <v>574</v>
      </c>
      <c r="G1980" t="s">
        <v>6783</v>
      </c>
      <c r="H1980" t="str">
        <f>HYPERLINK("https://baanknet.com/view-property/279359/3E87AA58D2E19C28E2CFBC077857ED845FEE838E5715060BDAAC2A6F311841B2", "https://baanknet.com/view-property/279359/3E87AA58D2E19C28E2CFBC077857ED845FEE838E5715060BDAAC2A6F311841B2")</f>
        <v>https://baanknet.com/view-property/279359/3E87AA58D2E19C28E2CFBC077857ED845FEE838E5715060BDAAC2A6F311841B2</v>
      </c>
      <c r="I1980" t="str">
        <f>HYPERLINK("https://baanknet.com/view-property/279359/3E87AA58D2E19C28E2CFBC077857ED845FEE838E5715060BDAAC2A6F311841B2", "Open")</f>
        <v>Open</v>
      </c>
      <c r="J1980" t="s">
        <v>3803</v>
      </c>
      <c r="L1980">
        <v>2380000</v>
      </c>
      <c r="M1980">
        <v>238000</v>
      </c>
    </row>
    <row r="1981" spans="1:13" x14ac:dyDescent="0.25">
      <c r="A1981" t="s">
        <v>6784</v>
      </c>
      <c r="B1981" t="s">
        <v>6785</v>
      </c>
      <c r="C1981" t="s">
        <v>594</v>
      </c>
      <c r="D1981" t="s">
        <v>710</v>
      </c>
      <c r="E1981" t="s">
        <v>596</v>
      </c>
      <c r="F1981" t="s">
        <v>574</v>
      </c>
      <c r="G1981" t="s">
        <v>6786</v>
      </c>
      <c r="H1981" t="str">
        <f>HYPERLINK("https://baanknet.com/view-property/279357/57E3B8C808679BF0D38A846D0DBF776E341519D2E4B2A6D74FE21D4D6DFC6D68", "https://baanknet.com/view-property/279357/57E3B8C808679BF0D38A846D0DBF776E341519D2E4B2A6D74FE21D4D6DFC6D68")</f>
        <v>https://baanknet.com/view-property/279357/57E3B8C808679BF0D38A846D0DBF776E341519D2E4B2A6D74FE21D4D6DFC6D68</v>
      </c>
      <c r="I1981" t="str">
        <f>HYPERLINK("https://baanknet.com/view-property/279357/57E3B8C808679BF0D38A846D0DBF776E341519D2E4B2A6D74FE21D4D6DFC6D68", "Open")</f>
        <v>Open</v>
      </c>
      <c r="J1981" t="s">
        <v>3803</v>
      </c>
      <c r="L1981">
        <v>2550000</v>
      </c>
      <c r="M1981">
        <v>255000</v>
      </c>
    </row>
    <row r="1982" spans="1:13" x14ac:dyDescent="0.25">
      <c r="A1982" t="s">
        <v>6787</v>
      </c>
      <c r="B1982" t="s">
        <v>6788</v>
      </c>
      <c r="C1982" t="s">
        <v>594</v>
      </c>
      <c r="D1982" t="s">
        <v>1310</v>
      </c>
      <c r="E1982" t="s">
        <v>596</v>
      </c>
      <c r="F1982" t="s">
        <v>574</v>
      </c>
      <c r="G1982" t="s">
        <v>6789</v>
      </c>
      <c r="H1982" t="str">
        <f>HYPERLINK("https://baanknet.com/view-property/279350/1669E659A18046A916B3214B463D0F8B67E6272572791E0C7809056D53FADD59", "https://baanknet.com/view-property/279350/1669E659A18046A916B3214B463D0F8B67E6272572791E0C7809056D53FADD59")</f>
        <v>https://baanknet.com/view-property/279350/1669E659A18046A916B3214B463D0F8B67E6272572791E0C7809056D53FADD59</v>
      </c>
      <c r="I1982" t="str">
        <f>HYPERLINK("https://baanknet.com/view-property/279350/1669E659A18046A916B3214B463D0F8B67E6272572791E0C7809056D53FADD59", "Open")</f>
        <v>Open</v>
      </c>
      <c r="J1982" t="s">
        <v>3803</v>
      </c>
      <c r="L1982">
        <v>21000000</v>
      </c>
      <c r="M1982">
        <v>2100000</v>
      </c>
    </row>
    <row r="1983" spans="1:13" x14ac:dyDescent="0.25">
      <c r="A1983" t="s">
        <v>6790</v>
      </c>
      <c r="B1983" t="s">
        <v>6791</v>
      </c>
      <c r="C1983" t="s">
        <v>594</v>
      </c>
      <c r="D1983" t="s">
        <v>1300</v>
      </c>
      <c r="E1983" t="s">
        <v>596</v>
      </c>
      <c r="F1983" t="s">
        <v>574</v>
      </c>
      <c r="G1983" t="s">
        <v>6792</v>
      </c>
      <c r="H1983" t="str">
        <f>HYPERLINK("https://baanknet.com/view-property/263928/D4294F906007EEAA12B014780BF399A0C047B269DEF616FCA21D89CCED54A6A6", "https://baanknet.com/view-property/263928/D4294F906007EEAA12B014780BF399A0C047B269DEF616FCA21D89CCED54A6A6")</f>
        <v>https://baanknet.com/view-property/263928/D4294F906007EEAA12B014780BF399A0C047B269DEF616FCA21D89CCED54A6A6</v>
      </c>
      <c r="I1983" t="str">
        <f>HYPERLINK("https://baanknet.com/view-property/263928/D4294F906007EEAA12B014780BF399A0C047B269DEF616FCA21D89CCED54A6A6", "Open")</f>
        <v>Open</v>
      </c>
      <c r="J1983" t="s">
        <v>3803</v>
      </c>
      <c r="L1983">
        <v>4581585</v>
      </c>
      <c r="M1983">
        <v>458158.5</v>
      </c>
    </row>
    <row r="1984" spans="1:13" x14ac:dyDescent="0.25">
      <c r="A1984" t="s">
        <v>6793</v>
      </c>
      <c r="B1984" t="s">
        <v>6794</v>
      </c>
      <c r="C1984" t="s">
        <v>594</v>
      </c>
      <c r="D1984" t="s">
        <v>553</v>
      </c>
      <c r="E1984" t="s">
        <v>596</v>
      </c>
      <c r="F1984" t="s">
        <v>574</v>
      </c>
      <c r="G1984" t="s">
        <v>6795</v>
      </c>
      <c r="H1984" t="str">
        <f>HYPERLINK("https://baanknet.com/view-property/263926/840724EE829F2792FA348147E4B16F9488CAB303173570FEE8F394DA358A9228", "https://baanknet.com/view-property/263926/840724EE829F2792FA348147E4B16F9488CAB303173570FEE8F394DA358A9228")</f>
        <v>https://baanknet.com/view-property/263926/840724EE829F2792FA348147E4B16F9488CAB303173570FEE8F394DA358A9228</v>
      </c>
      <c r="I1984" t="str">
        <f>HYPERLINK("https://baanknet.com/view-property/263926/840724EE829F2792FA348147E4B16F9488CAB303173570FEE8F394DA358A9228", "Open")</f>
        <v>Open</v>
      </c>
      <c r="J1984" t="s">
        <v>3803</v>
      </c>
      <c r="L1984">
        <v>1394000</v>
      </c>
      <c r="M1984">
        <v>139400</v>
      </c>
    </row>
    <row r="1985" spans="1:13" x14ac:dyDescent="0.25">
      <c r="A1985" t="s">
        <v>6796</v>
      </c>
      <c r="B1985" t="s">
        <v>6797</v>
      </c>
      <c r="C1985" t="s">
        <v>594</v>
      </c>
      <c r="D1985" t="s">
        <v>1300</v>
      </c>
      <c r="E1985" t="s">
        <v>596</v>
      </c>
      <c r="F1985" t="s">
        <v>574</v>
      </c>
      <c r="G1985" t="s">
        <v>6798</v>
      </c>
      <c r="H1985" t="str">
        <f>HYPERLINK("https://baanknet.com/view-property/263919/E13DAB6E23DC36B3E5EB3CC4BB33ECF6558D647727D6BAA11F9508512A2F3D7E", "https://baanknet.com/view-property/263919/E13DAB6E23DC36B3E5EB3CC4BB33ECF6558D647727D6BAA11F9508512A2F3D7E")</f>
        <v>https://baanknet.com/view-property/263919/E13DAB6E23DC36B3E5EB3CC4BB33ECF6558D647727D6BAA11F9508512A2F3D7E</v>
      </c>
      <c r="I1985" t="str">
        <f>HYPERLINK("https://baanknet.com/view-property/263919/E13DAB6E23DC36B3E5EB3CC4BB33ECF6558D647727D6BAA11F9508512A2F3D7E", "Open")</f>
        <v>Open</v>
      </c>
      <c r="J1985" t="s">
        <v>3803</v>
      </c>
      <c r="L1985">
        <v>3744000</v>
      </c>
      <c r="M1985">
        <v>374400</v>
      </c>
    </row>
    <row r="1986" spans="1:13" x14ac:dyDescent="0.25">
      <c r="A1986" t="s">
        <v>6799</v>
      </c>
      <c r="B1986" t="s">
        <v>6800</v>
      </c>
      <c r="C1986" t="s">
        <v>594</v>
      </c>
      <c r="D1986" t="s">
        <v>1293</v>
      </c>
      <c r="E1986" t="s">
        <v>596</v>
      </c>
      <c r="F1986" t="s">
        <v>574</v>
      </c>
      <c r="G1986" t="s">
        <v>6801</v>
      </c>
      <c r="H1986" t="str">
        <f>HYPERLINK("https://baanknet.com/view-property/259527/CD588B7853FDB6E5515FFF0BFBC6C162D086928E474ECF1DA5E16B8649972E4E", "https://baanknet.com/view-property/259527/CD588B7853FDB6E5515FFF0BFBC6C162D086928E474ECF1DA5E16B8649972E4E")</f>
        <v>https://baanknet.com/view-property/259527/CD588B7853FDB6E5515FFF0BFBC6C162D086928E474ECF1DA5E16B8649972E4E</v>
      </c>
      <c r="I1986" t="str">
        <f>HYPERLINK("https://baanknet.com/view-property/259527/CD588B7853FDB6E5515FFF0BFBC6C162D086928E474ECF1DA5E16B8649972E4E", "Open")</f>
        <v>Open</v>
      </c>
      <c r="J1986" t="s">
        <v>3803</v>
      </c>
      <c r="L1986">
        <v>575000</v>
      </c>
      <c r="M1986">
        <v>57500</v>
      </c>
    </row>
    <row r="1987" spans="1:13" x14ac:dyDescent="0.25">
      <c r="A1987" t="s">
        <v>6802</v>
      </c>
      <c r="B1987" t="s">
        <v>6803</v>
      </c>
      <c r="C1987" t="s">
        <v>594</v>
      </c>
      <c r="D1987" t="s">
        <v>849</v>
      </c>
      <c r="E1987" t="s">
        <v>596</v>
      </c>
      <c r="F1987" t="s">
        <v>574</v>
      </c>
      <c r="G1987" t="s">
        <v>6804</v>
      </c>
      <c r="H1987" t="str">
        <f>HYPERLINK("https://baanknet.com/view-property/259525/A90C1868A5284A898B0990EB61AAB8CDE785DCAF45B0420972E74AB0C251FF6F", "https://baanknet.com/view-property/259525/A90C1868A5284A898B0990EB61AAB8CDE785DCAF45B0420972E74AB0C251FF6F")</f>
        <v>https://baanknet.com/view-property/259525/A90C1868A5284A898B0990EB61AAB8CDE785DCAF45B0420972E74AB0C251FF6F</v>
      </c>
      <c r="I1987" t="str">
        <f>HYPERLINK("https://baanknet.com/view-property/259525/A90C1868A5284A898B0990EB61AAB8CDE785DCAF45B0420972E74AB0C251FF6F", "Open")</f>
        <v>Open</v>
      </c>
      <c r="J1987" t="s">
        <v>3803</v>
      </c>
      <c r="L1987">
        <v>765000</v>
      </c>
      <c r="M1987">
        <v>76500</v>
      </c>
    </row>
    <row r="1988" spans="1:13" x14ac:dyDescent="0.25">
      <c r="A1988" t="s">
        <v>6805</v>
      </c>
      <c r="B1988" t="s">
        <v>6806</v>
      </c>
      <c r="C1988" t="s">
        <v>594</v>
      </c>
      <c r="D1988" t="s">
        <v>1300</v>
      </c>
      <c r="E1988" t="s">
        <v>596</v>
      </c>
      <c r="F1988" t="s">
        <v>574</v>
      </c>
      <c r="G1988" t="s">
        <v>6807</v>
      </c>
      <c r="H1988" t="str">
        <f>HYPERLINK("https://baanknet.com/view-property/254297/5C183A2367C56AAB538863F23C28BEC8B1CA2079F606CB014855355A36E50AFC", "https://baanknet.com/view-property/254297/5C183A2367C56AAB538863F23C28BEC8B1CA2079F606CB014855355A36E50AFC")</f>
        <v>https://baanknet.com/view-property/254297/5C183A2367C56AAB538863F23C28BEC8B1CA2079F606CB014855355A36E50AFC</v>
      </c>
      <c r="I1988" t="str">
        <f>HYPERLINK("https://baanknet.com/view-property/254297/5C183A2367C56AAB538863F23C28BEC8B1CA2079F606CB014855355A36E50AFC", "Open")</f>
        <v>Open</v>
      </c>
      <c r="J1988" t="s">
        <v>3803</v>
      </c>
      <c r="L1988">
        <v>3480000</v>
      </c>
      <c r="M1988">
        <v>348000</v>
      </c>
    </row>
    <row r="1989" spans="1:13" x14ac:dyDescent="0.25">
      <c r="A1989" t="s">
        <v>6808</v>
      </c>
      <c r="B1989" t="s">
        <v>6809</v>
      </c>
      <c r="C1989" t="s">
        <v>594</v>
      </c>
      <c r="D1989" t="s">
        <v>1310</v>
      </c>
      <c r="E1989" t="s">
        <v>596</v>
      </c>
      <c r="F1989" t="s">
        <v>574</v>
      </c>
      <c r="G1989" t="s">
        <v>6810</v>
      </c>
      <c r="H1989" t="str">
        <f>HYPERLINK("https://baanknet.com/view-property/247547/C154D3E7BCDD3FEFBDB69A92E5542EB78E0212A2F0579457285272D944D1C7B4", "https://baanknet.com/view-property/247547/C154D3E7BCDD3FEFBDB69A92E5542EB78E0212A2F0579457285272D944D1C7B4")</f>
        <v>https://baanknet.com/view-property/247547/C154D3E7BCDD3FEFBDB69A92E5542EB78E0212A2F0579457285272D944D1C7B4</v>
      </c>
      <c r="I1989" t="str">
        <f>HYPERLINK("https://baanknet.com/view-property/247547/C154D3E7BCDD3FEFBDB69A92E5542EB78E0212A2F0579457285272D944D1C7B4", "Open")</f>
        <v>Open</v>
      </c>
      <c r="J1989" t="s">
        <v>3803</v>
      </c>
      <c r="L1989">
        <v>10600000</v>
      </c>
      <c r="M1989">
        <v>1060000</v>
      </c>
    </row>
    <row r="1990" spans="1:13" x14ac:dyDescent="0.25">
      <c r="A1990" t="s">
        <v>6811</v>
      </c>
      <c r="B1990" t="s">
        <v>6812</v>
      </c>
      <c r="C1990" t="s">
        <v>594</v>
      </c>
      <c r="D1990" t="s">
        <v>845</v>
      </c>
      <c r="E1990" t="s">
        <v>596</v>
      </c>
      <c r="F1990" t="s">
        <v>574</v>
      </c>
      <c r="G1990" t="s">
        <v>6813</v>
      </c>
      <c r="H1990" t="str">
        <f>HYPERLINK("https://baanknet.com/view-property/53998/CF86E2D21411767287396F235C279DB453E48D6C98E9ED89826E76177B5B9AEE", "https://baanknet.com/view-property/53998/CF86E2D21411767287396F235C279DB453E48D6C98E9ED89826E76177B5B9AEE")</f>
        <v>https://baanknet.com/view-property/53998/CF86E2D21411767287396F235C279DB453E48D6C98E9ED89826E76177B5B9AEE</v>
      </c>
      <c r="I1990" t="str">
        <f>HYPERLINK("https://baanknet.com/view-property/53998/CF86E2D21411767287396F235C279DB453E48D6C98E9ED89826E76177B5B9AEE", "Open")</f>
        <v>Open</v>
      </c>
      <c r="J1990" t="s">
        <v>3803</v>
      </c>
      <c r="L1990">
        <v>830000</v>
      </c>
      <c r="M1990">
        <v>83000</v>
      </c>
    </row>
    <row r="1991" spans="1:13" x14ac:dyDescent="0.25">
      <c r="A1991" t="s">
        <v>6814</v>
      </c>
      <c r="B1991" t="s">
        <v>6815</v>
      </c>
      <c r="C1991" t="s">
        <v>594</v>
      </c>
      <c r="D1991" t="s">
        <v>553</v>
      </c>
      <c r="E1991" t="s">
        <v>596</v>
      </c>
      <c r="F1991" t="s">
        <v>574</v>
      </c>
      <c r="G1991" t="s">
        <v>6816</v>
      </c>
      <c r="H1991" t="str">
        <f>HYPERLINK("https://baanknet.com/view-property/86495/8F1A1DCEE2C3BFFE04800AEB50D56C6341F688AB6A4EE5BE8237E871EE1B4802", "https://baanknet.com/view-property/86495/8F1A1DCEE2C3BFFE04800AEB50D56C6341F688AB6A4EE5BE8237E871EE1B4802")</f>
        <v>https://baanknet.com/view-property/86495/8F1A1DCEE2C3BFFE04800AEB50D56C6341F688AB6A4EE5BE8237E871EE1B4802</v>
      </c>
      <c r="I1991" t="str">
        <f>HYPERLINK("https://baanknet.com/view-property/86495/8F1A1DCEE2C3BFFE04800AEB50D56C6341F688AB6A4EE5BE8237E871EE1B4802", "Open")</f>
        <v>Open</v>
      </c>
      <c r="J1991" t="s">
        <v>3803</v>
      </c>
      <c r="L1991">
        <v>1400000</v>
      </c>
      <c r="M1991">
        <v>140000</v>
      </c>
    </row>
    <row r="1992" spans="1:13" x14ac:dyDescent="0.25">
      <c r="A1992" t="s">
        <v>6817</v>
      </c>
      <c r="B1992" t="s">
        <v>6818</v>
      </c>
      <c r="C1992" t="s">
        <v>594</v>
      </c>
      <c r="D1992" t="s">
        <v>32</v>
      </c>
      <c r="E1992" t="s">
        <v>596</v>
      </c>
      <c r="F1992" t="s">
        <v>574</v>
      </c>
      <c r="G1992" t="s">
        <v>6819</v>
      </c>
      <c r="H1992" t="str">
        <f>HYPERLINK("https://baanknet.com/view-property/284272/FB7B1FFBFFDE7F2D1B8C6299FEA70F30F60D0E5520B5EAA001839FC4EAB4CDA7", "https://baanknet.com/view-property/284272/FB7B1FFBFFDE7F2D1B8C6299FEA70F30F60D0E5520B5EAA001839FC4EAB4CDA7")</f>
        <v>https://baanknet.com/view-property/284272/FB7B1FFBFFDE7F2D1B8C6299FEA70F30F60D0E5520B5EAA001839FC4EAB4CDA7</v>
      </c>
      <c r="I1992" t="str">
        <f>HYPERLINK("https://baanknet.com/view-property/284272/FB7B1FFBFFDE7F2D1B8C6299FEA70F30F60D0E5520B5EAA001839FC4EAB4CDA7", "Open")</f>
        <v>Open</v>
      </c>
      <c r="J1992" t="s">
        <v>3803</v>
      </c>
      <c r="L1992">
        <v>6809000</v>
      </c>
      <c r="M1992">
        <v>681000</v>
      </c>
    </row>
    <row r="1993" spans="1:13" x14ac:dyDescent="0.25">
      <c r="A1993" t="s">
        <v>6820</v>
      </c>
      <c r="B1993" t="s">
        <v>6821</v>
      </c>
      <c r="C1993" t="s">
        <v>594</v>
      </c>
      <c r="D1993" t="s">
        <v>6321</v>
      </c>
      <c r="E1993" t="s">
        <v>596</v>
      </c>
      <c r="F1993" t="s">
        <v>574</v>
      </c>
      <c r="G1993" t="s">
        <v>6822</v>
      </c>
      <c r="H1993" t="str">
        <f>HYPERLINK("https://baanknet.com/view-property/287817/375533CD67D7385B57420275CFA7F42620AFE4F7F7A5E3FB0125E84997530751", "https://baanknet.com/view-property/287817/375533CD67D7385B57420275CFA7F42620AFE4F7F7A5E3FB0125E84997530751")</f>
        <v>https://baanknet.com/view-property/287817/375533CD67D7385B57420275CFA7F42620AFE4F7F7A5E3FB0125E84997530751</v>
      </c>
      <c r="I1993" t="str">
        <f>HYPERLINK("https://baanknet.com/view-property/287817/375533CD67D7385B57420275CFA7F42620AFE4F7F7A5E3FB0125E84997530751", "Open")</f>
        <v>Open</v>
      </c>
      <c r="J1993" t="s">
        <v>3803</v>
      </c>
      <c r="L1993">
        <v>1400000</v>
      </c>
      <c r="M1993">
        <v>140000</v>
      </c>
    </row>
    <row r="1994" spans="1:13" x14ac:dyDescent="0.25">
      <c r="A1994" t="s">
        <v>6823</v>
      </c>
      <c r="B1994" t="s">
        <v>6824</v>
      </c>
      <c r="C1994" t="s">
        <v>594</v>
      </c>
      <c r="D1994" t="s">
        <v>762</v>
      </c>
      <c r="E1994" t="s">
        <v>596</v>
      </c>
      <c r="F1994" t="s">
        <v>574</v>
      </c>
      <c r="G1994" t="s">
        <v>6825</v>
      </c>
      <c r="H1994" t="str">
        <f>HYPERLINK("https://baanknet.com/view-property/264927/259D9AD63B6A8F50FFDD19BF1D7B474539DCDA7D154ED33E1AE6DE8E2B455429", "https://baanknet.com/view-property/264927/259D9AD63B6A8F50FFDD19BF1D7B474539DCDA7D154ED33E1AE6DE8E2B455429")</f>
        <v>https://baanknet.com/view-property/264927/259D9AD63B6A8F50FFDD19BF1D7B474539DCDA7D154ED33E1AE6DE8E2B455429</v>
      </c>
      <c r="I1994" t="str">
        <f>HYPERLINK("https://baanknet.com/view-property/264927/259D9AD63B6A8F50FFDD19BF1D7B474539DCDA7D154ED33E1AE6DE8E2B455429", "Open")</f>
        <v>Open</v>
      </c>
      <c r="J1994" t="s">
        <v>3803</v>
      </c>
      <c r="L1994">
        <v>2200000</v>
      </c>
      <c r="M1994">
        <v>220000</v>
      </c>
    </row>
    <row r="1995" spans="1:13" x14ac:dyDescent="0.25">
      <c r="A1995" t="s">
        <v>6826</v>
      </c>
      <c r="B1995" t="s">
        <v>6827</v>
      </c>
      <c r="C1995" t="s">
        <v>594</v>
      </c>
      <c r="D1995" t="s">
        <v>762</v>
      </c>
      <c r="E1995" t="s">
        <v>596</v>
      </c>
      <c r="F1995" t="s">
        <v>574</v>
      </c>
      <c r="G1995" t="s">
        <v>6828</v>
      </c>
      <c r="H1995" t="str">
        <f>HYPERLINK("https://baanknet.com/view-property/264928/8FD537DB68D58E377101002FB0AC80F03EDEA6BAA8AF4E3BA8EFFE03C2C8092A", "https://baanknet.com/view-property/264928/8FD537DB68D58E377101002FB0AC80F03EDEA6BAA8AF4E3BA8EFFE03C2C8092A")</f>
        <v>https://baanknet.com/view-property/264928/8FD537DB68D58E377101002FB0AC80F03EDEA6BAA8AF4E3BA8EFFE03C2C8092A</v>
      </c>
      <c r="I1995" t="str">
        <f>HYPERLINK("https://baanknet.com/view-property/264928/8FD537DB68D58E377101002FB0AC80F03EDEA6BAA8AF4E3BA8EFFE03C2C8092A", "Open")</f>
        <v>Open</v>
      </c>
      <c r="J1995" t="s">
        <v>3803</v>
      </c>
      <c r="L1995">
        <v>1651000</v>
      </c>
      <c r="M1995">
        <v>165100</v>
      </c>
    </row>
    <row r="1996" spans="1:13" x14ac:dyDescent="0.25">
      <c r="A1996" t="s">
        <v>6829</v>
      </c>
      <c r="B1996" t="s">
        <v>6830</v>
      </c>
      <c r="C1996" t="s">
        <v>594</v>
      </c>
      <c r="D1996" t="s">
        <v>762</v>
      </c>
      <c r="E1996" t="s">
        <v>596</v>
      </c>
      <c r="F1996" t="s">
        <v>574</v>
      </c>
      <c r="G1996" t="s">
        <v>6831</v>
      </c>
      <c r="H1996" t="str">
        <f>HYPERLINK("https://baanknet.com/view-property/276860/A183CF9708274FFC9368C773623655A900DB9DE009A413ACE4EBE0F116753B56", "https://baanknet.com/view-property/276860/A183CF9708274FFC9368C773623655A900DB9DE009A413ACE4EBE0F116753B56")</f>
        <v>https://baanknet.com/view-property/276860/A183CF9708274FFC9368C773623655A900DB9DE009A413ACE4EBE0F116753B56</v>
      </c>
      <c r="I1996" t="str">
        <f>HYPERLINK("https://baanknet.com/view-property/276860/A183CF9708274FFC9368C773623655A900DB9DE009A413ACE4EBE0F116753B56", "Open")</f>
        <v>Open</v>
      </c>
      <c r="J1996" t="s">
        <v>3803</v>
      </c>
      <c r="L1996">
        <v>1556000</v>
      </c>
      <c r="M1996">
        <v>155600</v>
      </c>
    </row>
    <row r="1997" spans="1:13" x14ac:dyDescent="0.25">
      <c r="A1997" t="s">
        <v>6832</v>
      </c>
      <c r="B1997" t="s">
        <v>6833</v>
      </c>
      <c r="C1997" t="s">
        <v>594</v>
      </c>
      <c r="D1997" t="s">
        <v>762</v>
      </c>
      <c r="E1997" t="s">
        <v>596</v>
      </c>
      <c r="F1997" t="s">
        <v>574</v>
      </c>
      <c r="G1997" t="s">
        <v>6834</v>
      </c>
      <c r="H1997" t="str">
        <f>HYPERLINK("https://baanknet.com/view-property/276862/C1592F7AAA61CFBE2A8E52D3CBB802B6BF451E449127AC01D8B75B2BBCE4FC13", "https://baanknet.com/view-property/276862/C1592F7AAA61CFBE2A8E52D3CBB802B6BF451E449127AC01D8B75B2BBCE4FC13")</f>
        <v>https://baanknet.com/view-property/276862/C1592F7AAA61CFBE2A8E52D3CBB802B6BF451E449127AC01D8B75B2BBCE4FC13</v>
      </c>
      <c r="I1997" t="str">
        <f>HYPERLINK("https://baanknet.com/view-property/276862/C1592F7AAA61CFBE2A8E52D3CBB802B6BF451E449127AC01D8B75B2BBCE4FC13", "Open")</f>
        <v>Open</v>
      </c>
      <c r="J1997" t="s">
        <v>3803</v>
      </c>
      <c r="L1997">
        <v>5625000</v>
      </c>
      <c r="M1997">
        <v>562500</v>
      </c>
    </row>
    <row r="1998" spans="1:13" x14ac:dyDescent="0.25">
      <c r="A1998" t="s">
        <v>6835</v>
      </c>
      <c r="B1998" t="s">
        <v>6836</v>
      </c>
      <c r="C1998" t="s">
        <v>594</v>
      </c>
      <c r="D1998" t="s">
        <v>6837</v>
      </c>
      <c r="E1998" t="s">
        <v>596</v>
      </c>
      <c r="F1998" t="s">
        <v>574</v>
      </c>
      <c r="G1998" t="s">
        <v>6838</v>
      </c>
      <c r="H1998" t="str">
        <f>HYPERLINK("https://baanknet.com/view-property/279637/A6BBEDF202B8FCBBC3A1667A7B90BF47C3E95EA57D9EA615D12E87EC5DACC385", "https://baanknet.com/view-property/279637/A6BBEDF202B8FCBBC3A1667A7B90BF47C3E95EA57D9EA615D12E87EC5DACC385")</f>
        <v>https://baanknet.com/view-property/279637/A6BBEDF202B8FCBBC3A1667A7B90BF47C3E95EA57D9EA615D12E87EC5DACC385</v>
      </c>
      <c r="I1998" t="str">
        <f>HYPERLINK("https://baanknet.com/view-property/279637/A6BBEDF202B8FCBBC3A1667A7B90BF47C3E95EA57D9EA615D12E87EC5DACC385", "Open")</f>
        <v>Open</v>
      </c>
      <c r="J1998" t="s">
        <v>3803</v>
      </c>
      <c r="L1998">
        <v>2646000</v>
      </c>
      <c r="M1998">
        <v>264600</v>
      </c>
    </row>
    <row r="1999" spans="1:13" x14ac:dyDescent="0.25">
      <c r="A1999" t="s">
        <v>6839</v>
      </c>
      <c r="B1999" t="s">
        <v>6840</v>
      </c>
      <c r="C1999" t="s">
        <v>594</v>
      </c>
      <c r="D1999" t="s">
        <v>1120</v>
      </c>
      <c r="E1999" t="s">
        <v>596</v>
      </c>
      <c r="F1999" t="s">
        <v>574</v>
      </c>
      <c r="G1999" t="s">
        <v>6841</v>
      </c>
      <c r="H1999" t="str">
        <f>HYPERLINK("https://baanknet.com/view-property/82894/A6480EF44C8FE3FB3E84866E9E41BDD5D2846F61E22E89658EDCAE8233FF1D90", "https://baanknet.com/view-property/82894/A6480EF44C8FE3FB3E84866E9E41BDD5D2846F61E22E89658EDCAE8233FF1D90")</f>
        <v>https://baanknet.com/view-property/82894/A6480EF44C8FE3FB3E84866E9E41BDD5D2846F61E22E89658EDCAE8233FF1D90</v>
      </c>
      <c r="I1999" t="str">
        <f>HYPERLINK("https://baanknet.com/view-property/82894/A6480EF44C8FE3FB3E84866E9E41BDD5D2846F61E22E89658EDCAE8233FF1D90", "Open")</f>
        <v>Open</v>
      </c>
      <c r="J1999" t="s">
        <v>3803</v>
      </c>
      <c r="L1999">
        <v>2100000</v>
      </c>
      <c r="M1999">
        <v>210000</v>
      </c>
    </row>
    <row r="2000" spans="1:13" x14ac:dyDescent="0.25">
      <c r="A2000" t="s">
        <v>6842</v>
      </c>
      <c r="B2000" t="s">
        <v>6843</v>
      </c>
      <c r="C2000" t="s">
        <v>594</v>
      </c>
      <c r="D2000" t="s">
        <v>1127</v>
      </c>
      <c r="E2000" t="s">
        <v>596</v>
      </c>
      <c r="F2000" t="s">
        <v>574</v>
      </c>
      <c r="G2000" t="s">
        <v>6844</v>
      </c>
      <c r="H2000" t="str">
        <f>HYPERLINK("https://baanknet.com/view-property/253682/104E79A8EF79F04B06F0DCFF569602381542605BFB75D4EAC78264C96056900F", "https://baanknet.com/view-property/253682/104E79A8EF79F04B06F0DCFF569602381542605BFB75D4EAC78264C96056900F")</f>
        <v>https://baanknet.com/view-property/253682/104E79A8EF79F04B06F0DCFF569602381542605BFB75D4EAC78264C96056900F</v>
      </c>
      <c r="I2000" t="str">
        <f>HYPERLINK("https://baanknet.com/view-property/253682/104E79A8EF79F04B06F0DCFF569602381542605BFB75D4EAC78264C96056900F", "Open")</f>
        <v>Open</v>
      </c>
      <c r="J2000" t="s">
        <v>3803</v>
      </c>
      <c r="L2000">
        <v>1450000</v>
      </c>
      <c r="M2000">
        <v>145000</v>
      </c>
    </row>
    <row r="2001" spans="1:13" x14ac:dyDescent="0.25">
      <c r="A2001" t="s">
        <v>6845</v>
      </c>
      <c r="B2001" t="s">
        <v>6846</v>
      </c>
      <c r="C2001" t="s">
        <v>594</v>
      </c>
      <c r="D2001" t="s">
        <v>1127</v>
      </c>
      <c r="E2001" t="s">
        <v>596</v>
      </c>
      <c r="F2001" t="s">
        <v>574</v>
      </c>
      <c r="G2001" t="s">
        <v>6847</v>
      </c>
      <c r="H2001" t="str">
        <f>HYPERLINK("https://baanknet.com/view-property/253680/89E1DC6D91A6EAE38BF43CEA259DE4434C3075646366BE7C826A0657C529A0C6", "https://baanknet.com/view-property/253680/89E1DC6D91A6EAE38BF43CEA259DE4434C3075646366BE7C826A0657C529A0C6")</f>
        <v>https://baanknet.com/view-property/253680/89E1DC6D91A6EAE38BF43CEA259DE4434C3075646366BE7C826A0657C529A0C6</v>
      </c>
      <c r="I2001" t="str">
        <f>HYPERLINK("https://baanknet.com/view-property/253680/89E1DC6D91A6EAE38BF43CEA259DE4434C3075646366BE7C826A0657C529A0C6", "Open")</f>
        <v>Open</v>
      </c>
      <c r="J2001" t="s">
        <v>3803</v>
      </c>
      <c r="L2001">
        <v>965000</v>
      </c>
      <c r="M2001">
        <v>96500</v>
      </c>
    </row>
    <row r="2002" spans="1:13" x14ac:dyDescent="0.25">
      <c r="A2002" t="s">
        <v>6848</v>
      </c>
      <c r="B2002" t="s">
        <v>6849</v>
      </c>
      <c r="C2002" t="s">
        <v>594</v>
      </c>
      <c r="D2002" t="s">
        <v>6850</v>
      </c>
      <c r="E2002" t="s">
        <v>596</v>
      </c>
      <c r="F2002" t="s">
        <v>574</v>
      </c>
      <c r="G2002" t="s">
        <v>6851</v>
      </c>
      <c r="H2002" t="str">
        <f>HYPERLINK("https://baanknet.com/view-property/81556/4B0306DF1367F97AF70A82801F4A012C65CF9006ADDAD933C404D1594883E811", "https://baanknet.com/view-property/81556/4B0306DF1367F97AF70A82801F4A012C65CF9006ADDAD933C404D1594883E811")</f>
        <v>https://baanknet.com/view-property/81556/4B0306DF1367F97AF70A82801F4A012C65CF9006ADDAD933C404D1594883E811</v>
      </c>
      <c r="I2002" t="str">
        <f>HYPERLINK("https://baanknet.com/view-property/81556/4B0306DF1367F97AF70A82801F4A012C65CF9006ADDAD933C404D1594883E811", "Open")</f>
        <v>Open</v>
      </c>
      <c r="J2002" t="s">
        <v>3803</v>
      </c>
      <c r="L2002">
        <v>1161000</v>
      </c>
      <c r="M2002">
        <v>116100</v>
      </c>
    </row>
    <row r="2003" spans="1:13" x14ac:dyDescent="0.25">
      <c r="A2003" t="s">
        <v>6852</v>
      </c>
      <c r="B2003" t="s">
        <v>6853</v>
      </c>
      <c r="C2003" t="s">
        <v>594</v>
      </c>
      <c r="D2003" t="s">
        <v>6850</v>
      </c>
      <c r="E2003" t="s">
        <v>596</v>
      </c>
      <c r="F2003" t="s">
        <v>574</v>
      </c>
      <c r="G2003" t="s">
        <v>6854</v>
      </c>
      <c r="H2003" t="str">
        <f>HYPERLINK("https://baanknet.com/view-property/81838/90E1CF829955D71BE236692EC13416D8837F51024D41265F2132EAD4076BB676", "https://baanknet.com/view-property/81838/90E1CF829955D71BE236692EC13416D8837F51024D41265F2132EAD4076BB676")</f>
        <v>https://baanknet.com/view-property/81838/90E1CF829955D71BE236692EC13416D8837F51024D41265F2132EAD4076BB676</v>
      </c>
      <c r="I2003" t="str">
        <f>HYPERLINK("https://baanknet.com/view-property/81838/90E1CF829955D71BE236692EC13416D8837F51024D41265F2132EAD4076BB676", "Open")</f>
        <v>Open</v>
      </c>
      <c r="J2003" t="s">
        <v>3803</v>
      </c>
      <c r="L2003">
        <v>1370000</v>
      </c>
      <c r="M2003">
        <v>137000</v>
      </c>
    </row>
    <row r="2004" spans="1:13" x14ac:dyDescent="0.25">
      <c r="A2004" t="s">
        <v>6855</v>
      </c>
      <c r="B2004" t="s">
        <v>6856</v>
      </c>
      <c r="C2004" t="s">
        <v>594</v>
      </c>
      <c r="D2004" t="s">
        <v>1619</v>
      </c>
      <c r="E2004" t="s">
        <v>596</v>
      </c>
      <c r="F2004" t="s">
        <v>574</v>
      </c>
      <c r="G2004" t="s">
        <v>6857</v>
      </c>
      <c r="H2004" t="str">
        <f>HYPERLINK("https://baanknet.com/view-property/251417/6D96DE818CC5AC659352DE68BC6FB47B6D0925445F064AE6ED347540A1C53085", "https://baanknet.com/view-property/251417/6D96DE818CC5AC659352DE68BC6FB47B6D0925445F064AE6ED347540A1C53085")</f>
        <v>https://baanknet.com/view-property/251417/6D96DE818CC5AC659352DE68BC6FB47B6D0925445F064AE6ED347540A1C53085</v>
      </c>
      <c r="I2004" t="str">
        <f>HYPERLINK("https://baanknet.com/view-property/251417/6D96DE818CC5AC659352DE68BC6FB47B6D0925445F064AE6ED347540A1C53085", "Open")</f>
        <v>Open</v>
      </c>
      <c r="J2004" t="s">
        <v>3803</v>
      </c>
      <c r="L2004">
        <v>1102000</v>
      </c>
      <c r="M2004">
        <v>110200</v>
      </c>
    </row>
    <row r="2005" spans="1:13" x14ac:dyDescent="0.25">
      <c r="A2005" t="s">
        <v>6858</v>
      </c>
      <c r="B2005" t="s">
        <v>6859</v>
      </c>
      <c r="C2005" t="s">
        <v>594</v>
      </c>
      <c r="D2005" t="s">
        <v>1619</v>
      </c>
      <c r="E2005" t="s">
        <v>596</v>
      </c>
      <c r="F2005" t="s">
        <v>574</v>
      </c>
      <c r="G2005" t="s">
        <v>6860</v>
      </c>
      <c r="H2005" t="str">
        <f>HYPERLINK("https://baanknet.com/view-property/122417/1566558E584474D6FF7FE06BD6737CCCE84ED4BBBE1F3EF498E70E91BAB2B083", "https://baanknet.com/view-property/122417/1566558E584474D6FF7FE06BD6737CCCE84ED4BBBE1F3EF498E70E91BAB2B083")</f>
        <v>https://baanknet.com/view-property/122417/1566558E584474D6FF7FE06BD6737CCCE84ED4BBBE1F3EF498E70E91BAB2B083</v>
      </c>
      <c r="I2005" t="str">
        <f>HYPERLINK("https://baanknet.com/view-property/122417/1566558E584474D6FF7FE06BD6737CCCE84ED4BBBE1F3EF498E70E91BAB2B083", "Open")</f>
        <v>Open</v>
      </c>
      <c r="J2005" t="s">
        <v>3803</v>
      </c>
      <c r="L2005">
        <v>1546000</v>
      </c>
      <c r="M2005">
        <v>154600</v>
      </c>
    </row>
    <row r="2006" spans="1:13" x14ac:dyDescent="0.25">
      <c r="A2006" t="s">
        <v>6861</v>
      </c>
      <c r="B2006" t="s">
        <v>6862</v>
      </c>
      <c r="C2006" t="s">
        <v>594</v>
      </c>
      <c r="D2006" t="s">
        <v>1619</v>
      </c>
      <c r="E2006" t="s">
        <v>596</v>
      </c>
      <c r="F2006" t="s">
        <v>574</v>
      </c>
      <c r="G2006" t="s">
        <v>6863</v>
      </c>
      <c r="H2006" t="str">
        <f>HYPERLINK("https://baanknet.com/view-property/243719/5947000DE94B943C44E7012DFA3AF8174159102567B2B4D9A78E4B370805AD7E", "https://baanknet.com/view-property/243719/5947000DE94B943C44E7012DFA3AF8174159102567B2B4D9A78E4B370805AD7E")</f>
        <v>https://baanknet.com/view-property/243719/5947000DE94B943C44E7012DFA3AF8174159102567B2B4D9A78E4B370805AD7E</v>
      </c>
      <c r="I2006" t="str">
        <f>HYPERLINK("https://baanknet.com/view-property/243719/5947000DE94B943C44E7012DFA3AF8174159102567B2B4D9A78E4B370805AD7E", "Open")</f>
        <v>Open</v>
      </c>
      <c r="J2006" t="s">
        <v>3803</v>
      </c>
      <c r="L2006">
        <v>405000</v>
      </c>
      <c r="M2006">
        <v>40500</v>
      </c>
    </row>
    <row r="2007" spans="1:13" x14ac:dyDescent="0.25">
      <c r="A2007" t="s">
        <v>6864</v>
      </c>
      <c r="B2007" t="s">
        <v>6865</v>
      </c>
      <c r="C2007" t="s">
        <v>594</v>
      </c>
      <c r="D2007" t="s">
        <v>157</v>
      </c>
      <c r="E2007" t="s">
        <v>596</v>
      </c>
      <c r="F2007" t="s">
        <v>574</v>
      </c>
      <c r="G2007" t="s">
        <v>6866</v>
      </c>
      <c r="H2007" t="str">
        <f>HYPERLINK("https://baanknet.com/view-property/111908/8671B798ECC56314E4D721B13A5B35FC0CC7A7B72A09F34B6599058A9541D414", "https://baanknet.com/view-property/111908/8671B798ECC56314E4D721B13A5B35FC0CC7A7B72A09F34B6599058A9541D414")</f>
        <v>https://baanknet.com/view-property/111908/8671B798ECC56314E4D721B13A5B35FC0CC7A7B72A09F34B6599058A9541D414</v>
      </c>
      <c r="I2007" t="str">
        <f>HYPERLINK("https://baanknet.com/view-property/111908/8671B798ECC56314E4D721B13A5B35FC0CC7A7B72A09F34B6599058A9541D414", "Open")</f>
        <v>Open</v>
      </c>
      <c r="J2007" t="s">
        <v>3803</v>
      </c>
      <c r="L2007">
        <v>7100000</v>
      </c>
      <c r="M2007">
        <v>710000</v>
      </c>
    </row>
    <row r="2008" spans="1:13" x14ac:dyDescent="0.25">
      <c r="A2008" t="s">
        <v>6867</v>
      </c>
      <c r="B2008" t="s">
        <v>6868</v>
      </c>
      <c r="C2008" t="s">
        <v>15</v>
      </c>
      <c r="D2008" t="s">
        <v>4962</v>
      </c>
      <c r="E2008" t="s">
        <v>3516</v>
      </c>
      <c r="F2008" t="s">
        <v>17</v>
      </c>
      <c r="G2008" t="s">
        <v>6869</v>
      </c>
      <c r="H2008" t="str">
        <f>HYPERLINK("https://baanknet.com/view-property/279153/232DB54083B538F8CB895CE65F500153851F84AAB05D3E402FDC06A4D1CA9319", "https://baanknet.com/view-property/279153/232DB54083B538F8CB895CE65F500153851F84AAB05D3E402FDC06A4D1CA9319")</f>
        <v>https://baanknet.com/view-property/279153/232DB54083B538F8CB895CE65F500153851F84AAB05D3E402FDC06A4D1CA9319</v>
      </c>
      <c r="I2008" t="str">
        <f>HYPERLINK("https://baanknet.com/view-property/279153/232DB54083B538F8CB895CE65F500153851F84AAB05D3E402FDC06A4D1CA9319", "Open")</f>
        <v>Open</v>
      </c>
      <c r="J2008" t="s">
        <v>20</v>
      </c>
      <c r="K2008" t="s">
        <v>21</v>
      </c>
      <c r="L2008">
        <v>2300000</v>
      </c>
      <c r="M2008">
        <v>230000</v>
      </c>
    </row>
    <row r="2009" spans="1:13" x14ac:dyDescent="0.25">
      <c r="A2009" t="s">
        <v>6870</v>
      </c>
      <c r="B2009" t="s">
        <v>6871</v>
      </c>
      <c r="C2009" t="s">
        <v>594</v>
      </c>
      <c r="D2009" t="s">
        <v>6872</v>
      </c>
      <c r="E2009" t="s">
        <v>596</v>
      </c>
      <c r="F2009" t="s">
        <v>574</v>
      </c>
      <c r="G2009" t="s">
        <v>6873</v>
      </c>
      <c r="H2009" t="str">
        <f>HYPERLINK("https://baanknet.com/view-property/287859/2DFC392D6B1B2FB40ECDE805784E698B3CF53DB7D0E7B5867F0D924E59139ED6", "https://baanknet.com/view-property/287859/2DFC392D6B1B2FB40ECDE805784E698B3CF53DB7D0E7B5867F0D924E59139ED6")</f>
        <v>https://baanknet.com/view-property/287859/2DFC392D6B1B2FB40ECDE805784E698B3CF53DB7D0E7B5867F0D924E59139ED6</v>
      </c>
      <c r="I2009" t="str">
        <f>HYPERLINK("https://baanknet.com/view-property/287859/2DFC392D6B1B2FB40ECDE805784E698B3CF53DB7D0E7B5867F0D924E59139ED6", "Open")</f>
        <v>Open</v>
      </c>
      <c r="J2009" t="s">
        <v>3803</v>
      </c>
      <c r="L2009">
        <v>2345000</v>
      </c>
      <c r="M2009">
        <v>234500</v>
      </c>
    </row>
    <row r="2010" spans="1:13" x14ac:dyDescent="0.25">
      <c r="A2010" t="s">
        <v>6874</v>
      </c>
      <c r="B2010" t="s">
        <v>6875</v>
      </c>
      <c r="C2010" t="s">
        <v>594</v>
      </c>
      <c r="D2010" t="s">
        <v>6876</v>
      </c>
      <c r="E2010" t="s">
        <v>596</v>
      </c>
      <c r="F2010" t="s">
        <v>574</v>
      </c>
      <c r="G2010" t="s">
        <v>6877</v>
      </c>
      <c r="H2010" t="str">
        <f>HYPERLINK("https://baanknet.com/view-property/287862/71BAB8E8BB0ABA5FF243EF47831A0D36A670D2056E694DE33BA6AB03FA9FE848", "https://baanknet.com/view-property/287862/71BAB8E8BB0ABA5FF243EF47831A0D36A670D2056E694DE33BA6AB03FA9FE848")</f>
        <v>https://baanknet.com/view-property/287862/71BAB8E8BB0ABA5FF243EF47831A0D36A670D2056E694DE33BA6AB03FA9FE848</v>
      </c>
      <c r="I2010" t="str">
        <f>HYPERLINK("https://baanknet.com/view-property/287862/71BAB8E8BB0ABA5FF243EF47831A0D36A670D2056E694DE33BA6AB03FA9FE848", "Open")</f>
        <v>Open</v>
      </c>
      <c r="J2010" t="s">
        <v>3803</v>
      </c>
      <c r="L2010">
        <v>2746000</v>
      </c>
      <c r="M2010">
        <v>274600</v>
      </c>
    </row>
    <row r="2011" spans="1:13" x14ac:dyDescent="0.25">
      <c r="A2011" t="s">
        <v>6878</v>
      </c>
      <c r="B2011" t="s">
        <v>6879</v>
      </c>
      <c r="C2011" t="s">
        <v>594</v>
      </c>
      <c r="D2011" t="s">
        <v>6880</v>
      </c>
      <c r="E2011" t="s">
        <v>596</v>
      </c>
      <c r="F2011" t="s">
        <v>574</v>
      </c>
      <c r="G2011" t="s">
        <v>6881</v>
      </c>
      <c r="H2011" t="str">
        <f>HYPERLINK("https://baanknet.com/view-property/283211/1394ABB99E4C28EE228308309BC1864BC1D6C0723534DAD877D176275C7BB3D4", "https://baanknet.com/view-property/283211/1394ABB99E4C28EE228308309BC1864BC1D6C0723534DAD877D176275C7BB3D4")</f>
        <v>https://baanknet.com/view-property/283211/1394ABB99E4C28EE228308309BC1864BC1D6C0723534DAD877D176275C7BB3D4</v>
      </c>
      <c r="I2011" t="str">
        <f>HYPERLINK("https://baanknet.com/view-property/283211/1394ABB99E4C28EE228308309BC1864BC1D6C0723534DAD877D176275C7BB3D4", "Open")</f>
        <v>Open</v>
      </c>
      <c r="J2011" t="s">
        <v>3803</v>
      </c>
      <c r="L2011">
        <v>4410000</v>
      </c>
      <c r="M2011">
        <v>441000</v>
      </c>
    </row>
    <row r="2012" spans="1:13" x14ac:dyDescent="0.25">
      <c r="A2012" t="s">
        <v>6882</v>
      </c>
      <c r="B2012" t="s">
        <v>6883</v>
      </c>
      <c r="C2012" t="s">
        <v>594</v>
      </c>
      <c r="D2012" t="s">
        <v>2282</v>
      </c>
      <c r="E2012" t="s">
        <v>596</v>
      </c>
      <c r="F2012" t="s">
        <v>574</v>
      </c>
      <c r="G2012" t="s">
        <v>6884</v>
      </c>
      <c r="H2012" t="str">
        <f>HYPERLINK("https://baanknet.com/view-property/208556/0494BF21EAD779E8443854FDA6396CF6BA351950E786168A87B1A3C74E6ADD34", "https://baanknet.com/view-property/208556/0494BF21EAD779E8443854FDA6396CF6BA351950E786168A87B1A3C74E6ADD34")</f>
        <v>https://baanknet.com/view-property/208556/0494BF21EAD779E8443854FDA6396CF6BA351950E786168A87B1A3C74E6ADD34</v>
      </c>
      <c r="I2012" t="str">
        <f>HYPERLINK("https://baanknet.com/view-property/208556/0494BF21EAD779E8443854FDA6396CF6BA351950E786168A87B1A3C74E6ADD34", "Open")</f>
        <v>Open</v>
      </c>
      <c r="J2012" t="s">
        <v>3803</v>
      </c>
      <c r="L2012">
        <v>2030000</v>
      </c>
      <c r="M2012">
        <v>203000</v>
      </c>
    </row>
    <row r="2013" spans="1:13" x14ac:dyDescent="0.25">
      <c r="A2013" t="s">
        <v>6885</v>
      </c>
      <c r="B2013" t="s">
        <v>6886</v>
      </c>
      <c r="C2013" t="s">
        <v>594</v>
      </c>
      <c r="D2013" t="s">
        <v>2282</v>
      </c>
      <c r="E2013" t="s">
        <v>596</v>
      </c>
      <c r="F2013" t="s">
        <v>574</v>
      </c>
      <c r="G2013" t="s">
        <v>6887</v>
      </c>
      <c r="H2013" t="str">
        <f>HYPERLINK("https://baanknet.com/view-property/283219/881EE7C6500F0B7423B7455DCCD3E514DC835B8DE3ED44B3B1CA7D5553BCB37F", "https://baanknet.com/view-property/283219/881EE7C6500F0B7423B7455DCCD3E514DC835B8DE3ED44B3B1CA7D5553BCB37F")</f>
        <v>https://baanknet.com/view-property/283219/881EE7C6500F0B7423B7455DCCD3E514DC835B8DE3ED44B3B1CA7D5553BCB37F</v>
      </c>
      <c r="I2013" t="str">
        <f>HYPERLINK("https://baanknet.com/view-property/283219/881EE7C6500F0B7423B7455DCCD3E514DC835B8DE3ED44B3B1CA7D5553BCB37F", "Open")</f>
        <v>Open</v>
      </c>
      <c r="J2013" t="s">
        <v>3803</v>
      </c>
      <c r="L2013">
        <v>1170000</v>
      </c>
      <c r="M2013">
        <v>117000</v>
      </c>
    </row>
    <row r="2014" spans="1:13" x14ac:dyDescent="0.25">
      <c r="A2014" t="s">
        <v>6888</v>
      </c>
      <c r="B2014" t="s">
        <v>6889</v>
      </c>
      <c r="C2014" t="s">
        <v>594</v>
      </c>
      <c r="D2014" t="s">
        <v>2282</v>
      </c>
      <c r="E2014" t="s">
        <v>596</v>
      </c>
      <c r="F2014" t="s">
        <v>574</v>
      </c>
      <c r="G2014" t="s">
        <v>6890</v>
      </c>
      <c r="H2014" t="str">
        <f>HYPERLINK("https://baanknet.com/view-property/277354/466C1BF9F2EE70641E4155F7B52F01B7ACCC5691363B4B234E3FECC73043C04C", "https://baanknet.com/view-property/277354/466C1BF9F2EE70641E4155F7B52F01B7ACCC5691363B4B234E3FECC73043C04C")</f>
        <v>https://baanknet.com/view-property/277354/466C1BF9F2EE70641E4155F7B52F01B7ACCC5691363B4B234E3FECC73043C04C</v>
      </c>
      <c r="I2014" t="str">
        <f>HYPERLINK("https://baanknet.com/view-property/277354/466C1BF9F2EE70641E4155F7B52F01B7ACCC5691363B4B234E3FECC73043C04C", "Open")</f>
        <v>Open</v>
      </c>
      <c r="J2014" t="s">
        <v>3803</v>
      </c>
      <c r="L2014">
        <v>2250000</v>
      </c>
      <c r="M2014">
        <v>225000</v>
      </c>
    </row>
    <row r="2015" spans="1:13" x14ac:dyDescent="0.25">
      <c r="A2015" t="s">
        <v>6891</v>
      </c>
      <c r="B2015" t="s">
        <v>6892</v>
      </c>
      <c r="C2015" t="s">
        <v>594</v>
      </c>
      <c r="D2015" t="s">
        <v>6893</v>
      </c>
      <c r="E2015" t="s">
        <v>596</v>
      </c>
      <c r="F2015" t="s">
        <v>574</v>
      </c>
      <c r="G2015" t="s">
        <v>6894</v>
      </c>
      <c r="H2015" t="str">
        <f>HYPERLINK("https://baanknet.com/view-property/219679/0FA146207BBEB7B2C1FDFDB241FD71BD70B8FF3B58AE1540571FB7E959FC7E7D", "https://baanknet.com/view-property/219679/0FA146207BBEB7B2C1FDFDB241FD71BD70B8FF3B58AE1540571FB7E959FC7E7D")</f>
        <v>https://baanknet.com/view-property/219679/0FA146207BBEB7B2C1FDFDB241FD71BD70B8FF3B58AE1540571FB7E959FC7E7D</v>
      </c>
      <c r="I2015" t="str">
        <f>HYPERLINK("https://baanknet.com/view-property/219679/0FA146207BBEB7B2C1FDFDB241FD71BD70B8FF3B58AE1540571FB7E959FC7E7D", "Open")</f>
        <v>Open</v>
      </c>
      <c r="J2015" t="s">
        <v>3803</v>
      </c>
      <c r="L2015">
        <v>1710000</v>
      </c>
      <c r="M2015">
        <v>171000</v>
      </c>
    </row>
    <row r="2016" spans="1:13" x14ac:dyDescent="0.25">
      <c r="A2016" t="s">
        <v>6895</v>
      </c>
      <c r="B2016" t="s">
        <v>6896</v>
      </c>
      <c r="C2016" t="s">
        <v>594</v>
      </c>
      <c r="D2016" t="s">
        <v>4542</v>
      </c>
      <c r="E2016" t="s">
        <v>596</v>
      </c>
      <c r="F2016" t="s">
        <v>574</v>
      </c>
      <c r="G2016" t="s">
        <v>6897</v>
      </c>
      <c r="H2016" t="str">
        <f>HYPERLINK("https://baanknet.com/view-property/239771/377F5EC3B2C9F9A9D5D1488B92D15125DADBB01AE02C651B8BB238E7DACEA358", "https://baanknet.com/view-property/239771/377F5EC3B2C9F9A9D5D1488B92D15125DADBB01AE02C651B8BB238E7DACEA358")</f>
        <v>https://baanknet.com/view-property/239771/377F5EC3B2C9F9A9D5D1488B92D15125DADBB01AE02C651B8BB238E7DACEA358</v>
      </c>
      <c r="I2016" t="str">
        <f>HYPERLINK("https://baanknet.com/view-property/239771/377F5EC3B2C9F9A9D5D1488B92D15125DADBB01AE02C651B8BB238E7DACEA358", "Open")</f>
        <v>Open</v>
      </c>
      <c r="J2016" t="s">
        <v>3803</v>
      </c>
      <c r="L2016">
        <v>2345000</v>
      </c>
      <c r="M2016">
        <v>234500</v>
      </c>
    </row>
    <row r="2017" spans="1:13" x14ac:dyDescent="0.25">
      <c r="A2017" t="s">
        <v>6898</v>
      </c>
      <c r="B2017" t="s">
        <v>6899</v>
      </c>
      <c r="C2017" t="s">
        <v>594</v>
      </c>
      <c r="D2017" t="s">
        <v>2282</v>
      </c>
      <c r="E2017" t="s">
        <v>596</v>
      </c>
      <c r="F2017" t="s">
        <v>574</v>
      </c>
      <c r="G2017" t="s">
        <v>6900</v>
      </c>
      <c r="H2017" t="str">
        <f>HYPERLINK("https://baanknet.com/view-property/125354/AC55E9C0AC8D484A1DC81E92B11505CE82D99ED42EC1B1B8C6E72559E2C20397", "https://baanknet.com/view-property/125354/AC55E9C0AC8D484A1DC81E92B11505CE82D99ED42EC1B1B8C6E72559E2C20397")</f>
        <v>https://baanknet.com/view-property/125354/AC55E9C0AC8D484A1DC81E92B11505CE82D99ED42EC1B1B8C6E72559E2C20397</v>
      </c>
      <c r="I2017" t="str">
        <f>HYPERLINK("https://baanknet.com/view-property/125354/AC55E9C0AC8D484A1DC81E92B11505CE82D99ED42EC1B1B8C6E72559E2C20397", "Open")</f>
        <v>Open</v>
      </c>
      <c r="J2017" t="s">
        <v>3803</v>
      </c>
      <c r="L2017">
        <v>6300000</v>
      </c>
      <c r="M2017">
        <v>630000</v>
      </c>
    </row>
    <row r="2018" spans="1:13" x14ac:dyDescent="0.25">
      <c r="A2018" t="s">
        <v>6901</v>
      </c>
      <c r="B2018" t="s">
        <v>6902</v>
      </c>
      <c r="C2018" t="s">
        <v>594</v>
      </c>
      <c r="D2018" t="s">
        <v>845</v>
      </c>
      <c r="E2018" t="s">
        <v>596</v>
      </c>
      <c r="F2018" t="s">
        <v>574</v>
      </c>
      <c r="G2018" t="s">
        <v>6903</v>
      </c>
      <c r="H2018" t="str">
        <f>HYPERLINK("https://baanknet.com/view-property/287806/2AD92DC7161D000943BF91E5170D75029152B264179FC51624BE6E1612F53DF0", "https://baanknet.com/view-property/287806/2AD92DC7161D000943BF91E5170D75029152B264179FC51624BE6E1612F53DF0")</f>
        <v>https://baanknet.com/view-property/287806/2AD92DC7161D000943BF91E5170D75029152B264179FC51624BE6E1612F53DF0</v>
      </c>
      <c r="I2018" t="str">
        <f>HYPERLINK("https://baanknet.com/view-property/287806/2AD92DC7161D000943BF91E5170D75029152B264179FC51624BE6E1612F53DF0", "Open")</f>
        <v>Open</v>
      </c>
      <c r="J2018" t="s">
        <v>3803</v>
      </c>
      <c r="L2018">
        <v>2380000</v>
      </c>
      <c r="M2018">
        <v>238000</v>
      </c>
    </row>
    <row r="2019" spans="1:13" x14ac:dyDescent="0.25">
      <c r="A2019" t="s">
        <v>6904</v>
      </c>
      <c r="B2019" t="s">
        <v>6905</v>
      </c>
      <c r="C2019" t="s">
        <v>594</v>
      </c>
      <c r="D2019" t="s">
        <v>6906</v>
      </c>
      <c r="E2019" t="s">
        <v>596</v>
      </c>
      <c r="F2019" t="s">
        <v>574</v>
      </c>
      <c r="G2019" t="s">
        <v>6907</v>
      </c>
      <c r="H2019" t="str">
        <f>HYPERLINK("https://baanknet.com/view-property/287804/5BAEE2DF8D87EBA9C19448F891DC93173642E05042798A8EC8D037234775CF47", "https://baanknet.com/view-property/287804/5BAEE2DF8D87EBA9C19448F891DC93173642E05042798A8EC8D037234775CF47")</f>
        <v>https://baanknet.com/view-property/287804/5BAEE2DF8D87EBA9C19448F891DC93173642E05042798A8EC8D037234775CF47</v>
      </c>
      <c r="I2019" t="str">
        <f>HYPERLINK("https://baanknet.com/view-property/287804/5BAEE2DF8D87EBA9C19448F891DC93173642E05042798A8EC8D037234775CF47", "Open")</f>
        <v>Open</v>
      </c>
      <c r="J2019" t="s">
        <v>3803</v>
      </c>
      <c r="L2019">
        <v>1554000</v>
      </c>
      <c r="M2019">
        <v>155400</v>
      </c>
    </row>
    <row r="2020" spans="1:13" x14ac:dyDescent="0.25">
      <c r="A2020" t="s">
        <v>6908</v>
      </c>
      <c r="B2020" t="s">
        <v>6909</v>
      </c>
      <c r="C2020" t="s">
        <v>594</v>
      </c>
      <c r="D2020" t="s">
        <v>6910</v>
      </c>
      <c r="E2020" t="s">
        <v>596</v>
      </c>
      <c r="F2020" t="s">
        <v>574</v>
      </c>
      <c r="G2020" t="s">
        <v>6911</v>
      </c>
      <c r="H2020" t="str">
        <f>HYPERLINK("https://baanknet.com/view-property/287350/237179D8387F034E6D3D66C4E6A8F5CEA51EB1E9EBC9BEE6B56E040BF9F8EE4D", "https://baanknet.com/view-property/287350/237179D8387F034E6D3D66C4E6A8F5CEA51EB1E9EBC9BEE6B56E040BF9F8EE4D")</f>
        <v>https://baanknet.com/view-property/287350/237179D8387F034E6D3D66C4E6A8F5CEA51EB1E9EBC9BEE6B56E040BF9F8EE4D</v>
      </c>
      <c r="I2020" t="str">
        <f>HYPERLINK("https://baanknet.com/view-property/287350/237179D8387F034E6D3D66C4E6A8F5CEA51EB1E9EBC9BEE6B56E040BF9F8EE4D", "Open")</f>
        <v>Open</v>
      </c>
      <c r="J2020" t="s">
        <v>3803</v>
      </c>
      <c r="L2020">
        <v>5025000</v>
      </c>
      <c r="M2020">
        <v>502500</v>
      </c>
    </row>
    <row r="2021" spans="1:13" x14ac:dyDescent="0.25">
      <c r="A2021" t="s">
        <v>6912</v>
      </c>
      <c r="B2021" t="s">
        <v>6913</v>
      </c>
      <c r="C2021" t="s">
        <v>594</v>
      </c>
      <c r="D2021" t="s">
        <v>6914</v>
      </c>
      <c r="E2021" t="s">
        <v>596</v>
      </c>
      <c r="F2021" t="s">
        <v>574</v>
      </c>
      <c r="G2021" t="s">
        <v>6915</v>
      </c>
      <c r="H2021" t="str">
        <f>HYPERLINK("https://baanknet.com/view-property/287907/CE1BA012D19E0B9A720F806F5F860391DC26E95C262DE348D762479D000BA905", "https://baanknet.com/view-property/287907/CE1BA012D19E0B9A720F806F5F860391DC26E95C262DE348D762479D000BA905")</f>
        <v>https://baanknet.com/view-property/287907/CE1BA012D19E0B9A720F806F5F860391DC26E95C262DE348D762479D000BA905</v>
      </c>
      <c r="I2021" t="str">
        <f>HYPERLINK("https://baanknet.com/view-property/287907/CE1BA012D19E0B9A720F806F5F860391DC26E95C262DE348D762479D000BA905", "Open")</f>
        <v>Open</v>
      </c>
      <c r="J2021" t="s">
        <v>3803</v>
      </c>
      <c r="L2021">
        <v>1976000</v>
      </c>
      <c r="M2021">
        <v>197600</v>
      </c>
    </row>
    <row r="2022" spans="1:13" x14ac:dyDescent="0.25">
      <c r="A2022" t="s">
        <v>6916</v>
      </c>
      <c r="B2022" t="s">
        <v>6917</v>
      </c>
      <c r="C2022" t="s">
        <v>594</v>
      </c>
      <c r="D2022" t="s">
        <v>4976</v>
      </c>
      <c r="E2022" t="s">
        <v>596</v>
      </c>
      <c r="F2022" t="s">
        <v>574</v>
      </c>
      <c r="G2022" t="s">
        <v>6918</v>
      </c>
      <c r="H2022" t="str">
        <f>HYPERLINK("https://baanknet.com/view-property/287683/1954E203C060AAC6FD199336E95262D5DC81CE4BA6C89DD985A83C055911C07C", "https://baanknet.com/view-property/287683/1954E203C060AAC6FD199336E95262D5DC81CE4BA6C89DD985A83C055911C07C")</f>
        <v>https://baanknet.com/view-property/287683/1954E203C060AAC6FD199336E95262D5DC81CE4BA6C89DD985A83C055911C07C</v>
      </c>
      <c r="I2022" t="str">
        <f>HYPERLINK("https://baanknet.com/view-property/287683/1954E203C060AAC6FD199336E95262D5DC81CE4BA6C89DD985A83C055911C07C", "Open")</f>
        <v>Open</v>
      </c>
      <c r="J2022" t="s">
        <v>3803</v>
      </c>
      <c r="L2022">
        <v>3570000</v>
      </c>
      <c r="M2022">
        <v>357000</v>
      </c>
    </row>
    <row r="2023" spans="1:13" x14ac:dyDescent="0.25">
      <c r="A2023" t="s">
        <v>6919</v>
      </c>
      <c r="B2023" t="s">
        <v>6920</v>
      </c>
      <c r="C2023" t="s">
        <v>594</v>
      </c>
      <c r="D2023" t="s">
        <v>4976</v>
      </c>
      <c r="E2023" t="s">
        <v>596</v>
      </c>
      <c r="F2023" t="s">
        <v>574</v>
      </c>
      <c r="G2023" t="s">
        <v>6921</v>
      </c>
      <c r="H2023" t="str">
        <f>HYPERLINK("https://baanknet.com/view-property/287682/607590DBEB74B97CB86210B7155F0E12B63FE8828BF2D8C45AC2A5420821690E", "https://baanknet.com/view-property/287682/607590DBEB74B97CB86210B7155F0E12B63FE8828BF2D8C45AC2A5420821690E")</f>
        <v>https://baanknet.com/view-property/287682/607590DBEB74B97CB86210B7155F0E12B63FE8828BF2D8C45AC2A5420821690E</v>
      </c>
      <c r="I2023" t="str">
        <f>HYPERLINK("https://baanknet.com/view-property/287682/607590DBEB74B97CB86210B7155F0E12B63FE8828BF2D8C45AC2A5420821690E", "Open")</f>
        <v>Open</v>
      </c>
      <c r="J2023" t="s">
        <v>3803</v>
      </c>
      <c r="L2023">
        <v>6448000</v>
      </c>
      <c r="M2023">
        <v>644800</v>
      </c>
    </row>
    <row r="2024" spans="1:13" x14ac:dyDescent="0.25">
      <c r="A2024" t="s">
        <v>6922</v>
      </c>
      <c r="B2024" t="s">
        <v>6923</v>
      </c>
      <c r="C2024" t="s">
        <v>594</v>
      </c>
      <c r="D2024" t="s">
        <v>4976</v>
      </c>
      <c r="E2024" t="s">
        <v>596</v>
      </c>
      <c r="F2024" t="s">
        <v>574</v>
      </c>
      <c r="G2024" t="s">
        <v>6924</v>
      </c>
      <c r="H2024" t="str">
        <f>HYPERLINK("https://baanknet.com/view-property/287534/2323F85B58D32BBA9FAEE180F485E06D124F3F89D40F9238D1A5C4A412C83CD9", "https://baanknet.com/view-property/287534/2323F85B58D32BBA9FAEE180F485E06D124F3F89D40F9238D1A5C4A412C83CD9")</f>
        <v>https://baanknet.com/view-property/287534/2323F85B58D32BBA9FAEE180F485E06D124F3F89D40F9238D1A5C4A412C83CD9</v>
      </c>
      <c r="I2024" t="str">
        <f>HYPERLINK("https://baanknet.com/view-property/287534/2323F85B58D32BBA9FAEE180F485E06D124F3F89D40F9238D1A5C4A412C83CD9", "Open")</f>
        <v>Open</v>
      </c>
      <c r="J2024" t="s">
        <v>3803</v>
      </c>
      <c r="L2024">
        <v>4590000</v>
      </c>
      <c r="M2024">
        <v>459000</v>
      </c>
    </row>
    <row r="2025" spans="1:13" x14ac:dyDescent="0.25">
      <c r="A2025" t="s">
        <v>6925</v>
      </c>
      <c r="B2025" t="s">
        <v>6926</v>
      </c>
      <c r="C2025" t="s">
        <v>594</v>
      </c>
      <c r="D2025" t="s">
        <v>4976</v>
      </c>
      <c r="E2025" t="s">
        <v>596</v>
      </c>
      <c r="F2025" t="s">
        <v>574</v>
      </c>
      <c r="G2025" t="s">
        <v>6927</v>
      </c>
      <c r="H2025" t="str">
        <f>HYPERLINK("https://baanknet.com/view-property/287515/E5E94A7B317453288C9B864E5C8FABA88D837291DE675B9C36883E62F16FD7B2", "https://baanknet.com/view-property/287515/E5E94A7B317453288C9B864E5C8FABA88D837291DE675B9C36883E62F16FD7B2")</f>
        <v>https://baanknet.com/view-property/287515/E5E94A7B317453288C9B864E5C8FABA88D837291DE675B9C36883E62F16FD7B2</v>
      </c>
      <c r="I2025" t="str">
        <f>HYPERLINK("https://baanknet.com/view-property/287515/E5E94A7B317453288C9B864E5C8FABA88D837291DE675B9C36883E62F16FD7B2", "Open")</f>
        <v>Open</v>
      </c>
      <c r="J2025" t="s">
        <v>3803</v>
      </c>
      <c r="L2025">
        <v>4590000</v>
      </c>
      <c r="M2025">
        <v>459000</v>
      </c>
    </row>
    <row r="2026" spans="1:13" x14ac:dyDescent="0.25">
      <c r="A2026" t="s">
        <v>6928</v>
      </c>
      <c r="B2026" t="s">
        <v>6929</v>
      </c>
      <c r="C2026" t="s">
        <v>594</v>
      </c>
      <c r="D2026" t="s">
        <v>6930</v>
      </c>
      <c r="E2026" t="s">
        <v>596</v>
      </c>
      <c r="F2026" t="s">
        <v>574</v>
      </c>
      <c r="G2026" t="s">
        <v>6931</v>
      </c>
      <c r="H2026" t="str">
        <f>HYPERLINK("https://baanknet.com/view-property/261453/767D3795A9BBADBA83B7250E1A61485413C45EB7B17B46D98A4779718CA3E62F", "https://baanknet.com/view-property/261453/767D3795A9BBADBA83B7250E1A61485413C45EB7B17B46D98A4779718CA3E62F")</f>
        <v>https://baanknet.com/view-property/261453/767D3795A9BBADBA83B7250E1A61485413C45EB7B17B46D98A4779718CA3E62F</v>
      </c>
      <c r="I2026" t="str">
        <f>HYPERLINK("https://baanknet.com/view-property/261453/767D3795A9BBADBA83B7250E1A61485413C45EB7B17B46D98A4779718CA3E62F", "Open")</f>
        <v>Open</v>
      </c>
      <c r="J2026" t="s">
        <v>3803</v>
      </c>
      <c r="L2026">
        <v>1985000</v>
      </c>
      <c r="M2026">
        <v>198500</v>
      </c>
    </row>
    <row r="2027" spans="1:13" x14ac:dyDescent="0.25">
      <c r="A2027" t="s">
        <v>6932</v>
      </c>
      <c r="B2027" t="s">
        <v>6933</v>
      </c>
      <c r="C2027" t="s">
        <v>594</v>
      </c>
      <c r="D2027" t="s">
        <v>6934</v>
      </c>
      <c r="E2027" t="s">
        <v>596</v>
      </c>
      <c r="F2027" t="s">
        <v>574</v>
      </c>
      <c r="G2027" t="s">
        <v>6935</v>
      </c>
      <c r="H2027" t="str">
        <f>HYPERLINK("https://baanknet.com/view-property/236468/69293292A51AB3FC1383E9399FDF4BA55584CD10EFA4C87B67EC86BC2BB0CD10", "https://baanknet.com/view-property/236468/69293292A51AB3FC1383E9399FDF4BA55584CD10EFA4C87B67EC86BC2BB0CD10")</f>
        <v>https://baanknet.com/view-property/236468/69293292A51AB3FC1383E9399FDF4BA55584CD10EFA4C87B67EC86BC2BB0CD10</v>
      </c>
      <c r="I2027" t="str">
        <f>HYPERLINK("https://baanknet.com/view-property/236468/69293292A51AB3FC1383E9399FDF4BA55584CD10EFA4C87B67EC86BC2BB0CD10", "Open")</f>
        <v>Open</v>
      </c>
      <c r="J2027" t="s">
        <v>3803</v>
      </c>
      <c r="L2027">
        <v>882100</v>
      </c>
      <c r="M2027">
        <v>88210</v>
      </c>
    </row>
    <row r="2028" spans="1:13" x14ac:dyDescent="0.25">
      <c r="A2028" t="s">
        <v>6936</v>
      </c>
      <c r="B2028" t="s">
        <v>6937</v>
      </c>
      <c r="C2028" t="s">
        <v>594</v>
      </c>
      <c r="D2028" t="s">
        <v>6938</v>
      </c>
      <c r="E2028" t="s">
        <v>596</v>
      </c>
      <c r="F2028" t="s">
        <v>574</v>
      </c>
      <c r="G2028" t="s">
        <v>6939</v>
      </c>
      <c r="H2028" t="str">
        <f>HYPERLINK("https://baanknet.com/view-property/83655/4DA8B1F6B26F70FCD62FC7437CB429B60A58253B5B45B63FFEF342E76A64F2DB", "https://baanknet.com/view-property/83655/4DA8B1F6B26F70FCD62FC7437CB429B60A58253B5B45B63FFEF342E76A64F2DB")</f>
        <v>https://baanknet.com/view-property/83655/4DA8B1F6B26F70FCD62FC7437CB429B60A58253B5B45B63FFEF342E76A64F2DB</v>
      </c>
      <c r="I2028" t="str">
        <f>HYPERLINK("https://baanknet.com/view-property/83655/4DA8B1F6B26F70FCD62FC7437CB429B60A58253B5B45B63FFEF342E76A64F2DB", "Open")</f>
        <v>Open</v>
      </c>
      <c r="J2028" t="s">
        <v>3803</v>
      </c>
      <c r="L2028">
        <v>1090000</v>
      </c>
      <c r="M2028">
        <v>109000</v>
      </c>
    </row>
    <row r="2029" spans="1:13" x14ac:dyDescent="0.25">
      <c r="A2029" t="s">
        <v>6940</v>
      </c>
      <c r="B2029" t="s">
        <v>6941</v>
      </c>
      <c r="C2029" t="s">
        <v>594</v>
      </c>
      <c r="D2029" t="s">
        <v>6934</v>
      </c>
      <c r="E2029" t="s">
        <v>596</v>
      </c>
      <c r="F2029" t="s">
        <v>574</v>
      </c>
      <c r="G2029" t="s">
        <v>6942</v>
      </c>
      <c r="H2029" t="str">
        <f>HYPERLINK("https://baanknet.com/view-property/270405/7294585D3162545A1431BA3D5510F7D731E5161240CB26306A8B16B9CFC9751F", "https://baanknet.com/view-property/270405/7294585D3162545A1431BA3D5510F7D731E5161240CB26306A8B16B9CFC9751F")</f>
        <v>https://baanknet.com/view-property/270405/7294585D3162545A1431BA3D5510F7D731E5161240CB26306A8B16B9CFC9751F</v>
      </c>
      <c r="I2029" t="str">
        <f>HYPERLINK("https://baanknet.com/view-property/270405/7294585D3162545A1431BA3D5510F7D731E5161240CB26306A8B16B9CFC9751F", "Open")</f>
        <v>Open</v>
      </c>
      <c r="J2029" t="s">
        <v>3803</v>
      </c>
      <c r="L2029">
        <v>3098000</v>
      </c>
      <c r="M2029">
        <v>309800</v>
      </c>
    </row>
    <row r="2030" spans="1:13" x14ac:dyDescent="0.25">
      <c r="A2030" t="s">
        <v>6943</v>
      </c>
      <c r="B2030" t="s">
        <v>6944</v>
      </c>
      <c r="C2030" t="s">
        <v>594</v>
      </c>
      <c r="D2030" t="s">
        <v>4395</v>
      </c>
      <c r="E2030" t="s">
        <v>596</v>
      </c>
      <c r="F2030" t="s">
        <v>574</v>
      </c>
      <c r="G2030" t="s">
        <v>6945</v>
      </c>
      <c r="H2030" t="str">
        <f>HYPERLINK("https://baanknet.com/view-property/272917/DFC2119440AC9A8897CF86480E72CAB4D71078B4E53945AB6D6E5C7B2E33B3E8", "https://baanknet.com/view-property/272917/DFC2119440AC9A8897CF86480E72CAB4D71078B4E53945AB6D6E5C7B2E33B3E8")</f>
        <v>https://baanknet.com/view-property/272917/DFC2119440AC9A8897CF86480E72CAB4D71078B4E53945AB6D6E5C7B2E33B3E8</v>
      </c>
      <c r="I2030" t="str">
        <f>HYPERLINK("https://baanknet.com/view-property/272917/DFC2119440AC9A8897CF86480E72CAB4D71078B4E53945AB6D6E5C7B2E33B3E8", "Open")</f>
        <v>Open</v>
      </c>
      <c r="J2030" t="s">
        <v>3803</v>
      </c>
      <c r="L2030">
        <v>630000</v>
      </c>
      <c r="M2030">
        <v>63000</v>
      </c>
    </row>
    <row r="2031" spans="1:13" x14ac:dyDescent="0.25">
      <c r="A2031" t="s">
        <v>6946</v>
      </c>
      <c r="B2031" t="s">
        <v>6947</v>
      </c>
      <c r="C2031" t="s">
        <v>594</v>
      </c>
      <c r="D2031" t="s">
        <v>6934</v>
      </c>
      <c r="E2031" t="s">
        <v>596</v>
      </c>
      <c r="F2031" t="s">
        <v>574</v>
      </c>
      <c r="G2031" t="s">
        <v>6948</v>
      </c>
      <c r="H2031" t="str">
        <f>HYPERLINK("https://baanknet.com/view-property/246208/25C648DA1B9510B64350B6558588CB6674DC1861B305B414E9C58245C4445D83", "https://baanknet.com/view-property/246208/25C648DA1B9510B64350B6558588CB6674DC1861B305B414E9C58245C4445D83")</f>
        <v>https://baanknet.com/view-property/246208/25C648DA1B9510B64350B6558588CB6674DC1861B305B414E9C58245C4445D83</v>
      </c>
      <c r="I2031" t="str">
        <f>HYPERLINK("https://baanknet.com/view-property/246208/25C648DA1B9510B64350B6558588CB6674DC1861B305B414E9C58245C4445D83", "Open")</f>
        <v>Open</v>
      </c>
      <c r="J2031" t="s">
        <v>3803</v>
      </c>
      <c r="L2031">
        <v>2675100</v>
      </c>
      <c r="M2031">
        <v>267510</v>
      </c>
    </row>
    <row r="2032" spans="1:13" x14ac:dyDescent="0.25">
      <c r="A2032" t="s">
        <v>6949</v>
      </c>
      <c r="B2032" t="s">
        <v>6950</v>
      </c>
      <c r="C2032" t="s">
        <v>594</v>
      </c>
      <c r="D2032" t="s">
        <v>6951</v>
      </c>
      <c r="E2032" t="s">
        <v>596</v>
      </c>
      <c r="F2032" t="s">
        <v>574</v>
      </c>
      <c r="G2032" t="s">
        <v>6952</v>
      </c>
      <c r="H2032" t="str">
        <f>HYPERLINK("https://baanknet.com/view-property/86620/C21AF0BF02F110D49531087645A4340B5A9C8E2DA2DA2051462AC065DC2DAA0D", "https://baanknet.com/view-property/86620/C21AF0BF02F110D49531087645A4340B5A9C8E2DA2DA2051462AC065DC2DAA0D")</f>
        <v>https://baanknet.com/view-property/86620/C21AF0BF02F110D49531087645A4340B5A9C8E2DA2DA2051462AC065DC2DAA0D</v>
      </c>
      <c r="I2032" t="str">
        <f>HYPERLINK("https://baanknet.com/view-property/86620/C21AF0BF02F110D49531087645A4340B5A9C8E2DA2DA2051462AC065DC2DAA0D", "Open")</f>
        <v>Open</v>
      </c>
      <c r="J2032" t="s">
        <v>3803</v>
      </c>
      <c r="L2032">
        <v>2003000</v>
      </c>
      <c r="M2032">
        <v>200300</v>
      </c>
    </row>
    <row r="2033" spans="1:13" x14ac:dyDescent="0.25">
      <c r="A2033" t="s">
        <v>6953</v>
      </c>
      <c r="B2033" t="s">
        <v>6954</v>
      </c>
      <c r="C2033" t="s">
        <v>594</v>
      </c>
      <c r="D2033" t="s">
        <v>4391</v>
      </c>
      <c r="E2033" t="s">
        <v>596</v>
      </c>
      <c r="F2033" t="s">
        <v>574</v>
      </c>
      <c r="G2033" t="s">
        <v>6955</v>
      </c>
      <c r="H2033" t="str">
        <f>HYPERLINK("https://baanknet.com/view-property/270648/80438375C394C488C98B2E59343EB690AF209110674D2BEA2D292E5D94E1C026", "https://baanknet.com/view-property/270648/80438375C394C488C98B2E59343EB690AF209110674D2BEA2D292E5D94E1C026")</f>
        <v>https://baanknet.com/view-property/270648/80438375C394C488C98B2E59343EB690AF209110674D2BEA2D292E5D94E1C026</v>
      </c>
      <c r="I2033" t="str">
        <f>HYPERLINK("https://baanknet.com/view-property/270648/80438375C394C488C98B2E59343EB690AF209110674D2BEA2D292E5D94E1C026", "Open")</f>
        <v>Open</v>
      </c>
      <c r="J2033" t="s">
        <v>3803</v>
      </c>
      <c r="L2033">
        <v>2582000</v>
      </c>
      <c r="M2033">
        <v>258200</v>
      </c>
    </row>
    <row r="2034" spans="1:13" x14ac:dyDescent="0.25">
      <c r="A2034" t="s">
        <v>6956</v>
      </c>
      <c r="B2034" t="s">
        <v>6957</v>
      </c>
      <c r="C2034" t="s">
        <v>594</v>
      </c>
      <c r="D2034" t="s">
        <v>4888</v>
      </c>
      <c r="E2034" t="s">
        <v>596</v>
      </c>
      <c r="F2034" t="s">
        <v>574</v>
      </c>
      <c r="G2034" t="s">
        <v>6958</v>
      </c>
      <c r="H2034" t="str">
        <f>HYPERLINK("https://baanknet.com/view-property/287887/79A8CC923CE73450D53C841B564921751D07BD1C0C94AB66A7302B703C165D22", "https://baanknet.com/view-property/287887/79A8CC923CE73450D53C841B564921751D07BD1C0C94AB66A7302B703C165D22")</f>
        <v>https://baanknet.com/view-property/287887/79A8CC923CE73450D53C841B564921751D07BD1C0C94AB66A7302B703C165D22</v>
      </c>
      <c r="I2034" t="str">
        <f>HYPERLINK("https://baanknet.com/view-property/287887/79A8CC923CE73450D53C841B564921751D07BD1C0C94AB66A7302B703C165D22", "Open")</f>
        <v>Open</v>
      </c>
      <c r="J2034" t="s">
        <v>3803</v>
      </c>
      <c r="L2034">
        <v>1969500</v>
      </c>
      <c r="M2034">
        <v>196950</v>
      </c>
    </row>
    <row r="2035" spans="1:13" x14ac:dyDescent="0.25">
      <c r="A2035" t="s">
        <v>6959</v>
      </c>
      <c r="B2035" t="s">
        <v>6960</v>
      </c>
      <c r="C2035" t="s">
        <v>594</v>
      </c>
      <c r="D2035" t="s">
        <v>2658</v>
      </c>
      <c r="E2035" t="s">
        <v>596</v>
      </c>
      <c r="F2035" t="s">
        <v>574</v>
      </c>
      <c r="G2035" t="s">
        <v>6961</v>
      </c>
      <c r="H2035" t="str">
        <f>HYPERLINK("https://baanknet.com/view-property/250304/3768FB972E88287554097B7889E68D3504B8B580012021B082F3F70B73784CCD", "https://baanknet.com/view-property/250304/3768FB972E88287554097B7889E68D3504B8B580012021B082F3F70B73784CCD")</f>
        <v>https://baanknet.com/view-property/250304/3768FB972E88287554097B7889E68D3504B8B580012021B082F3F70B73784CCD</v>
      </c>
      <c r="I2035" t="str">
        <f>HYPERLINK("https://baanknet.com/view-property/250304/3768FB972E88287554097B7889E68D3504B8B580012021B082F3F70B73784CCD", "Open")</f>
        <v>Open</v>
      </c>
      <c r="J2035" t="s">
        <v>3803</v>
      </c>
      <c r="L2035">
        <v>2687400</v>
      </c>
      <c r="M2035">
        <v>268740</v>
      </c>
    </row>
    <row r="2036" spans="1:13" x14ac:dyDescent="0.25">
      <c r="A2036" t="s">
        <v>6962</v>
      </c>
      <c r="B2036" t="s">
        <v>6963</v>
      </c>
      <c r="C2036" t="s">
        <v>594</v>
      </c>
      <c r="D2036" t="s">
        <v>2658</v>
      </c>
      <c r="E2036" t="s">
        <v>596</v>
      </c>
      <c r="F2036" t="s">
        <v>574</v>
      </c>
      <c r="G2036" t="s">
        <v>6964</v>
      </c>
      <c r="H2036" t="str">
        <f>HYPERLINK("https://baanknet.com/view-property/213915/CAF1458D18E3943CF28CE7D6411AEB6989781346F8657601E56E917D4A5FC235", "https://baanknet.com/view-property/213915/CAF1458D18E3943CF28CE7D6411AEB6989781346F8657601E56E917D4A5FC235")</f>
        <v>https://baanknet.com/view-property/213915/CAF1458D18E3943CF28CE7D6411AEB6989781346F8657601E56E917D4A5FC235</v>
      </c>
      <c r="I2036" t="str">
        <f>HYPERLINK("https://baanknet.com/view-property/213915/CAF1458D18E3943CF28CE7D6411AEB6989781346F8657601E56E917D4A5FC235", "Open")</f>
        <v>Open</v>
      </c>
      <c r="J2036" t="s">
        <v>3803</v>
      </c>
      <c r="L2036">
        <v>1653000</v>
      </c>
      <c r="M2036">
        <v>165300</v>
      </c>
    </row>
    <row r="2037" spans="1:13" x14ac:dyDescent="0.25">
      <c r="A2037" t="s">
        <v>6965</v>
      </c>
      <c r="B2037" t="s">
        <v>6966</v>
      </c>
      <c r="C2037" t="s">
        <v>594</v>
      </c>
      <c r="D2037" t="s">
        <v>6967</v>
      </c>
      <c r="E2037" t="s">
        <v>596</v>
      </c>
      <c r="F2037" t="s">
        <v>574</v>
      </c>
      <c r="G2037" t="s">
        <v>6968</v>
      </c>
      <c r="H2037" t="str">
        <f>HYPERLINK("https://baanknet.com/view-property/287911/B8294EB9E4DA52F01B99A9389FDDC836F2C9535BC9E47E2EB8498ECDE0875487", "https://baanknet.com/view-property/287911/B8294EB9E4DA52F01B99A9389FDDC836F2C9535BC9E47E2EB8498ECDE0875487")</f>
        <v>https://baanknet.com/view-property/287911/B8294EB9E4DA52F01B99A9389FDDC836F2C9535BC9E47E2EB8498ECDE0875487</v>
      </c>
      <c r="I2037" t="str">
        <f>HYPERLINK("https://baanknet.com/view-property/287911/B8294EB9E4DA52F01B99A9389FDDC836F2C9535BC9E47E2EB8498ECDE0875487", "Open")</f>
        <v>Open</v>
      </c>
      <c r="J2037" t="s">
        <v>3803</v>
      </c>
      <c r="L2037">
        <v>4336000</v>
      </c>
      <c r="M2037">
        <v>433600</v>
      </c>
    </row>
    <row r="2038" spans="1:13" x14ac:dyDescent="0.25">
      <c r="A2038" t="s">
        <v>6969</v>
      </c>
      <c r="B2038" t="s">
        <v>6970</v>
      </c>
      <c r="C2038" t="s">
        <v>594</v>
      </c>
      <c r="D2038" t="s">
        <v>1943</v>
      </c>
      <c r="E2038" t="s">
        <v>596</v>
      </c>
      <c r="F2038" t="s">
        <v>574</v>
      </c>
      <c r="G2038" t="s">
        <v>6971</v>
      </c>
      <c r="H2038" t="str">
        <f>HYPERLINK("https://baanknet.com/view-property/213916/D44583A474E49B00685DDFA372AB18A34136226AF2F63438A1AEA7E440332221", "https://baanknet.com/view-property/213916/D44583A474E49B00685DDFA372AB18A34136226AF2F63438A1AEA7E440332221")</f>
        <v>https://baanknet.com/view-property/213916/D44583A474E49B00685DDFA372AB18A34136226AF2F63438A1AEA7E440332221</v>
      </c>
      <c r="I2038" t="str">
        <f>HYPERLINK("https://baanknet.com/view-property/213916/D44583A474E49B00685DDFA372AB18A34136226AF2F63438A1AEA7E440332221", "Open")</f>
        <v>Open</v>
      </c>
      <c r="J2038" t="s">
        <v>3803</v>
      </c>
      <c r="L2038">
        <v>2016000</v>
      </c>
      <c r="M2038">
        <v>201600</v>
      </c>
    </row>
    <row r="2039" spans="1:13" x14ac:dyDescent="0.25">
      <c r="A2039" t="s">
        <v>6972</v>
      </c>
      <c r="B2039" t="s">
        <v>6973</v>
      </c>
      <c r="C2039" t="s">
        <v>594</v>
      </c>
      <c r="D2039" t="s">
        <v>6974</v>
      </c>
      <c r="E2039" t="s">
        <v>596</v>
      </c>
      <c r="F2039" t="s">
        <v>574</v>
      </c>
      <c r="G2039" t="s">
        <v>6975</v>
      </c>
      <c r="H2039" t="str">
        <f>HYPERLINK("https://baanknet.com/view-property/287895/C8225D14E7869DEA1F978ACAA94EC72585B6429E1B8D349E8363B4F266D5C99D", "https://baanknet.com/view-property/287895/C8225D14E7869DEA1F978ACAA94EC72585B6429E1B8D349E8363B4F266D5C99D")</f>
        <v>https://baanknet.com/view-property/287895/C8225D14E7869DEA1F978ACAA94EC72585B6429E1B8D349E8363B4F266D5C99D</v>
      </c>
      <c r="I2039" t="str">
        <f>HYPERLINK("https://baanknet.com/view-property/287895/C8225D14E7869DEA1F978ACAA94EC72585B6429E1B8D349E8363B4F266D5C99D", "Open")</f>
        <v>Open</v>
      </c>
      <c r="J2039" t="s">
        <v>3803</v>
      </c>
      <c r="L2039">
        <v>6012500</v>
      </c>
      <c r="M2039">
        <v>601250</v>
      </c>
    </row>
    <row r="2040" spans="1:13" x14ac:dyDescent="0.25">
      <c r="A2040" t="s">
        <v>6976</v>
      </c>
      <c r="B2040" t="s">
        <v>6977</v>
      </c>
      <c r="C2040" t="s">
        <v>594</v>
      </c>
      <c r="D2040" t="s">
        <v>2658</v>
      </c>
      <c r="E2040" t="s">
        <v>596</v>
      </c>
      <c r="F2040" t="s">
        <v>574</v>
      </c>
      <c r="G2040" t="s">
        <v>6978</v>
      </c>
      <c r="H2040" t="str">
        <f>HYPERLINK("https://baanknet.com/view-property/212178/E7113C39BAA939C261D1E79D714DA3F0CA39052A3E110E3C63928934D4595BCC", "https://baanknet.com/view-property/212178/E7113C39BAA939C261D1E79D714DA3F0CA39052A3E110E3C63928934D4595BCC")</f>
        <v>https://baanknet.com/view-property/212178/E7113C39BAA939C261D1E79D714DA3F0CA39052A3E110E3C63928934D4595BCC</v>
      </c>
      <c r="I2040" t="str">
        <f>HYPERLINK("https://baanknet.com/view-property/212178/E7113C39BAA939C261D1E79D714DA3F0CA39052A3E110E3C63928934D4595BCC", "Open")</f>
        <v>Open</v>
      </c>
      <c r="J2040" t="s">
        <v>3803</v>
      </c>
      <c r="L2040">
        <v>2764000</v>
      </c>
      <c r="M2040">
        <v>276400</v>
      </c>
    </row>
    <row r="2041" spans="1:13" x14ac:dyDescent="0.25">
      <c r="A2041" t="s">
        <v>6979</v>
      </c>
      <c r="B2041" t="s">
        <v>6980</v>
      </c>
      <c r="C2041" t="s">
        <v>594</v>
      </c>
      <c r="D2041" t="s">
        <v>102</v>
      </c>
      <c r="E2041" t="s">
        <v>596</v>
      </c>
      <c r="F2041" t="s">
        <v>574</v>
      </c>
      <c r="G2041" t="s">
        <v>6981</v>
      </c>
      <c r="H2041" t="str">
        <f>HYPERLINK("https://baanknet.com/view-property/287915/BD80E310DE96711FFCEF59900AC2F7A330F4A6BE08E7864CAC8A223E6E4E8D5F", "https://baanknet.com/view-property/287915/BD80E310DE96711FFCEF59900AC2F7A330F4A6BE08E7864CAC8A223E6E4E8D5F")</f>
        <v>https://baanknet.com/view-property/287915/BD80E310DE96711FFCEF59900AC2F7A330F4A6BE08E7864CAC8A223E6E4E8D5F</v>
      </c>
      <c r="I2041" t="str">
        <f>HYPERLINK("https://baanknet.com/view-property/287915/BD80E310DE96711FFCEF59900AC2F7A330F4A6BE08E7864CAC8A223E6E4E8D5F", "Open")</f>
        <v>Open</v>
      </c>
      <c r="J2041" t="s">
        <v>3803</v>
      </c>
      <c r="L2041">
        <v>758200</v>
      </c>
      <c r="M2041">
        <v>75820</v>
      </c>
    </row>
    <row r="2042" spans="1:13" x14ac:dyDescent="0.25">
      <c r="A2042" t="s">
        <v>6982</v>
      </c>
      <c r="B2042" t="s">
        <v>6983</v>
      </c>
      <c r="C2042" t="s">
        <v>594</v>
      </c>
      <c r="D2042" t="s">
        <v>6984</v>
      </c>
      <c r="E2042" t="s">
        <v>596</v>
      </c>
      <c r="F2042" t="s">
        <v>574</v>
      </c>
      <c r="G2042" t="s">
        <v>6985</v>
      </c>
      <c r="H2042" t="str">
        <f>HYPERLINK("https://baanknet.com/view-property/286776/B924B514EB382F94DA823C66B13DC503236289D6F73204F926F13E4E2AA4DE72", "https://baanknet.com/view-property/286776/B924B514EB382F94DA823C66B13DC503236289D6F73204F926F13E4E2AA4DE72")</f>
        <v>https://baanknet.com/view-property/286776/B924B514EB382F94DA823C66B13DC503236289D6F73204F926F13E4E2AA4DE72</v>
      </c>
      <c r="I2042" t="str">
        <f>HYPERLINK("https://baanknet.com/view-property/286776/B924B514EB382F94DA823C66B13DC503236289D6F73204F926F13E4E2AA4DE72", "Open")</f>
        <v>Open</v>
      </c>
      <c r="J2042" t="s">
        <v>3803</v>
      </c>
      <c r="L2042">
        <v>3380000</v>
      </c>
      <c r="M2042">
        <v>338000</v>
      </c>
    </row>
    <row r="2043" spans="1:13" x14ac:dyDescent="0.25">
      <c r="A2043" t="s">
        <v>6986</v>
      </c>
      <c r="B2043" t="s">
        <v>6987</v>
      </c>
      <c r="C2043" t="s">
        <v>594</v>
      </c>
      <c r="D2043" t="s">
        <v>6988</v>
      </c>
      <c r="E2043" t="s">
        <v>596</v>
      </c>
      <c r="F2043" t="s">
        <v>574</v>
      </c>
      <c r="G2043" t="s">
        <v>6989</v>
      </c>
      <c r="H2043" t="str">
        <f>HYPERLINK("https://baanknet.com/view-property/287099/83F33BCD67301CB160577FC222ABFE3EA038C70B0E1D5648FA2414B3A23A92E8", "https://baanknet.com/view-property/287099/83F33BCD67301CB160577FC222ABFE3EA038C70B0E1D5648FA2414B3A23A92E8")</f>
        <v>https://baanknet.com/view-property/287099/83F33BCD67301CB160577FC222ABFE3EA038C70B0E1D5648FA2414B3A23A92E8</v>
      </c>
      <c r="I2043" t="str">
        <f>HYPERLINK("https://baanknet.com/view-property/287099/83F33BCD67301CB160577FC222ABFE3EA038C70B0E1D5648FA2414B3A23A92E8", "Open")</f>
        <v>Open</v>
      </c>
      <c r="J2043" t="s">
        <v>3803</v>
      </c>
      <c r="L2043">
        <v>3276000</v>
      </c>
      <c r="M2043">
        <v>327600</v>
      </c>
    </row>
    <row r="2044" spans="1:13" x14ac:dyDescent="0.25">
      <c r="A2044" t="s">
        <v>6990</v>
      </c>
      <c r="B2044" t="s">
        <v>6991</v>
      </c>
      <c r="C2044" t="s">
        <v>594</v>
      </c>
      <c r="D2044" t="s">
        <v>6992</v>
      </c>
      <c r="E2044" t="s">
        <v>596</v>
      </c>
      <c r="F2044" t="s">
        <v>574</v>
      </c>
      <c r="G2044" t="s">
        <v>6993</v>
      </c>
      <c r="H2044" t="str">
        <f>HYPERLINK("https://baanknet.com/view-property/287092/5B677B957168494D167603BF683514F83B02707B1AB7F36608209087262FC433", "https://baanknet.com/view-property/287092/5B677B957168494D167603BF683514F83B02707B1AB7F36608209087262FC433")</f>
        <v>https://baanknet.com/view-property/287092/5B677B957168494D167603BF683514F83B02707B1AB7F36608209087262FC433</v>
      </c>
      <c r="I2044" t="str">
        <f>HYPERLINK("https://baanknet.com/view-property/287092/5B677B957168494D167603BF683514F83B02707B1AB7F36608209087262FC433", "Open")</f>
        <v>Open</v>
      </c>
      <c r="J2044" t="s">
        <v>3803</v>
      </c>
      <c r="L2044">
        <v>1275000</v>
      </c>
      <c r="M2044">
        <v>127500</v>
      </c>
    </row>
    <row r="2045" spans="1:13" x14ac:dyDescent="0.25">
      <c r="A2045" t="s">
        <v>6994</v>
      </c>
      <c r="B2045" t="s">
        <v>6995</v>
      </c>
      <c r="C2045" t="s">
        <v>594</v>
      </c>
      <c r="D2045" t="s">
        <v>415</v>
      </c>
      <c r="E2045" t="s">
        <v>596</v>
      </c>
      <c r="F2045" t="s">
        <v>574</v>
      </c>
      <c r="G2045" t="s">
        <v>6996</v>
      </c>
      <c r="H2045" t="str">
        <f>HYPERLINK("https://baanknet.com/view-property/276746/95834EA69259E21FF5444536E39CDD9BF78B5B6796341515FCEF3CBB183B6442", "https://baanknet.com/view-property/276746/95834EA69259E21FF5444536E39CDD9BF78B5B6796341515FCEF3CBB183B6442")</f>
        <v>https://baanknet.com/view-property/276746/95834EA69259E21FF5444536E39CDD9BF78B5B6796341515FCEF3CBB183B6442</v>
      </c>
      <c r="I2045" t="str">
        <f>HYPERLINK("https://baanknet.com/view-property/276746/95834EA69259E21FF5444536E39CDD9BF78B5B6796341515FCEF3CBB183B6442", "Open")</f>
        <v>Open</v>
      </c>
      <c r="J2045" t="s">
        <v>3803</v>
      </c>
      <c r="L2045">
        <v>2950000</v>
      </c>
      <c r="M2045">
        <v>295000</v>
      </c>
    </row>
    <row r="2046" spans="1:13" x14ac:dyDescent="0.25">
      <c r="A2046" t="s">
        <v>6997</v>
      </c>
      <c r="B2046" t="s">
        <v>6998</v>
      </c>
      <c r="C2046" t="s">
        <v>594</v>
      </c>
      <c r="D2046" t="s">
        <v>4329</v>
      </c>
      <c r="E2046" t="s">
        <v>596</v>
      </c>
      <c r="F2046" t="s">
        <v>574</v>
      </c>
      <c r="G2046" t="s">
        <v>6999</v>
      </c>
      <c r="H2046" t="str">
        <f>HYPERLINK("https://baanknet.com/view-property/223718/0AD2BD2E0272C25421091A8F184DFDCC4DA2C17032B29746A9616286DFAD0433", "https://baanknet.com/view-property/223718/0AD2BD2E0272C25421091A8F184DFDCC4DA2C17032B29746A9616286DFAD0433")</f>
        <v>https://baanknet.com/view-property/223718/0AD2BD2E0272C25421091A8F184DFDCC4DA2C17032B29746A9616286DFAD0433</v>
      </c>
      <c r="I2046" t="str">
        <f>HYPERLINK("https://baanknet.com/view-property/223718/0AD2BD2E0272C25421091A8F184DFDCC4DA2C17032B29746A9616286DFAD0433", "Open")</f>
        <v>Open</v>
      </c>
      <c r="J2046" t="s">
        <v>3803</v>
      </c>
      <c r="L2046">
        <v>3500000</v>
      </c>
      <c r="M2046">
        <v>350000</v>
      </c>
    </row>
    <row r="2047" spans="1:13" x14ac:dyDescent="0.25">
      <c r="A2047" t="s">
        <v>7000</v>
      </c>
      <c r="B2047" t="s">
        <v>7001</v>
      </c>
      <c r="C2047" t="s">
        <v>594</v>
      </c>
      <c r="D2047" t="s">
        <v>7002</v>
      </c>
      <c r="E2047" t="s">
        <v>596</v>
      </c>
      <c r="F2047" t="s">
        <v>574</v>
      </c>
      <c r="G2047" t="s">
        <v>7003</v>
      </c>
      <c r="H2047" t="str">
        <f>HYPERLINK("https://baanknet.com/view-property/287087/28A725D37F7F475E37575F7322F389700E2ECFEECA3D3A9CF8C0CB3B36BA891B", "https://baanknet.com/view-property/287087/28A725D37F7F475E37575F7322F389700E2ECFEECA3D3A9CF8C0CB3B36BA891B")</f>
        <v>https://baanknet.com/view-property/287087/28A725D37F7F475E37575F7322F389700E2ECFEECA3D3A9CF8C0CB3B36BA891B</v>
      </c>
      <c r="I2047" t="str">
        <f>HYPERLINK("https://baanknet.com/view-property/287087/28A725D37F7F475E37575F7322F389700E2ECFEECA3D3A9CF8C0CB3B36BA891B", "Open")</f>
        <v>Open</v>
      </c>
      <c r="J2047" t="s">
        <v>3803</v>
      </c>
      <c r="L2047">
        <v>1831000</v>
      </c>
      <c r="M2047">
        <v>183100</v>
      </c>
    </row>
    <row r="2048" spans="1:13" x14ac:dyDescent="0.25">
      <c r="A2048" t="s">
        <v>7004</v>
      </c>
      <c r="B2048" t="s">
        <v>7005</v>
      </c>
      <c r="C2048" t="s">
        <v>594</v>
      </c>
      <c r="D2048" t="s">
        <v>7006</v>
      </c>
      <c r="E2048" t="s">
        <v>596</v>
      </c>
      <c r="F2048" t="s">
        <v>574</v>
      </c>
      <c r="G2048" t="s">
        <v>7007</v>
      </c>
      <c r="H2048" t="str">
        <f>HYPERLINK("https://baanknet.com/view-property/109145/38CDE82D4F3050392849D840AE05024F34B4562E45EB289A8A092BAA68B1D412", "https://baanknet.com/view-property/109145/38CDE82D4F3050392849D840AE05024F34B4562E45EB289A8A092BAA68B1D412")</f>
        <v>https://baanknet.com/view-property/109145/38CDE82D4F3050392849D840AE05024F34B4562E45EB289A8A092BAA68B1D412</v>
      </c>
      <c r="I2048" t="str">
        <f>HYPERLINK("https://baanknet.com/view-property/109145/38CDE82D4F3050392849D840AE05024F34B4562E45EB289A8A092BAA68B1D412", "Open")</f>
        <v>Open</v>
      </c>
      <c r="J2048" t="s">
        <v>3803</v>
      </c>
      <c r="L2048">
        <v>5600000</v>
      </c>
      <c r="M2048">
        <v>560000</v>
      </c>
    </row>
    <row r="2049" spans="1:13" x14ac:dyDescent="0.25">
      <c r="A2049" t="s">
        <v>7008</v>
      </c>
      <c r="B2049" t="s">
        <v>7009</v>
      </c>
      <c r="C2049" t="s">
        <v>594</v>
      </c>
      <c r="D2049" t="s">
        <v>7006</v>
      </c>
      <c r="E2049" t="s">
        <v>596</v>
      </c>
      <c r="F2049" t="s">
        <v>574</v>
      </c>
      <c r="G2049" t="s">
        <v>7010</v>
      </c>
      <c r="H2049" t="str">
        <f>HYPERLINK("https://baanknet.com/view-property/109155/CDDE9E188FFC8CE66F4F4B6026CD8751182AA42F909517954F7B812DED1A4E0C", "https://baanknet.com/view-property/109155/CDDE9E188FFC8CE66F4F4B6026CD8751182AA42F909517954F7B812DED1A4E0C")</f>
        <v>https://baanknet.com/view-property/109155/CDDE9E188FFC8CE66F4F4B6026CD8751182AA42F909517954F7B812DED1A4E0C</v>
      </c>
      <c r="I2049" t="str">
        <f>HYPERLINK("https://baanknet.com/view-property/109155/CDDE9E188FFC8CE66F4F4B6026CD8751182AA42F909517954F7B812DED1A4E0C", "Open")</f>
        <v>Open</v>
      </c>
      <c r="J2049" t="s">
        <v>3803</v>
      </c>
      <c r="L2049">
        <v>12459000</v>
      </c>
      <c r="M2049">
        <v>1245900</v>
      </c>
    </row>
    <row r="2050" spans="1:13" x14ac:dyDescent="0.25">
      <c r="A2050" t="s">
        <v>7011</v>
      </c>
      <c r="B2050" t="s">
        <v>7012</v>
      </c>
      <c r="C2050" t="s">
        <v>594</v>
      </c>
      <c r="D2050" t="s">
        <v>393</v>
      </c>
      <c r="E2050" t="s">
        <v>596</v>
      </c>
      <c r="F2050" t="s">
        <v>574</v>
      </c>
      <c r="G2050" t="s">
        <v>7013</v>
      </c>
      <c r="H2050" t="str">
        <f>HYPERLINK("https://baanknet.com/view-property/286858/2900F65A3DAD1292F528B9E417871A8B5CB8E83EC9B54F3E63170DF536C973D4", "https://baanknet.com/view-property/286858/2900F65A3DAD1292F528B9E417871A8B5CB8E83EC9B54F3E63170DF536C973D4")</f>
        <v>https://baanknet.com/view-property/286858/2900F65A3DAD1292F528B9E417871A8B5CB8E83EC9B54F3E63170DF536C973D4</v>
      </c>
      <c r="I2050" t="str">
        <f>HYPERLINK("https://baanknet.com/view-property/286858/2900F65A3DAD1292F528B9E417871A8B5CB8E83EC9B54F3E63170DF536C973D4", "Open")</f>
        <v>Open</v>
      </c>
      <c r="J2050" t="s">
        <v>3803</v>
      </c>
      <c r="L2050">
        <v>2036000</v>
      </c>
      <c r="M2050">
        <v>203600</v>
      </c>
    </row>
    <row r="2051" spans="1:13" x14ac:dyDescent="0.25">
      <c r="A2051" t="s">
        <v>7014</v>
      </c>
      <c r="B2051" t="s">
        <v>7015</v>
      </c>
      <c r="C2051" t="s">
        <v>594</v>
      </c>
      <c r="D2051" t="s">
        <v>324</v>
      </c>
      <c r="E2051" t="s">
        <v>596</v>
      </c>
      <c r="F2051" t="s">
        <v>574</v>
      </c>
      <c r="G2051" t="s">
        <v>7016</v>
      </c>
      <c r="H2051" t="str">
        <f>HYPERLINK("https://baanknet.com/view-property/255480/D6C1B8CA3E92E899F3D56CEBA88D99CEE68B8E986BFA6C8C918FBE6E3F3116DD", "https://baanknet.com/view-property/255480/D6C1B8CA3E92E899F3D56CEBA88D99CEE68B8E986BFA6C8C918FBE6E3F3116DD")</f>
        <v>https://baanknet.com/view-property/255480/D6C1B8CA3E92E899F3D56CEBA88D99CEE68B8E986BFA6C8C918FBE6E3F3116DD</v>
      </c>
      <c r="I2051" t="str">
        <f>HYPERLINK("https://baanknet.com/view-property/255480/D6C1B8CA3E92E899F3D56CEBA88D99CEE68B8E986BFA6C8C918FBE6E3F3116DD", "Open")</f>
        <v>Open</v>
      </c>
      <c r="J2051" t="s">
        <v>3803</v>
      </c>
      <c r="L2051">
        <v>22500000</v>
      </c>
      <c r="M2051">
        <v>2250000</v>
      </c>
    </row>
    <row r="2052" spans="1:13" x14ac:dyDescent="0.25">
      <c r="A2052" t="s">
        <v>7017</v>
      </c>
      <c r="B2052" t="s">
        <v>7018</v>
      </c>
      <c r="C2052" t="s">
        <v>594</v>
      </c>
      <c r="D2052" t="s">
        <v>616</v>
      </c>
      <c r="E2052" t="s">
        <v>596</v>
      </c>
      <c r="F2052" t="s">
        <v>574</v>
      </c>
      <c r="G2052" t="s">
        <v>7019</v>
      </c>
      <c r="H2052" t="str">
        <f>HYPERLINK("https://baanknet.com/view-property/287042/323B717C9974AD010863044DDED81D227BAE8E1A94C3DA631F440880CB3914D2", "https://baanknet.com/view-property/287042/323B717C9974AD010863044DDED81D227BAE8E1A94C3DA631F440880CB3914D2")</f>
        <v>https://baanknet.com/view-property/287042/323B717C9974AD010863044DDED81D227BAE8E1A94C3DA631F440880CB3914D2</v>
      </c>
      <c r="I2052" t="str">
        <f>HYPERLINK("https://baanknet.com/view-property/287042/323B717C9974AD010863044DDED81D227BAE8E1A94C3DA631F440880CB3914D2", "Open")</f>
        <v>Open</v>
      </c>
      <c r="J2052" t="s">
        <v>3803</v>
      </c>
      <c r="L2052">
        <v>3550000</v>
      </c>
      <c r="M2052">
        <v>355000</v>
      </c>
    </row>
    <row r="2053" spans="1:13" x14ac:dyDescent="0.25">
      <c r="A2053" t="s">
        <v>7020</v>
      </c>
      <c r="B2053" t="s">
        <v>7021</v>
      </c>
      <c r="C2053" t="s">
        <v>594</v>
      </c>
      <c r="D2053" t="s">
        <v>4714</v>
      </c>
      <c r="E2053" t="s">
        <v>596</v>
      </c>
      <c r="F2053" t="s">
        <v>574</v>
      </c>
      <c r="G2053" t="s">
        <v>7022</v>
      </c>
      <c r="H2053" t="str">
        <f>HYPERLINK("https://baanknet.com/view-property/267605/724273726C95B79EEE440450B19837F4C94ADDEED36AA1E853E2E0EDA0D57DA7", "https://baanknet.com/view-property/267605/724273726C95B79EEE440450B19837F4C94ADDEED36AA1E853E2E0EDA0D57DA7")</f>
        <v>https://baanknet.com/view-property/267605/724273726C95B79EEE440450B19837F4C94ADDEED36AA1E853E2E0EDA0D57DA7</v>
      </c>
      <c r="I2053" t="str">
        <f>HYPERLINK("https://baanknet.com/view-property/267605/724273726C95B79EEE440450B19837F4C94ADDEED36AA1E853E2E0EDA0D57DA7", "Open")</f>
        <v>Open</v>
      </c>
      <c r="J2053" t="s">
        <v>3803</v>
      </c>
      <c r="L2053">
        <v>1220000</v>
      </c>
      <c r="M2053">
        <v>122000</v>
      </c>
    </row>
    <row r="2054" spans="1:13" x14ac:dyDescent="0.25">
      <c r="A2054" t="s">
        <v>7023</v>
      </c>
      <c r="B2054" t="s">
        <v>7024</v>
      </c>
      <c r="C2054" t="s">
        <v>594</v>
      </c>
      <c r="D2054" t="s">
        <v>2163</v>
      </c>
      <c r="E2054" t="s">
        <v>596</v>
      </c>
      <c r="F2054" t="s">
        <v>574</v>
      </c>
      <c r="G2054" t="s">
        <v>7025</v>
      </c>
      <c r="H2054" t="str">
        <f>HYPERLINK("https://baanknet.com/view-property/287286/68F02BBAF163039604664FB3D0DF170F2FD3136FB4AF54AAEF9DCE5C725412A6", "https://baanknet.com/view-property/287286/68F02BBAF163039604664FB3D0DF170F2FD3136FB4AF54AAEF9DCE5C725412A6")</f>
        <v>https://baanknet.com/view-property/287286/68F02BBAF163039604664FB3D0DF170F2FD3136FB4AF54AAEF9DCE5C725412A6</v>
      </c>
      <c r="I2054" t="str">
        <f>HYPERLINK("https://baanknet.com/view-property/287286/68F02BBAF163039604664FB3D0DF170F2FD3136FB4AF54AAEF9DCE5C725412A6", "Open")</f>
        <v>Open</v>
      </c>
      <c r="J2054" t="s">
        <v>3803</v>
      </c>
      <c r="L2054">
        <v>23455000</v>
      </c>
      <c r="M2054">
        <v>2345500</v>
      </c>
    </row>
    <row r="2055" spans="1:13" x14ac:dyDescent="0.25">
      <c r="A2055" t="s">
        <v>7026</v>
      </c>
      <c r="B2055" t="s">
        <v>7027</v>
      </c>
      <c r="C2055" t="s">
        <v>594</v>
      </c>
      <c r="D2055" t="s">
        <v>2163</v>
      </c>
      <c r="E2055" t="s">
        <v>596</v>
      </c>
      <c r="F2055" t="s">
        <v>574</v>
      </c>
      <c r="G2055" t="s">
        <v>7028</v>
      </c>
      <c r="H2055" t="str">
        <f>HYPERLINK("https://baanknet.com/view-property/287380/BDF2DF730261C2020F04F5CF5B1B5ADC4602B6D3762E6A5A08015B5C3B40F1BD", "https://baanknet.com/view-property/287380/BDF2DF730261C2020F04F5CF5B1B5ADC4602B6D3762E6A5A08015B5C3B40F1BD")</f>
        <v>https://baanknet.com/view-property/287380/BDF2DF730261C2020F04F5CF5B1B5ADC4602B6D3762E6A5A08015B5C3B40F1BD</v>
      </c>
      <c r="I2055" t="str">
        <f>HYPERLINK("https://baanknet.com/view-property/287380/BDF2DF730261C2020F04F5CF5B1B5ADC4602B6D3762E6A5A08015B5C3B40F1BD", "Open")</f>
        <v>Open</v>
      </c>
      <c r="J2055" t="s">
        <v>3803</v>
      </c>
      <c r="L2055">
        <v>4836000</v>
      </c>
      <c r="M2055">
        <v>483600</v>
      </c>
    </row>
    <row r="2056" spans="1:13" x14ac:dyDescent="0.25">
      <c r="A2056" t="s">
        <v>7029</v>
      </c>
      <c r="B2056" t="s">
        <v>7030</v>
      </c>
      <c r="C2056" t="s">
        <v>594</v>
      </c>
      <c r="D2056" t="s">
        <v>3879</v>
      </c>
      <c r="E2056" t="s">
        <v>596</v>
      </c>
      <c r="F2056" t="s">
        <v>574</v>
      </c>
      <c r="G2056" t="s">
        <v>7031</v>
      </c>
      <c r="H2056" t="str">
        <f>HYPERLINK("https://baanknet.com/view-property/98003/2124C9C79D2F0777675859B44032C32AA4C8116A957CD6CA2B026087783A337A", "https://baanknet.com/view-property/98003/2124C9C79D2F0777675859B44032C32AA4C8116A957CD6CA2B026087783A337A")</f>
        <v>https://baanknet.com/view-property/98003/2124C9C79D2F0777675859B44032C32AA4C8116A957CD6CA2B026087783A337A</v>
      </c>
      <c r="I2056" t="str">
        <f>HYPERLINK("https://baanknet.com/view-property/98003/2124C9C79D2F0777675859B44032C32AA4C8116A957CD6CA2B026087783A337A", "Open")</f>
        <v>Open</v>
      </c>
      <c r="J2056" t="s">
        <v>3803</v>
      </c>
      <c r="L2056">
        <v>2025000</v>
      </c>
      <c r="M2056">
        <v>202500</v>
      </c>
    </row>
    <row r="2057" spans="1:13" x14ac:dyDescent="0.25">
      <c r="A2057" t="s">
        <v>7032</v>
      </c>
      <c r="B2057" t="s">
        <v>7033</v>
      </c>
      <c r="C2057" t="s">
        <v>594</v>
      </c>
      <c r="D2057" t="s">
        <v>3797</v>
      </c>
      <c r="E2057" t="s">
        <v>596</v>
      </c>
      <c r="F2057" t="s">
        <v>574</v>
      </c>
      <c r="G2057" t="s">
        <v>7034</v>
      </c>
      <c r="H2057" t="str">
        <f>HYPERLINK("https://baanknet.com/view-property/215746/E7681A6828978121602BE77F5A68F4656B72EF1F3BC9805D5FFE31A5FCCE0FF8", "https://baanknet.com/view-property/215746/E7681A6828978121602BE77F5A68F4656B72EF1F3BC9805D5FFE31A5FCCE0FF8")</f>
        <v>https://baanknet.com/view-property/215746/E7681A6828978121602BE77F5A68F4656B72EF1F3BC9805D5FFE31A5FCCE0FF8</v>
      </c>
      <c r="I2057" t="str">
        <f>HYPERLINK("https://baanknet.com/view-property/215746/E7681A6828978121602BE77F5A68F4656B72EF1F3BC9805D5FFE31A5FCCE0FF8", "Open")</f>
        <v>Open</v>
      </c>
      <c r="J2057" t="s">
        <v>3803</v>
      </c>
      <c r="L2057">
        <v>6480000</v>
      </c>
      <c r="M2057">
        <v>648000</v>
      </c>
    </row>
    <row r="2058" spans="1:13" x14ac:dyDescent="0.25">
      <c r="A2058" t="s">
        <v>7035</v>
      </c>
      <c r="B2058" t="s">
        <v>7036</v>
      </c>
      <c r="C2058" t="s">
        <v>594</v>
      </c>
      <c r="D2058" t="s">
        <v>608</v>
      </c>
      <c r="E2058" t="s">
        <v>596</v>
      </c>
      <c r="F2058" t="s">
        <v>574</v>
      </c>
      <c r="G2058" t="s">
        <v>7037</v>
      </c>
      <c r="H2058" t="str">
        <f>HYPERLINK("https://baanknet.com/view-property/271049/5F88A2792A2E9741179F47D2CD704709B9571788DB0BC6E222990A13B06D7A25", "https://baanknet.com/view-property/271049/5F88A2792A2E9741179F47D2CD704709B9571788DB0BC6E222990A13B06D7A25")</f>
        <v>https://baanknet.com/view-property/271049/5F88A2792A2E9741179F47D2CD704709B9571788DB0BC6E222990A13B06D7A25</v>
      </c>
      <c r="I2058" t="str">
        <f>HYPERLINK("https://baanknet.com/view-property/271049/5F88A2792A2E9741179F47D2CD704709B9571788DB0BC6E222990A13B06D7A25", "Open")</f>
        <v>Open</v>
      </c>
      <c r="J2058" t="s">
        <v>3803</v>
      </c>
      <c r="L2058">
        <v>3137000</v>
      </c>
      <c r="M2058">
        <v>313700</v>
      </c>
    </row>
    <row r="2059" spans="1:13" x14ac:dyDescent="0.25">
      <c r="A2059" t="s">
        <v>7038</v>
      </c>
      <c r="B2059" t="s">
        <v>7039</v>
      </c>
      <c r="C2059" t="s">
        <v>594</v>
      </c>
      <c r="D2059" t="s">
        <v>7040</v>
      </c>
      <c r="E2059" t="s">
        <v>596</v>
      </c>
      <c r="F2059" t="s">
        <v>574</v>
      </c>
      <c r="G2059" t="s">
        <v>7041</v>
      </c>
      <c r="H2059" t="str">
        <f>HYPERLINK("https://baanknet.com/view-property/287832/E03A7803C960AE2739E701CD7555F9ECCDD97F1E006FB6099BB936872103C4D6", "https://baanknet.com/view-property/287832/E03A7803C960AE2739E701CD7555F9ECCDD97F1E006FB6099BB936872103C4D6")</f>
        <v>https://baanknet.com/view-property/287832/E03A7803C960AE2739E701CD7555F9ECCDD97F1E006FB6099BB936872103C4D6</v>
      </c>
      <c r="I2059" t="str">
        <f>HYPERLINK("https://baanknet.com/view-property/287832/E03A7803C960AE2739E701CD7555F9ECCDD97F1E006FB6099BB936872103C4D6", "Open")</f>
        <v>Open</v>
      </c>
      <c r="J2059" t="s">
        <v>3803</v>
      </c>
      <c r="L2059">
        <v>11900000</v>
      </c>
      <c r="M2059">
        <v>1190000</v>
      </c>
    </row>
    <row r="2060" spans="1:13" x14ac:dyDescent="0.25">
      <c r="A2060" t="s">
        <v>7042</v>
      </c>
      <c r="B2060" t="s">
        <v>7043</v>
      </c>
      <c r="C2060" t="s">
        <v>594</v>
      </c>
      <c r="D2060" t="s">
        <v>7044</v>
      </c>
      <c r="E2060" t="s">
        <v>596</v>
      </c>
      <c r="F2060" t="s">
        <v>574</v>
      </c>
      <c r="G2060" t="s">
        <v>7045</v>
      </c>
      <c r="H2060" t="str">
        <f>HYPERLINK("https://baanknet.com/view-property/283498/C88A0F7417594730A77936C334BF26DB732EC7C70765901D1C8AA200E3F0D7D6", "https://baanknet.com/view-property/283498/C88A0F7417594730A77936C334BF26DB732EC7C70765901D1C8AA200E3F0D7D6")</f>
        <v>https://baanknet.com/view-property/283498/C88A0F7417594730A77936C334BF26DB732EC7C70765901D1C8AA200E3F0D7D6</v>
      </c>
      <c r="I2060" t="str">
        <f>HYPERLINK("https://baanknet.com/view-property/283498/C88A0F7417594730A77936C334BF26DB732EC7C70765901D1C8AA200E3F0D7D6", "Open")</f>
        <v>Open</v>
      </c>
      <c r="J2060" t="s">
        <v>3803</v>
      </c>
      <c r="L2060">
        <v>1728000</v>
      </c>
      <c r="M2060">
        <v>172800</v>
      </c>
    </row>
    <row r="2061" spans="1:13" x14ac:dyDescent="0.25">
      <c r="A2061" t="s">
        <v>7046</v>
      </c>
      <c r="B2061" t="s">
        <v>7047</v>
      </c>
      <c r="C2061" t="s">
        <v>594</v>
      </c>
      <c r="D2061" t="s">
        <v>950</v>
      </c>
      <c r="E2061" t="s">
        <v>596</v>
      </c>
      <c r="F2061" t="s">
        <v>574</v>
      </c>
      <c r="G2061" t="s">
        <v>7048</v>
      </c>
      <c r="H2061" t="str">
        <f>HYPERLINK("https://baanknet.com/view-property/283509/2C1F31C3E7656E78C4E57864B80113ED2A1CFAF3A6DBBA39A1660A69189C0863", "https://baanknet.com/view-property/283509/2C1F31C3E7656E78C4E57864B80113ED2A1CFAF3A6DBBA39A1660A69189C0863")</f>
        <v>https://baanknet.com/view-property/283509/2C1F31C3E7656E78C4E57864B80113ED2A1CFAF3A6DBBA39A1660A69189C0863</v>
      </c>
      <c r="I2061" t="str">
        <f>HYPERLINK("https://baanknet.com/view-property/283509/2C1F31C3E7656E78C4E57864B80113ED2A1CFAF3A6DBBA39A1660A69189C0863", "Open")</f>
        <v>Open</v>
      </c>
      <c r="J2061" t="s">
        <v>3803</v>
      </c>
      <c r="L2061">
        <v>1935000</v>
      </c>
      <c r="M2061">
        <v>193500</v>
      </c>
    </row>
    <row r="2062" spans="1:13" x14ac:dyDescent="0.25">
      <c r="A2062" t="s">
        <v>7049</v>
      </c>
      <c r="B2062" t="s">
        <v>7050</v>
      </c>
      <c r="C2062" t="s">
        <v>594</v>
      </c>
      <c r="D2062" t="s">
        <v>4814</v>
      </c>
      <c r="E2062" t="s">
        <v>596</v>
      </c>
      <c r="F2062" t="s">
        <v>574</v>
      </c>
      <c r="G2062" t="s">
        <v>7051</v>
      </c>
      <c r="H2062" t="str">
        <f>HYPERLINK("https://baanknet.com/view-property/283515/8F8926BDB9C0A1A64ADB1644FBC43870211DFDE31298E602B815D43264AD39ED", "https://baanknet.com/view-property/283515/8F8926BDB9C0A1A64ADB1644FBC43870211DFDE31298E602B815D43264AD39ED")</f>
        <v>https://baanknet.com/view-property/283515/8F8926BDB9C0A1A64ADB1644FBC43870211DFDE31298E602B815D43264AD39ED</v>
      </c>
      <c r="I2062" t="str">
        <f>HYPERLINK("https://baanknet.com/view-property/283515/8F8926BDB9C0A1A64ADB1644FBC43870211DFDE31298E602B815D43264AD39ED", "Open")</f>
        <v>Open</v>
      </c>
      <c r="J2062" t="s">
        <v>3803</v>
      </c>
      <c r="L2062">
        <v>2443750</v>
      </c>
      <c r="M2062">
        <v>244375</v>
      </c>
    </row>
    <row r="2063" spans="1:13" x14ac:dyDescent="0.25">
      <c r="A2063" t="s">
        <v>7052</v>
      </c>
      <c r="B2063" t="s">
        <v>7053</v>
      </c>
      <c r="C2063" t="s">
        <v>594</v>
      </c>
      <c r="D2063" t="s">
        <v>292</v>
      </c>
      <c r="E2063" t="s">
        <v>596</v>
      </c>
      <c r="F2063" t="s">
        <v>574</v>
      </c>
      <c r="G2063" t="s">
        <v>7054</v>
      </c>
      <c r="H2063" t="str">
        <f>HYPERLINK("https://baanknet.com/view-property/285467/3DBA45A7AA375195CF65E16FB82D3A4B956177616320CB65331797EAB57E205F", "https://baanknet.com/view-property/285467/3DBA45A7AA375195CF65E16FB82D3A4B956177616320CB65331797EAB57E205F")</f>
        <v>https://baanknet.com/view-property/285467/3DBA45A7AA375195CF65E16FB82D3A4B956177616320CB65331797EAB57E205F</v>
      </c>
      <c r="I2063" t="str">
        <f>HYPERLINK("https://baanknet.com/view-property/285467/3DBA45A7AA375195CF65E16FB82D3A4B956177616320CB65331797EAB57E205F", "Open")</f>
        <v>Open</v>
      </c>
      <c r="J2063" t="s">
        <v>3803</v>
      </c>
      <c r="L2063">
        <v>1669400</v>
      </c>
      <c r="M2063">
        <v>166940</v>
      </c>
    </row>
    <row r="2064" spans="1:13" x14ac:dyDescent="0.25">
      <c r="A2064" t="s">
        <v>7055</v>
      </c>
      <c r="B2064" t="s">
        <v>7056</v>
      </c>
      <c r="C2064" t="s">
        <v>594</v>
      </c>
      <c r="D2064" t="s">
        <v>900</v>
      </c>
      <c r="E2064" t="s">
        <v>596</v>
      </c>
      <c r="F2064" t="s">
        <v>574</v>
      </c>
      <c r="G2064" t="s">
        <v>7057</v>
      </c>
      <c r="H2064" t="str">
        <f>HYPERLINK("https://baanknet.com/view-property/256639/76AB31191703B0E27EEA67072877CDFC77B36FD1DD90D945C3E8124CA2B7DF7D", "https://baanknet.com/view-property/256639/76AB31191703B0E27EEA67072877CDFC77B36FD1DD90D945C3E8124CA2B7DF7D")</f>
        <v>https://baanknet.com/view-property/256639/76AB31191703B0E27EEA67072877CDFC77B36FD1DD90D945C3E8124CA2B7DF7D</v>
      </c>
      <c r="I2064" t="str">
        <f>HYPERLINK("https://baanknet.com/view-property/256639/76AB31191703B0E27EEA67072877CDFC77B36FD1DD90D945C3E8124CA2B7DF7D", "Open")</f>
        <v>Open</v>
      </c>
      <c r="J2064" t="s">
        <v>3803</v>
      </c>
      <c r="L2064">
        <v>3265000</v>
      </c>
      <c r="M2064">
        <v>326500</v>
      </c>
    </row>
    <row r="2065" spans="1:13" x14ac:dyDescent="0.25">
      <c r="A2065" t="s">
        <v>7058</v>
      </c>
      <c r="B2065" t="s">
        <v>7059</v>
      </c>
      <c r="C2065" t="s">
        <v>594</v>
      </c>
      <c r="D2065" t="s">
        <v>608</v>
      </c>
      <c r="E2065" t="s">
        <v>596</v>
      </c>
      <c r="F2065" t="s">
        <v>574</v>
      </c>
      <c r="G2065" t="s">
        <v>7060</v>
      </c>
      <c r="H2065" t="str">
        <f>HYPERLINK("https://baanknet.com/view-property/271048/F2BC6766AAB6B10553F5436F6DC88FD544452A3FFC94482C878A6B982AF50D6F", "https://baanknet.com/view-property/271048/F2BC6766AAB6B10553F5436F6DC88FD544452A3FFC94482C878A6B982AF50D6F")</f>
        <v>https://baanknet.com/view-property/271048/F2BC6766AAB6B10553F5436F6DC88FD544452A3FFC94482C878A6B982AF50D6F</v>
      </c>
      <c r="I2065" t="str">
        <f>HYPERLINK("https://baanknet.com/view-property/271048/F2BC6766AAB6B10553F5436F6DC88FD544452A3FFC94482C878A6B982AF50D6F", "Open")</f>
        <v>Open</v>
      </c>
      <c r="J2065" t="s">
        <v>3803</v>
      </c>
      <c r="L2065">
        <v>3137000</v>
      </c>
      <c r="M2065">
        <v>313700</v>
      </c>
    </row>
    <row r="2066" spans="1:13" x14ac:dyDescent="0.25">
      <c r="A2066" t="s">
        <v>7061</v>
      </c>
      <c r="B2066" t="s">
        <v>7062</v>
      </c>
      <c r="C2066" t="s">
        <v>594</v>
      </c>
      <c r="D2066" t="s">
        <v>608</v>
      </c>
      <c r="E2066" t="s">
        <v>596</v>
      </c>
      <c r="F2066" t="s">
        <v>574</v>
      </c>
      <c r="G2066" t="s">
        <v>7063</v>
      </c>
      <c r="H2066" t="str">
        <f>HYPERLINK("https://baanknet.com/view-property/272559/134BCC647403BEA22D0437C68C5D32D95580AAA17E1AB211CFF24B338BE08FED", "https://baanknet.com/view-property/272559/134BCC647403BEA22D0437C68C5D32D95580AAA17E1AB211CFF24B338BE08FED")</f>
        <v>https://baanknet.com/view-property/272559/134BCC647403BEA22D0437C68C5D32D95580AAA17E1AB211CFF24B338BE08FED</v>
      </c>
      <c r="I2066" t="str">
        <f>HYPERLINK("https://baanknet.com/view-property/272559/134BCC647403BEA22D0437C68C5D32D95580AAA17E1AB211CFF24B338BE08FED", "Open")</f>
        <v>Open</v>
      </c>
      <c r="J2066" t="s">
        <v>3803</v>
      </c>
      <c r="L2066">
        <v>6300000</v>
      </c>
      <c r="M2066">
        <v>630000</v>
      </c>
    </row>
    <row r="2067" spans="1:13" x14ac:dyDescent="0.25">
      <c r="A2067" t="s">
        <v>7064</v>
      </c>
      <c r="B2067" t="s">
        <v>7065</v>
      </c>
      <c r="C2067" t="s">
        <v>594</v>
      </c>
      <c r="D2067" t="s">
        <v>608</v>
      </c>
      <c r="E2067" t="s">
        <v>596</v>
      </c>
      <c r="F2067" t="s">
        <v>574</v>
      </c>
      <c r="G2067" t="s">
        <v>7066</v>
      </c>
      <c r="H2067" t="str">
        <f>HYPERLINK("https://baanknet.com/view-property/278373/3D6FF13D7EA105BBAE0B357A4F101D56A044B5E92D539984A01174615AA9C85D", "https://baanknet.com/view-property/278373/3D6FF13D7EA105BBAE0B357A4F101D56A044B5E92D539984A01174615AA9C85D")</f>
        <v>https://baanknet.com/view-property/278373/3D6FF13D7EA105BBAE0B357A4F101D56A044B5E92D539984A01174615AA9C85D</v>
      </c>
      <c r="I2067" t="str">
        <f>HYPERLINK("https://baanknet.com/view-property/278373/3D6FF13D7EA105BBAE0B357A4F101D56A044B5E92D539984A01174615AA9C85D", "Open")</f>
        <v>Open</v>
      </c>
      <c r="J2067" t="s">
        <v>3803</v>
      </c>
      <c r="L2067">
        <v>4751000</v>
      </c>
      <c r="M2067">
        <v>475100</v>
      </c>
    </row>
    <row r="2068" spans="1:13" x14ac:dyDescent="0.25">
      <c r="A2068" t="s">
        <v>7067</v>
      </c>
      <c r="B2068" t="s">
        <v>7068</v>
      </c>
      <c r="C2068" t="s">
        <v>594</v>
      </c>
      <c r="D2068" t="s">
        <v>608</v>
      </c>
      <c r="E2068" t="s">
        <v>596</v>
      </c>
      <c r="F2068" t="s">
        <v>574</v>
      </c>
      <c r="G2068" t="s">
        <v>7069</v>
      </c>
      <c r="H2068" t="str">
        <f>HYPERLINK("https://baanknet.com/view-property/60560/76E1C9B851A2AA0CB3DB3ADFC75EFE06E2C4488D25F2EF06A36B37A34EDDF923", "https://baanknet.com/view-property/60560/76E1C9B851A2AA0CB3DB3ADFC75EFE06E2C4488D25F2EF06A36B37A34EDDF923")</f>
        <v>https://baanknet.com/view-property/60560/76E1C9B851A2AA0CB3DB3ADFC75EFE06E2C4488D25F2EF06A36B37A34EDDF923</v>
      </c>
      <c r="I2068" t="str">
        <f>HYPERLINK("https://baanknet.com/view-property/60560/76E1C9B851A2AA0CB3DB3ADFC75EFE06E2C4488D25F2EF06A36B37A34EDDF923", "Open")</f>
        <v>Open</v>
      </c>
      <c r="J2068" t="s">
        <v>3803</v>
      </c>
      <c r="L2068">
        <v>11503000</v>
      </c>
      <c r="M2068">
        <v>1150300</v>
      </c>
    </row>
    <row r="2069" spans="1:13" x14ac:dyDescent="0.25">
      <c r="A2069" t="s">
        <v>7070</v>
      </c>
      <c r="B2069" t="s">
        <v>7071</v>
      </c>
      <c r="C2069" t="s">
        <v>594</v>
      </c>
      <c r="D2069" t="s">
        <v>1246</v>
      </c>
      <c r="E2069" t="s">
        <v>596</v>
      </c>
      <c r="F2069" t="s">
        <v>574</v>
      </c>
      <c r="G2069" t="s">
        <v>7072</v>
      </c>
      <c r="H2069" t="str">
        <f>HYPERLINK("https://baanknet.com/view-property/266839/CC481CA73D9F94D7CB43B463AF4C75DCADCDD977C3E11EC7A76AC6AECCD78F8F", "https://baanknet.com/view-property/266839/CC481CA73D9F94D7CB43B463AF4C75DCADCDD977C3E11EC7A76AC6AECCD78F8F")</f>
        <v>https://baanknet.com/view-property/266839/CC481CA73D9F94D7CB43B463AF4C75DCADCDD977C3E11EC7A76AC6AECCD78F8F</v>
      </c>
      <c r="I2069" t="str">
        <f>HYPERLINK("https://baanknet.com/view-property/266839/CC481CA73D9F94D7CB43B463AF4C75DCADCDD977C3E11EC7A76AC6AECCD78F8F", "Open")</f>
        <v>Open</v>
      </c>
      <c r="J2069" t="s">
        <v>3803</v>
      </c>
      <c r="L2069">
        <v>3300000</v>
      </c>
      <c r="M2069">
        <v>330000</v>
      </c>
    </row>
    <row r="2070" spans="1:13" x14ac:dyDescent="0.25">
      <c r="A2070" t="s">
        <v>7073</v>
      </c>
      <c r="B2070" t="s">
        <v>7074</v>
      </c>
      <c r="C2070" t="s">
        <v>594</v>
      </c>
      <c r="D2070" t="s">
        <v>7075</v>
      </c>
      <c r="E2070" t="s">
        <v>596</v>
      </c>
      <c r="F2070" t="s">
        <v>574</v>
      </c>
      <c r="G2070" t="s">
        <v>7076</v>
      </c>
      <c r="H2070" t="str">
        <f>HYPERLINK("https://baanknet.com/view-property/75003/0F9CAB63FC3D44AF5388402F02BE5F1DB44DB8F3035F938C731DBE38C777643B", "https://baanknet.com/view-property/75003/0F9CAB63FC3D44AF5388402F02BE5F1DB44DB8F3035F938C731DBE38C777643B")</f>
        <v>https://baanknet.com/view-property/75003/0F9CAB63FC3D44AF5388402F02BE5F1DB44DB8F3035F938C731DBE38C777643B</v>
      </c>
      <c r="I2070" t="str">
        <f>HYPERLINK("https://baanknet.com/view-property/75003/0F9CAB63FC3D44AF5388402F02BE5F1DB44DB8F3035F938C731DBE38C777643B", "Open")</f>
        <v>Open</v>
      </c>
      <c r="J2070" t="s">
        <v>3803</v>
      </c>
      <c r="L2070">
        <v>2700000</v>
      </c>
      <c r="M2070">
        <v>270000</v>
      </c>
    </row>
    <row r="2071" spans="1:13" x14ac:dyDescent="0.25">
      <c r="A2071" t="s">
        <v>7077</v>
      </c>
      <c r="B2071" t="s">
        <v>7078</v>
      </c>
      <c r="C2071" t="s">
        <v>594</v>
      </c>
      <c r="D2071" t="s">
        <v>1246</v>
      </c>
      <c r="E2071" t="s">
        <v>596</v>
      </c>
      <c r="F2071" t="s">
        <v>574</v>
      </c>
      <c r="G2071" t="s">
        <v>7079</v>
      </c>
      <c r="H2071" t="str">
        <f>HYPERLINK("https://baanknet.com/view-property/221072/657EFC31A4CF181647C46DB8F0642EEB5B992F7BC16E41F49D99D02966FAFE21", "https://baanknet.com/view-property/221072/657EFC31A4CF181647C46DB8F0642EEB5B992F7BC16E41F49D99D02966FAFE21")</f>
        <v>https://baanknet.com/view-property/221072/657EFC31A4CF181647C46DB8F0642EEB5B992F7BC16E41F49D99D02966FAFE21</v>
      </c>
      <c r="I2071" t="str">
        <f>HYPERLINK("https://baanknet.com/view-property/221072/657EFC31A4CF181647C46DB8F0642EEB5B992F7BC16E41F49D99D02966FAFE21", "Open")</f>
        <v>Open</v>
      </c>
      <c r="J2071" t="s">
        <v>3803</v>
      </c>
      <c r="L2071">
        <v>15800000</v>
      </c>
      <c r="M2071">
        <v>1580000</v>
      </c>
    </row>
    <row r="2072" spans="1:13" x14ac:dyDescent="0.25">
      <c r="A2072" t="s">
        <v>7080</v>
      </c>
      <c r="B2072" t="s">
        <v>7081</v>
      </c>
      <c r="C2072" t="s">
        <v>594</v>
      </c>
      <c r="D2072" t="s">
        <v>1246</v>
      </c>
      <c r="E2072" t="s">
        <v>596</v>
      </c>
      <c r="F2072" t="s">
        <v>574</v>
      </c>
      <c r="G2072" t="s">
        <v>7082</v>
      </c>
      <c r="H2072" t="str">
        <f>HYPERLINK("https://baanknet.com/view-property/221073/6CC93CC3C5590BA5FB71FC63FEA96890F0E6F9E7035EA6D83588B693E78A48A3", "https://baanknet.com/view-property/221073/6CC93CC3C5590BA5FB71FC63FEA96890F0E6F9E7035EA6D83588B693E78A48A3")</f>
        <v>https://baanknet.com/view-property/221073/6CC93CC3C5590BA5FB71FC63FEA96890F0E6F9E7035EA6D83588B693E78A48A3</v>
      </c>
      <c r="I2072" t="str">
        <f>HYPERLINK("https://baanknet.com/view-property/221073/6CC93CC3C5590BA5FB71FC63FEA96890F0E6F9E7035EA6D83588B693E78A48A3", "Open")</f>
        <v>Open</v>
      </c>
      <c r="J2072" t="s">
        <v>3803</v>
      </c>
      <c r="L2072">
        <v>16200000</v>
      </c>
      <c r="M2072">
        <v>1620000</v>
      </c>
    </row>
    <row r="2073" spans="1:13" x14ac:dyDescent="0.25">
      <c r="A2073" t="s">
        <v>7083</v>
      </c>
      <c r="B2073" t="s">
        <v>7084</v>
      </c>
      <c r="C2073" t="s">
        <v>594</v>
      </c>
      <c r="D2073" t="s">
        <v>1246</v>
      </c>
      <c r="E2073" t="s">
        <v>596</v>
      </c>
      <c r="F2073" t="s">
        <v>574</v>
      </c>
      <c r="G2073" t="s">
        <v>7085</v>
      </c>
      <c r="H2073" t="str">
        <f>HYPERLINK("https://baanknet.com/view-property/234894/6F5FB114DE5C0959E5085048B9AA3E4A2191B0F4951C2142E0E6739FB6DEE64C", "https://baanknet.com/view-property/234894/6F5FB114DE5C0959E5085048B9AA3E4A2191B0F4951C2142E0E6739FB6DEE64C")</f>
        <v>https://baanknet.com/view-property/234894/6F5FB114DE5C0959E5085048B9AA3E4A2191B0F4951C2142E0E6739FB6DEE64C</v>
      </c>
      <c r="I2073" t="str">
        <f>HYPERLINK("https://baanknet.com/view-property/234894/6F5FB114DE5C0959E5085048B9AA3E4A2191B0F4951C2142E0E6739FB6DEE64C", "Open")</f>
        <v>Open</v>
      </c>
      <c r="J2073" t="s">
        <v>3803</v>
      </c>
      <c r="L2073">
        <v>16700000</v>
      </c>
      <c r="M2073">
        <v>1670000</v>
      </c>
    </row>
    <row r="2074" spans="1:13" x14ac:dyDescent="0.25">
      <c r="A2074" t="s">
        <v>7086</v>
      </c>
      <c r="B2074" t="s">
        <v>7087</v>
      </c>
      <c r="C2074" t="s">
        <v>594</v>
      </c>
      <c r="D2074" t="s">
        <v>1246</v>
      </c>
      <c r="E2074" t="s">
        <v>596</v>
      </c>
      <c r="F2074" t="s">
        <v>574</v>
      </c>
      <c r="G2074" t="s">
        <v>7088</v>
      </c>
      <c r="H2074" t="str">
        <f>HYPERLINK("https://baanknet.com/view-property/272305/07ADA559DB11D79F96337928EB662EFFCCC80E8A3D11A9002BA961BCF000B556", "https://baanknet.com/view-property/272305/07ADA559DB11D79F96337928EB662EFFCCC80E8A3D11A9002BA961BCF000B556")</f>
        <v>https://baanknet.com/view-property/272305/07ADA559DB11D79F96337928EB662EFFCCC80E8A3D11A9002BA961BCF000B556</v>
      </c>
      <c r="I2074" t="str">
        <f>HYPERLINK("https://baanknet.com/view-property/272305/07ADA559DB11D79F96337928EB662EFFCCC80E8A3D11A9002BA961BCF000B556", "Open")</f>
        <v>Open</v>
      </c>
      <c r="J2074" t="s">
        <v>3803</v>
      </c>
      <c r="L2074">
        <v>4784000</v>
      </c>
      <c r="M2074">
        <v>478400</v>
      </c>
    </row>
    <row r="2075" spans="1:13" x14ac:dyDescent="0.25">
      <c r="A2075" t="s">
        <v>7089</v>
      </c>
      <c r="B2075" t="s">
        <v>7090</v>
      </c>
      <c r="C2075" t="s">
        <v>594</v>
      </c>
      <c r="D2075" t="s">
        <v>4228</v>
      </c>
      <c r="E2075" t="s">
        <v>596</v>
      </c>
      <c r="F2075" t="s">
        <v>574</v>
      </c>
      <c r="G2075" t="s">
        <v>7091</v>
      </c>
      <c r="H2075" t="str">
        <f>HYPERLINK("https://baanknet.com/view-property/281245/655B98FD2EEAAC2ABDC778E3CCC40427E15828E404AC2F82C46970299BF3F77F", "https://baanknet.com/view-property/281245/655B98FD2EEAAC2ABDC778E3CCC40427E15828E404AC2F82C46970299BF3F77F")</f>
        <v>https://baanknet.com/view-property/281245/655B98FD2EEAAC2ABDC778E3CCC40427E15828E404AC2F82C46970299BF3F77F</v>
      </c>
      <c r="I2075" t="str">
        <f>HYPERLINK("https://baanknet.com/view-property/281245/655B98FD2EEAAC2ABDC778E3CCC40427E15828E404AC2F82C46970299BF3F77F", "Open")</f>
        <v>Open</v>
      </c>
      <c r="J2075" t="s">
        <v>3803</v>
      </c>
      <c r="L2075">
        <v>5510000</v>
      </c>
      <c r="M2075">
        <v>551000</v>
      </c>
    </row>
    <row r="2076" spans="1:13" x14ac:dyDescent="0.25">
      <c r="A2076" t="s">
        <v>7092</v>
      </c>
      <c r="B2076" t="s">
        <v>7093</v>
      </c>
      <c r="C2076" t="s">
        <v>594</v>
      </c>
      <c r="D2076" t="s">
        <v>7094</v>
      </c>
      <c r="E2076" t="s">
        <v>596</v>
      </c>
      <c r="F2076" t="s">
        <v>574</v>
      </c>
      <c r="G2076" t="s">
        <v>7095</v>
      </c>
      <c r="H2076" t="str">
        <f>HYPERLINK("https://baanknet.com/view-property/274847/F1B738FCCBC7160004C947634B764A7227E53991DA92004AB76A62F1E02C9D55", "https://baanknet.com/view-property/274847/F1B738FCCBC7160004C947634B764A7227E53991DA92004AB76A62F1E02C9D55")</f>
        <v>https://baanknet.com/view-property/274847/F1B738FCCBC7160004C947634B764A7227E53991DA92004AB76A62F1E02C9D55</v>
      </c>
      <c r="I2076" t="str">
        <f>HYPERLINK("https://baanknet.com/view-property/274847/F1B738FCCBC7160004C947634B764A7227E53991DA92004AB76A62F1E02C9D55", "Open")</f>
        <v>Open</v>
      </c>
      <c r="J2076" t="s">
        <v>3803</v>
      </c>
      <c r="L2076">
        <v>1226000</v>
      </c>
      <c r="M2076">
        <v>122600</v>
      </c>
    </row>
    <row r="2077" spans="1:13" x14ac:dyDescent="0.25">
      <c r="A2077" t="s">
        <v>7096</v>
      </c>
      <c r="B2077" t="s">
        <v>7097</v>
      </c>
      <c r="C2077" t="s">
        <v>594</v>
      </c>
      <c r="D2077" t="s">
        <v>7098</v>
      </c>
      <c r="E2077" t="s">
        <v>596</v>
      </c>
      <c r="F2077" t="s">
        <v>574</v>
      </c>
      <c r="G2077" t="s">
        <v>7099</v>
      </c>
      <c r="H2077" t="str">
        <f>HYPERLINK("https://baanknet.com/view-property/272819/727F3910B5430D3FC91D05A036D4DC2E9A936712998B621FFBA03F63BBCC0FE1", "https://baanknet.com/view-property/272819/727F3910B5430D3FC91D05A036D4DC2E9A936712998B621FFBA03F63BBCC0FE1")</f>
        <v>https://baanknet.com/view-property/272819/727F3910B5430D3FC91D05A036D4DC2E9A936712998B621FFBA03F63BBCC0FE1</v>
      </c>
      <c r="I2077" t="str">
        <f>HYPERLINK("https://baanknet.com/view-property/272819/727F3910B5430D3FC91D05A036D4DC2E9A936712998B621FFBA03F63BBCC0FE1", "Open")</f>
        <v>Open</v>
      </c>
      <c r="J2077" t="s">
        <v>3803</v>
      </c>
      <c r="L2077">
        <v>4425000</v>
      </c>
      <c r="M2077">
        <v>442500</v>
      </c>
    </row>
    <row r="2078" spans="1:13" x14ac:dyDescent="0.25">
      <c r="A2078" t="s">
        <v>7100</v>
      </c>
      <c r="B2078" t="s">
        <v>7101</v>
      </c>
      <c r="C2078" t="s">
        <v>594</v>
      </c>
      <c r="D2078" t="s">
        <v>7102</v>
      </c>
      <c r="E2078" t="s">
        <v>596</v>
      </c>
      <c r="F2078" t="s">
        <v>574</v>
      </c>
      <c r="G2078" t="s">
        <v>7103</v>
      </c>
      <c r="H2078" t="str">
        <f>HYPERLINK("https://baanknet.com/view-property/99526/8ED640E50388A52E2FF4BB4782C2E5AE7681B8999E9FE49F7D618F8C4BF0A124", "https://baanknet.com/view-property/99526/8ED640E50388A52E2FF4BB4782C2E5AE7681B8999E9FE49F7D618F8C4BF0A124")</f>
        <v>https://baanknet.com/view-property/99526/8ED640E50388A52E2FF4BB4782C2E5AE7681B8999E9FE49F7D618F8C4BF0A124</v>
      </c>
      <c r="I2078" t="str">
        <f>HYPERLINK("https://baanknet.com/view-property/99526/8ED640E50388A52E2FF4BB4782C2E5AE7681B8999E9FE49F7D618F8C4BF0A124", "Open")</f>
        <v>Open</v>
      </c>
      <c r="J2078" t="s">
        <v>3803</v>
      </c>
      <c r="L2078">
        <v>4590000</v>
      </c>
      <c r="M2078">
        <v>459000</v>
      </c>
    </row>
    <row r="2079" spans="1:13" x14ac:dyDescent="0.25">
      <c r="A2079" t="s">
        <v>7104</v>
      </c>
      <c r="B2079" t="s">
        <v>7105</v>
      </c>
      <c r="C2079" t="s">
        <v>594</v>
      </c>
      <c r="D2079" t="s">
        <v>7106</v>
      </c>
      <c r="E2079" t="s">
        <v>596</v>
      </c>
      <c r="F2079" t="s">
        <v>574</v>
      </c>
      <c r="G2079" t="s">
        <v>7107</v>
      </c>
      <c r="H2079" t="str">
        <f>HYPERLINK("https://baanknet.com/view-property/285339/D118738D940CDE5518D7DA9517A81F00D7C23CF58401BA78AFA2C5DA30A844D6", "https://baanknet.com/view-property/285339/D118738D940CDE5518D7DA9517A81F00D7C23CF58401BA78AFA2C5DA30A844D6")</f>
        <v>https://baanknet.com/view-property/285339/D118738D940CDE5518D7DA9517A81F00D7C23CF58401BA78AFA2C5DA30A844D6</v>
      </c>
      <c r="I2079" t="str">
        <f>HYPERLINK("https://baanknet.com/view-property/285339/D118738D940CDE5518D7DA9517A81F00D7C23CF58401BA78AFA2C5DA30A844D6", "Open")</f>
        <v>Open</v>
      </c>
      <c r="J2079" t="s">
        <v>3803</v>
      </c>
      <c r="L2079">
        <v>11607000</v>
      </c>
      <c r="M2079">
        <v>1160700</v>
      </c>
    </row>
    <row r="2080" spans="1:13" x14ac:dyDescent="0.25">
      <c r="A2080" t="s">
        <v>7108</v>
      </c>
      <c r="B2080" t="s">
        <v>7109</v>
      </c>
      <c r="C2080" t="s">
        <v>594</v>
      </c>
      <c r="D2080" t="s">
        <v>7106</v>
      </c>
      <c r="E2080" t="s">
        <v>596</v>
      </c>
      <c r="F2080" t="s">
        <v>574</v>
      </c>
      <c r="G2080" t="s">
        <v>7110</v>
      </c>
      <c r="H2080" t="str">
        <f>HYPERLINK("https://baanknet.com/view-property/285350/C5630F91F811B49C0273EA7FEEFCF1F147A2F7CAC9D6144ECB934911D03289D0", "https://baanknet.com/view-property/285350/C5630F91F811B49C0273EA7FEEFCF1F147A2F7CAC9D6144ECB934911D03289D0")</f>
        <v>https://baanknet.com/view-property/285350/C5630F91F811B49C0273EA7FEEFCF1F147A2F7CAC9D6144ECB934911D03289D0</v>
      </c>
      <c r="I2080" t="str">
        <f>HYPERLINK("https://baanknet.com/view-property/285350/C5630F91F811B49C0273EA7FEEFCF1F147A2F7CAC9D6144ECB934911D03289D0", "Open")</f>
        <v>Open</v>
      </c>
      <c r="J2080" t="s">
        <v>3803</v>
      </c>
      <c r="L2080">
        <v>2338000</v>
      </c>
      <c r="M2080">
        <v>233800</v>
      </c>
    </row>
    <row r="2081" spans="1:13" x14ac:dyDescent="0.25">
      <c r="A2081" t="s">
        <v>7111</v>
      </c>
      <c r="B2081" t="s">
        <v>7112</v>
      </c>
      <c r="C2081" t="s">
        <v>594</v>
      </c>
      <c r="D2081" t="s">
        <v>7102</v>
      </c>
      <c r="E2081" t="s">
        <v>596</v>
      </c>
      <c r="F2081" t="s">
        <v>574</v>
      </c>
      <c r="G2081" t="s">
        <v>7113</v>
      </c>
      <c r="H2081" t="str">
        <f>HYPERLINK("https://baanknet.com/view-property/288216/26C9046A2BF5CF4520FD37CF1C75CE2CCDC7E5A13051CBCD49A245288000D47A", "https://baanknet.com/view-property/288216/26C9046A2BF5CF4520FD37CF1C75CE2CCDC7E5A13051CBCD49A245288000D47A")</f>
        <v>https://baanknet.com/view-property/288216/26C9046A2BF5CF4520FD37CF1C75CE2CCDC7E5A13051CBCD49A245288000D47A</v>
      </c>
      <c r="I2081" t="str">
        <f>HYPERLINK("https://baanknet.com/view-property/288216/26C9046A2BF5CF4520FD37CF1C75CE2CCDC7E5A13051CBCD49A245288000D47A", "Open")</f>
        <v>Open</v>
      </c>
      <c r="J2081" t="s">
        <v>3803</v>
      </c>
      <c r="L2081">
        <v>1300000</v>
      </c>
      <c r="M2081">
        <v>130000</v>
      </c>
    </row>
    <row r="2082" spans="1:13" x14ac:dyDescent="0.25">
      <c r="A2082" t="s">
        <v>7114</v>
      </c>
      <c r="B2082" t="s">
        <v>7115</v>
      </c>
      <c r="C2082" t="s">
        <v>594</v>
      </c>
      <c r="D2082" t="s">
        <v>7116</v>
      </c>
      <c r="E2082" t="s">
        <v>7117</v>
      </c>
      <c r="F2082" t="s">
        <v>7118</v>
      </c>
      <c r="G2082" t="s">
        <v>7119</v>
      </c>
      <c r="H2082" t="str">
        <f>HYPERLINK("https://baanknet.com/view-property/286403/5E19D3E105B5C034AD4B513089B3FFC1C7EF3B1B45BF5EA4DD9F5DBCA4684DA6", "https://baanknet.com/view-property/286403/5E19D3E105B5C034AD4B513089B3FFC1C7EF3B1B45BF5EA4DD9F5DBCA4684DA6")</f>
        <v>https://baanknet.com/view-property/286403/5E19D3E105B5C034AD4B513089B3FFC1C7EF3B1B45BF5EA4DD9F5DBCA4684DA6</v>
      </c>
      <c r="I2082" t="str">
        <f>HYPERLINK("https://baanknet.com/view-property/286403/5E19D3E105B5C034AD4B513089B3FFC1C7EF3B1B45BF5EA4DD9F5DBCA4684DA6", "Open")</f>
        <v>Open</v>
      </c>
      <c r="J2082" t="s">
        <v>3803</v>
      </c>
      <c r="L2082">
        <v>2900000</v>
      </c>
      <c r="M2082">
        <v>290000</v>
      </c>
    </row>
    <row r="2083" spans="1:13" x14ac:dyDescent="0.25">
      <c r="A2083" t="s">
        <v>7120</v>
      </c>
      <c r="B2083" t="s">
        <v>7121</v>
      </c>
      <c r="C2083" t="s">
        <v>15</v>
      </c>
      <c r="D2083" t="s">
        <v>7122</v>
      </c>
      <c r="E2083" t="s">
        <v>278</v>
      </c>
      <c r="F2083" t="s">
        <v>5098</v>
      </c>
      <c r="G2083" t="s">
        <v>7123</v>
      </c>
      <c r="H2083" t="str">
        <f>HYPERLINK("https://baanknet.com/view-property/243504/D589262BC163AAAF30FA00D3149EBB5FF8BE3D99C317CF4E57AF986A061F5913", "https://baanknet.com/view-property/243504/D589262BC163AAAF30FA00D3149EBB5FF8BE3D99C317CF4E57AF986A061F5913")</f>
        <v>https://baanknet.com/view-property/243504/D589262BC163AAAF30FA00D3149EBB5FF8BE3D99C317CF4E57AF986A061F5913</v>
      </c>
      <c r="I2083" t="str">
        <f>HYPERLINK("https://baanknet.com/view-property/243504/D589262BC163AAAF30FA00D3149EBB5FF8BE3D99C317CF4E57AF986A061F5913", "Open")</f>
        <v>Open</v>
      </c>
      <c r="J2083" t="s">
        <v>3803</v>
      </c>
      <c r="L2083">
        <v>2468000</v>
      </c>
      <c r="M2083">
        <v>246800</v>
      </c>
    </row>
    <row r="2084" spans="1:13" x14ac:dyDescent="0.25">
      <c r="A2084" t="s">
        <v>7124</v>
      </c>
      <c r="B2084" t="s">
        <v>7125</v>
      </c>
      <c r="C2084" t="s">
        <v>15</v>
      </c>
      <c r="D2084" t="s">
        <v>7122</v>
      </c>
      <c r="E2084" t="s">
        <v>278</v>
      </c>
      <c r="F2084" t="s">
        <v>5098</v>
      </c>
      <c r="G2084" t="s">
        <v>7126</v>
      </c>
      <c r="H2084" t="str">
        <f>HYPERLINK("https://baanknet.com/view-property/253982/601494B0708071BD73279472F89A5A766C26AE1938965C3F74EB00C1D2657EDD", "https://baanknet.com/view-property/253982/601494B0708071BD73279472F89A5A766C26AE1938965C3F74EB00C1D2657EDD")</f>
        <v>https://baanknet.com/view-property/253982/601494B0708071BD73279472F89A5A766C26AE1938965C3F74EB00C1D2657EDD</v>
      </c>
      <c r="I2084" t="str">
        <f>HYPERLINK("https://baanknet.com/view-property/253982/601494B0708071BD73279472F89A5A766C26AE1938965C3F74EB00C1D2657EDD", "Open")</f>
        <v>Open</v>
      </c>
      <c r="J2084" t="s">
        <v>3803</v>
      </c>
      <c r="L2084">
        <v>2116000</v>
      </c>
      <c r="M2084">
        <v>211600</v>
      </c>
    </row>
    <row r="2085" spans="1:13" x14ac:dyDescent="0.25">
      <c r="A2085" t="s">
        <v>7127</v>
      </c>
      <c r="B2085" t="s">
        <v>7128</v>
      </c>
      <c r="C2085" t="s">
        <v>15</v>
      </c>
      <c r="D2085" t="s">
        <v>4557</v>
      </c>
      <c r="E2085" t="s">
        <v>278</v>
      </c>
      <c r="F2085" t="s">
        <v>5098</v>
      </c>
      <c r="G2085" t="s">
        <v>7129</v>
      </c>
      <c r="H2085" t="str">
        <f>HYPERLINK("https://baanknet.com/view-property/241408/E213B53048A64F3EBB343579DD2CA9FAA9BEE508E7C72F86806EA1854EFFB748", "https://baanknet.com/view-property/241408/E213B53048A64F3EBB343579DD2CA9FAA9BEE508E7C72F86806EA1854EFFB748")</f>
        <v>https://baanknet.com/view-property/241408/E213B53048A64F3EBB343579DD2CA9FAA9BEE508E7C72F86806EA1854EFFB748</v>
      </c>
      <c r="I2085" t="str">
        <f>HYPERLINK("https://baanknet.com/view-property/241408/E213B53048A64F3EBB343579DD2CA9FAA9BEE508E7C72F86806EA1854EFFB748", "Open")</f>
        <v>Open</v>
      </c>
      <c r="J2085" t="s">
        <v>3803</v>
      </c>
      <c r="L2085">
        <v>4786000</v>
      </c>
      <c r="M2085">
        <v>478600</v>
      </c>
    </row>
    <row r="2086" spans="1:13" x14ac:dyDescent="0.25">
      <c r="A2086" t="s">
        <v>7130</v>
      </c>
      <c r="B2086" t="s">
        <v>7131</v>
      </c>
      <c r="C2086" t="s">
        <v>15</v>
      </c>
      <c r="D2086" t="s">
        <v>4553</v>
      </c>
      <c r="E2086" t="s">
        <v>278</v>
      </c>
      <c r="F2086" t="s">
        <v>5098</v>
      </c>
      <c r="G2086" t="s">
        <v>7132</v>
      </c>
      <c r="H2086" t="str">
        <f>HYPERLINK("https://baanknet.com/view-property/278641/F6470F8FD0FC090E5347DC95CB2EEE976DB632AF29B87F7C468A0D1C504E8621", "https://baanknet.com/view-property/278641/F6470F8FD0FC090E5347DC95CB2EEE976DB632AF29B87F7C468A0D1C504E8621")</f>
        <v>https://baanknet.com/view-property/278641/F6470F8FD0FC090E5347DC95CB2EEE976DB632AF29B87F7C468A0D1C504E8621</v>
      </c>
      <c r="I2086" t="str">
        <f>HYPERLINK("https://baanknet.com/view-property/278641/F6470F8FD0FC090E5347DC95CB2EEE976DB632AF29B87F7C468A0D1C504E8621", "Open")</f>
        <v>Open</v>
      </c>
      <c r="J2086" t="s">
        <v>3803</v>
      </c>
      <c r="L2086">
        <v>2546000</v>
      </c>
      <c r="M2086">
        <v>254600</v>
      </c>
    </row>
    <row r="2087" spans="1:13" x14ac:dyDescent="0.25">
      <c r="A2087" t="s">
        <v>7133</v>
      </c>
      <c r="B2087" t="s">
        <v>7134</v>
      </c>
      <c r="C2087" t="s">
        <v>15</v>
      </c>
      <c r="D2087" t="s">
        <v>7135</v>
      </c>
      <c r="E2087" t="s">
        <v>278</v>
      </c>
      <c r="F2087" t="s">
        <v>5098</v>
      </c>
      <c r="G2087" t="s">
        <v>7136</v>
      </c>
      <c r="H2087" t="str">
        <f>HYPERLINK("https://baanknet.com/view-property/274690/A616B6308E0DD4400D614529BC303D29B71429F2F53D9285D7564F92038A0EED", "https://baanknet.com/view-property/274690/A616B6308E0DD4400D614529BC303D29B71429F2F53D9285D7564F92038A0EED")</f>
        <v>https://baanknet.com/view-property/274690/A616B6308E0DD4400D614529BC303D29B71429F2F53D9285D7564F92038A0EED</v>
      </c>
      <c r="I2087" t="str">
        <f>HYPERLINK("https://baanknet.com/view-property/274690/A616B6308E0DD4400D614529BC303D29B71429F2F53D9285D7564F92038A0EED", "Open")</f>
        <v>Open</v>
      </c>
      <c r="J2087" t="s">
        <v>3803</v>
      </c>
      <c r="L2087">
        <v>2881000</v>
      </c>
      <c r="M2087">
        <v>288100</v>
      </c>
    </row>
    <row r="2088" spans="1:13" x14ac:dyDescent="0.25">
      <c r="A2088" t="s">
        <v>7137</v>
      </c>
      <c r="B2088" t="s">
        <v>7138</v>
      </c>
      <c r="C2088" t="s">
        <v>15</v>
      </c>
      <c r="D2088" t="s">
        <v>4557</v>
      </c>
      <c r="E2088" t="s">
        <v>278</v>
      </c>
      <c r="F2088" t="s">
        <v>5098</v>
      </c>
      <c r="G2088" t="s">
        <v>7139</v>
      </c>
      <c r="H2088" t="str">
        <f>HYPERLINK("https://baanknet.com/view-property/247880/F555A27922BE29014E07C1A9BDD44C5D1BE4AB8AA3DB64C7C92BE31F0C56BB67", "https://baanknet.com/view-property/247880/F555A27922BE29014E07C1A9BDD44C5D1BE4AB8AA3DB64C7C92BE31F0C56BB67")</f>
        <v>https://baanknet.com/view-property/247880/F555A27922BE29014E07C1A9BDD44C5D1BE4AB8AA3DB64C7C92BE31F0C56BB67</v>
      </c>
      <c r="I2088" t="str">
        <f>HYPERLINK("https://baanknet.com/view-property/247880/F555A27922BE29014E07C1A9BDD44C5D1BE4AB8AA3DB64C7C92BE31F0C56BB67", "Open")</f>
        <v>Open</v>
      </c>
      <c r="J2088" t="s">
        <v>3803</v>
      </c>
      <c r="L2088">
        <v>7366000</v>
      </c>
      <c r="M2088">
        <v>736600</v>
      </c>
    </row>
    <row r="2089" spans="1:13" x14ac:dyDescent="0.25">
      <c r="A2089" t="s">
        <v>7140</v>
      </c>
      <c r="B2089" t="s">
        <v>7141</v>
      </c>
      <c r="C2089" t="s">
        <v>15</v>
      </c>
      <c r="D2089" t="s">
        <v>463</v>
      </c>
      <c r="E2089" t="s">
        <v>278</v>
      </c>
      <c r="F2089" t="s">
        <v>5098</v>
      </c>
      <c r="G2089" t="s">
        <v>7142</v>
      </c>
      <c r="H2089" t="str">
        <f>HYPERLINK("https://baanknet.com/view-property/243815/4B216F21A9AB8A4B896A32E60D4529241B07853CFE0230E48A4C3DD1BB360709", "https://baanknet.com/view-property/243815/4B216F21A9AB8A4B896A32E60D4529241B07853CFE0230E48A4C3DD1BB360709")</f>
        <v>https://baanknet.com/view-property/243815/4B216F21A9AB8A4B896A32E60D4529241B07853CFE0230E48A4C3DD1BB360709</v>
      </c>
      <c r="I2089" t="str">
        <f>HYPERLINK("https://baanknet.com/view-property/243815/4B216F21A9AB8A4B896A32E60D4529241B07853CFE0230E48A4C3DD1BB360709", "Open")</f>
        <v>Open</v>
      </c>
      <c r="J2089" t="s">
        <v>3803</v>
      </c>
      <c r="L2089">
        <v>6410000</v>
      </c>
      <c r="M2089">
        <v>641000</v>
      </c>
    </row>
    <row r="2090" spans="1:13" x14ac:dyDescent="0.25">
      <c r="A2090" t="s">
        <v>7143</v>
      </c>
      <c r="B2090" t="s">
        <v>7144</v>
      </c>
      <c r="C2090" t="s">
        <v>15</v>
      </c>
      <c r="D2090" t="s">
        <v>4557</v>
      </c>
      <c r="E2090" t="s">
        <v>278</v>
      </c>
      <c r="F2090" t="s">
        <v>5098</v>
      </c>
      <c r="G2090" t="s">
        <v>7145</v>
      </c>
      <c r="H2090" t="str">
        <f>HYPERLINK("https://baanknet.com/view-property/241404/2AB3CD8E4472F66A0CF7DDB899B995C78E328A18E2C62BF101674E5B36EF206E", "https://baanknet.com/view-property/241404/2AB3CD8E4472F66A0CF7DDB899B995C78E328A18E2C62BF101674E5B36EF206E")</f>
        <v>https://baanknet.com/view-property/241404/2AB3CD8E4472F66A0CF7DDB899B995C78E328A18E2C62BF101674E5B36EF206E</v>
      </c>
      <c r="I2090" t="str">
        <f>HYPERLINK("https://baanknet.com/view-property/241404/2AB3CD8E4472F66A0CF7DDB899B995C78E328A18E2C62BF101674E5B36EF206E", "Open")</f>
        <v>Open</v>
      </c>
      <c r="J2090" t="s">
        <v>3803</v>
      </c>
      <c r="L2090">
        <v>8080000</v>
      </c>
      <c r="M2090">
        <v>808000</v>
      </c>
    </row>
    <row r="2091" spans="1:13" x14ac:dyDescent="0.25">
      <c r="A2091" t="s">
        <v>7146</v>
      </c>
      <c r="B2091" t="s">
        <v>7147</v>
      </c>
      <c r="C2091" t="s">
        <v>15</v>
      </c>
      <c r="D2091" t="s">
        <v>4557</v>
      </c>
      <c r="E2091" t="s">
        <v>278</v>
      </c>
      <c r="F2091" t="s">
        <v>5098</v>
      </c>
      <c r="G2091" t="s">
        <v>7148</v>
      </c>
      <c r="H2091" t="str">
        <f>HYPERLINK("https://baanknet.com/view-property/274692/710ED6A2633EABADF47ED22D4A6EF1883AF63A37FFBB2A3AAA23BDB8FFEA1A29", "https://baanknet.com/view-property/274692/710ED6A2633EABADF47ED22D4A6EF1883AF63A37FFBB2A3AAA23BDB8FFEA1A29")</f>
        <v>https://baanknet.com/view-property/274692/710ED6A2633EABADF47ED22D4A6EF1883AF63A37FFBB2A3AAA23BDB8FFEA1A29</v>
      </c>
      <c r="I2091" t="str">
        <f>HYPERLINK("https://baanknet.com/view-property/274692/710ED6A2633EABADF47ED22D4A6EF1883AF63A37FFBB2A3AAA23BDB8FFEA1A29", "Open")</f>
        <v>Open</v>
      </c>
      <c r="J2091" t="s">
        <v>3803</v>
      </c>
      <c r="L2091">
        <v>5378000</v>
      </c>
      <c r="M2091">
        <v>537800</v>
      </c>
    </row>
    <row r="2092" spans="1:13" x14ac:dyDescent="0.25">
      <c r="A2092" t="s">
        <v>7149</v>
      </c>
      <c r="B2092" t="s">
        <v>7150</v>
      </c>
      <c r="C2092" t="s">
        <v>15</v>
      </c>
      <c r="D2092" t="s">
        <v>7151</v>
      </c>
      <c r="E2092" t="s">
        <v>278</v>
      </c>
      <c r="F2092" t="s">
        <v>5098</v>
      </c>
      <c r="G2092" t="s">
        <v>7152</v>
      </c>
      <c r="H2092" t="str">
        <f>HYPERLINK("https://baanknet.com/view-property/241419/9C686037CFDF91E64D05DECCAEF3DD3560E908B391CC5813C2765A599DC47C89", "https://baanknet.com/view-property/241419/9C686037CFDF91E64D05DECCAEF3DD3560E908B391CC5813C2765A599DC47C89")</f>
        <v>https://baanknet.com/view-property/241419/9C686037CFDF91E64D05DECCAEF3DD3560E908B391CC5813C2765A599DC47C89</v>
      </c>
      <c r="I2092" t="str">
        <f>HYPERLINK("https://baanknet.com/view-property/241419/9C686037CFDF91E64D05DECCAEF3DD3560E908B391CC5813C2765A599DC47C89", "Open")</f>
        <v>Open</v>
      </c>
      <c r="J2092" t="s">
        <v>3803</v>
      </c>
      <c r="L2092">
        <v>1974000</v>
      </c>
      <c r="M2092">
        <v>197400</v>
      </c>
    </row>
    <row r="2093" spans="1:13" x14ac:dyDescent="0.25">
      <c r="A2093" t="s">
        <v>7153</v>
      </c>
      <c r="B2093" t="s">
        <v>7154</v>
      </c>
      <c r="C2093" t="s">
        <v>15</v>
      </c>
      <c r="D2093" t="s">
        <v>7155</v>
      </c>
      <c r="E2093" t="s">
        <v>278</v>
      </c>
      <c r="F2093" t="s">
        <v>5098</v>
      </c>
      <c r="G2093" t="s">
        <v>7156</v>
      </c>
      <c r="H2093" t="str">
        <f>HYPERLINK("https://baanknet.com/view-property/247378/170F0F84F1E724CB8D7B2F3F245DA950232DB1B590FC263F6432BB5C749B0585", "https://baanknet.com/view-property/247378/170F0F84F1E724CB8D7B2F3F245DA950232DB1B590FC263F6432BB5C749B0585")</f>
        <v>https://baanknet.com/view-property/247378/170F0F84F1E724CB8D7B2F3F245DA950232DB1B590FC263F6432BB5C749B0585</v>
      </c>
      <c r="I2093" t="str">
        <f>HYPERLINK("https://baanknet.com/view-property/247378/170F0F84F1E724CB8D7B2F3F245DA950232DB1B590FC263F6432BB5C749B0585", "Open")</f>
        <v>Open</v>
      </c>
      <c r="J2093" t="s">
        <v>3803</v>
      </c>
      <c r="L2093">
        <v>5447000</v>
      </c>
      <c r="M2093">
        <v>544700</v>
      </c>
    </row>
    <row r="2094" spans="1:13" x14ac:dyDescent="0.25">
      <c r="A2094" t="s">
        <v>7157</v>
      </c>
      <c r="B2094" t="s">
        <v>7158</v>
      </c>
      <c r="C2094" t="s">
        <v>15</v>
      </c>
      <c r="D2094" t="s">
        <v>7159</v>
      </c>
      <c r="E2094" t="s">
        <v>278</v>
      </c>
      <c r="F2094" t="s">
        <v>5098</v>
      </c>
      <c r="G2094" t="s">
        <v>7160</v>
      </c>
      <c r="H2094" t="str">
        <f>HYPERLINK("https://baanknet.com/view-property/252416/AD748EC96B492B6A5267EC3194CE6C9F0926C3A15B4514ED23AA2F1D22E0083D", "https://baanknet.com/view-property/252416/AD748EC96B492B6A5267EC3194CE6C9F0926C3A15B4514ED23AA2F1D22E0083D")</f>
        <v>https://baanknet.com/view-property/252416/AD748EC96B492B6A5267EC3194CE6C9F0926C3A15B4514ED23AA2F1D22E0083D</v>
      </c>
      <c r="I2094" t="str">
        <f>HYPERLINK("https://baanknet.com/view-property/252416/AD748EC96B492B6A5267EC3194CE6C9F0926C3A15B4514ED23AA2F1D22E0083D", "Open")</f>
        <v>Open</v>
      </c>
      <c r="J2094" t="s">
        <v>3803</v>
      </c>
      <c r="L2094">
        <v>2520000</v>
      </c>
      <c r="M2094">
        <v>252000</v>
      </c>
    </row>
    <row r="2095" spans="1:13" x14ac:dyDescent="0.25">
      <c r="A2095" t="s">
        <v>7161</v>
      </c>
      <c r="B2095" t="s">
        <v>7162</v>
      </c>
      <c r="C2095" t="s">
        <v>15</v>
      </c>
      <c r="D2095" t="s">
        <v>7163</v>
      </c>
      <c r="E2095" t="s">
        <v>278</v>
      </c>
      <c r="F2095" t="s">
        <v>5098</v>
      </c>
      <c r="G2095" t="s">
        <v>7164</v>
      </c>
      <c r="H2095" t="str">
        <f>HYPERLINK("https://baanknet.com/view-property/241409/68CD0599A6F635440F93CA2620881972AB2A302AAC2D25A30AEA292B47018BB0", "https://baanknet.com/view-property/241409/68CD0599A6F635440F93CA2620881972AB2A302AAC2D25A30AEA292B47018BB0")</f>
        <v>https://baanknet.com/view-property/241409/68CD0599A6F635440F93CA2620881972AB2A302AAC2D25A30AEA292B47018BB0</v>
      </c>
      <c r="I2095" t="str">
        <f>HYPERLINK("https://baanknet.com/view-property/241409/68CD0599A6F635440F93CA2620881972AB2A302AAC2D25A30AEA292B47018BB0", "Open")</f>
        <v>Open</v>
      </c>
      <c r="J2095" t="s">
        <v>3803</v>
      </c>
      <c r="L2095">
        <v>6270000</v>
      </c>
      <c r="M2095">
        <v>627000</v>
      </c>
    </row>
    <row r="2096" spans="1:13" x14ac:dyDescent="0.25">
      <c r="A2096" t="s">
        <v>7165</v>
      </c>
      <c r="B2096" t="s">
        <v>7166</v>
      </c>
      <c r="C2096" t="s">
        <v>15</v>
      </c>
      <c r="D2096" t="s">
        <v>7167</v>
      </c>
      <c r="E2096" t="s">
        <v>278</v>
      </c>
      <c r="F2096" t="s">
        <v>5098</v>
      </c>
      <c r="G2096" t="s">
        <v>7168</v>
      </c>
      <c r="H2096" t="str">
        <f>HYPERLINK("https://baanknet.com/view-property/241418/713345791907F36E76736B57A638CD530F2A30FFD48BFF4A459038B294E3F2D0", "https://baanknet.com/view-property/241418/713345791907F36E76736B57A638CD530F2A30FFD48BFF4A459038B294E3F2D0")</f>
        <v>https://baanknet.com/view-property/241418/713345791907F36E76736B57A638CD530F2A30FFD48BFF4A459038B294E3F2D0</v>
      </c>
      <c r="I2096" t="str">
        <f>HYPERLINK("https://baanknet.com/view-property/241418/713345791907F36E76736B57A638CD530F2A30FFD48BFF4A459038B294E3F2D0", "Open")</f>
        <v>Open</v>
      </c>
      <c r="J2096" t="s">
        <v>3803</v>
      </c>
      <c r="L2096">
        <v>5881000</v>
      </c>
      <c r="M2096">
        <v>588100</v>
      </c>
    </row>
    <row r="2097" spans="1:13" x14ac:dyDescent="0.25">
      <c r="A2097" t="s">
        <v>7169</v>
      </c>
      <c r="B2097" t="s">
        <v>7170</v>
      </c>
      <c r="C2097" t="s">
        <v>15</v>
      </c>
      <c r="D2097" t="s">
        <v>4557</v>
      </c>
      <c r="E2097" t="s">
        <v>278</v>
      </c>
      <c r="F2097" t="s">
        <v>5098</v>
      </c>
      <c r="G2097" t="s">
        <v>7171</v>
      </c>
      <c r="H2097" t="str">
        <f>HYPERLINK("https://baanknet.com/view-property/241395/9D54A5EBBDB4AC10E0258CF3D6EFF33FADA14D01EC97627E038B9F83B3F33C99", "https://baanknet.com/view-property/241395/9D54A5EBBDB4AC10E0258CF3D6EFF33FADA14D01EC97627E038B9F83B3F33C99")</f>
        <v>https://baanknet.com/view-property/241395/9D54A5EBBDB4AC10E0258CF3D6EFF33FADA14D01EC97627E038B9F83B3F33C99</v>
      </c>
      <c r="I2097" t="str">
        <f>HYPERLINK("https://baanknet.com/view-property/241395/9D54A5EBBDB4AC10E0258CF3D6EFF33FADA14D01EC97627E038B9F83B3F33C99", "Open")</f>
        <v>Open</v>
      </c>
      <c r="J2097" t="s">
        <v>3803</v>
      </c>
      <c r="L2097">
        <v>12294000</v>
      </c>
      <c r="M2097">
        <v>1229400</v>
      </c>
    </row>
    <row r="2098" spans="1:13" x14ac:dyDescent="0.25">
      <c r="A2098" t="s">
        <v>7172</v>
      </c>
      <c r="B2098" t="s">
        <v>7173</v>
      </c>
      <c r="C2098" t="s">
        <v>15</v>
      </c>
      <c r="D2098" t="s">
        <v>7155</v>
      </c>
      <c r="E2098" t="s">
        <v>278</v>
      </c>
      <c r="F2098" t="s">
        <v>5098</v>
      </c>
      <c r="G2098" t="s">
        <v>7174</v>
      </c>
      <c r="H2098" t="str">
        <f>HYPERLINK("https://baanknet.com/view-property/273192/0ED28414ACA2A9FD9E2723FD1C8F79DC2EEF2B7983816C4FC2CBFAA1E292A8E6", "https://baanknet.com/view-property/273192/0ED28414ACA2A9FD9E2723FD1C8F79DC2EEF2B7983816C4FC2CBFAA1E292A8E6")</f>
        <v>https://baanknet.com/view-property/273192/0ED28414ACA2A9FD9E2723FD1C8F79DC2EEF2B7983816C4FC2CBFAA1E292A8E6</v>
      </c>
      <c r="I2098" t="str">
        <f>HYPERLINK("https://baanknet.com/view-property/273192/0ED28414ACA2A9FD9E2723FD1C8F79DC2EEF2B7983816C4FC2CBFAA1E292A8E6", "Open")</f>
        <v>Open</v>
      </c>
      <c r="J2098" t="s">
        <v>3803</v>
      </c>
      <c r="L2098">
        <v>2049000</v>
      </c>
      <c r="M2098">
        <v>204900</v>
      </c>
    </row>
    <row r="2099" spans="1:13" x14ac:dyDescent="0.25">
      <c r="A2099" t="s">
        <v>7175</v>
      </c>
      <c r="B2099" t="s">
        <v>7176</v>
      </c>
      <c r="C2099" t="s">
        <v>15</v>
      </c>
      <c r="D2099" t="s">
        <v>7151</v>
      </c>
      <c r="E2099" t="s">
        <v>278</v>
      </c>
      <c r="F2099" t="s">
        <v>5098</v>
      </c>
      <c r="G2099" t="s">
        <v>7177</v>
      </c>
      <c r="H2099" t="str">
        <f>HYPERLINK("https://baanknet.com/view-property/241396/AA085F016EEF55D2A3486AD50B7A2085BD0783B2A852AFC03C66668813C9D04F", "https://baanknet.com/view-property/241396/AA085F016EEF55D2A3486AD50B7A2085BD0783B2A852AFC03C66668813C9D04F")</f>
        <v>https://baanknet.com/view-property/241396/AA085F016EEF55D2A3486AD50B7A2085BD0783B2A852AFC03C66668813C9D04F</v>
      </c>
      <c r="I2099" t="str">
        <f>HYPERLINK("https://baanknet.com/view-property/241396/AA085F016EEF55D2A3486AD50B7A2085BD0783B2A852AFC03C66668813C9D04F", "Open")</f>
        <v>Open</v>
      </c>
      <c r="J2099" t="s">
        <v>3803</v>
      </c>
      <c r="L2099">
        <v>2437000</v>
      </c>
      <c r="M2099">
        <v>243700</v>
      </c>
    </row>
    <row r="2100" spans="1:13" x14ac:dyDescent="0.25">
      <c r="A2100" t="s">
        <v>7178</v>
      </c>
      <c r="B2100" t="s">
        <v>7179</v>
      </c>
      <c r="C2100" t="s">
        <v>15</v>
      </c>
      <c r="D2100" t="s">
        <v>4557</v>
      </c>
      <c r="E2100" t="s">
        <v>278</v>
      </c>
      <c r="F2100" t="s">
        <v>5098</v>
      </c>
      <c r="G2100" t="s">
        <v>7180</v>
      </c>
      <c r="H2100" t="str">
        <f>HYPERLINK("https://baanknet.com/view-property/241402/95F9A18667F348151E35DD3063E66E7CE3351C62EF434332DF32003B79142D69", "https://baanknet.com/view-property/241402/95F9A18667F348151E35DD3063E66E7CE3351C62EF434332DF32003B79142D69")</f>
        <v>https://baanknet.com/view-property/241402/95F9A18667F348151E35DD3063E66E7CE3351C62EF434332DF32003B79142D69</v>
      </c>
      <c r="I2100" t="str">
        <f>HYPERLINK("https://baanknet.com/view-property/241402/95F9A18667F348151E35DD3063E66E7CE3351C62EF434332DF32003B79142D69", "Open")</f>
        <v>Open</v>
      </c>
      <c r="J2100" t="s">
        <v>3803</v>
      </c>
      <c r="L2100">
        <v>4061000</v>
      </c>
      <c r="M2100">
        <v>406100</v>
      </c>
    </row>
    <row r="2101" spans="1:13" x14ac:dyDescent="0.25">
      <c r="A2101" t="s">
        <v>7181</v>
      </c>
      <c r="B2101" t="s">
        <v>7182</v>
      </c>
      <c r="C2101" t="s">
        <v>15</v>
      </c>
      <c r="D2101" t="s">
        <v>7183</v>
      </c>
      <c r="E2101" t="s">
        <v>278</v>
      </c>
      <c r="F2101" t="s">
        <v>5098</v>
      </c>
      <c r="G2101" t="s">
        <v>7184</v>
      </c>
      <c r="H2101" t="str">
        <f>HYPERLINK("https://baanknet.com/view-property/274685/D8B7D234B6806EBD3D5C22BAF5FEFB03D9596D7CDCC8CBC535A7467FBA6D13B9", "https://baanknet.com/view-property/274685/D8B7D234B6806EBD3D5C22BAF5FEFB03D9596D7CDCC8CBC535A7467FBA6D13B9")</f>
        <v>https://baanknet.com/view-property/274685/D8B7D234B6806EBD3D5C22BAF5FEFB03D9596D7CDCC8CBC535A7467FBA6D13B9</v>
      </c>
      <c r="I2101" t="str">
        <f>HYPERLINK("https://baanknet.com/view-property/274685/D8B7D234B6806EBD3D5C22BAF5FEFB03D9596D7CDCC8CBC535A7467FBA6D13B9", "Open")</f>
        <v>Open</v>
      </c>
      <c r="J2101" t="s">
        <v>3803</v>
      </c>
      <c r="L2101">
        <v>3977000</v>
      </c>
      <c r="M2101">
        <v>397700</v>
      </c>
    </row>
    <row r="2102" spans="1:13" x14ac:dyDescent="0.25">
      <c r="A2102" t="s">
        <v>7185</v>
      </c>
      <c r="B2102" t="s">
        <v>7186</v>
      </c>
      <c r="C2102" t="s">
        <v>15</v>
      </c>
      <c r="D2102" t="s">
        <v>4557</v>
      </c>
      <c r="E2102" t="s">
        <v>278</v>
      </c>
      <c r="F2102" t="s">
        <v>5098</v>
      </c>
      <c r="G2102" t="s">
        <v>7187</v>
      </c>
      <c r="H2102" t="str">
        <f>HYPERLINK("https://baanknet.com/view-property/274696/CF518B4B708581E52695C3119323D4FAF71D508B23D1F6CF78D314C6AFC760AC", "https://baanknet.com/view-property/274696/CF518B4B708581E52695C3119323D4FAF71D508B23D1F6CF78D314C6AFC760AC")</f>
        <v>https://baanknet.com/view-property/274696/CF518B4B708581E52695C3119323D4FAF71D508B23D1F6CF78D314C6AFC760AC</v>
      </c>
      <c r="I2102" t="str">
        <f>HYPERLINK("https://baanknet.com/view-property/274696/CF518B4B708581E52695C3119323D4FAF71D508B23D1F6CF78D314C6AFC760AC", "Open")</f>
        <v>Open</v>
      </c>
      <c r="J2102" t="s">
        <v>3803</v>
      </c>
      <c r="L2102">
        <v>5846000</v>
      </c>
      <c r="M2102">
        <v>584600</v>
      </c>
    </row>
    <row r="2103" spans="1:13" x14ac:dyDescent="0.25">
      <c r="A2103" t="s">
        <v>7188</v>
      </c>
      <c r="B2103" t="s">
        <v>7189</v>
      </c>
      <c r="C2103" t="s">
        <v>15</v>
      </c>
      <c r="D2103" t="s">
        <v>4557</v>
      </c>
      <c r="E2103" t="s">
        <v>278</v>
      </c>
      <c r="F2103" t="s">
        <v>5098</v>
      </c>
      <c r="G2103" t="s">
        <v>7190</v>
      </c>
      <c r="H2103" t="str">
        <f>HYPERLINK("https://baanknet.com/view-property/241399/6A99313F06F8135BA2C6DD846FB28A2E2FA6EA20A697106DBF798C0CB5EA0EDD", "https://baanknet.com/view-property/241399/6A99313F06F8135BA2C6DD846FB28A2E2FA6EA20A697106DBF798C0CB5EA0EDD")</f>
        <v>https://baanknet.com/view-property/241399/6A99313F06F8135BA2C6DD846FB28A2E2FA6EA20A697106DBF798C0CB5EA0EDD</v>
      </c>
      <c r="I2103" t="str">
        <f>HYPERLINK("https://baanknet.com/view-property/241399/6A99313F06F8135BA2C6DD846FB28A2E2FA6EA20A697106DBF798C0CB5EA0EDD", "Open")</f>
        <v>Open</v>
      </c>
      <c r="J2103" t="s">
        <v>3803</v>
      </c>
      <c r="L2103">
        <v>2140000</v>
      </c>
      <c r="M2103">
        <v>214000</v>
      </c>
    </row>
    <row r="2104" spans="1:13" x14ac:dyDescent="0.25">
      <c r="A2104" t="s">
        <v>7191</v>
      </c>
      <c r="B2104" t="s">
        <v>7192</v>
      </c>
      <c r="C2104" t="s">
        <v>15</v>
      </c>
      <c r="D2104" t="s">
        <v>4557</v>
      </c>
      <c r="E2104" t="s">
        <v>278</v>
      </c>
      <c r="F2104" t="s">
        <v>5098</v>
      </c>
      <c r="G2104" t="s">
        <v>7193</v>
      </c>
      <c r="H2104" t="str">
        <f>HYPERLINK("https://baanknet.com/view-property/274681/722C6151EA9288DA1129DB8B83EF20B3066715909DE56C233475B0D9D0114E18", "https://baanknet.com/view-property/274681/722C6151EA9288DA1129DB8B83EF20B3066715909DE56C233475B0D9D0114E18")</f>
        <v>https://baanknet.com/view-property/274681/722C6151EA9288DA1129DB8B83EF20B3066715909DE56C233475B0D9D0114E18</v>
      </c>
      <c r="I2104" t="str">
        <f>HYPERLINK("https://baanknet.com/view-property/274681/722C6151EA9288DA1129DB8B83EF20B3066715909DE56C233475B0D9D0114E18", "Open")</f>
        <v>Open</v>
      </c>
      <c r="J2104" t="s">
        <v>3803</v>
      </c>
      <c r="L2104">
        <v>1304000</v>
      </c>
      <c r="M2104">
        <v>130400</v>
      </c>
    </row>
    <row r="2105" spans="1:13" x14ac:dyDescent="0.25">
      <c r="A2105" t="s">
        <v>7194</v>
      </c>
      <c r="B2105" t="s">
        <v>7195</v>
      </c>
      <c r="C2105" t="s">
        <v>15</v>
      </c>
      <c r="D2105" t="s">
        <v>4557</v>
      </c>
      <c r="E2105" t="s">
        <v>278</v>
      </c>
      <c r="F2105" t="s">
        <v>5098</v>
      </c>
      <c r="G2105" t="s">
        <v>7196</v>
      </c>
      <c r="H2105" t="str">
        <f>HYPERLINK("https://baanknet.com/view-property/274678/DC19DACAEB4F0E48CCFFBE1747B9174F7D7DB2FA399B3DB7B17D687312544148", "https://baanknet.com/view-property/274678/DC19DACAEB4F0E48CCFFBE1747B9174F7D7DB2FA399B3DB7B17D687312544148")</f>
        <v>https://baanknet.com/view-property/274678/DC19DACAEB4F0E48CCFFBE1747B9174F7D7DB2FA399B3DB7B17D687312544148</v>
      </c>
      <c r="I2105" t="str">
        <f>HYPERLINK("https://baanknet.com/view-property/274678/DC19DACAEB4F0E48CCFFBE1747B9174F7D7DB2FA399B3DB7B17D687312544148", "Open")</f>
        <v>Open</v>
      </c>
      <c r="J2105" t="s">
        <v>3803</v>
      </c>
      <c r="L2105">
        <v>5705000</v>
      </c>
      <c r="M2105">
        <v>570500</v>
      </c>
    </row>
    <row r="2106" spans="1:13" x14ac:dyDescent="0.25">
      <c r="A2106" t="s">
        <v>7197</v>
      </c>
      <c r="B2106" t="s">
        <v>7198</v>
      </c>
      <c r="C2106" t="s">
        <v>15</v>
      </c>
      <c r="D2106" t="s">
        <v>4557</v>
      </c>
      <c r="E2106" t="s">
        <v>278</v>
      </c>
      <c r="F2106" t="s">
        <v>5098</v>
      </c>
      <c r="G2106" t="s">
        <v>7199</v>
      </c>
      <c r="H2106" t="str">
        <f>HYPERLINK("https://baanknet.com/view-property/244955/73E301AC47DE309369D656F4C8837D15B23B199FE52AE974A231B21A24167DF6", "https://baanknet.com/view-property/244955/73E301AC47DE309369D656F4C8837D15B23B199FE52AE974A231B21A24167DF6")</f>
        <v>https://baanknet.com/view-property/244955/73E301AC47DE309369D656F4C8837D15B23B199FE52AE974A231B21A24167DF6</v>
      </c>
      <c r="I2106" t="str">
        <f>HYPERLINK("https://baanknet.com/view-property/244955/73E301AC47DE309369D656F4C8837D15B23B199FE52AE974A231B21A24167DF6", "Open")</f>
        <v>Open</v>
      </c>
      <c r="J2106" t="s">
        <v>3803</v>
      </c>
      <c r="L2106">
        <v>3131000</v>
      </c>
      <c r="M2106">
        <v>313100</v>
      </c>
    </row>
    <row r="2107" spans="1:13" x14ac:dyDescent="0.25">
      <c r="A2107" t="s">
        <v>7200</v>
      </c>
      <c r="B2107" t="s">
        <v>7201</v>
      </c>
      <c r="C2107" t="s">
        <v>15</v>
      </c>
      <c r="D2107" t="s">
        <v>4553</v>
      </c>
      <c r="E2107" t="s">
        <v>278</v>
      </c>
      <c r="F2107" t="s">
        <v>5098</v>
      </c>
      <c r="G2107" t="s">
        <v>7202</v>
      </c>
      <c r="H2107" t="str">
        <f>HYPERLINK("https://baanknet.com/view-property/274687/141E3ABDDD6F6478341327486A848698B5BA0F7033BDBB75E67745D082DEF291", "https://baanknet.com/view-property/274687/141E3ABDDD6F6478341327486A848698B5BA0F7033BDBB75E67745D082DEF291")</f>
        <v>https://baanknet.com/view-property/274687/141E3ABDDD6F6478341327486A848698B5BA0F7033BDBB75E67745D082DEF291</v>
      </c>
      <c r="I2107" t="str">
        <f>HYPERLINK("https://baanknet.com/view-property/274687/141E3ABDDD6F6478341327486A848698B5BA0F7033BDBB75E67745D082DEF291", "Open")</f>
        <v>Open</v>
      </c>
      <c r="J2107" t="s">
        <v>3803</v>
      </c>
      <c r="L2107">
        <v>3430000</v>
      </c>
      <c r="M2107">
        <v>343000</v>
      </c>
    </row>
    <row r="2108" spans="1:13" x14ac:dyDescent="0.25">
      <c r="A2108" t="s">
        <v>7203</v>
      </c>
      <c r="B2108" t="s">
        <v>7204</v>
      </c>
      <c r="C2108" t="s">
        <v>15</v>
      </c>
      <c r="D2108" t="s">
        <v>7205</v>
      </c>
      <c r="E2108" t="s">
        <v>278</v>
      </c>
      <c r="F2108" t="s">
        <v>5098</v>
      </c>
      <c r="G2108" t="s">
        <v>7206</v>
      </c>
      <c r="H2108" t="str">
        <f>HYPERLINK("https://baanknet.com/view-property/278891/C14BA3A8316AFEABF79BEC29491B3CB6CA83E549D1B9D1324A29BAAB771F4013", "https://baanknet.com/view-property/278891/C14BA3A8316AFEABF79BEC29491B3CB6CA83E549D1B9D1324A29BAAB771F4013")</f>
        <v>https://baanknet.com/view-property/278891/C14BA3A8316AFEABF79BEC29491B3CB6CA83E549D1B9D1324A29BAAB771F4013</v>
      </c>
      <c r="I2108" t="str">
        <f>HYPERLINK("https://baanknet.com/view-property/278891/C14BA3A8316AFEABF79BEC29491B3CB6CA83E549D1B9D1324A29BAAB771F4013", "Open")</f>
        <v>Open</v>
      </c>
      <c r="J2108" t="s">
        <v>3803</v>
      </c>
      <c r="L2108">
        <v>4817000</v>
      </c>
      <c r="M2108">
        <v>481700</v>
      </c>
    </row>
    <row r="2109" spans="1:13" x14ac:dyDescent="0.25">
      <c r="A2109" t="s">
        <v>7207</v>
      </c>
      <c r="B2109" t="s">
        <v>7208</v>
      </c>
      <c r="C2109" t="s">
        <v>15</v>
      </c>
      <c r="D2109" t="s">
        <v>7209</v>
      </c>
      <c r="E2109" t="s">
        <v>278</v>
      </c>
      <c r="F2109" t="s">
        <v>5098</v>
      </c>
      <c r="G2109" t="s">
        <v>7210</v>
      </c>
      <c r="H2109" t="str">
        <f>HYPERLINK("https://baanknet.com/view-property/273190/C9D322B45CCBD8DD64A05799BDDD699009AB8CEEB45EFB0E1D017A6D7E368AF3", "https://baanknet.com/view-property/273190/C9D322B45CCBD8DD64A05799BDDD699009AB8CEEB45EFB0E1D017A6D7E368AF3")</f>
        <v>https://baanknet.com/view-property/273190/C9D322B45CCBD8DD64A05799BDDD699009AB8CEEB45EFB0E1D017A6D7E368AF3</v>
      </c>
      <c r="I2109" t="str">
        <f>HYPERLINK("https://baanknet.com/view-property/273190/C9D322B45CCBD8DD64A05799BDDD699009AB8CEEB45EFB0E1D017A6D7E368AF3", "Open")</f>
        <v>Open</v>
      </c>
      <c r="J2109" t="s">
        <v>3803</v>
      </c>
      <c r="L2109">
        <v>2518000</v>
      </c>
      <c r="M2109">
        <v>251800</v>
      </c>
    </row>
    <row r="2110" spans="1:13" x14ac:dyDescent="0.25">
      <c r="A2110" t="s">
        <v>7211</v>
      </c>
      <c r="B2110" t="s">
        <v>7212</v>
      </c>
      <c r="C2110" t="s">
        <v>15</v>
      </c>
      <c r="D2110" t="s">
        <v>4078</v>
      </c>
      <c r="E2110" t="s">
        <v>278</v>
      </c>
      <c r="F2110" t="s">
        <v>5098</v>
      </c>
      <c r="G2110" t="s">
        <v>7213</v>
      </c>
      <c r="H2110" t="str">
        <f>HYPERLINK("https://baanknet.com/view-property/251739/527E9167221AAF9900A33DA83735548C0F00B3ED14D57DC355A5692EC0F3B305", "https://baanknet.com/view-property/251739/527E9167221AAF9900A33DA83735548C0F00B3ED14D57DC355A5692EC0F3B305")</f>
        <v>https://baanknet.com/view-property/251739/527E9167221AAF9900A33DA83735548C0F00B3ED14D57DC355A5692EC0F3B305</v>
      </c>
      <c r="I2110" t="str">
        <f>HYPERLINK("https://baanknet.com/view-property/251739/527E9167221AAF9900A33DA83735548C0F00B3ED14D57DC355A5692EC0F3B305", "Open")</f>
        <v>Open</v>
      </c>
      <c r="J2110" t="s">
        <v>3803</v>
      </c>
      <c r="L2110">
        <v>3471000</v>
      </c>
      <c r="M2110">
        <v>347100</v>
      </c>
    </row>
    <row r="2111" spans="1:13" x14ac:dyDescent="0.25">
      <c r="A2111" t="s">
        <v>7214</v>
      </c>
      <c r="B2111" t="s">
        <v>7215</v>
      </c>
      <c r="C2111" t="s">
        <v>15</v>
      </c>
      <c r="D2111" t="s">
        <v>4065</v>
      </c>
      <c r="E2111" t="s">
        <v>278</v>
      </c>
      <c r="F2111" t="s">
        <v>5098</v>
      </c>
      <c r="G2111" t="s">
        <v>7216</v>
      </c>
      <c r="H2111" t="str">
        <f>HYPERLINK("https://baanknet.com/view-property/276976/9E33A5EC3309713DCD8B113C6E93E93D69A83B345365BFA72907C02301D73978", "https://baanknet.com/view-property/276976/9E33A5EC3309713DCD8B113C6E93E93D69A83B345365BFA72907C02301D73978")</f>
        <v>https://baanknet.com/view-property/276976/9E33A5EC3309713DCD8B113C6E93E93D69A83B345365BFA72907C02301D73978</v>
      </c>
      <c r="I2111" t="str">
        <f>HYPERLINK("https://baanknet.com/view-property/276976/9E33A5EC3309713DCD8B113C6E93E93D69A83B345365BFA72907C02301D73978", "Open")</f>
        <v>Open</v>
      </c>
      <c r="J2111" t="s">
        <v>3803</v>
      </c>
      <c r="L2111">
        <v>2025000</v>
      </c>
      <c r="M2111">
        <v>202500</v>
      </c>
    </row>
    <row r="2112" spans="1:13" x14ac:dyDescent="0.25">
      <c r="A2112" t="s">
        <v>7217</v>
      </c>
      <c r="B2112" t="s">
        <v>7218</v>
      </c>
      <c r="C2112" t="s">
        <v>15</v>
      </c>
      <c r="D2112" t="s">
        <v>463</v>
      </c>
      <c r="E2112" t="s">
        <v>278</v>
      </c>
      <c r="F2112" t="s">
        <v>5098</v>
      </c>
      <c r="G2112" t="s">
        <v>7219</v>
      </c>
      <c r="H2112" t="str">
        <f>HYPERLINK("https://baanknet.com/view-property/267129/946A87EF93CB17EF637AA163DF1456DACBEB129500B07553964FB75AAA563ED2", "https://baanknet.com/view-property/267129/946A87EF93CB17EF637AA163DF1456DACBEB129500B07553964FB75AAA563ED2")</f>
        <v>https://baanknet.com/view-property/267129/946A87EF93CB17EF637AA163DF1456DACBEB129500B07553964FB75AAA563ED2</v>
      </c>
      <c r="I2112" t="str">
        <f>HYPERLINK("https://baanknet.com/view-property/267129/946A87EF93CB17EF637AA163DF1456DACBEB129500B07553964FB75AAA563ED2", "Open")</f>
        <v>Open</v>
      </c>
      <c r="J2112" t="s">
        <v>3803</v>
      </c>
      <c r="L2112">
        <v>3558000</v>
      </c>
      <c r="M2112">
        <v>355800</v>
      </c>
    </row>
    <row r="2113" spans="1:13" x14ac:dyDescent="0.25">
      <c r="A2113" t="s">
        <v>7220</v>
      </c>
      <c r="B2113" t="s">
        <v>7221</v>
      </c>
      <c r="C2113" t="s">
        <v>15</v>
      </c>
      <c r="D2113" t="s">
        <v>7222</v>
      </c>
      <c r="E2113" t="s">
        <v>278</v>
      </c>
      <c r="F2113" t="s">
        <v>5098</v>
      </c>
      <c r="G2113" t="s">
        <v>7223</v>
      </c>
      <c r="H2113" t="str">
        <f>HYPERLINK("https://baanknet.com/view-property/241406/1DA7027F847B06C0B4C309EED44DF699192DECB4D3AA43B09D4EBB736F20B5B6", "https://baanknet.com/view-property/241406/1DA7027F847B06C0B4C309EED44DF699192DECB4D3AA43B09D4EBB736F20B5B6")</f>
        <v>https://baanknet.com/view-property/241406/1DA7027F847B06C0B4C309EED44DF699192DECB4D3AA43B09D4EBB736F20B5B6</v>
      </c>
      <c r="I2113" t="str">
        <f>HYPERLINK("https://baanknet.com/view-property/241406/1DA7027F847B06C0B4C309EED44DF699192DECB4D3AA43B09D4EBB736F20B5B6", "Open")</f>
        <v>Open</v>
      </c>
      <c r="J2113" t="s">
        <v>3803</v>
      </c>
      <c r="L2113">
        <v>2470000</v>
      </c>
      <c r="M2113">
        <v>247000</v>
      </c>
    </row>
    <row r="2114" spans="1:13" x14ac:dyDescent="0.25">
      <c r="A2114" t="s">
        <v>7224</v>
      </c>
      <c r="B2114" t="s">
        <v>7225</v>
      </c>
      <c r="C2114" t="s">
        <v>15</v>
      </c>
      <c r="D2114" t="s">
        <v>6951</v>
      </c>
      <c r="E2114" t="s">
        <v>278</v>
      </c>
      <c r="F2114" t="s">
        <v>5098</v>
      </c>
      <c r="G2114" t="s">
        <v>7226</v>
      </c>
      <c r="H2114" t="str">
        <f>HYPERLINK("https://baanknet.com/view-property/263794/4C4EA9C79D7D6BE4A5952023B0A213C146C8BE0BFE637471382E178B8B1C6C68", "https://baanknet.com/view-property/263794/4C4EA9C79D7D6BE4A5952023B0A213C146C8BE0BFE637471382E178B8B1C6C68")</f>
        <v>https://baanknet.com/view-property/263794/4C4EA9C79D7D6BE4A5952023B0A213C146C8BE0BFE637471382E178B8B1C6C68</v>
      </c>
      <c r="I2114" t="str">
        <f>HYPERLINK("https://baanknet.com/view-property/263794/4C4EA9C79D7D6BE4A5952023B0A213C146C8BE0BFE637471382E178B8B1C6C68", "Open")</f>
        <v>Open</v>
      </c>
      <c r="J2114" t="s">
        <v>3803</v>
      </c>
      <c r="L2114">
        <v>4246000</v>
      </c>
      <c r="M2114">
        <v>424600</v>
      </c>
    </row>
    <row r="2115" spans="1:13" x14ac:dyDescent="0.25">
      <c r="A2115" t="s">
        <v>7227</v>
      </c>
      <c r="B2115" t="s">
        <v>7228</v>
      </c>
      <c r="C2115" t="s">
        <v>15</v>
      </c>
      <c r="D2115" t="s">
        <v>4557</v>
      </c>
      <c r="E2115" t="s">
        <v>278</v>
      </c>
      <c r="F2115" t="s">
        <v>5098</v>
      </c>
      <c r="G2115" t="s">
        <v>7229</v>
      </c>
      <c r="H2115" t="str">
        <f>HYPERLINK("https://baanknet.com/view-property/274695/C5F0C11FB438FF62F66E7853178689678B7E11631E25F3D8CE3017B76D49DF71", "https://baanknet.com/view-property/274695/C5F0C11FB438FF62F66E7853178689678B7E11631E25F3D8CE3017B76D49DF71")</f>
        <v>https://baanknet.com/view-property/274695/C5F0C11FB438FF62F66E7853178689678B7E11631E25F3D8CE3017B76D49DF71</v>
      </c>
      <c r="I2115" t="str">
        <f>HYPERLINK("https://baanknet.com/view-property/274695/C5F0C11FB438FF62F66E7853178689678B7E11631E25F3D8CE3017B76D49DF71", "Open")</f>
        <v>Open</v>
      </c>
      <c r="J2115" t="s">
        <v>3803</v>
      </c>
      <c r="L2115">
        <v>11141000</v>
      </c>
      <c r="M2115">
        <v>1114100</v>
      </c>
    </row>
    <row r="2116" spans="1:13" x14ac:dyDescent="0.25">
      <c r="A2116" t="s">
        <v>7230</v>
      </c>
      <c r="B2116" t="s">
        <v>7231</v>
      </c>
      <c r="C2116" t="s">
        <v>15</v>
      </c>
      <c r="D2116" t="s">
        <v>1246</v>
      </c>
      <c r="E2116" t="s">
        <v>278</v>
      </c>
      <c r="F2116" t="s">
        <v>5098</v>
      </c>
      <c r="G2116" t="s">
        <v>7232</v>
      </c>
      <c r="H2116" t="str">
        <f>HYPERLINK("https://baanknet.com/view-property/269807/5F30359AE8157C15DD21ADB02353E48A9A870212AE4ADC0C362F874139094154", "https://baanknet.com/view-property/269807/5F30359AE8157C15DD21ADB02353E48A9A870212AE4ADC0C362F874139094154")</f>
        <v>https://baanknet.com/view-property/269807/5F30359AE8157C15DD21ADB02353E48A9A870212AE4ADC0C362F874139094154</v>
      </c>
      <c r="I2116" t="str">
        <f>HYPERLINK("https://baanknet.com/view-property/269807/5F30359AE8157C15DD21ADB02353E48A9A870212AE4ADC0C362F874139094154", "Open")</f>
        <v>Open</v>
      </c>
      <c r="J2116" t="s">
        <v>3803</v>
      </c>
      <c r="L2116">
        <v>3708000</v>
      </c>
      <c r="M2116">
        <v>370800</v>
      </c>
    </row>
    <row r="2117" spans="1:13" x14ac:dyDescent="0.25">
      <c r="A2117" t="s">
        <v>7233</v>
      </c>
      <c r="B2117" t="s">
        <v>7234</v>
      </c>
      <c r="C2117" t="s">
        <v>15</v>
      </c>
      <c r="D2117" t="s">
        <v>4557</v>
      </c>
      <c r="E2117" t="s">
        <v>278</v>
      </c>
      <c r="F2117" t="s">
        <v>5098</v>
      </c>
      <c r="G2117" t="s">
        <v>7235</v>
      </c>
      <c r="H2117" t="str">
        <f>HYPERLINK("https://baanknet.com/view-property/280838/B6300EA964695578116A83B53E81399AE89BF8D1E39BE115790A32E228B51EB3", "https://baanknet.com/view-property/280838/B6300EA964695578116A83B53E81399AE89BF8D1E39BE115790A32E228B51EB3")</f>
        <v>https://baanknet.com/view-property/280838/B6300EA964695578116A83B53E81399AE89BF8D1E39BE115790A32E228B51EB3</v>
      </c>
      <c r="I2117" t="str">
        <f>HYPERLINK("https://baanknet.com/view-property/280838/B6300EA964695578116A83B53E81399AE89BF8D1E39BE115790A32E228B51EB3", "Open")</f>
        <v>Open</v>
      </c>
      <c r="J2117" t="s">
        <v>3803</v>
      </c>
      <c r="L2117">
        <v>8050000</v>
      </c>
      <c r="M2117">
        <v>805000</v>
      </c>
    </row>
    <row r="2118" spans="1:13" x14ac:dyDescent="0.25">
      <c r="A2118" t="s">
        <v>7236</v>
      </c>
      <c r="B2118" t="s">
        <v>7237</v>
      </c>
      <c r="C2118" t="s">
        <v>15</v>
      </c>
      <c r="D2118" t="s">
        <v>7238</v>
      </c>
      <c r="E2118" t="s">
        <v>278</v>
      </c>
      <c r="F2118" t="s">
        <v>5098</v>
      </c>
      <c r="G2118" t="s">
        <v>7239</v>
      </c>
      <c r="H2118" t="str">
        <f>HYPERLINK("https://baanknet.com/view-property/243907/ED3C980497EAEA889F42A1349AC1B3672E694ACBDDC4A76CB517A3571BBED05B", "https://baanknet.com/view-property/243907/ED3C980497EAEA889F42A1349AC1B3672E694ACBDDC4A76CB517A3571BBED05B")</f>
        <v>https://baanknet.com/view-property/243907/ED3C980497EAEA889F42A1349AC1B3672E694ACBDDC4A76CB517A3571BBED05B</v>
      </c>
      <c r="I2118" t="str">
        <f>HYPERLINK("https://baanknet.com/view-property/243907/ED3C980497EAEA889F42A1349AC1B3672E694ACBDDC4A76CB517A3571BBED05B", "Open")</f>
        <v>Open</v>
      </c>
      <c r="J2118" t="s">
        <v>3803</v>
      </c>
      <c r="L2118">
        <v>1330000</v>
      </c>
      <c r="M2118">
        <v>133000</v>
      </c>
    </row>
    <row r="2119" spans="1:13" x14ac:dyDescent="0.25">
      <c r="A2119" t="s">
        <v>7240</v>
      </c>
      <c r="B2119" t="s">
        <v>7241</v>
      </c>
      <c r="C2119" t="s">
        <v>15</v>
      </c>
      <c r="D2119" t="s">
        <v>7242</v>
      </c>
      <c r="E2119" t="s">
        <v>278</v>
      </c>
      <c r="F2119" t="s">
        <v>5098</v>
      </c>
      <c r="G2119" t="s">
        <v>7243</v>
      </c>
      <c r="H2119" t="str">
        <f>HYPERLINK("https://baanknet.com/view-property/274689/3DA74AEB7367213C48D7344C4A9A1FBBAEECFB8C79CBC3A1B4827A3B0DC21D0E", "https://baanknet.com/view-property/274689/3DA74AEB7367213C48D7344C4A9A1FBBAEECFB8C79CBC3A1B4827A3B0DC21D0E")</f>
        <v>https://baanknet.com/view-property/274689/3DA74AEB7367213C48D7344C4A9A1FBBAEECFB8C79CBC3A1B4827A3B0DC21D0E</v>
      </c>
      <c r="I2119" t="str">
        <f>HYPERLINK("https://baanknet.com/view-property/274689/3DA74AEB7367213C48D7344C4A9A1FBBAEECFB8C79CBC3A1B4827A3B0DC21D0E", "Open")</f>
        <v>Open</v>
      </c>
      <c r="J2119" t="s">
        <v>3803</v>
      </c>
      <c r="L2119">
        <v>2921000</v>
      </c>
      <c r="M2119">
        <v>292100</v>
      </c>
    </row>
    <row r="2120" spans="1:13" x14ac:dyDescent="0.25">
      <c r="A2120" t="s">
        <v>7244</v>
      </c>
      <c r="B2120" t="s">
        <v>7245</v>
      </c>
      <c r="C2120" t="s">
        <v>15</v>
      </c>
      <c r="D2120" t="s">
        <v>7246</v>
      </c>
      <c r="E2120" t="s">
        <v>278</v>
      </c>
      <c r="F2120" t="s">
        <v>5098</v>
      </c>
      <c r="G2120" t="s">
        <v>7247</v>
      </c>
      <c r="H2120" t="str">
        <f>HYPERLINK("https://baanknet.com/view-property/241410/FAABC80FB9D1E6B55E897121CF907FB8AFFABF3B0BCF582CBFF2CC71CB53336B", "https://baanknet.com/view-property/241410/FAABC80FB9D1E6B55E897121CF907FB8AFFABF3B0BCF582CBFF2CC71CB53336B")</f>
        <v>https://baanknet.com/view-property/241410/FAABC80FB9D1E6B55E897121CF907FB8AFFABF3B0BCF582CBFF2CC71CB53336B</v>
      </c>
      <c r="I2120" t="str">
        <f>HYPERLINK("https://baanknet.com/view-property/241410/FAABC80FB9D1E6B55E897121CF907FB8AFFABF3B0BCF582CBFF2CC71CB53336B", "Open")</f>
        <v>Open</v>
      </c>
      <c r="J2120" t="s">
        <v>3803</v>
      </c>
      <c r="L2120">
        <v>3650000</v>
      </c>
      <c r="M2120">
        <v>365000</v>
      </c>
    </row>
    <row r="2121" spans="1:13" x14ac:dyDescent="0.25">
      <c r="A2121" t="s">
        <v>7248</v>
      </c>
      <c r="B2121" t="s">
        <v>7249</v>
      </c>
      <c r="C2121" t="s">
        <v>15</v>
      </c>
      <c r="D2121" t="s">
        <v>7167</v>
      </c>
      <c r="E2121" t="s">
        <v>278</v>
      </c>
      <c r="F2121" t="s">
        <v>5098</v>
      </c>
      <c r="G2121" t="s">
        <v>7250</v>
      </c>
      <c r="H2121" t="str">
        <f>HYPERLINK("https://baanknet.com/view-property/241429/90838316916923F6FFB4C3BDF52FBE79D25DD992F11A2FA397C46A4F9BC50E04", "https://baanknet.com/view-property/241429/90838316916923F6FFB4C3BDF52FBE79D25DD992F11A2FA397C46A4F9BC50E04")</f>
        <v>https://baanknet.com/view-property/241429/90838316916923F6FFB4C3BDF52FBE79D25DD992F11A2FA397C46A4F9BC50E04</v>
      </c>
      <c r="I2121" t="str">
        <f>HYPERLINK("https://baanknet.com/view-property/241429/90838316916923F6FFB4C3BDF52FBE79D25DD992F11A2FA397C46A4F9BC50E04", "Open")</f>
        <v>Open</v>
      </c>
      <c r="J2121" t="s">
        <v>3803</v>
      </c>
      <c r="L2121">
        <v>4750000</v>
      </c>
      <c r="M2121">
        <v>475000</v>
      </c>
    </row>
    <row r="2122" spans="1:13" x14ac:dyDescent="0.25">
      <c r="A2122" t="s">
        <v>7251</v>
      </c>
      <c r="B2122" t="s">
        <v>7252</v>
      </c>
      <c r="C2122" t="s">
        <v>15</v>
      </c>
      <c r="D2122" t="s">
        <v>7253</v>
      </c>
      <c r="E2122" t="s">
        <v>278</v>
      </c>
      <c r="F2122" t="s">
        <v>5098</v>
      </c>
      <c r="G2122" t="s">
        <v>7254</v>
      </c>
      <c r="H2122" t="str">
        <f>HYPERLINK("https://baanknet.com/view-property/275750/045BC0FD8C6087A4F91E2DE4A2B2EA7D1CA926A5AA3859A625870C47C6264A49", "https://baanknet.com/view-property/275750/045BC0FD8C6087A4F91E2DE4A2B2EA7D1CA926A5AA3859A625870C47C6264A49")</f>
        <v>https://baanknet.com/view-property/275750/045BC0FD8C6087A4F91E2DE4A2B2EA7D1CA926A5AA3859A625870C47C6264A49</v>
      </c>
      <c r="I2122" t="str">
        <f>HYPERLINK("https://baanknet.com/view-property/275750/045BC0FD8C6087A4F91E2DE4A2B2EA7D1CA926A5AA3859A625870C47C6264A49", "Open")</f>
        <v>Open</v>
      </c>
      <c r="J2122" t="s">
        <v>3803</v>
      </c>
      <c r="L2122">
        <v>8439000</v>
      </c>
      <c r="M2122">
        <v>843900</v>
      </c>
    </row>
    <row r="2123" spans="1:13" x14ac:dyDescent="0.25">
      <c r="A2123" t="s">
        <v>7255</v>
      </c>
      <c r="B2123" t="s">
        <v>7256</v>
      </c>
      <c r="C2123" t="s">
        <v>15</v>
      </c>
      <c r="D2123" t="s">
        <v>7257</v>
      </c>
      <c r="E2123" t="s">
        <v>278</v>
      </c>
      <c r="F2123" t="s">
        <v>5098</v>
      </c>
      <c r="G2123" t="s">
        <v>7258</v>
      </c>
      <c r="H2123" t="str">
        <f>HYPERLINK("https://baanknet.com/view-property/269816/6DE053B256B4BBDD307ADE703698E5636E658C1360BCDC280F59188786BA1AFD", "https://baanknet.com/view-property/269816/6DE053B256B4BBDD307ADE703698E5636E658C1360BCDC280F59188786BA1AFD")</f>
        <v>https://baanknet.com/view-property/269816/6DE053B256B4BBDD307ADE703698E5636E658C1360BCDC280F59188786BA1AFD</v>
      </c>
      <c r="I2123" t="str">
        <f>HYPERLINK("https://baanknet.com/view-property/269816/6DE053B256B4BBDD307ADE703698E5636E658C1360BCDC280F59188786BA1AFD", "Open")</f>
        <v>Open</v>
      </c>
      <c r="J2123" t="s">
        <v>3803</v>
      </c>
      <c r="L2123">
        <v>1682000</v>
      </c>
      <c r="M2123">
        <v>168200</v>
      </c>
    </row>
    <row r="2124" spans="1:13" x14ac:dyDescent="0.25">
      <c r="A2124" t="s">
        <v>7259</v>
      </c>
      <c r="B2124" t="s">
        <v>7260</v>
      </c>
      <c r="C2124" t="s">
        <v>15</v>
      </c>
      <c r="D2124" t="s">
        <v>7167</v>
      </c>
      <c r="E2124" t="s">
        <v>278</v>
      </c>
      <c r="F2124" t="s">
        <v>5098</v>
      </c>
      <c r="G2124" t="s">
        <v>7261</v>
      </c>
      <c r="H2124" t="str">
        <f>HYPERLINK("https://baanknet.com/view-property/274683/0BBDCB48A017430ACC3AC3AB06048926A11E51E0087557F2102D0249D8836864", "https://baanknet.com/view-property/274683/0BBDCB48A017430ACC3AC3AB06048926A11E51E0087557F2102D0249D8836864")</f>
        <v>https://baanknet.com/view-property/274683/0BBDCB48A017430ACC3AC3AB06048926A11E51E0087557F2102D0249D8836864</v>
      </c>
      <c r="I2124" t="str">
        <f>HYPERLINK("https://baanknet.com/view-property/274683/0BBDCB48A017430ACC3AC3AB06048926A11E51E0087557F2102D0249D8836864", "Open")</f>
        <v>Open</v>
      </c>
      <c r="J2124" t="s">
        <v>3803</v>
      </c>
      <c r="L2124">
        <v>5822000</v>
      </c>
      <c r="M2124">
        <v>582200</v>
      </c>
    </row>
    <row r="2125" spans="1:13" x14ac:dyDescent="0.25">
      <c r="A2125" t="s">
        <v>7262</v>
      </c>
      <c r="B2125" t="s">
        <v>7263</v>
      </c>
      <c r="C2125" t="s">
        <v>15</v>
      </c>
      <c r="D2125" t="s">
        <v>7163</v>
      </c>
      <c r="E2125" t="s">
        <v>278</v>
      </c>
      <c r="F2125" t="s">
        <v>5098</v>
      </c>
      <c r="G2125" t="s">
        <v>7264</v>
      </c>
      <c r="H2125" t="str">
        <f>HYPERLINK("https://baanknet.com/view-property/246937/029C232EEA08E827B3C6FAC5EB10D7DD8B4A30B8174B1AB2535A39B60F30401D", "https://baanknet.com/view-property/246937/029C232EEA08E827B3C6FAC5EB10D7DD8B4A30B8174B1AB2535A39B60F30401D")</f>
        <v>https://baanknet.com/view-property/246937/029C232EEA08E827B3C6FAC5EB10D7DD8B4A30B8174B1AB2535A39B60F30401D</v>
      </c>
      <c r="I2125" t="str">
        <f>HYPERLINK("https://baanknet.com/view-property/246937/029C232EEA08E827B3C6FAC5EB10D7DD8B4A30B8174B1AB2535A39B60F30401D", "Open")</f>
        <v>Open</v>
      </c>
      <c r="J2125" t="s">
        <v>3803</v>
      </c>
      <c r="L2125">
        <v>5800000</v>
      </c>
      <c r="M2125">
        <v>580000</v>
      </c>
    </row>
    <row r="2126" spans="1:13" x14ac:dyDescent="0.25">
      <c r="A2126" t="s">
        <v>7265</v>
      </c>
      <c r="B2126" t="s">
        <v>7266</v>
      </c>
      <c r="C2126" t="s">
        <v>15</v>
      </c>
      <c r="D2126" t="s">
        <v>4557</v>
      </c>
      <c r="E2126" t="s">
        <v>278</v>
      </c>
      <c r="F2126" t="s">
        <v>5098</v>
      </c>
      <c r="G2126" t="s">
        <v>7267</v>
      </c>
      <c r="H2126" t="str">
        <f>HYPERLINK("https://baanknet.com/view-property/241407/A33A970EF9BA05BC0646316866AFAA92112FDDF9173D9D0ABBD2341A7F73BA6F", "https://baanknet.com/view-property/241407/A33A970EF9BA05BC0646316866AFAA92112FDDF9173D9D0ABBD2341A7F73BA6F")</f>
        <v>https://baanknet.com/view-property/241407/A33A970EF9BA05BC0646316866AFAA92112FDDF9173D9D0ABBD2341A7F73BA6F</v>
      </c>
      <c r="I2126" t="str">
        <f>HYPERLINK("https://baanknet.com/view-property/241407/A33A970EF9BA05BC0646316866AFAA92112FDDF9173D9D0ABBD2341A7F73BA6F", "Open")</f>
        <v>Open</v>
      </c>
      <c r="J2126" t="s">
        <v>3803</v>
      </c>
      <c r="L2126">
        <v>8075000</v>
      </c>
      <c r="M2126">
        <v>807500</v>
      </c>
    </row>
    <row r="2127" spans="1:13" x14ac:dyDescent="0.25">
      <c r="A2127" t="s">
        <v>7268</v>
      </c>
      <c r="B2127" t="s">
        <v>7269</v>
      </c>
      <c r="C2127" t="s">
        <v>15</v>
      </c>
      <c r="D2127" t="s">
        <v>7167</v>
      </c>
      <c r="E2127" t="s">
        <v>278</v>
      </c>
      <c r="F2127" t="s">
        <v>5098</v>
      </c>
      <c r="G2127" t="s">
        <v>7270</v>
      </c>
      <c r="H2127" t="str">
        <f>HYPERLINK("https://baanknet.com/view-property/274682/8A9DCE724900D3C234993E993CEA04119D3BFAFAEC56F40CE9202460A959BCDD", "https://baanknet.com/view-property/274682/8A9DCE724900D3C234993E993CEA04119D3BFAFAEC56F40CE9202460A959BCDD")</f>
        <v>https://baanknet.com/view-property/274682/8A9DCE724900D3C234993E993CEA04119D3BFAFAEC56F40CE9202460A959BCDD</v>
      </c>
      <c r="I2127" t="str">
        <f>HYPERLINK("https://baanknet.com/view-property/274682/8A9DCE724900D3C234993E993CEA04119D3BFAFAEC56F40CE9202460A959BCDD", "Open")</f>
        <v>Open</v>
      </c>
      <c r="J2127" t="s">
        <v>3803</v>
      </c>
      <c r="L2127">
        <v>2494000</v>
      </c>
      <c r="M2127">
        <v>249400</v>
      </c>
    </row>
    <row r="2128" spans="1:13" x14ac:dyDescent="0.25">
      <c r="A2128" t="s">
        <v>7271</v>
      </c>
      <c r="B2128" t="s">
        <v>7272</v>
      </c>
      <c r="C2128" t="s">
        <v>15</v>
      </c>
      <c r="D2128" t="s">
        <v>7273</v>
      </c>
      <c r="E2128" t="s">
        <v>278</v>
      </c>
      <c r="F2128" t="s">
        <v>5098</v>
      </c>
      <c r="G2128" t="s">
        <v>7274</v>
      </c>
      <c r="H2128" t="str">
        <f>HYPERLINK("https://baanknet.com/view-property/282983/4FEA74C2C48FA78D300BE3EE9B26431275F765F7651E78AB7576EBFA5E5E4827", "https://baanknet.com/view-property/282983/4FEA74C2C48FA78D300BE3EE9B26431275F765F7651E78AB7576EBFA5E5E4827")</f>
        <v>https://baanknet.com/view-property/282983/4FEA74C2C48FA78D300BE3EE9B26431275F765F7651E78AB7576EBFA5E5E4827</v>
      </c>
      <c r="I2128" t="str">
        <f>HYPERLINK("https://baanknet.com/view-property/282983/4FEA74C2C48FA78D300BE3EE9B26431275F765F7651E78AB7576EBFA5E5E4827", "Open")</f>
        <v>Open</v>
      </c>
      <c r="J2128" t="s">
        <v>3803</v>
      </c>
      <c r="L2128">
        <v>930000</v>
      </c>
      <c r="M2128">
        <v>93000</v>
      </c>
    </row>
    <row r="2129" spans="1:13" x14ac:dyDescent="0.25">
      <c r="A2129" t="s">
        <v>7275</v>
      </c>
      <c r="B2129" t="s">
        <v>7276</v>
      </c>
      <c r="C2129" t="s">
        <v>15</v>
      </c>
      <c r="D2129" t="s">
        <v>7183</v>
      </c>
      <c r="E2129" t="s">
        <v>278</v>
      </c>
      <c r="F2129" t="s">
        <v>5098</v>
      </c>
      <c r="G2129" t="s">
        <v>7277</v>
      </c>
      <c r="H2129" t="str">
        <f>HYPERLINK("https://baanknet.com/view-property/275728/7CD292BE289615ABF3CE6FF5176D2B4E480C9716C4273A46994B50ACFB2AE399", "https://baanknet.com/view-property/275728/7CD292BE289615ABF3CE6FF5176D2B4E480C9716C4273A46994B50ACFB2AE399")</f>
        <v>https://baanknet.com/view-property/275728/7CD292BE289615ABF3CE6FF5176D2B4E480C9716C4273A46994B50ACFB2AE399</v>
      </c>
      <c r="I2129" t="str">
        <f>HYPERLINK("https://baanknet.com/view-property/275728/7CD292BE289615ABF3CE6FF5176D2B4E480C9716C4273A46994B50ACFB2AE399", "Open")</f>
        <v>Open</v>
      </c>
      <c r="J2129" t="s">
        <v>3803</v>
      </c>
      <c r="L2129">
        <v>12806000</v>
      </c>
      <c r="M2129">
        <v>1280600</v>
      </c>
    </row>
    <row r="2130" spans="1:13" x14ac:dyDescent="0.25">
      <c r="A2130" t="s">
        <v>7278</v>
      </c>
      <c r="B2130" t="s">
        <v>7279</v>
      </c>
      <c r="C2130" t="s">
        <v>15</v>
      </c>
      <c r="D2130" t="s">
        <v>393</v>
      </c>
      <c r="E2130" t="s">
        <v>278</v>
      </c>
      <c r="F2130" t="s">
        <v>5098</v>
      </c>
      <c r="G2130" t="s">
        <v>7280</v>
      </c>
      <c r="H2130" t="str">
        <f>HYPERLINK("https://baanknet.com/view-property/274763/281768657120D8DF0AD22FCB59F96B9733F69A177597AC868CDF9F6E81E54ED9", "https://baanknet.com/view-property/274763/281768657120D8DF0AD22FCB59F96B9733F69A177597AC868CDF9F6E81E54ED9")</f>
        <v>https://baanknet.com/view-property/274763/281768657120D8DF0AD22FCB59F96B9733F69A177597AC868CDF9F6E81E54ED9</v>
      </c>
      <c r="I2130" t="str">
        <f>HYPERLINK("https://baanknet.com/view-property/274763/281768657120D8DF0AD22FCB59F96B9733F69A177597AC868CDF9F6E81E54ED9", "Open")</f>
        <v>Open</v>
      </c>
      <c r="J2130" t="s">
        <v>3803</v>
      </c>
      <c r="L2130">
        <v>12950000</v>
      </c>
      <c r="M2130">
        <v>1295000</v>
      </c>
    </row>
    <row r="2131" spans="1:13" x14ac:dyDescent="0.25">
      <c r="A2131" t="s">
        <v>7281</v>
      </c>
      <c r="B2131" t="s">
        <v>7282</v>
      </c>
      <c r="C2131" t="s">
        <v>15</v>
      </c>
      <c r="D2131" t="s">
        <v>7283</v>
      </c>
      <c r="E2131" t="s">
        <v>278</v>
      </c>
      <c r="F2131" t="s">
        <v>5098</v>
      </c>
      <c r="G2131" t="s">
        <v>7284</v>
      </c>
      <c r="H2131" t="str">
        <f>HYPERLINK("https://baanknet.com/view-property/243866/BFA9A468EC999A8E2A2A46CD3B75E3C1AC73A0038D0B72F9F7E2D35722DC576D", "https://baanknet.com/view-property/243866/BFA9A468EC999A8E2A2A46CD3B75E3C1AC73A0038D0B72F9F7E2D35722DC576D")</f>
        <v>https://baanknet.com/view-property/243866/BFA9A468EC999A8E2A2A46CD3B75E3C1AC73A0038D0B72F9F7E2D35722DC576D</v>
      </c>
      <c r="I2131" t="str">
        <f>HYPERLINK("https://baanknet.com/view-property/243866/BFA9A468EC999A8E2A2A46CD3B75E3C1AC73A0038D0B72F9F7E2D35722DC576D", "Open")</f>
        <v>Open</v>
      </c>
      <c r="J2131" t="s">
        <v>3803</v>
      </c>
      <c r="L2131">
        <v>2917000</v>
      </c>
      <c r="M2131">
        <v>291700</v>
      </c>
    </row>
    <row r="2132" spans="1:13" x14ac:dyDescent="0.25">
      <c r="A2132" t="s">
        <v>7285</v>
      </c>
      <c r="B2132" t="s">
        <v>7286</v>
      </c>
      <c r="C2132" t="s">
        <v>15</v>
      </c>
      <c r="D2132" t="s">
        <v>7287</v>
      </c>
      <c r="E2132" t="s">
        <v>278</v>
      </c>
      <c r="F2132" t="s">
        <v>5098</v>
      </c>
      <c r="G2132" t="s">
        <v>7288</v>
      </c>
      <c r="H2132" t="str">
        <f>HYPERLINK("https://baanknet.com/view-property/243421/37C05ADD6F8EA7F178FE1227032390785B24FD688EF1074E9DE2BDB7B236CE0A", "https://baanknet.com/view-property/243421/37C05ADD6F8EA7F178FE1227032390785B24FD688EF1074E9DE2BDB7B236CE0A")</f>
        <v>https://baanknet.com/view-property/243421/37C05ADD6F8EA7F178FE1227032390785B24FD688EF1074E9DE2BDB7B236CE0A</v>
      </c>
      <c r="I2132" t="str">
        <f>HYPERLINK("https://baanknet.com/view-property/243421/37C05ADD6F8EA7F178FE1227032390785B24FD688EF1074E9DE2BDB7B236CE0A", "Open")</f>
        <v>Open</v>
      </c>
      <c r="J2132" t="s">
        <v>3803</v>
      </c>
      <c r="L2132">
        <v>2026000</v>
      </c>
      <c r="M2132">
        <v>202600</v>
      </c>
    </row>
    <row r="2133" spans="1:13" x14ac:dyDescent="0.25">
      <c r="A2133" t="s">
        <v>7289</v>
      </c>
      <c r="B2133" t="s">
        <v>7290</v>
      </c>
      <c r="C2133" t="s">
        <v>15</v>
      </c>
      <c r="D2133" t="s">
        <v>393</v>
      </c>
      <c r="E2133" t="s">
        <v>278</v>
      </c>
      <c r="F2133" t="s">
        <v>5098</v>
      </c>
      <c r="G2133" t="s">
        <v>7291</v>
      </c>
      <c r="H2133" t="str">
        <f>HYPERLINK("https://baanknet.com/view-property/240682/344826B23A4049D3CAE41C7FC9F4D2F1D7AB29A939933B70AF9A48ADA83DDD81", "https://baanknet.com/view-property/240682/344826B23A4049D3CAE41C7FC9F4D2F1D7AB29A939933B70AF9A48ADA83DDD81")</f>
        <v>https://baanknet.com/view-property/240682/344826B23A4049D3CAE41C7FC9F4D2F1D7AB29A939933B70AF9A48ADA83DDD81</v>
      </c>
      <c r="I2133" t="str">
        <f>HYPERLINK("https://baanknet.com/view-property/240682/344826B23A4049D3CAE41C7FC9F4D2F1D7AB29A939933B70AF9A48ADA83DDD81", "Open")</f>
        <v>Open</v>
      </c>
      <c r="J2133" t="s">
        <v>3803</v>
      </c>
      <c r="L2133">
        <v>2952000</v>
      </c>
      <c r="M2133">
        <v>295200</v>
      </c>
    </row>
    <row r="2134" spans="1:13" x14ac:dyDescent="0.25">
      <c r="A2134" t="s">
        <v>7292</v>
      </c>
      <c r="B2134" t="s">
        <v>7293</v>
      </c>
      <c r="C2134" t="s">
        <v>15</v>
      </c>
      <c r="D2134" t="s">
        <v>451</v>
      </c>
      <c r="E2134" t="s">
        <v>278</v>
      </c>
      <c r="F2134" t="s">
        <v>5098</v>
      </c>
      <c r="G2134" t="s">
        <v>7294</v>
      </c>
      <c r="H2134" t="str">
        <f>HYPERLINK("https://baanknet.com/view-property/269528/01DEBBDBA9C31049A606CF0742EB54F2869E832E019DE5DDECE0EDB672055AD0", "https://baanknet.com/view-property/269528/01DEBBDBA9C31049A606CF0742EB54F2869E832E019DE5DDECE0EDB672055AD0")</f>
        <v>https://baanknet.com/view-property/269528/01DEBBDBA9C31049A606CF0742EB54F2869E832E019DE5DDECE0EDB672055AD0</v>
      </c>
      <c r="I2134" t="str">
        <f>HYPERLINK("https://baanknet.com/view-property/269528/01DEBBDBA9C31049A606CF0742EB54F2869E832E019DE5DDECE0EDB672055AD0", "Open")</f>
        <v>Open</v>
      </c>
      <c r="J2134" t="s">
        <v>3803</v>
      </c>
      <c r="L2134">
        <v>2515000</v>
      </c>
      <c r="M2134">
        <v>251500</v>
      </c>
    </row>
    <row r="2135" spans="1:13" x14ac:dyDescent="0.25">
      <c r="A2135" t="s">
        <v>7295</v>
      </c>
      <c r="B2135" t="s">
        <v>7296</v>
      </c>
      <c r="C2135" t="s">
        <v>15</v>
      </c>
      <c r="D2135" t="s">
        <v>7297</v>
      </c>
      <c r="E2135" t="s">
        <v>278</v>
      </c>
      <c r="F2135" t="s">
        <v>5098</v>
      </c>
      <c r="G2135" t="s">
        <v>7298</v>
      </c>
      <c r="H2135" t="str">
        <f>HYPERLINK("https://baanknet.com/view-property/269536/020EB6871CDEFCE88A7BFE9A9AC320FCCD8F555435BA84EB6F7629FB88481BC1", "https://baanknet.com/view-property/269536/020EB6871CDEFCE88A7BFE9A9AC320FCCD8F555435BA84EB6F7629FB88481BC1")</f>
        <v>https://baanknet.com/view-property/269536/020EB6871CDEFCE88A7BFE9A9AC320FCCD8F555435BA84EB6F7629FB88481BC1</v>
      </c>
      <c r="I2135" t="str">
        <f>HYPERLINK("https://baanknet.com/view-property/269536/020EB6871CDEFCE88A7BFE9A9AC320FCCD8F555435BA84EB6F7629FB88481BC1", "Open")</f>
        <v>Open</v>
      </c>
      <c r="J2135" t="s">
        <v>3803</v>
      </c>
      <c r="L2135">
        <v>4198000</v>
      </c>
      <c r="M2135">
        <v>419800</v>
      </c>
    </row>
    <row r="2136" spans="1:13" x14ac:dyDescent="0.25">
      <c r="A2136" t="s">
        <v>7299</v>
      </c>
      <c r="B2136" t="s">
        <v>7300</v>
      </c>
      <c r="C2136" t="s">
        <v>15</v>
      </c>
      <c r="D2136" t="s">
        <v>393</v>
      </c>
      <c r="E2136" t="s">
        <v>278</v>
      </c>
      <c r="F2136" t="s">
        <v>5098</v>
      </c>
      <c r="G2136" t="s">
        <v>7301</v>
      </c>
      <c r="H2136" t="str">
        <f>HYPERLINK("https://baanknet.com/view-property/274762/3120A182E0B94F1C11343BED397D1C787E2E0BB26FBF51582CA4F2FF1D0A803E", "https://baanknet.com/view-property/274762/3120A182E0B94F1C11343BED397D1C787E2E0BB26FBF51582CA4F2FF1D0A803E")</f>
        <v>https://baanknet.com/view-property/274762/3120A182E0B94F1C11343BED397D1C787E2E0BB26FBF51582CA4F2FF1D0A803E</v>
      </c>
      <c r="I2136" t="str">
        <f>HYPERLINK("https://baanknet.com/view-property/274762/3120A182E0B94F1C11343BED397D1C787E2E0BB26FBF51582CA4F2FF1D0A803E", "Open")</f>
        <v>Open</v>
      </c>
      <c r="J2136" t="s">
        <v>3803</v>
      </c>
      <c r="L2136">
        <v>3237000</v>
      </c>
      <c r="M2136">
        <v>323700</v>
      </c>
    </row>
    <row r="2137" spans="1:13" x14ac:dyDescent="0.25">
      <c r="A2137" t="s">
        <v>7302</v>
      </c>
      <c r="B2137" t="s">
        <v>7303</v>
      </c>
      <c r="C2137" t="s">
        <v>15</v>
      </c>
      <c r="D2137" t="s">
        <v>6951</v>
      </c>
      <c r="E2137" t="s">
        <v>278</v>
      </c>
      <c r="F2137" t="s">
        <v>5098</v>
      </c>
      <c r="G2137" t="s">
        <v>7304</v>
      </c>
      <c r="H2137" t="str">
        <f>HYPERLINK("https://baanknet.com/view-property/185705/578B9B3A8D0885FED10B5DBDFF0B34597E31F8015324FA246AF4C6D51BFEEE5B", "https://baanknet.com/view-property/185705/578B9B3A8D0885FED10B5DBDFF0B34597E31F8015324FA246AF4C6D51BFEEE5B")</f>
        <v>https://baanknet.com/view-property/185705/578B9B3A8D0885FED10B5DBDFF0B34597E31F8015324FA246AF4C6D51BFEEE5B</v>
      </c>
      <c r="I2137" t="str">
        <f>HYPERLINK("https://baanknet.com/view-property/185705/578B9B3A8D0885FED10B5DBDFF0B34597E31F8015324FA246AF4C6D51BFEEE5B", "Open")</f>
        <v>Open</v>
      </c>
      <c r="J2137" t="s">
        <v>3803</v>
      </c>
      <c r="L2137">
        <v>7145000</v>
      </c>
      <c r="M2137">
        <v>714500</v>
      </c>
    </row>
    <row r="2138" spans="1:13" x14ac:dyDescent="0.25">
      <c r="A2138" t="s">
        <v>7305</v>
      </c>
      <c r="B2138" t="s">
        <v>7306</v>
      </c>
      <c r="C2138" t="s">
        <v>15</v>
      </c>
      <c r="D2138" t="s">
        <v>7307</v>
      </c>
      <c r="E2138" t="s">
        <v>278</v>
      </c>
      <c r="F2138" t="s">
        <v>5098</v>
      </c>
      <c r="G2138" t="s">
        <v>7308</v>
      </c>
      <c r="H2138" t="str">
        <f>HYPERLINK("https://baanknet.com/view-property/243871/09E37AC3FDACD09DE890389AA8FA82470EBBE1DE926719B9F3BE62B815A5F712", "https://baanknet.com/view-property/243871/09E37AC3FDACD09DE890389AA8FA82470EBBE1DE926719B9F3BE62B815A5F712")</f>
        <v>https://baanknet.com/view-property/243871/09E37AC3FDACD09DE890389AA8FA82470EBBE1DE926719B9F3BE62B815A5F712</v>
      </c>
      <c r="I2138" t="str">
        <f>HYPERLINK("https://baanknet.com/view-property/243871/09E37AC3FDACD09DE890389AA8FA82470EBBE1DE926719B9F3BE62B815A5F712", "Open")</f>
        <v>Open</v>
      </c>
      <c r="J2138" t="s">
        <v>3803</v>
      </c>
      <c r="L2138">
        <v>1248650</v>
      </c>
      <c r="M2138">
        <v>124865</v>
      </c>
    </row>
    <row r="2139" spans="1:13" x14ac:dyDescent="0.25">
      <c r="A2139" t="s">
        <v>7309</v>
      </c>
      <c r="B2139" t="s">
        <v>7310</v>
      </c>
      <c r="C2139" t="s">
        <v>15</v>
      </c>
      <c r="D2139" t="s">
        <v>4471</v>
      </c>
      <c r="E2139" t="s">
        <v>278</v>
      </c>
      <c r="F2139" t="s">
        <v>7311</v>
      </c>
      <c r="G2139" t="s">
        <v>7312</v>
      </c>
      <c r="H2139" t="str">
        <f>HYPERLINK("https://baanknet.com/view-property/200693/2D6B40F00954CDAC44D6A2FA30E88AA61A63B29353553BEBE8CA7C146553283D", "https://baanknet.com/view-property/200693/2D6B40F00954CDAC44D6A2FA30E88AA61A63B29353553BEBE8CA7C146553283D")</f>
        <v>https://baanknet.com/view-property/200693/2D6B40F00954CDAC44D6A2FA30E88AA61A63B29353553BEBE8CA7C146553283D</v>
      </c>
      <c r="I2139" t="str">
        <f>HYPERLINK("https://baanknet.com/view-property/200693/2D6B40F00954CDAC44D6A2FA30E88AA61A63B29353553BEBE8CA7C146553283D", "Open")</f>
        <v>Open</v>
      </c>
      <c r="J2139" t="s">
        <v>3803</v>
      </c>
      <c r="L2139">
        <v>1130000</v>
      </c>
      <c r="M2139">
        <v>113000</v>
      </c>
    </row>
    <row r="2140" spans="1:13" x14ac:dyDescent="0.25">
      <c r="A2140" t="s">
        <v>7313</v>
      </c>
      <c r="B2140" t="s">
        <v>7314</v>
      </c>
      <c r="C2140" t="s">
        <v>15</v>
      </c>
      <c r="D2140" t="s">
        <v>7315</v>
      </c>
      <c r="E2140" t="s">
        <v>278</v>
      </c>
      <c r="F2140" t="s">
        <v>7311</v>
      </c>
      <c r="G2140" t="s">
        <v>7316</v>
      </c>
      <c r="H2140" t="str">
        <f>HYPERLINK("https://baanknet.com/view-property/229822/0ADFFA4C0831BE4FD70548A67F6E892496FEDE79C0E483D8C0B0CFFBB083EAEE", "https://baanknet.com/view-property/229822/0ADFFA4C0831BE4FD70548A67F6E892496FEDE79C0E483D8C0B0CFFBB083EAEE")</f>
        <v>https://baanknet.com/view-property/229822/0ADFFA4C0831BE4FD70548A67F6E892496FEDE79C0E483D8C0B0CFFBB083EAEE</v>
      </c>
      <c r="I2140" t="str">
        <f>HYPERLINK("https://baanknet.com/view-property/229822/0ADFFA4C0831BE4FD70548A67F6E892496FEDE79C0E483D8C0B0CFFBB083EAEE", "Open")</f>
        <v>Open</v>
      </c>
      <c r="J2140" t="s">
        <v>3803</v>
      </c>
      <c r="L2140">
        <v>1260000</v>
      </c>
      <c r="M2140">
        <v>126000</v>
      </c>
    </row>
    <row r="2141" spans="1:13" x14ac:dyDescent="0.25">
      <c r="A2141" t="s">
        <v>7317</v>
      </c>
      <c r="B2141" t="s">
        <v>7318</v>
      </c>
      <c r="C2141" t="s">
        <v>15</v>
      </c>
      <c r="D2141" t="s">
        <v>4471</v>
      </c>
      <c r="E2141" t="s">
        <v>278</v>
      </c>
      <c r="F2141" t="s">
        <v>7311</v>
      </c>
      <c r="G2141" t="s">
        <v>7319</v>
      </c>
      <c r="H2141" t="str">
        <f>HYPERLINK("https://baanknet.com/view-property/206399/BE9B74382D82E54FB4126D1EE5352C27C55734B11DF054061C2349F9AD9706C6", "https://baanknet.com/view-property/206399/BE9B74382D82E54FB4126D1EE5352C27C55734B11DF054061C2349F9AD9706C6")</f>
        <v>https://baanknet.com/view-property/206399/BE9B74382D82E54FB4126D1EE5352C27C55734B11DF054061C2349F9AD9706C6</v>
      </c>
      <c r="I2141" t="str">
        <f>HYPERLINK("https://baanknet.com/view-property/206399/BE9B74382D82E54FB4126D1EE5352C27C55734B11DF054061C2349F9AD9706C6", "Open")</f>
        <v>Open</v>
      </c>
      <c r="J2141" t="s">
        <v>3803</v>
      </c>
      <c r="L2141">
        <v>1575000</v>
      </c>
      <c r="M2141">
        <v>157500</v>
      </c>
    </row>
    <row r="2142" spans="1:13" x14ac:dyDescent="0.25">
      <c r="A2142" t="s">
        <v>7320</v>
      </c>
      <c r="B2142" t="s">
        <v>7321</v>
      </c>
      <c r="C2142" t="s">
        <v>15</v>
      </c>
      <c r="D2142" t="s">
        <v>4095</v>
      </c>
      <c r="E2142" t="s">
        <v>278</v>
      </c>
      <c r="F2142" t="s">
        <v>7311</v>
      </c>
      <c r="G2142" t="s">
        <v>7322</v>
      </c>
      <c r="H2142" t="str">
        <f>HYPERLINK("https://baanknet.com/view-property/262303/C36F395CA1806E8761107F6475F9583A0DA37F107225ADA00DC95706E7B4DD79", "https://baanknet.com/view-property/262303/C36F395CA1806E8761107F6475F9583A0DA37F107225ADA00DC95706E7B4DD79")</f>
        <v>https://baanknet.com/view-property/262303/C36F395CA1806E8761107F6475F9583A0DA37F107225ADA00DC95706E7B4DD79</v>
      </c>
      <c r="I2142" t="str">
        <f>HYPERLINK("https://baanknet.com/view-property/262303/C36F395CA1806E8761107F6475F9583A0DA37F107225ADA00DC95706E7B4DD79", "Open")</f>
        <v>Open</v>
      </c>
      <c r="J2142" t="s">
        <v>3803</v>
      </c>
      <c r="L2142">
        <v>482000</v>
      </c>
      <c r="M2142">
        <v>48200</v>
      </c>
    </row>
    <row r="2143" spans="1:13" x14ac:dyDescent="0.25">
      <c r="A2143" t="s">
        <v>7323</v>
      </c>
      <c r="B2143" t="s">
        <v>7324</v>
      </c>
      <c r="C2143" t="s">
        <v>15</v>
      </c>
      <c r="D2143" t="s">
        <v>5193</v>
      </c>
      <c r="E2143" t="s">
        <v>278</v>
      </c>
      <c r="F2143" t="s">
        <v>7311</v>
      </c>
      <c r="G2143" t="s">
        <v>7325</v>
      </c>
      <c r="H2143" t="str">
        <f>HYPERLINK("https://baanknet.com/view-property/249956/032BBC16E9666A33DD9B0FE3D132DFA1515C32D2023DB5CEF2B4A337BA1EBDA8", "https://baanknet.com/view-property/249956/032BBC16E9666A33DD9B0FE3D132DFA1515C32D2023DB5CEF2B4A337BA1EBDA8")</f>
        <v>https://baanknet.com/view-property/249956/032BBC16E9666A33DD9B0FE3D132DFA1515C32D2023DB5CEF2B4A337BA1EBDA8</v>
      </c>
      <c r="I2143" t="str">
        <f>HYPERLINK("https://baanknet.com/view-property/249956/032BBC16E9666A33DD9B0FE3D132DFA1515C32D2023DB5CEF2B4A337BA1EBDA8", "Open")</f>
        <v>Open</v>
      </c>
      <c r="J2143" t="s">
        <v>3803</v>
      </c>
      <c r="L2143">
        <v>270000</v>
      </c>
      <c r="M2143">
        <v>27000</v>
      </c>
    </row>
    <row r="2144" spans="1:13" x14ac:dyDescent="0.25">
      <c r="A2144" t="s">
        <v>7326</v>
      </c>
      <c r="B2144" t="s">
        <v>7327</v>
      </c>
      <c r="C2144" t="s">
        <v>15</v>
      </c>
      <c r="D2144" t="s">
        <v>7328</v>
      </c>
      <c r="E2144" t="s">
        <v>278</v>
      </c>
      <c r="F2144" t="s">
        <v>7311</v>
      </c>
      <c r="G2144" t="s">
        <v>7329</v>
      </c>
      <c r="H2144" t="str">
        <f>HYPERLINK("https://baanknet.com/view-property/228361/5C9CD6F944194DA9613754083E32A3A060C5DF841076C3F66842A6322612C000", "https://baanknet.com/view-property/228361/5C9CD6F944194DA9613754083E32A3A060C5DF841076C3F66842A6322612C000")</f>
        <v>https://baanknet.com/view-property/228361/5C9CD6F944194DA9613754083E32A3A060C5DF841076C3F66842A6322612C000</v>
      </c>
      <c r="I2144" t="str">
        <f>HYPERLINK("https://baanknet.com/view-property/228361/5C9CD6F944194DA9613754083E32A3A060C5DF841076C3F66842A6322612C000", "Open")</f>
        <v>Open</v>
      </c>
      <c r="J2144" t="s">
        <v>3803</v>
      </c>
      <c r="L2144">
        <v>2349000</v>
      </c>
      <c r="M2144">
        <v>234900</v>
      </c>
    </row>
    <row r="2145" spans="1:13" x14ac:dyDescent="0.25">
      <c r="A2145" t="s">
        <v>7330</v>
      </c>
      <c r="B2145" t="s">
        <v>7331</v>
      </c>
      <c r="C2145" t="s">
        <v>15</v>
      </c>
      <c r="D2145" t="s">
        <v>5239</v>
      </c>
      <c r="E2145" t="s">
        <v>278</v>
      </c>
      <c r="F2145" t="s">
        <v>7311</v>
      </c>
      <c r="G2145" t="s">
        <v>7332</v>
      </c>
      <c r="H2145" t="str">
        <f>HYPERLINK("https://baanknet.com/view-property/204934/8489BFFB3A654178D7B48E129C93A32A8E15134B8E6335197F04046356BF8C07", "https://baanknet.com/view-property/204934/8489BFFB3A654178D7B48E129C93A32A8E15134B8E6335197F04046356BF8C07")</f>
        <v>https://baanknet.com/view-property/204934/8489BFFB3A654178D7B48E129C93A32A8E15134B8E6335197F04046356BF8C07</v>
      </c>
      <c r="I2145" t="str">
        <f>HYPERLINK("https://baanknet.com/view-property/204934/8489BFFB3A654178D7B48E129C93A32A8E15134B8E6335197F04046356BF8C07", "Open")</f>
        <v>Open</v>
      </c>
      <c r="J2145" t="s">
        <v>3803</v>
      </c>
      <c r="L2145">
        <v>1230000</v>
      </c>
      <c r="M2145">
        <v>123000</v>
      </c>
    </row>
    <row r="2146" spans="1:13" x14ac:dyDescent="0.25">
      <c r="A2146" t="s">
        <v>7333</v>
      </c>
      <c r="B2146" t="s">
        <v>7334</v>
      </c>
      <c r="C2146" t="s">
        <v>15</v>
      </c>
      <c r="D2146" t="s">
        <v>5259</v>
      </c>
      <c r="E2146" t="s">
        <v>278</v>
      </c>
      <c r="F2146" t="s">
        <v>7311</v>
      </c>
      <c r="G2146" t="s">
        <v>7335</v>
      </c>
      <c r="H2146" t="str">
        <f>HYPERLINK("https://baanknet.com/view-property/243075/4AA45C911F8B02FFBAFEADF343F76E068962D2F1EAFDD34A01DA9770D147DBE1", "https://baanknet.com/view-property/243075/4AA45C911F8B02FFBAFEADF343F76E068962D2F1EAFDD34A01DA9770D147DBE1")</f>
        <v>https://baanknet.com/view-property/243075/4AA45C911F8B02FFBAFEADF343F76E068962D2F1EAFDD34A01DA9770D147DBE1</v>
      </c>
      <c r="I2146" t="str">
        <f>HYPERLINK("https://baanknet.com/view-property/243075/4AA45C911F8B02FFBAFEADF343F76E068962D2F1EAFDD34A01DA9770D147DBE1", "Open")</f>
        <v>Open</v>
      </c>
      <c r="J2146" t="s">
        <v>3803</v>
      </c>
      <c r="L2146">
        <v>1527000</v>
      </c>
      <c r="M2146">
        <v>152700</v>
      </c>
    </row>
    <row r="2147" spans="1:13" x14ac:dyDescent="0.25">
      <c r="A2147" t="s">
        <v>7336</v>
      </c>
      <c r="B2147" t="s">
        <v>7337</v>
      </c>
      <c r="C2147" t="s">
        <v>15</v>
      </c>
      <c r="D2147" t="s">
        <v>7338</v>
      </c>
      <c r="E2147" t="s">
        <v>3831</v>
      </c>
      <c r="F2147" t="s">
        <v>4281</v>
      </c>
      <c r="G2147" t="s">
        <v>7339</v>
      </c>
      <c r="H2147" t="str">
        <f>HYPERLINK("https://baanknet.com/view-property/226770/377A4D13B349899F4EED8C968224A1368CFB819C525A1DA3DF0541FDE77F74E2", "https://baanknet.com/view-property/226770/377A4D13B349899F4EED8C968224A1368CFB819C525A1DA3DF0541FDE77F74E2")</f>
        <v>https://baanknet.com/view-property/226770/377A4D13B349899F4EED8C968224A1368CFB819C525A1DA3DF0541FDE77F74E2</v>
      </c>
      <c r="I2147" t="str">
        <f>HYPERLINK("https://baanknet.com/view-property/226770/377A4D13B349899F4EED8C968224A1368CFB819C525A1DA3DF0541FDE77F74E2", "Open")</f>
        <v>Open</v>
      </c>
      <c r="J2147" t="s">
        <v>3803</v>
      </c>
      <c r="L2147">
        <v>965000</v>
      </c>
      <c r="M2147">
        <v>96500</v>
      </c>
    </row>
    <row r="2148" spans="1:13" x14ac:dyDescent="0.25">
      <c r="A2148" t="s">
        <v>7340</v>
      </c>
      <c r="B2148" t="s">
        <v>7341</v>
      </c>
      <c r="C2148" t="s">
        <v>15</v>
      </c>
      <c r="D2148" t="s">
        <v>7342</v>
      </c>
      <c r="E2148" t="s">
        <v>3831</v>
      </c>
      <c r="F2148" t="s">
        <v>4281</v>
      </c>
      <c r="G2148" t="s">
        <v>7343</v>
      </c>
      <c r="H2148" t="str">
        <f>HYPERLINK("https://baanknet.com/view-property/203612/9E631C153EA8EDEAE7BE7200D5BC085E69BB735A2510F484097EF97D19121DB5", "https://baanknet.com/view-property/203612/9E631C153EA8EDEAE7BE7200D5BC085E69BB735A2510F484097EF97D19121DB5")</f>
        <v>https://baanknet.com/view-property/203612/9E631C153EA8EDEAE7BE7200D5BC085E69BB735A2510F484097EF97D19121DB5</v>
      </c>
      <c r="I2148" t="str">
        <f>HYPERLINK("https://baanknet.com/view-property/203612/9E631C153EA8EDEAE7BE7200D5BC085E69BB735A2510F484097EF97D19121DB5", "Open")</f>
        <v>Open</v>
      </c>
      <c r="J2148" t="s">
        <v>3803</v>
      </c>
      <c r="L2148">
        <v>1630000</v>
      </c>
      <c r="M2148">
        <v>163000</v>
      </c>
    </row>
    <row r="2149" spans="1:13" x14ac:dyDescent="0.25">
      <c r="A2149" t="s">
        <v>7344</v>
      </c>
      <c r="B2149" t="s">
        <v>7345</v>
      </c>
      <c r="C2149" t="s">
        <v>15</v>
      </c>
      <c r="D2149" t="s">
        <v>7346</v>
      </c>
      <c r="E2149" t="s">
        <v>3831</v>
      </c>
      <c r="F2149" t="s">
        <v>4281</v>
      </c>
      <c r="G2149" t="s">
        <v>7347</v>
      </c>
      <c r="H2149" t="str">
        <f>HYPERLINK("https://baanknet.com/view-property/273950/4C4F1489B2FB0AC84C5B28995EEB5D2A49EA548EA52AD9A6B68EFAE4509DC8AD", "https://baanknet.com/view-property/273950/4C4F1489B2FB0AC84C5B28995EEB5D2A49EA548EA52AD9A6B68EFAE4509DC8AD")</f>
        <v>https://baanknet.com/view-property/273950/4C4F1489B2FB0AC84C5B28995EEB5D2A49EA548EA52AD9A6B68EFAE4509DC8AD</v>
      </c>
      <c r="I2149" t="str">
        <f>HYPERLINK("https://baanknet.com/view-property/273950/4C4F1489B2FB0AC84C5B28995EEB5D2A49EA548EA52AD9A6B68EFAE4509DC8AD", "Open")</f>
        <v>Open</v>
      </c>
      <c r="J2149" t="s">
        <v>3803</v>
      </c>
      <c r="L2149">
        <v>630000</v>
      </c>
      <c r="M2149">
        <v>63000</v>
      </c>
    </row>
    <row r="2150" spans="1:13" x14ac:dyDescent="0.25">
      <c r="A2150" t="s">
        <v>7348</v>
      </c>
      <c r="B2150" t="s">
        <v>7349</v>
      </c>
      <c r="C2150" t="s">
        <v>15</v>
      </c>
      <c r="D2150" t="s">
        <v>7350</v>
      </c>
      <c r="E2150" t="s">
        <v>3831</v>
      </c>
      <c r="F2150" t="s">
        <v>4281</v>
      </c>
      <c r="G2150" t="s">
        <v>7351</v>
      </c>
      <c r="H2150" t="str">
        <f>HYPERLINK("https://baanknet.com/view-property/224783/DB7D04F2AE6963AB5306C598D525AE3403B7E84B52927357502105321A634E0B", "https://baanknet.com/view-property/224783/DB7D04F2AE6963AB5306C598D525AE3403B7E84B52927357502105321A634E0B")</f>
        <v>https://baanknet.com/view-property/224783/DB7D04F2AE6963AB5306C598D525AE3403B7E84B52927357502105321A634E0B</v>
      </c>
      <c r="I2150" t="str">
        <f>HYPERLINK("https://baanknet.com/view-property/224783/DB7D04F2AE6963AB5306C598D525AE3403B7E84B52927357502105321A634E0B", "Open")</f>
        <v>Open</v>
      </c>
      <c r="J2150" t="s">
        <v>3803</v>
      </c>
      <c r="L2150">
        <v>1930000</v>
      </c>
      <c r="M2150">
        <v>193000</v>
      </c>
    </row>
    <row r="2151" spans="1:13" x14ac:dyDescent="0.25">
      <c r="A2151" t="s">
        <v>7352</v>
      </c>
      <c r="B2151" t="s">
        <v>7353</v>
      </c>
      <c r="C2151" t="s">
        <v>15</v>
      </c>
      <c r="D2151" t="s">
        <v>608</v>
      </c>
      <c r="E2151" t="s">
        <v>3831</v>
      </c>
      <c r="F2151" t="s">
        <v>3836</v>
      </c>
      <c r="G2151" t="s">
        <v>7354</v>
      </c>
      <c r="H2151" t="str">
        <f>HYPERLINK("https://baanknet.com/view-property/283663/78B1C57CBDEB207DF3F7EB9693F917FDAAD51FDB1991850CBB8F8B81AFF5BF63", "https://baanknet.com/view-property/283663/78B1C57CBDEB207DF3F7EB9693F917FDAAD51FDB1991850CBB8F8B81AFF5BF63")</f>
        <v>https://baanknet.com/view-property/283663/78B1C57CBDEB207DF3F7EB9693F917FDAAD51FDB1991850CBB8F8B81AFF5BF63</v>
      </c>
      <c r="I2151" t="str">
        <f>HYPERLINK("https://baanknet.com/view-property/283663/78B1C57CBDEB207DF3F7EB9693F917FDAAD51FDB1991850CBB8F8B81AFF5BF63", "Open")</f>
        <v>Open</v>
      </c>
      <c r="J2151" t="s">
        <v>3803</v>
      </c>
      <c r="L2151">
        <v>29368000</v>
      </c>
      <c r="M2151">
        <v>2936800</v>
      </c>
    </row>
    <row r="2152" spans="1:13" x14ac:dyDescent="0.25">
      <c r="A2152" t="s">
        <v>7355</v>
      </c>
      <c r="B2152" t="s">
        <v>7356</v>
      </c>
      <c r="C2152" t="s">
        <v>15</v>
      </c>
      <c r="D2152" t="s">
        <v>628</v>
      </c>
      <c r="E2152" t="s">
        <v>3831</v>
      </c>
      <c r="F2152" t="s">
        <v>3836</v>
      </c>
      <c r="G2152" t="s">
        <v>7357</v>
      </c>
      <c r="H2152" t="str">
        <f>HYPERLINK("https://baanknet.com/view-property/285116/F65579C9CA83B75B722AB9F0C201CD00D77BA2AE26C8BB72503147CF64D1B6F3", "https://baanknet.com/view-property/285116/F65579C9CA83B75B722AB9F0C201CD00D77BA2AE26C8BB72503147CF64D1B6F3")</f>
        <v>https://baanknet.com/view-property/285116/F65579C9CA83B75B722AB9F0C201CD00D77BA2AE26C8BB72503147CF64D1B6F3</v>
      </c>
      <c r="I2152" t="str">
        <f>HYPERLINK("https://baanknet.com/view-property/285116/F65579C9CA83B75B722AB9F0C201CD00D77BA2AE26C8BB72503147CF64D1B6F3", "Open")</f>
        <v>Open</v>
      </c>
      <c r="J2152" t="s">
        <v>3803</v>
      </c>
      <c r="L2152">
        <v>4290000</v>
      </c>
      <c r="M2152">
        <v>429000</v>
      </c>
    </row>
    <row r="2153" spans="1:13" x14ac:dyDescent="0.25">
      <c r="A2153" t="s">
        <v>7358</v>
      </c>
      <c r="B2153" t="s">
        <v>7359</v>
      </c>
      <c r="C2153" t="s">
        <v>15</v>
      </c>
      <c r="D2153" t="s">
        <v>628</v>
      </c>
      <c r="E2153" t="s">
        <v>3831</v>
      </c>
      <c r="F2153" t="s">
        <v>3836</v>
      </c>
      <c r="G2153" t="s">
        <v>7360</v>
      </c>
      <c r="H2153" t="str">
        <f>HYPERLINK("https://baanknet.com/view-property/285122/AF32167919A250443D91524D704EB25187EC18249A2C4E61D91AA53A49E847B2", "https://baanknet.com/view-property/285122/AF32167919A250443D91524D704EB25187EC18249A2C4E61D91AA53A49E847B2")</f>
        <v>https://baanknet.com/view-property/285122/AF32167919A250443D91524D704EB25187EC18249A2C4E61D91AA53A49E847B2</v>
      </c>
      <c r="I2153" t="str">
        <f>HYPERLINK("https://baanknet.com/view-property/285122/AF32167919A250443D91524D704EB25187EC18249A2C4E61D91AA53A49E847B2", "Open")</f>
        <v>Open</v>
      </c>
      <c r="J2153" t="s">
        <v>3803</v>
      </c>
      <c r="L2153">
        <v>960000</v>
      </c>
      <c r="M2153">
        <v>96000</v>
      </c>
    </row>
    <row r="2154" spans="1:13" x14ac:dyDescent="0.25">
      <c r="A2154" t="s">
        <v>7361</v>
      </c>
      <c r="B2154" t="s">
        <v>7362</v>
      </c>
      <c r="C2154" t="s">
        <v>15</v>
      </c>
      <c r="D2154" t="s">
        <v>7363</v>
      </c>
      <c r="E2154" t="s">
        <v>3831</v>
      </c>
      <c r="F2154" t="s">
        <v>3836</v>
      </c>
      <c r="G2154" t="s">
        <v>7364</v>
      </c>
      <c r="H2154" t="str">
        <f>HYPERLINK("https://baanknet.com/view-property/285193/8E847B0DBAB83DDBB4E475F93C8794DCBDF36143E45516913B48E7764449A274", "https://baanknet.com/view-property/285193/8E847B0DBAB83DDBB4E475F93C8794DCBDF36143E45516913B48E7764449A274")</f>
        <v>https://baanknet.com/view-property/285193/8E847B0DBAB83DDBB4E475F93C8794DCBDF36143E45516913B48E7764449A274</v>
      </c>
      <c r="I2154" t="str">
        <f>HYPERLINK("https://baanknet.com/view-property/285193/8E847B0DBAB83DDBB4E475F93C8794DCBDF36143E45516913B48E7764449A274", "Open")</f>
        <v>Open</v>
      </c>
      <c r="J2154" t="s">
        <v>3803</v>
      </c>
      <c r="L2154">
        <v>3200000</v>
      </c>
      <c r="M2154">
        <v>320000</v>
      </c>
    </row>
    <row r="2155" spans="1:13" x14ac:dyDescent="0.25">
      <c r="A2155" t="s">
        <v>7365</v>
      </c>
      <c r="B2155" t="s">
        <v>7366</v>
      </c>
      <c r="C2155" t="s">
        <v>15</v>
      </c>
      <c r="D2155" t="s">
        <v>1619</v>
      </c>
      <c r="E2155" t="s">
        <v>3831</v>
      </c>
      <c r="F2155" t="s">
        <v>3836</v>
      </c>
      <c r="G2155" t="s">
        <v>7367</v>
      </c>
      <c r="H2155" t="str">
        <f>HYPERLINK("https://baanknet.com/view-property/285196/1702F858EB55EC9FD8A4845E953DE736BCCB84FA6586341454911AFBB7C0E71D", "https://baanknet.com/view-property/285196/1702F858EB55EC9FD8A4845E953DE736BCCB84FA6586341454911AFBB7C0E71D")</f>
        <v>https://baanknet.com/view-property/285196/1702F858EB55EC9FD8A4845E953DE736BCCB84FA6586341454911AFBB7C0E71D</v>
      </c>
      <c r="I2155" t="str">
        <f>HYPERLINK("https://baanknet.com/view-property/285196/1702F858EB55EC9FD8A4845E953DE736BCCB84FA6586341454911AFBB7C0E71D", "Open")</f>
        <v>Open</v>
      </c>
      <c r="J2155" t="s">
        <v>3803</v>
      </c>
      <c r="L2155">
        <v>3300000</v>
      </c>
      <c r="M2155">
        <v>330000</v>
      </c>
    </row>
    <row r="2156" spans="1:13" x14ac:dyDescent="0.25">
      <c r="A2156" t="s">
        <v>7368</v>
      </c>
      <c r="B2156" t="s">
        <v>7369</v>
      </c>
      <c r="C2156" t="s">
        <v>15</v>
      </c>
      <c r="D2156" t="s">
        <v>608</v>
      </c>
      <c r="E2156" t="s">
        <v>3831</v>
      </c>
      <c r="F2156" t="s">
        <v>3836</v>
      </c>
      <c r="G2156" t="s">
        <v>7370</v>
      </c>
      <c r="H2156" t="str">
        <f>HYPERLINK("https://baanknet.com/view-property/260835/B11C93B541CF22143865B4E85DB3FE7C4C2AF88BF1006AA860E1D42985D4178F", "https://baanknet.com/view-property/260835/B11C93B541CF22143865B4E85DB3FE7C4C2AF88BF1006AA860E1D42985D4178F")</f>
        <v>https://baanknet.com/view-property/260835/B11C93B541CF22143865B4E85DB3FE7C4C2AF88BF1006AA860E1D42985D4178F</v>
      </c>
      <c r="I2156" t="str">
        <f>HYPERLINK("https://baanknet.com/view-property/260835/B11C93B541CF22143865B4E85DB3FE7C4C2AF88BF1006AA860E1D42985D4178F", "Open")</f>
        <v>Open</v>
      </c>
      <c r="J2156" t="s">
        <v>3803</v>
      </c>
      <c r="L2156">
        <v>7950000</v>
      </c>
      <c r="M2156">
        <v>795000</v>
      </c>
    </row>
    <row r="2157" spans="1:13" x14ac:dyDescent="0.25">
      <c r="A2157" t="s">
        <v>7371</v>
      </c>
      <c r="B2157" t="s">
        <v>7372</v>
      </c>
      <c r="C2157" t="s">
        <v>15</v>
      </c>
      <c r="D2157" t="s">
        <v>608</v>
      </c>
      <c r="E2157" t="s">
        <v>3831</v>
      </c>
      <c r="F2157" t="s">
        <v>3836</v>
      </c>
      <c r="G2157" t="s">
        <v>7373</v>
      </c>
      <c r="H2157" t="str">
        <f>HYPERLINK("https://baanknet.com/view-property/203183/AC01AACB7882CAB9D3534F89AA7FBD662949978DBA22EFB7731F4D3F8B9F6899", "https://baanknet.com/view-property/203183/AC01AACB7882CAB9D3534F89AA7FBD662949978DBA22EFB7731F4D3F8B9F6899")</f>
        <v>https://baanknet.com/view-property/203183/AC01AACB7882CAB9D3534F89AA7FBD662949978DBA22EFB7731F4D3F8B9F6899</v>
      </c>
      <c r="I2157" t="str">
        <f>HYPERLINK("https://baanknet.com/view-property/203183/AC01AACB7882CAB9D3534F89AA7FBD662949978DBA22EFB7731F4D3F8B9F6899", "Open")</f>
        <v>Open</v>
      </c>
      <c r="J2157" t="s">
        <v>3803</v>
      </c>
      <c r="L2157">
        <v>166700000</v>
      </c>
      <c r="M2157">
        <v>16670000</v>
      </c>
    </row>
    <row r="2158" spans="1:13" x14ac:dyDescent="0.25">
      <c r="A2158" t="s">
        <v>7374</v>
      </c>
      <c r="B2158" t="s">
        <v>7375</v>
      </c>
      <c r="C2158" t="s">
        <v>15</v>
      </c>
      <c r="D2158" t="s">
        <v>608</v>
      </c>
      <c r="E2158" t="s">
        <v>3831</v>
      </c>
      <c r="F2158" t="s">
        <v>3836</v>
      </c>
      <c r="G2158" t="s">
        <v>7376</v>
      </c>
      <c r="H2158" t="str">
        <f>HYPERLINK("https://baanknet.com/view-property/203168/0AA36CFFEF82B44ECED3A67B25473D6F373D0E27CB469ED42296C8E24135004D", "https://baanknet.com/view-property/203168/0AA36CFFEF82B44ECED3A67B25473D6F373D0E27CB469ED42296C8E24135004D")</f>
        <v>https://baanknet.com/view-property/203168/0AA36CFFEF82B44ECED3A67B25473D6F373D0E27CB469ED42296C8E24135004D</v>
      </c>
      <c r="I2158" t="str">
        <f>HYPERLINK("https://baanknet.com/view-property/203168/0AA36CFFEF82B44ECED3A67B25473D6F373D0E27CB469ED42296C8E24135004D", "Open")</f>
        <v>Open</v>
      </c>
      <c r="J2158" t="s">
        <v>3803</v>
      </c>
      <c r="L2158">
        <v>24200000</v>
      </c>
      <c r="M2158">
        <v>2420000</v>
      </c>
    </row>
    <row r="2159" spans="1:13" x14ac:dyDescent="0.25">
      <c r="A2159" t="s">
        <v>7377</v>
      </c>
      <c r="B2159" t="s">
        <v>7378</v>
      </c>
      <c r="C2159" t="s">
        <v>15</v>
      </c>
      <c r="D2159" t="s">
        <v>608</v>
      </c>
      <c r="E2159" t="s">
        <v>3831</v>
      </c>
      <c r="F2159" t="s">
        <v>3836</v>
      </c>
      <c r="G2159" t="s">
        <v>7379</v>
      </c>
      <c r="H2159" t="str">
        <f>HYPERLINK("https://baanknet.com/view-property/203171/ABB82A35740F22FB10C06E44BFF9EF15A7C7AAA8D7C3998272563CFBDC7BA30D", "https://baanknet.com/view-property/203171/ABB82A35740F22FB10C06E44BFF9EF15A7C7AAA8D7C3998272563CFBDC7BA30D")</f>
        <v>https://baanknet.com/view-property/203171/ABB82A35740F22FB10C06E44BFF9EF15A7C7AAA8D7C3998272563CFBDC7BA30D</v>
      </c>
      <c r="I2159" t="str">
        <f>HYPERLINK("https://baanknet.com/view-property/203171/ABB82A35740F22FB10C06E44BFF9EF15A7C7AAA8D7C3998272563CFBDC7BA30D", "Open")</f>
        <v>Open</v>
      </c>
      <c r="J2159" t="s">
        <v>3803</v>
      </c>
      <c r="L2159">
        <v>21500000</v>
      </c>
      <c r="M2159">
        <v>2150000</v>
      </c>
    </row>
    <row r="2160" spans="1:13" x14ac:dyDescent="0.25">
      <c r="A2160" t="s">
        <v>7380</v>
      </c>
      <c r="B2160" t="s">
        <v>7381</v>
      </c>
      <c r="C2160" t="s">
        <v>15</v>
      </c>
      <c r="D2160" t="s">
        <v>608</v>
      </c>
      <c r="E2160" t="s">
        <v>3831</v>
      </c>
      <c r="F2160" t="s">
        <v>3836</v>
      </c>
      <c r="G2160" t="s">
        <v>7382</v>
      </c>
      <c r="H2160" t="str">
        <f>HYPERLINK("https://baanknet.com/view-property/247877/AF0123F8F302345AC8C58015F7C35EB5D7FF89B64FFBC77022FA12409C2742C2", "https://baanknet.com/view-property/247877/AF0123F8F302345AC8C58015F7C35EB5D7FF89B64FFBC77022FA12409C2742C2")</f>
        <v>https://baanknet.com/view-property/247877/AF0123F8F302345AC8C58015F7C35EB5D7FF89B64FFBC77022FA12409C2742C2</v>
      </c>
      <c r="I2160" t="str">
        <f>HYPERLINK("https://baanknet.com/view-property/247877/AF0123F8F302345AC8C58015F7C35EB5D7FF89B64FFBC77022FA12409C2742C2", "Open")</f>
        <v>Open</v>
      </c>
      <c r="J2160" t="s">
        <v>3803</v>
      </c>
      <c r="L2160">
        <v>85700000</v>
      </c>
      <c r="M2160">
        <v>8570000</v>
      </c>
    </row>
    <row r="2161" spans="1:13" x14ac:dyDescent="0.25">
      <c r="A2161" t="s">
        <v>7383</v>
      </c>
      <c r="B2161" t="s">
        <v>7384</v>
      </c>
      <c r="C2161" t="s">
        <v>15</v>
      </c>
      <c r="D2161" t="s">
        <v>3524</v>
      </c>
      <c r="E2161" t="s">
        <v>3831</v>
      </c>
      <c r="F2161" t="s">
        <v>3836</v>
      </c>
      <c r="G2161" t="s">
        <v>7385</v>
      </c>
      <c r="H2161" t="str">
        <f>HYPERLINK("https://baanknet.com/view-property/232185/2C5CF3F01D0106AA9B5253CFAFF9225B2E08FF3444D7C5CAFD711DCF2DC550E7", "https://baanknet.com/view-property/232185/2C5CF3F01D0106AA9B5253CFAFF9225B2E08FF3444D7C5CAFD711DCF2DC550E7")</f>
        <v>https://baanknet.com/view-property/232185/2C5CF3F01D0106AA9B5253CFAFF9225B2E08FF3444D7C5CAFD711DCF2DC550E7</v>
      </c>
      <c r="I2161" t="str">
        <f>HYPERLINK("https://baanknet.com/view-property/232185/2C5CF3F01D0106AA9B5253CFAFF9225B2E08FF3444D7C5CAFD711DCF2DC550E7", "Open")</f>
        <v>Open</v>
      </c>
      <c r="J2161" t="s">
        <v>3803</v>
      </c>
      <c r="L2161">
        <v>3159000</v>
      </c>
      <c r="M2161">
        <v>315900</v>
      </c>
    </row>
    <row r="2162" spans="1:13" x14ac:dyDescent="0.25">
      <c r="A2162" t="s">
        <v>7386</v>
      </c>
      <c r="B2162" t="s">
        <v>7387</v>
      </c>
      <c r="C2162" t="s">
        <v>15</v>
      </c>
      <c r="D2162" t="s">
        <v>3524</v>
      </c>
      <c r="E2162" t="s">
        <v>3831</v>
      </c>
      <c r="F2162" t="s">
        <v>3836</v>
      </c>
      <c r="G2162" t="s">
        <v>7388</v>
      </c>
      <c r="H2162" t="str">
        <f>HYPERLINK("https://baanknet.com/view-property/232195/FD1D55D9A3831ED5EF98F9F106236C9B5104760D1BAFA4EF21BD1757C47C1059", "https://baanknet.com/view-property/232195/FD1D55D9A3831ED5EF98F9F106236C9B5104760D1BAFA4EF21BD1757C47C1059")</f>
        <v>https://baanknet.com/view-property/232195/FD1D55D9A3831ED5EF98F9F106236C9B5104760D1BAFA4EF21BD1757C47C1059</v>
      </c>
      <c r="I2162" t="str">
        <f>HYPERLINK("https://baanknet.com/view-property/232195/FD1D55D9A3831ED5EF98F9F106236C9B5104760D1BAFA4EF21BD1757C47C1059", "Open")</f>
        <v>Open</v>
      </c>
      <c r="J2162" t="s">
        <v>3803</v>
      </c>
      <c r="L2162">
        <v>3159000</v>
      </c>
      <c r="M2162">
        <v>315900</v>
      </c>
    </row>
    <row r="2163" spans="1:13" x14ac:dyDescent="0.25">
      <c r="A2163" t="s">
        <v>7389</v>
      </c>
      <c r="B2163" t="s">
        <v>7390</v>
      </c>
      <c r="C2163" t="s">
        <v>15</v>
      </c>
      <c r="D2163" t="s">
        <v>608</v>
      </c>
      <c r="E2163" t="s">
        <v>3831</v>
      </c>
      <c r="F2163" t="s">
        <v>3836</v>
      </c>
      <c r="G2163" t="s">
        <v>7391</v>
      </c>
      <c r="H2163" t="str">
        <f>HYPERLINK("https://baanknet.com/view-property/284117/33817449B000179B00334D7C904BCACDF5E6E7EAB91C1FF575FF1AC8C0616D0E", "https://baanknet.com/view-property/284117/33817449B000179B00334D7C904BCACDF5E6E7EAB91C1FF575FF1AC8C0616D0E")</f>
        <v>https://baanknet.com/view-property/284117/33817449B000179B00334D7C904BCACDF5E6E7EAB91C1FF575FF1AC8C0616D0E</v>
      </c>
      <c r="I2163" t="str">
        <f>HYPERLINK("https://baanknet.com/view-property/284117/33817449B000179B00334D7C904BCACDF5E6E7EAB91C1FF575FF1AC8C0616D0E", "Open")</f>
        <v>Open</v>
      </c>
      <c r="J2163" t="s">
        <v>3803</v>
      </c>
      <c r="L2163">
        <v>29900000</v>
      </c>
      <c r="M2163">
        <v>2990000</v>
      </c>
    </row>
    <row r="2164" spans="1:13" x14ac:dyDescent="0.25">
      <c r="A2164" t="s">
        <v>7392</v>
      </c>
      <c r="B2164" t="s">
        <v>7393</v>
      </c>
      <c r="C2164" t="s">
        <v>832</v>
      </c>
      <c r="D2164" t="s">
        <v>6123</v>
      </c>
      <c r="E2164" t="s">
        <v>3831</v>
      </c>
      <c r="F2164" t="s">
        <v>574</v>
      </c>
      <c r="G2164" t="s">
        <v>7394</v>
      </c>
      <c r="H2164" t="str">
        <f>HYPERLINK("https://baanknet.com/view-property/276152/E0DFA808CF12753F24C0E9C89D4C50DE2998C15E5918362FFC8D583D11D7037F", "https://baanknet.com/view-property/276152/E0DFA808CF12753F24C0E9C89D4C50DE2998C15E5918362FFC8D583D11D7037F")</f>
        <v>https://baanknet.com/view-property/276152/E0DFA808CF12753F24C0E9C89D4C50DE2998C15E5918362FFC8D583D11D7037F</v>
      </c>
      <c r="I2164" t="str">
        <f>HYPERLINK("https://baanknet.com/view-property/276152/E0DFA808CF12753F24C0E9C89D4C50DE2998C15E5918362FFC8D583D11D7037F", "Open")</f>
        <v>Open</v>
      </c>
      <c r="J2164" t="s">
        <v>3803</v>
      </c>
      <c r="L2164">
        <v>1524000</v>
      </c>
      <c r="M2164">
        <v>152400</v>
      </c>
    </row>
    <row r="2165" spans="1:13" x14ac:dyDescent="0.25">
      <c r="A2165" t="s">
        <v>7395</v>
      </c>
      <c r="B2165" t="s">
        <v>7396</v>
      </c>
      <c r="C2165" t="s">
        <v>832</v>
      </c>
      <c r="D2165" t="s">
        <v>7397</v>
      </c>
      <c r="E2165" t="s">
        <v>3831</v>
      </c>
      <c r="F2165" t="s">
        <v>574</v>
      </c>
      <c r="G2165" t="s">
        <v>7398</v>
      </c>
      <c r="H2165" t="str">
        <f>HYPERLINK("https://baanknet.com/view-property/276158/2381B33F88D780B177051DD6402EF358A97A7E5D18EF64548930699A9A9951E4", "https://baanknet.com/view-property/276158/2381B33F88D780B177051DD6402EF358A97A7E5D18EF64548930699A9A9951E4")</f>
        <v>https://baanknet.com/view-property/276158/2381B33F88D780B177051DD6402EF358A97A7E5D18EF64548930699A9A9951E4</v>
      </c>
      <c r="I2165" t="str">
        <f>HYPERLINK("https://baanknet.com/view-property/276158/2381B33F88D780B177051DD6402EF358A97A7E5D18EF64548930699A9A9951E4", "Open")</f>
        <v>Open</v>
      </c>
      <c r="J2165" t="s">
        <v>3803</v>
      </c>
      <c r="L2165">
        <v>2668000</v>
      </c>
      <c r="M2165">
        <v>266800</v>
      </c>
    </row>
    <row r="2166" spans="1:13" x14ac:dyDescent="0.25">
      <c r="A2166" t="s">
        <v>7399</v>
      </c>
      <c r="B2166" t="s">
        <v>7400</v>
      </c>
      <c r="C2166" t="s">
        <v>832</v>
      </c>
      <c r="D2166" t="s">
        <v>6123</v>
      </c>
      <c r="E2166" t="s">
        <v>3831</v>
      </c>
      <c r="F2166" t="s">
        <v>574</v>
      </c>
      <c r="G2166" t="s">
        <v>7401</v>
      </c>
      <c r="H2166" t="str">
        <f>HYPERLINK("https://baanknet.com/view-property/275294/4FCCCE39D393FF9A052218EFAA2ACB0980D78B9486EE700A5DE3D6B2DFAE98BA", "https://baanknet.com/view-property/275294/4FCCCE39D393FF9A052218EFAA2ACB0980D78B9486EE700A5DE3D6B2DFAE98BA")</f>
        <v>https://baanknet.com/view-property/275294/4FCCCE39D393FF9A052218EFAA2ACB0980D78B9486EE700A5DE3D6B2DFAE98BA</v>
      </c>
      <c r="I2166" t="str">
        <f>HYPERLINK("https://baanknet.com/view-property/275294/4FCCCE39D393FF9A052218EFAA2ACB0980D78B9486EE700A5DE3D6B2DFAE98BA", "Open")</f>
        <v>Open</v>
      </c>
      <c r="J2166" t="s">
        <v>3803</v>
      </c>
      <c r="L2166">
        <v>3663000</v>
      </c>
      <c r="M2166">
        <v>366300</v>
      </c>
    </row>
    <row r="2167" spans="1:13" x14ac:dyDescent="0.25">
      <c r="A2167" t="s">
        <v>7402</v>
      </c>
      <c r="B2167" t="s">
        <v>7403</v>
      </c>
      <c r="C2167" t="s">
        <v>832</v>
      </c>
      <c r="D2167" t="s">
        <v>6123</v>
      </c>
      <c r="E2167" t="s">
        <v>3831</v>
      </c>
      <c r="F2167" t="s">
        <v>574</v>
      </c>
      <c r="G2167" t="s">
        <v>7404</v>
      </c>
      <c r="H2167" t="str">
        <f>HYPERLINK("https://baanknet.com/view-property/275309/DF8B2E6D1776E5D6F9CD4FF0A509ECC6BD06FBA25065C28BAD69589050C76E6A", "https://baanknet.com/view-property/275309/DF8B2E6D1776E5D6F9CD4FF0A509ECC6BD06FBA25065C28BAD69589050C76E6A")</f>
        <v>https://baanknet.com/view-property/275309/DF8B2E6D1776E5D6F9CD4FF0A509ECC6BD06FBA25065C28BAD69589050C76E6A</v>
      </c>
      <c r="I2167" t="str">
        <f>HYPERLINK("https://baanknet.com/view-property/275309/DF8B2E6D1776E5D6F9CD4FF0A509ECC6BD06FBA25065C28BAD69589050C76E6A", "Open")</f>
        <v>Open</v>
      </c>
      <c r="J2167" t="s">
        <v>3803</v>
      </c>
      <c r="L2167">
        <v>2279000</v>
      </c>
      <c r="M2167">
        <v>227900</v>
      </c>
    </row>
    <row r="2168" spans="1:13" x14ac:dyDescent="0.25">
      <c r="A2168" t="s">
        <v>7405</v>
      </c>
      <c r="B2168" t="s">
        <v>7406</v>
      </c>
      <c r="C2168" t="s">
        <v>832</v>
      </c>
      <c r="D2168" t="s">
        <v>6123</v>
      </c>
      <c r="E2168" t="s">
        <v>3831</v>
      </c>
      <c r="F2168" t="s">
        <v>574</v>
      </c>
      <c r="G2168" t="s">
        <v>7407</v>
      </c>
      <c r="H2168" t="str">
        <f>HYPERLINK("https://baanknet.com/view-property/275596/89B60839D1D2C7215EC7C798C1469137F4CC36C9D1EB7A991FC9CAE36CC434FF", "https://baanknet.com/view-property/275596/89B60839D1D2C7215EC7C798C1469137F4CC36C9D1EB7A991FC9CAE36CC434FF")</f>
        <v>https://baanknet.com/view-property/275596/89B60839D1D2C7215EC7C798C1469137F4CC36C9D1EB7A991FC9CAE36CC434FF</v>
      </c>
      <c r="I2168" t="str">
        <f>HYPERLINK("https://baanknet.com/view-property/275596/89B60839D1D2C7215EC7C798C1469137F4CC36C9D1EB7A991FC9CAE36CC434FF", "Open")</f>
        <v>Open</v>
      </c>
      <c r="J2168" t="s">
        <v>3803</v>
      </c>
      <c r="L2168">
        <v>16429000</v>
      </c>
      <c r="M2168">
        <v>1642900</v>
      </c>
    </row>
    <row r="2169" spans="1:13" x14ac:dyDescent="0.25">
      <c r="A2169" t="s">
        <v>7408</v>
      </c>
      <c r="B2169" t="s">
        <v>7409</v>
      </c>
      <c r="C2169" t="s">
        <v>832</v>
      </c>
      <c r="D2169" t="s">
        <v>6123</v>
      </c>
      <c r="E2169" t="s">
        <v>3831</v>
      </c>
      <c r="F2169" t="s">
        <v>574</v>
      </c>
      <c r="G2169" t="s">
        <v>7410</v>
      </c>
      <c r="H2169" t="str">
        <f>HYPERLINK("https://baanknet.com/view-property/275803/FCE6D3BF007A053F976CC2AC656E000CCBBA2476440A2F13EF2D9CB82FEEC718", "https://baanknet.com/view-property/275803/FCE6D3BF007A053F976CC2AC656E000CCBBA2476440A2F13EF2D9CB82FEEC718")</f>
        <v>https://baanknet.com/view-property/275803/FCE6D3BF007A053F976CC2AC656E000CCBBA2476440A2F13EF2D9CB82FEEC718</v>
      </c>
      <c r="I2169" t="str">
        <f>HYPERLINK("https://baanknet.com/view-property/275803/FCE6D3BF007A053F976CC2AC656E000CCBBA2476440A2F13EF2D9CB82FEEC718", "Open")</f>
        <v>Open</v>
      </c>
      <c r="J2169" t="s">
        <v>3803</v>
      </c>
      <c r="L2169">
        <v>1340000</v>
      </c>
      <c r="M2169">
        <v>134000</v>
      </c>
    </row>
    <row r="2170" spans="1:13" x14ac:dyDescent="0.25">
      <c r="A2170" t="s">
        <v>7411</v>
      </c>
      <c r="B2170" t="s">
        <v>7412</v>
      </c>
      <c r="C2170" t="s">
        <v>832</v>
      </c>
      <c r="D2170" t="s">
        <v>5266</v>
      </c>
      <c r="E2170" t="s">
        <v>3831</v>
      </c>
      <c r="F2170" t="s">
        <v>574</v>
      </c>
      <c r="G2170" t="s">
        <v>7413</v>
      </c>
      <c r="H2170" t="str">
        <f>HYPERLINK("https://baanknet.com/view-property/275846/716B7C32FC2EE10D3DBBC3EAE0EA388178E3945D9A32EF3F562BA96081E07775", "https://baanknet.com/view-property/275846/716B7C32FC2EE10D3DBBC3EAE0EA388178E3945D9A32EF3F562BA96081E07775")</f>
        <v>https://baanknet.com/view-property/275846/716B7C32FC2EE10D3DBBC3EAE0EA388178E3945D9A32EF3F562BA96081E07775</v>
      </c>
      <c r="I2170" t="str">
        <f>HYPERLINK("https://baanknet.com/view-property/275846/716B7C32FC2EE10D3DBBC3EAE0EA388178E3945D9A32EF3F562BA96081E07775", "Open")</f>
        <v>Open</v>
      </c>
      <c r="J2170" t="s">
        <v>3803</v>
      </c>
      <c r="L2170">
        <v>1105000</v>
      </c>
      <c r="M2170">
        <v>110500</v>
      </c>
    </row>
    <row r="2171" spans="1:13" x14ac:dyDescent="0.25">
      <c r="A2171" t="s">
        <v>7414</v>
      </c>
      <c r="B2171" t="s">
        <v>7415</v>
      </c>
      <c r="C2171" t="s">
        <v>832</v>
      </c>
      <c r="D2171" t="s">
        <v>7416</v>
      </c>
      <c r="E2171" t="s">
        <v>3831</v>
      </c>
      <c r="F2171" t="s">
        <v>574</v>
      </c>
      <c r="G2171" t="s">
        <v>7417</v>
      </c>
      <c r="H2171" t="str">
        <f>HYPERLINK("https://baanknet.com/view-property/275879/F776D97CCD3759318FA1E10B626A6669359CA9B431A18657E0C692F09F57E6FD", "https://baanknet.com/view-property/275879/F776D97CCD3759318FA1E10B626A6669359CA9B431A18657E0C692F09F57E6FD")</f>
        <v>https://baanknet.com/view-property/275879/F776D97CCD3759318FA1E10B626A6669359CA9B431A18657E0C692F09F57E6FD</v>
      </c>
      <c r="I2171" t="str">
        <f>HYPERLINK("https://baanknet.com/view-property/275879/F776D97CCD3759318FA1E10B626A6669359CA9B431A18657E0C692F09F57E6FD", "Open")</f>
        <v>Open</v>
      </c>
      <c r="J2171" t="s">
        <v>3803</v>
      </c>
      <c r="L2171">
        <v>1092000</v>
      </c>
      <c r="M2171">
        <v>109200</v>
      </c>
    </row>
    <row r="2172" spans="1:13" x14ac:dyDescent="0.25">
      <c r="A2172" t="s">
        <v>7418</v>
      </c>
      <c r="B2172" t="s">
        <v>7419</v>
      </c>
      <c r="C2172" t="s">
        <v>832</v>
      </c>
      <c r="D2172" t="s">
        <v>7420</v>
      </c>
      <c r="E2172" t="s">
        <v>3831</v>
      </c>
      <c r="F2172" t="s">
        <v>574</v>
      </c>
      <c r="G2172" t="s">
        <v>7421</v>
      </c>
      <c r="H2172" t="str">
        <f>HYPERLINK("https://baanknet.com/view-property/275897/47E3238E3FAA54D631C8E622DAB48D2C2C90E20B03C1797A69A195150F8F2681", "https://baanknet.com/view-property/275897/47E3238E3FAA54D631C8E622DAB48D2C2C90E20B03C1797A69A195150F8F2681")</f>
        <v>https://baanknet.com/view-property/275897/47E3238E3FAA54D631C8E622DAB48D2C2C90E20B03C1797A69A195150F8F2681</v>
      </c>
      <c r="I2172" t="str">
        <f>HYPERLINK("https://baanknet.com/view-property/275897/47E3238E3FAA54D631C8E622DAB48D2C2C90E20B03C1797A69A195150F8F2681", "Open")</f>
        <v>Open</v>
      </c>
      <c r="J2172" t="s">
        <v>3803</v>
      </c>
      <c r="L2172">
        <v>1259000</v>
      </c>
      <c r="M2172">
        <v>125900</v>
      </c>
    </row>
    <row r="2173" spans="1:13" x14ac:dyDescent="0.25">
      <c r="A2173" t="s">
        <v>7422</v>
      </c>
      <c r="B2173" t="s">
        <v>7423</v>
      </c>
      <c r="C2173" t="s">
        <v>832</v>
      </c>
      <c r="D2173" t="s">
        <v>7424</v>
      </c>
      <c r="E2173" t="s">
        <v>3831</v>
      </c>
      <c r="F2173" t="s">
        <v>574</v>
      </c>
      <c r="G2173" t="s">
        <v>7425</v>
      </c>
      <c r="H2173" t="str">
        <f>HYPERLINK("https://baanknet.com/view-property/275907/10270C26E82D08CE5029C5782D31E6EFA758AA76449213D2ACFC61225E2C9654", "https://baanknet.com/view-property/275907/10270C26E82D08CE5029C5782D31E6EFA758AA76449213D2ACFC61225E2C9654")</f>
        <v>https://baanknet.com/view-property/275907/10270C26E82D08CE5029C5782D31E6EFA758AA76449213D2ACFC61225E2C9654</v>
      </c>
      <c r="I2173" t="str">
        <f>HYPERLINK("https://baanknet.com/view-property/275907/10270C26E82D08CE5029C5782D31E6EFA758AA76449213D2ACFC61225E2C9654", "Open")</f>
        <v>Open</v>
      </c>
      <c r="J2173" t="s">
        <v>3803</v>
      </c>
      <c r="L2173">
        <v>1900000</v>
      </c>
      <c r="M2173">
        <v>190000</v>
      </c>
    </row>
    <row r="2174" spans="1:13" x14ac:dyDescent="0.25">
      <c r="A2174" t="s">
        <v>7426</v>
      </c>
      <c r="B2174" t="s">
        <v>7427</v>
      </c>
      <c r="C2174" t="s">
        <v>832</v>
      </c>
      <c r="D2174" t="s">
        <v>6123</v>
      </c>
      <c r="E2174" t="s">
        <v>3831</v>
      </c>
      <c r="F2174" t="s">
        <v>574</v>
      </c>
      <c r="G2174" t="s">
        <v>7428</v>
      </c>
      <c r="H2174" t="str">
        <f>HYPERLINK("https://baanknet.com/view-property/275930/01AAEB4240B333C7581A543534641E0DE48E757EBA6837C845216B0089EEA825", "https://baanknet.com/view-property/275930/01AAEB4240B333C7581A543534641E0DE48E757EBA6837C845216B0089EEA825")</f>
        <v>https://baanknet.com/view-property/275930/01AAEB4240B333C7581A543534641E0DE48E757EBA6837C845216B0089EEA825</v>
      </c>
      <c r="I2174" t="str">
        <f>HYPERLINK("https://baanknet.com/view-property/275930/01AAEB4240B333C7581A543534641E0DE48E757EBA6837C845216B0089EEA825", "Open")</f>
        <v>Open</v>
      </c>
      <c r="J2174" t="s">
        <v>3803</v>
      </c>
      <c r="L2174">
        <v>1542000</v>
      </c>
      <c r="M2174">
        <v>154200</v>
      </c>
    </row>
    <row r="2175" spans="1:13" x14ac:dyDescent="0.25">
      <c r="A2175" t="s">
        <v>7429</v>
      </c>
      <c r="B2175" t="s">
        <v>7430</v>
      </c>
      <c r="C2175" t="s">
        <v>832</v>
      </c>
      <c r="D2175" t="s">
        <v>5266</v>
      </c>
      <c r="E2175" t="s">
        <v>3831</v>
      </c>
      <c r="F2175" t="s">
        <v>574</v>
      </c>
      <c r="G2175" t="s">
        <v>7431</v>
      </c>
      <c r="H2175" t="str">
        <f>HYPERLINK("https://baanknet.com/view-property/275931/8B40123F14F054D669C83703C5F35D9C7F9AD027FD4B0974E2148B2FB54DDC8E", "https://baanknet.com/view-property/275931/8B40123F14F054D669C83703C5F35D9C7F9AD027FD4B0974E2148B2FB54DDC8E")</f>
        <v>https://baanknet.com/view-property/275931/8B40123F14F054D669C83703C5F35D9C7F9AD027FD4B0974E2148B2FB54DDC8E</v>
      </c>
      <c r="I2175" t="str">
        <f>HYPERLINK("https://baanknet.com/view-property/275931/8B40123F14F054D669C83703C5F35D9C7F9AD027FD4B0974E2148B2FB54DDC8E", "Open")</f>
        <v>Open</v>
      </c>
      <c r="J2175" t="s">
        <v>3803</v>
      </c>
      <c r="L2175">
        <v>1386000</v>
      </c>
      <c r="M2175">
        <v>138600</v>
      </c>
    </row>
    <row r="2176" spans="1:13" x14ac:dyDescent="0.25">
      <c r="A2176" t="s">
        <v>7432</v>
      </c>
      <c r="B2176" t="s">
        <v>7433</v>
      </c>
      <c r="C2176" t="s">
        <v>832</v>
      </c>
      <c r="D2176" t="s">
        <v>7424</v>
      </c>
      <c r="E2176" t="s">
        <v>3831</v>
      </c>
      <c r="F2176" t="s">
        <v>574</v>
      </c>
      <c r="G2176" t="s">
        <v>7434</v>
      </c>
      <c r="H2176" t="str">
        <f>HYPERLINK("https://baanknet.com/view-property/276193/80819385A47308265DB810EBC17E13F79D6A4195447F8714FD994458D1935AA8", "https://baanknet.com/view-property/276193/80819385A47308265DB810EBC17E13F79D6A4195447F8714FD994458D1935AA8")</f>
        <v>https://baanknet.com/view-property/276193/80819385A47308265DB810EBC17E13F79D6A4195447F8714FD994458D1935AA8</v>
      </c>
      <c r="I2176" t="str">
        <f>HYPERLINK("https://baanknet.com/view-property/276193/80819385A47308265DB810EBC17E13F79D6A4195447F8714FD994458D1935AA8", "Open")</f>
        <v>Open</v>
      </c>
      <c r="J2176" t="s">
        <v>3803</v>
      </c>
      <c r="L2176">
        <v>5015000</v>
      </c>
      <c r="M2176">
        <v>501500</v>
      </c>
    </row>
    <row r="2177" spans="1:13" x14ac:dyDescent="0.25">
      <c r="A2177" t="s">
        <v>7435</v>
      </c>
      <c r="B2177" t="s">
        <v>7436</v>
      </c>
      <c r="C2177" t="s">
        <v>832</v>
      </c>
      <c r="D2177" t="s">
        <v>5266</v>
      </c>
      <c r="E2177" t="s">
        <v>3831</v>
      </c>
      <c r="F2177" t="s">
        <v>574</v>
      </c>
      <c r="G2177" t="s">
        <v>7437</v>
      </c>
      <c r="H2177" t="str">
        <f>HYPERLINK("https://baanknet.com/view-property/276215/B8B3FD6B9378200339273EE363FF7ACB55F3E54F5212D1EC8D061BC87B6620CA", "https://baanknet.com/view-property/276215/B8B3FD6B9378200339273EE363FF7ACB55F3E54F5212D1EC8D061BC87B6620CA")</f>
        <v>https://baanknet.com/view-property/276215/B8B3FD6B9378200339273EE363FF7ACB55F3E54F5212D1EC8D061BC87B6620CA</v>
      </c>
      <c r="I2177" t="str">
        <f>HYPERLINK("https://baanknet.com/view-property/276215/B8B3FD6B9378200339273EE363FF7ACB55F3E54F5212D1EC8D061BC87B6620CA", "Open")</f>
        <v>Open</v>
      </c>
      <c r="J2177" t="s">
        <v>3803</v>
      </c>
      <c r="L2177">
        <v>1186000</v>
      </c>
      <c r="M2177">
        <v>118600</v>
      </c>
    </row>
    <row r="2178" spans="1:13" x14ac:dyDescent="0.25">
      <c r="A2178" t="s">
        <v>7438</v>
      </c>
      <c r="B2178" t="s">
        <v>7439</v>
      </c>
      <c r="C2178" t="s">
        <v>832</v>
      </c>
      <c r="D2178" t="s">
        <v>5266</v>
      </c>
      <c r="E2178" t="s">
        <v>3831</v>
      </c>
      <c r="F2178" t="s">
        <v>574</v>
      </c>
      <c r="G2178" t="s">
        <v>7440</v>
      </c>
      <c r="H2178" t="str">
        <f>HYPERLINK("https://baanknet.com/view-property/276314/CF2553E59163BCD8CEB01E98A1F334A400534727921353256EB5ECE601550FF7", "https://baanknet.com/view-property/276314/CF2553E59163BCD8CEB01E98A1F334A400534727921353256EB5ECE601550FF7")</f>
        <v>https://baanknet.com/view-property/276314/CF2553E59163BCD8CEB01E98A1F334A400534727921353256EB5ECE601550FF7</v>
      </c>
      <c r="I2178" t="str">
        <f>HYPERLINK("https://baanknet.com/view-property/276314/CF2553E59163BCD8CEB01E98A1F334A400534727921353256EB5ECE601550FF7", "Open")</f>
        <v>Open</v>
      </c>
      <c r="J2178" t="s">
        <v>3803</v>
      </c>
      <c r="L2178">
        <v>1979000</v>
      </c>
      <c r="M2178">
        <v>197900</v>
      </c>
    </row>
    <row r="2179" spans="1:13" x14ac:dyDescent="0.25">
      <c r="A2179" t="s">
        <v>7441</v>
      </c>
      <c r="B2179" t="s">
        <v>7442</v>
      </c>
      <c r="C2179" t="s">
        <v>832</v>
      </c>
      <c r="D2179" t="s">
        <v>5266</v>
      </c>
      <c r="E2179" t="s">
        <v>3831</v>
      </c>
      <c r="F2179" t="s">
        <v>574</v>
      </c>
      <c r="G2179" t="s">
        <v>7443</v>
      </c>
      <c r="H2179" t="str">
        <f>HYPERLINK("https://baanknet.com/view-property/276326/1DD6C374787C7015DEFE03248D4CA9599F7E78A9AC0BDA9EC8BE24383D28B3CC", "https://baanknet.com/view-property/276326/1DD6C374787C7015DEFE03248D4CA9599F7E78A9AC0BDA9EC8BE24383D28B3CC")</f>
        <v>https://baanknet.com/view-property/276326/1DD6C374787C7015DEFE03248D4CA9599F7E78A9AC0BDA9EC8BE24383D28B3CC</v>
      </c>
      <c r="I2179" t="str">
        <f>HYPERLINK("https://baanknet.com/view-property/276326/1DD6C374787C7015DEFE03248D4CA9599F7E78A9AC0BDA9EC8BE24383D28B3CC", "Open")</f>
        <v>Open</v>
      </c>
      <c r="J2179" t="s">
        <v>3803</v>
      </c>
      <c r="L2179">
        <v>1845000</v>
      </c>
      <c r="M2179">
        <v>184500</v>
      </c>
    </row>
    <row r="2180" spans="1:13" x14ac:dyDescent="0.25">
      <c r="A2180" t="s">
        <v>7444</v>
      </c>
      <c r="B2180" t="s">
        <v>7445</v>
      </c>
      <c r="C2180" t="s">
        <v>832</v>
      </c>
      <c r="D2180" t="s">
        <v>5266</v>
      </c>
      <c r="E2180" t="s">
        <v>3831</v>
      </c>
      <c r="F2180" t="s">
        <v>574</v>
      </c>
      <c r="G2180" t="s">
        <v>7446</v>
      </c>
      <c r="H2180" t="str">
        <f>HYPERLINK("https://baanknet.com/view-property/276348/053E942C37BE0AAE77C1B174CBA575DD6F4FDCDB9C27E3964477C656097D0583", "https://baanknet.com/view-property/276348/053E942C37BE0AAE77C1B174CBA575DD6F4FDCDB9C27E3964477C656097D0583")</f>
        <v>https://baanknet.com/view-property/276348/053E942C37BE0AAE77C1B174CBA575DD6F4FDCDB9C27E3964477C656097D0583</v>
      </c>
      <c r="I2180" t="str">
        <f>HYPERLINK("https://baanknet.com/view-property/276348/053E942C37BE0AAE77C1B174CBA575DD6F4FDCDB9C27E3964477C656097D0583", "Open")</f>
        <v>Open</v>
      </c>
      <c r="J2180" t="s">
        <v>3803</v>
      </c>
      <c r="L2180">
        <v>1379000</v>
      </c>
      <c r="M2180">
        <v>137900</v>
      </c>
    </row>
    <row r="2181" spans="1:13" x14ac:dyDescent="0.25">
      <c r="A2181" t="s">
        <v>7447</v>
      </c>
      <c r="B2181" t="s">
        <v>7448</v>
      </c>
      <c r="C2181" t="s">
        <v>7449</v>
      </c>
      <c r="D2181" t="s">
        <v>1246</v>
      </c>
      <c r="E2181" t="s">
        <v>3831</v>
      </c>
      <c r="F2181" t="s">
        <v>574</v>
      </c>
      <c r="G2181" t="s">
        <v>7450</v>
      </c>
      <c r="H2181" t="str">
        <f>HYPERLINK("https://baanknet.com/view-property/276504/09B60E7CD50AF2DF72D6AEDDFF711FB2B554F9E52F517FE8982E69AC9CA0B74E", "https://baanknet.com/view-property/276504/09B60E7CD50AF2DF72D6AEDDFF711FB2B554F9E52F517FE8982E69AC9CA0B74E")</f>
        <v>https://baanknet.com/view-property/276504/09B60E7CD50AF2DF72D6AEDDFF711FB2B554F9E52F517FE8982E69AC9CA0B74E</v>
      </c>
      <c r="I2181" t="str">
        <f>HYPERLINK("https://baanknet.com/view-property/276504/09B60E7CD50AF2DF72D6AEDDFF711FB2B554F9E52F517FE8982E69AC9CA0B74E", "Open")</f>
        <v>Open</v>
      </c>
      <c r="J2181" t="s">
        <v>3803</v>
      </c>
      <c r="L2181">
        <v>7290000</v>
      </c>
      <c r="M2181">
        <v>729000</v>
      </c>
    </row>
    <row r="2182" spans="1:13" x14ac:dyDescent="0.25">
      <c r="A2182" t="s">
        <v>7451</v>
      </c>
      <c r="B2182" t="s">
        <v>7452</v>
      </c>
      <c r="C2182" t="s">
        <v>332</v>
      </c>
      <c r="D2182" t="s">
        <v>1751</v>
      </c>
      <c r="E2182" t="s">
        <v>4281</v>
      </c>
      <c r="F2182" t="s">
        <v>3836</v>
      </c>
      <c r="G2182" t="s">
        <v>7453</v>
      </c>
      <c r="H2182" t="str">
        <f>HYPERLINK("https://baanknet.com/view-property/284070/26F992F0D5992125FB5CF5C941599C9B1C2012DD5B8A1D891470492ECCB6C1D9", "https://baanknet.com/view-property/284070/26F992F0D5992125FB5CF5C941599C9B1C2012DD5B8A1D891470492ECCB6C1D9")</f>
        <v>https://baanknet.com/view-property/284070/26F992F0D5992125FB5CF5C941599C9B1C2012DD5B8A1D891470492ECCB6C1D9</v>
      </c>
      <c r="I2182" t="str">
        <f>HYPERLINK("https://baanknet.com/view-property/284070/26F992F0D5992125FB5CF5C941599C9B1C2012DD5B8A1D891470492ECCB6C1D9", "Open")</f>
        <v>Open</v>
      </c>
      <c r="J2182" t="s">
        <v>3803</v>
      </c>
      <c r="L2182">
        <v>1900000</v>
      </c>
      <c r="M2182">
        <v>190000</v>
      </c>
    </row>
    <row r="2183" spans="1:13" x14ac:dyDescent="0.25">
      <c r="A2183" t="s">
        <v>7454</v>
      </c>
      <c r="B2183" t="s">
        <v>7455</v>
      </c>
      <c r="C2183" t="s">
        <v>83</v>
      </c>
      <c r="D2183" t="s">
        <v>7456</v>
      </c>
      <c r="E2183" t="s">
        <v>4281</v>
      </c>
      <c r="F2183" t="s">
        <v>585</v>
      </c>
      <c r="G2183" t="s">
        <v>7457</v>
      </c>
      <c r="H2183" t="str">
        <f>HYPERLINK("https://baanknet.com/view-property/286303/E123D6C4F234CD95AFEA092D982D1F998140E23CF43E479CB1867CC2AC1578E9", "https://baanknet.com/view-property/286303/E123D6C4F234CD95AFEA092D982D1F998140E23CF43E479CB1867CC2AC1578E9")</f>
        <v>https://baanknet.com/view-property/286303/E123D6C4F234CD95AFEA092D982D1F998140E23CF43E479CB1867CC2AC1578E9</v>
      </c>
      <c r="I2183" t="str">
        <f>HYPERLINK("https://baanknet.com/view-property/286303/E123D6C4F234CD95AFEA092D982D1F998140E23CF43E479CB1867CC2AC1578E9", "Open")</f>
        <v>Open</v>
      </c>
      <c r="J2183" t="s">
        <v>3803</v>
      </c>
      <c r="L2183">
        <v>1602000</v>
      </c>
      <c r="M2183">
        <v>160200</v>
      </c>
    </row>
    <row r="2184" spans="1:13" x14ac:dyDescent="0.25">
      <c r="A2184" t="s">
        <v>7458</v>
      </c>
      <c r="B2184" t="s">
        <v>7459</v>
      </c>
      <c r="C2184" t="s">
        <v>83</v>
      </c>
      <c r="D2184" t="s">
        <v>1310</v>
      </c>
      <c r="E2184" t="s">
        <v>4281</v>
      </c>
      <c r="F2184" t="s">
        <v>4159</v>
      </c>
      <c r="G2184" t="s">
        <v>7460</v>
      </c>
      <c r="H2184" t="str">
        <f>HYPERLINK("https://baanknet.com/view-property/213482/0E08862D398BA1628C36B3C10053CE1A3E2CB853C62B711BA0C22FF8256AC221", "https://baanknet.com/view-property/213482/0E08862D398BA1628C36B3C10053CE1A3E2CB853C62B711BA0C22FF8256AC221")</f>
        <v>https://baanknet.com/view-property/213482/0E08862D398BA1628C36B3C10053CE1A3E2CB853C62B711BA0C22FF8256AC221</v>
      </c>
      <c r="I2184" t="str">
        <f>HYPERLINK("https://baanknet.com/view-property/213482/0E08862D398BA1628C36B3C10053CE1A3E2CB853C62B711BA0C22FF8256AC221", "Open")</f>
        <v>Open</v>
      </c>
      <c r="J2184" t="s">
        <v>3803</v>
      </c>
      <c r="L2184">
        <v>15000000</v>
      </c>
      <c r="M2184">
        <v>1500000</v>
      </c>
    </row>
    <row r="2185" spans="1:13" x14ac:dyDescent="0.25">
      <c r="A2185" t="s">
        <v>7461</v>
      </c>
      <c r="B2185" t="s">
        <v>7462</v>
      </c>
      <c r="C2185" t="s">
        <v>83</v>
      </c>
      <c r="D2185" t="s">
        <v>1310</v>
      </c>
      <c r="E2185" t="s">
        <v>4281</v>
      </c>
      <c r="F2185" t="s">
        <v>4159</v>
      </c>
      <c r="G2185" t="s">
        <v>7463</v>
      </c>
      <c r="H2185" t="str">
        <f>HYPERLINK("https://baanknet.com/view-property/213481/B71E8AEA90B3A1DEBC14F40825A720CE8EDAE792AA783C7B2C837056A9C1796D", "https://baanknet.com/view-property/213481/B71E8AEA90B3A1DEBC14F40825A720CE8EDAE792AA783C7B2C837056A9C1796D")</f>
        <v>https://baanknet.com/view-property/213481/B71E8AEA90B3A1DEBC14F40825A720CE8EDAE792AA783C7B2C837056A9C1796D</v>
      </c>
      <c r="I2185" t="str">
        <f>HYPERLINK("https://baanknet.com/view-property/213481/B71E8AEA90B3A1DEBC14F40825A720CE8EDAE792AA783C7B2C837056A9C1796D", "Open")</f>
        <v>Open</v>
      </c>
      <c r="J2185" t="s">
        <v>3803</v>
      </c>
      <c r="L2185">
        <v>12200000</v>
      </c>
      <c r="M2185">
        <v>1220000</v>
      </c>
    </row>
    <row r="2186" spans="1:13" x14ac:dyDescent="0.25">
      <c r="A2186" t="s">
        <v>7464</v>
      </c>
      <c r="B2186" t="s">
        <v>7465</v>
      </c>
      <c r="C2186" t="s">
        <v>83</v>
      </c>
      <c r="D2186" t="s">
        <v>7466</v>
      </c>
      <c r="E2186" t="s">
        <v>4281</v>
      </c>
      <c r="F2186" t="s">
        <v>4159</v>
      </c>
      <c r="G2186" t="s">
        <v>7467</v>
      </c>
      <c r="H2186" t="str">
        <f>HYPERLINK("https://baanknet.com/view-property/223182/459FACAD27BA9F0B416F640F21135CEFCF4C326A4728DE81D81BEF49552AF8E7", "https://baanknet.com/view-property/223182/459FACAD27BA9F0B416F640F21135CEFCF4C326A4728DE81D81BEF49552AF8E7")</f>
        <v>https://baanknet.com/view-property/223182/459FACAD27BA9F0B416F640F21135CEFCF4C326A4728DE81D81BEF49552AF8E7</v>
      </c>
      <c r="I2186" t="str">
        <f>HYPERLINK("https://baanknet.com/view-property/223182/459FACAD27BA9F0B416F640F21135CEFCF4C326A4728DE81D81BEF49552AF8E7", "Open")</f>
        <v>Open</v>
      </c>
      <c r="J2186" t="s">
        <v>3803</v>
      </c>
      <c r="L2186">
        <v>1728000</v>
      </c>
      <c r="M2186">
        <v>172800</v>
      </c>
    </row>
    <row r="2187" spans="1:13" x14ac:dyDescent="0.25">
      <c r="A2187" t="s">
        <v>7468</v>
      </c>
      <c r="B2187" t="s">
        <v>7469</v>
      </c>
      <c r="C2187" t="s">
        <v>83</v>
      </c>
      <c r="D2187" t="s">
        <v>1246</v>
      </c>
      <c r="E2187" t="s">
        <v>4281</v>
      </c>
      <c r="F2187" t="s">
        <v>4159</v>
      </c>
      <c r="G2187" t="s">
        <v>7470</v>
      </c>
      <c r="H2187" t="str">
        <f>HYPERLINK("https://baanknet.com/view-property/287236/7F1D6771EEA50A2E40C385C65E8B68301B50280B7C017AB29EBC6BC4EC9B0505", "https://baanknet.com/view-property/287236/7F1D6771EEA50A2E40C385C65E8B68301B50280B7C017AB29EBC6BC4EC9B0505")</f>
        <v>https://baanknet.com/view-property/287236/7F1D6771EEA50A2E40C385C65E8B68301B50280B7C017AB29EBC6BC4EC9B0505</v>
      </c>
      <c r="I2187" t="str">
        <f>HYPERLINK("https://baanknet.com/view-property/287236/7F1D6771EEA50A2E40C385C65E8B68301B50280B7C017AB29EBC6BC4EC9B0505", "Open")</f>
        <v>Open</v>
      </c>
      <c r="J2187" t="s">
        <v>3803</v>
      </c>
      <c r="L2187">
        <v>17000000</v>
      </c>
      <c r="M2187">
        <v>1700000</v>
      </c>
    </row>
    <row r="2188" spans="1:13" x14ac:dyDescent="0.25">
      <c r="A2188" t="s">
        <v>7471</v>
      </c>
      <c r="B2188" t="s">
        <v>7472</v>
      </c>
      <c r="C2188" t="s">
        <v>83</v>
      </c>
      <c r="D2188" t="s">
        <v>127</v>
      </c>
      <c r="E2188" t="s">
        <v>4281</v>
      </c>
      <c r="F2188" t="s">
        <v>4159</v>
      </c>
      <c r="G2188" t="s">
        <v>7473</v>
      </c>
      <c r="H2188" t="str">
        <f>HYPERLINK("https://baanknet.com/view-property/265841/E9E5F75E8C27158C409A5FE74964A20272D5B056B225A682D8C03073CAB704BD", "https://baanknet.com/view-property/265841/E9E5F75E8C27158C409A5FE74964A20272D5B056B225A682D8C03073CAB704BD")</f>
        <v>https://baanknet.com/view-property/265841/E9E5F75E8C27158C409A5FE74964A20272D5B056B225A682D8C03073CAB704BD</v>
      </c>
      <c r="I2188" t="str">
        <f>HYPERLINK("https://baanknet.com/view-property/265841/E9E5F75E8C27158C409A5FE74964A20272D5B056B225A682D8C03073CAB704BD", "Open")</f>
        <v>Open</v>
      </c>
      <c r="J2188" t="s">
        <v>3803</v>
      </c>
      <c r="L2188">
        <v>1144100</v>
      </c>
      <c r="M2188">
        <v>114410</v>
      </c>
    </row>
    <row r="2189" spans="1:13" x14ac:dyDescent="0.25">
      <c r="A2189" t="s">
        <v>7474</v>
      </c>
      <c r="B2189" t="s">
        <v>7475</v>
      </c>
      <c r="C2189" t="s">
        <v>83</v>
      </c>
      <c r="D2189" t="s">
        <v>2573</v>
      </c>
      <c r="E2189" t="s">
        <v>4281</v>
      </c>
      <c r="F2189" t="s">
        <v>4159</v>
      </c>
      <c r="G2189" t="s">
        <v>7476</v>
      </c>
      <c r="H2189" t="str">
        <f>HYPERLINK("https://baanknet.com/view-property/222895/B878DB3C9D445C077B9E11475302DFB43A5A3250DA15153AF26D07C894D3D852", "https://baanknet.com/view-property/222895/B878DB3C9D445C077B9E11475302DFB43A5A3250DA15153AF26D07C894D3D852")</f>
        <v>https://baanknet.com/view-property/222895/B878DB3C9D445C077B9E11475302DFB43A5A3250DA15153AF26D07C894D3D852</v>
      </c>
      <c r="I2189" t="str">
        <f>HYPERLINK("https://baanknet.com/view-property/222895/B878DB3C9D445C077B9E11475302DFB43A5A3250DA15153AF26D07C894D3D852", "Open")</f>
        <v>Open</v>
      </c>
      <c r="J2189" t="s">
        <v>3803</v>
      </c>
      <c r="L2189">
        <v>5321000</v>
      </c>
      <c r="M2189">
        <v>532100</v>
      </c>
    </row>
    <row r="2190" spans="1:13" x14ac:dyDescent="0.25">
      <c r="A2190" t="s">
        <v>7477</v>
      </c>
      <c r="B2190" t="s">
        <v>7478</v>
      </c>
      <c r="C2190" t="s">
        <v>83</v>
      </c>
      <c r="D2190" t="s">
        <v>7479</v>
      </c>
      <c r="E2190" t="s">
        <v>4281</v>
      </c>
      <c r="F2190" t="s">
        <v>4159</v>
      </c>
      <c r="G2190" t="s">
        <v>7480</v>
      </c>
      <c r="H2190" t="str">
        <f>HYPERLINK("https://baanknet.com/view-property/3127/7D9EACE31A0BC0282497A532F82AB908B2A45A28DA71CE854D48371F0FE99375", "https://baanknet.com/view-property/3127/7D9EACE31A0BC0282497A532F82AB908B2A45A28DA71CE854D48371F0FE99375")</f>
        <v>https://baanknet.com/view-property/3127/7D9EACE31A0BC0282497A532F82AB908B2A45A28DA71CE854D48371F0FE99375</v>
      </c>
      <c r="I2190" t="str">
        <f>HYPERLINK("https://baanknet.com/view-property/3127/7D9EACE31A0BC0282497A532F82AB908B2A45A28DA71CE854D48371F0FE99375", "Open")</f>
        <v>Open</v>
      </c>
      <c r="J2190" t="s">
        <v>3803</v>
      </c>
      <c r="L2190">
        <v>1530000</v>
      </c>
      <c r="M2190">
        <v>153000</v>
      </c>
    </row>
    <row r="2191" spans="1:13" x14ac:dyDescent="0.25">
      <c r="A2191" t="s">
        <v>7481</v>
      </c>
      <c r="B2191" t="s">
        <v>7482</v>
      </c>
      <c r="C2191" t="s">
        <v>83</v>
      </c>
      <c r="D2191" t="s">
        <v>4061</v>
      </c>
      <c r="E2191" t="s">
        <v>4281</v>
      </c>
      <c r="F2191" t="s">
        <v>4159</v>
      </c>
      <c r="G2191" t="s">
        <v>7483</v>
      </c>
      <c r="H2191" t="str">
        <f>HYPERLINK("https://baanknet.com/view-property/256713/88F37405DCB96E05D2F57E75DEFCAFB75D6F0D4B1E493B97DBF1D60CC5FA8187", "https://baanknet.com/view-property/256713/88F37405DCB96E05D2F57E75DEFCAFB75D6F0D4B1E493B97DBF1D60CC5FA8187")</f>
        <v>https://baanknet.com/view-property/256713/88F37405DCB96E05D2F57E75DEFCAFB75D6F0D4B1E493B97DBF1D60CC5FA8187</v>
      </c>
      <c r="I2191" t="str">
        <f>HYPERLINK("https://baanknet.com/view-property/256713/88F37405DCB96E05D2F57E75DEFCAFB75D6F0D4B1E493B97DBF1D60CC5FA8187", "Open")</f>
        <v>Open</v>
      </c>
      <c r="J2191" t="s">
        <v>3803</v>
      </c>
      <c r="L2191">
        <v>2705000</v>
      </c>
      <c r="M2191">
        <v>270500</v>
      </c>
    </row>
    <row r="2192" spans="1:13" x14ac:dyDescent="0.25">
      <c r="A2192" t="s">
        <v>7484</v>
      </c>
      <c r="B2192" t="s">
        <v>7485</v>
      </c>
      <c r="C2192" t="s">
        <v>83</v>
      </c>
      <c r="D2192" t="s">
        <v>7486</v>
      </c>
      <c r="E2192" t="s">
        <v>4281</v>
      </c>
      <c r="F2192" t="s">
        <v>4159</v>
      </c>
      <c r="G2192" t="s">
        <v>7487</v>
      </c>
      <c r="H2192" t="str">
        <f>HYPERLINK("https://baanknet.com/view-property/257525/50A5B5E63693ECD2137EB41CDEB3034181850CF742678A03E62B2E0E2621535D", "https://baanknet.com/view-property/257525/50A5B5E63693ECD2137EB41CDEB3034181850CF742678A03E62B2E0E2621535D")</f>
        <v>https://baanknet.com/view-property/257525/50A5B5E63693ECD2137EB41CDEB3034181850CF742678A03E62B2E0E2621535D</v>
      </c>
      <c r="I2192" t="str">
        <f>HYPERLINK("https://baanknet.com/view-property/257525/50A5B5E63693ECD2137EB41CDEB3034181850CF742678A03E62B2E0E2621535D", "Open")</f>
        <v>Open</v>
      </c>
      <c r="J2192" t="s">
        <v>3803</v>
      </c>
      <c r="L2192">
        <v>8750000</v>
      </c>
      <c r="M2192">
        <v>875000</v>
      </c>
    </row>
    <row r="2193" spans="1:13" x14ac:dyDescent="0.25">
      <c r="A2193" t="s">
        <v>7488</v>
      </c>
      <c r="B2193" t="s">
        <v>7489</v>
      </c>
      <c r="C2193" t="s">
        <v>83</v>
      </c>
      <c r="D2193" t="s">
        <v>3554</v>
      </c>
      <c r="E2193" t="s">
        <v>4281</v>
      </c>
      <c r="F2193" t="s">
        <v>4159</v>
      </c>
      <c r="G2193" t="s">
        <v>7490</v>
      </c>
      <c r="H2193" t="str">
        <f>HYPERLINK("https://baanknet.com/view-property/260106/3DB163D6BF0EF64BD13B224D6AFD2F0AA7C4BBCC88CD2898B5F19A75A76A2830", "https://baanknet.com/view-property/260106/3DB163D6BF0EF64BD13B224D6AFD2F0AA7C4BBCC88CD2898B5F19A75A76A2830")</f>
        <v>https://baanknet.com/view-property/260106/3DB163D6BF0EF64BD13B224D6AFD2F0AA7C4BBCC88CD2898B5F19A75A76A2830</v>
      </c>
      <c r="I2193" t="str">
        <f>HYPERLINK("https://baanknet.com/view-property/260106/3DB163D6BF0EF64BD13B224D6AFD2F0AA7C4BBCC88CD2898B5F19A75A76A2830", "Open")</f>
        <v>Open</v>
      </c>
      <c r="J2193" t="s">
        <v>3803</v>
      </c>
      <c r="L2193">
        <v>1080000</v>
      </c>
      <c r="M2193">
        <v>108000</v>
      </c>
    </row>
    <row r="2194" spans="1:13" x14ac:dyDescent="0.25">
      <c r="A2194" t="s">
        <v>7491</v>
      </c>
      <c r="B2194" t="s">
        <v>7492</v>
      </c>
      <c r="C2194" t="s">
        <v>15</v>
      </c>
      <c r="D2194" t="s">
        <v>4828</v>
      </c>
      <c r="E2194" t="s">
        <v>3836</v>
      </c>
      <c r="F2194" t="s">
        <v>585</v>
      </c>
      <c r="G2194" t="s">
        <v>7493</v>
      </c>
      <c r="H2194" t="str">
        <f>HYPERLINK("https://baanknet.com/view-property/244719/6E1A364A7A9A29113FADC2193F8DA116D557A04A8063A9677E7EC42041B11824", "https://baanknet.com/view-property/244719/6E1A364A7A9A29113FADC2193F8DA116D557A04A8063A9677E7EC42041B11824")</f>
        <v>https://baanknet.com/view-property/244719/6E1A364A7A9A29113FADC2193F8DA116D557A04A8063A9677E7EC42041B11824</v>
      </c>
      <c r="I2194" t="str">
        <f>HYPERLINK("https://baanknet.com/view-property/244719/6E1A364A7A9A29113FADC2193F8DA116D557A04A8063A9677E7EC42041B11824", "Open")</f>
        <v>Open</v>
      </c>
      <c r="J2194" t="s">
        <v>3803</v>
      </c>
      <c r="L2194">
        <v>1521000</v>
      </c>
      <c r="M2194">
        <v>152100</v>
      </c>
    </row>
    <row r="2195" spans="1:13" x14ac:dyDescent="0.25">
      <c r="A2195" t="s">
        <v>7494</v>
      </c>
      <c r="B2195" t="s">
        <v>7495</v>
      </c>
      <c r="C2195" t="s">
        <v>15</v>
      </c>
      <c r="D2195" t="s">
        <v>4542</v>
      </c>
      <c r="E2195" t="s">
        <v>3836</v>
      </c>
      <c r="F2195" t="s">
        <v>585</v>
      </c>
      <c r="G2195" t="s">
        <v>7496</v>
      </c>
      <c r="H2195" t="str">
        <f>HYPERLINK("https://baanknet.com/view-property/204242/678A830A16F656070F16F459A46174502692121EB144B3C2D008C585F91F3F5B", "https://baanknet.com/view-property/204242/678A830A16F656070F16F459A46174502692121EB144B3C2D008C585F91F3F5B")</f>
        <v>https://baanknet.com/view-property/204242/678A830A16F656070F16F459A46174502692121EB144B3C2D008C585F91F3F5B</v>
      </c>
      <c r="I2195" t="str">
        <f>HYPERLINK("https://baanknet.com/view-property/204242/678A830A16F656070F16F459A46174502692121EB144B3C2D008C585F91F3F5B", "Open")</f>
        <v>Open</v>
      </c>
      <c r="J2195" t="s">
        <v>3803</v>
      </c>
      <c r="L2195">
        <v>1500000</v>
      </c>
      <c r="M2195">
        <v>150000</v>
      </c>
    </row>
    <row r="2196" spans="1:13" x14ac:dyDescent="0.25">
      <c r="A2196" t="s">
        <v>7497</v>
      </c>
      <c r="B2196" t="s">
        <v>7498</v>
      </c>
      <c r="C2196" t="s">
        <v>15</v>
      </c>
      <c r="D2196" t="s">
        <v>4542</v>
      </c>
      <c r="E2196" t="s">
        <v>3836</v>
      </c>
      <c r="F2196" t="s">
        <v>585</v>
      </c>
      <c r="G2196" t="s">
        <v>7499</v>
      </c>
      <c r="H2196" t="str">
        <f>HYPERLINK("https://baanknet.com/view-property/281343/DD7658BB34E52D7194EFC52B6E025603194865A1EE75659F1425F0A4619C0181", "https://baanknet.com/view-property/281343/DD7658BB34E52D7194EFC52B6E025603194865A1EE75659F1425F0A4619C0181")</f>
        <v>https://baanknet.com/view-property/281343/DD7658BB34E52D7194EFC52B6E025603194865A1EE75659F1425F0A4619C0181</v>
      </c>
      <c r="I2196" t="str">
        <f>HYPERLINK("https://baanknet.com/view-property/281343/DD7658BB34E52D7194EFC52B6E025603194865A1EE75659F1425F0A4619C0181", "Open")</f>
        <v>Open</v>
      </c>
      <c r="J2196" t="s">
        <v>3803</v>
      </c>
      <c r="L2196">
        <v>1394000</v>
      </c>
      <c r="M2196">
        <v>139400</v>
      </c>
    </row>
    <row r="2197" spans="1:13" x14ac:dyDescent="0.25">
      <c r="A2197" t="s">
        <v>7500</v>
      </c>
      <c r="B2197" t="s">
        <v>7501</v>
      </c>
      <c r="C2197" t="s">
        <v>15</v>
      </c>
      <c r="D2197" t="s">
        <v>3818</v>
      </c>
      <c r="E2197" t="s">
        <v>7502</v>
      </c>
      <c r="F2197" t="s">
        <v>623</v>
      </c>
      <c r="G2197" t="s">
        <v>7503</v>
      </c>
      <c r="H2197" t="str">
        <f>HYPERLINK("https://baanknet.com/view-property/275499/E7B7C51F7F457FD33CBC4767A39237D4463256B7638921F3D1EAE62A3EEBEDDD", "https://baanknet.com/view-property/275499/E7B7C51F7F457FD33CBC4767A39237D4463256B7638921F3D1EAE62A3EEBEDDD")</f>
        <v>https://baanknet.com/view-property/275499/E7B7C51F7F457FD33CBC4767A39237D4463256B7638921F3D1EAE62A3EEBEDDD</v>
      </c>
      <c r="I2197" t="str">
        <f>HYPERLINK("https://baanknet.com/view-property/275499/E7B7C51F7F457FD33CBC4767A39237D4463256B7638921F3D1EAE62A3EEBEDDD", "Open")</f>
        <v>Open</v>
      </c>
      <c r="J2197" t="s">
        <v>3803</v>
      </c>
      <c r="L2197">
        <v>3810000</v>
      </c>
      <c r="M2197">
        <v>381000</v>
      </c>
    </row>
    <row r="2198" spans="1:13" x14ac:dyDescent="0.25">
      <c r="A2198" t="s">
        <v>7504</v>
      </c>
      <c r="B2198" t="s">
        <v>7505</v>
      </c>
      <c r="C2198" t="s">
        <v>15</v>
      </c>
      <c r="D2198" t="s">
        <v>653</v>
      </c>
      <c r="E2198" t="s">
        <v>7502</v>
      </c>
      <c r="F2198" t="s">
        <v>623</v>
      </c>
      <c r="G2198" t="s">
        <v>7506</v>
      </c>
      <c r="H2198" t="str">
        <f>HYPERLINK("https://baanknet.com/view-property/284850/97B33ACD3EC02F81EEB5D33BDB041AB922398B5D86984C5EC53ED3AC2AA4623B", "https://baanknet.com/view-property/284850/97B33ACD3EC02F81EEB5D33BDB041AB922398B5D86984C5EC53ED3AC2AA4623B")</f>
        <v>https://baanknet.com/view-property/284850/97B33ACD3EC02F81EEB5D33BDB041AB922398B5D86984C5EC53ED3AC2AA4623B</v>
      </c>
      <c r="I2198" t="str">
        <f>HYPERLINK("https://baanknet.com/view-property/284850/97B33ACD3EC02F81EEB5D33BDB041AB922398B5D86984C5EC53ED3AC2AA4623B", "Open")</f>
        <v>Open</v>
      </c>
      <c r="J2198" t="s">
        <v>3803</v>
      </c>
      <c r="L2198">
        <v>11745000</v>
      </c>
      <c r="M2198">
        <v>1174500</v>
      </c>
    </row>
    <row r="2199" spans="1:13" x14ac:dyDescent="0.25">
      <c r="A2199" t="s">
        <v>7507</v>
      </c>
      <c r="B2199" t="s">
        <v>7508</v>
      </c>
      <c r="C2199" t="s">
        <v>15</v>
      </c>
      <c r="D2199" t="s">
        <v>7509</v>
      </c>
      <c r="E2199" t="s">
        <v>7502</v>
      </c>
      <c r="F2199" t="s">
        <v>623</v>
      </c>
      <c r="G2199" t="s">
        <v>7510</v>
      </c>
      <c r="H2199" t="str">
        <f>HYPERLINK("https://baanknet.com/view-property/275496/7AACBF46257731218678FB5749485F3CBFFB4BFEBFEE368D61A52BB0AFADCB80", "https://baanknet.com/view-property/275496/7AACBF46257731218678FB5749485F3CBFFB4BFEBFEE368D61A52BB0AFADCB80")</f>
        <v>https://baanknet.com/view-property/275496/7AACBF46257731218678FB5749485F3CBFFB4BFEBFEE368D61A52BB0AFADCB80</v>
      </c>
      <c r="I2199" t="str">
        <f>HYPERLINK("https://baanknet.com/view-property/275496/7AACBF46257731218678FB5749485F3CBFFB4BFEBFEE368D61A52BB0AFADCB80", "Open")</f>
        <v>Open</v>
      </c>
      <c r="J2199" t="s">
        <v>3803</v>
      </c>
      <c r="L2199">
        <v>3500000</v>
      </c>
      <c r="M2199">
        <v>350000</v>
      </c>
    </row>
    <row r="2200" spans="1:13" x14ac:dyDescent="0.25">
      <c r="A2200" t="s">
        <v>7511</v>
      </c>
      <c r="B2200" t="s">
        <v>7512</v>
      </c>
      <c r="C2200" t="s">
        <v>15</v>
      </c>
      <c r="D2200" t="s">
        <v>3822</v>
      </c>
      <c r="E2200" t="s">
        <v>7502</v>
      </c>
      <c r="F2200" t="s">
        <v>623</v>
      </c>
      <c r="G2200" t="s">
        <v>7513</v>
      </c>
      <c r="H2200" t="str">
        <f>HYPERLINK("https://baanknet.com/view-property/259923/9BD6EB26067154A1EE3FD67F75A332065E9C902E790F9CA2FD79DE575E35A839", "https://baanknet.com/view-property/259923/9BD6EB26067154A1EE3FD67F75A332065E9C902E790F9CA2FD79DE575E35A839")</f>
        <v>https://baanknet.com/view-property/259923/9BD6EB26067154A1EE3FD67F75A332065E9C902E790F9CA2FD79DE575E35A839</v>
      </c>
      <c r="I2200" t="str">
        <f>HYPERLINK("https://baanknet.com/view-property/259923/9BD6EB26067154A1EE3FD67F75A332065E9C902E790F9CA2FD79DE575E35A839", "Open")</f>
        <v>Open</v>
      </c>
      <c r="J2200" t="s">
        <v>3803</v>
      </c>
      <c r="L2200">
        <v>5465000</v>
      </c>
      <c r="M2200">
        <v>546500</v>
      </c>
    </row>
    <row r="2201" spans="1:13" x14ac:dyDescent="0.25">
      <c r="A2201" t="s">
        <v>7514</v>
      </c>
      <c r="B2201" t="s">
        <v>7515</v>
      </c>
      <c r="C2201" t="s">
        <v>589</v>
      </c>
      <c r="D2201" t="s">
        <v>7516</v>
      </c>
      <c r="E2201" t="s">
        <v>7502</v>
      </c>
      <c r="F2201" t="s">
        <v>7517</v>
      </c>
      <c r="G2201" t="s">
        <v>7518</v>
      </c>
      <c r="H2201" t="str">
        <f>HYPERLINK("https://baanknet.com/view-property/287879/28A058BE9645C39DFB99AFB2B4D0A4BD4FE67223F14D2D3221523B7B3871631B", "https://baanknet.com/view-property/287879/28A058BE9645C39DFB99AFB2B4D0A4BD4FE67223F14D2D3221523B7B3871631B")</f>
        <v>https://baanknet.com/view-property/287879/28A058BE9645C39DFB99AFB2B4D0A4BD4FE67223F14D2D3221523B7B3871631B</v>
      </c>
      <c r="I2201" t="str">
        <f>HYPERLINK("https://baanknet.com/view-property/287879/28A058BE9645C39DFB99AFB2B4D0A4BD4FE67223F14D2D3221523B7B3871631B", "Open")</f>
        <v>Open</v>
      </c>
      <c r="J2201" t="s">
        <v>3803</v>
      </c>
      <c r="L2201">
        <v>810000</v>
      </c>
      <c r="M2201">
        <v>81000</v>
      </c>
    </row>
    <row r="2202" spans="1:13" x14ac:dyDescent="0.25">
      <c r="A2202" t="s">
        <v>7519</v>
      </c>
      <c r="B2202" t="s">
        <v>7520</v>
      </c>
      <c r="C2202" t="s">
        <v>15</v>
      </c>
      <c r="D2202" t="s">
        <v>1051</v>
      </c>
      <c r="E2202" t="s">
        <v>7502</v>
      </c>
      <c r="F2202" t="s">
        <v>7521</v>
      </c>
      <c r="G2202" t="s">
        <v>7522</v>
      </c>
      <c r="H2202" t="str">
        <f>HYPERLINK("https://baanknet.com/view-property/272856/5085A6BD00C6C606ECB8A7AC1B9ADC92F78D5AD7A020063EC3B452E535CC007D", "https://baanknet.com/view-property/272856/5085A6BD00C6C606ECB8A7AC1B9ADC92F78D5AD7A020063EC3B452E535CC007D")</f>
        <v>https://baanknet.com/view-property/272856/5085A6BD00C6C606ECB8A7AC1B9ADC92F78D5AD7A020063EC3B452E535CC007D</v>
      </c>
      <c r="I2202" t="str">
        <f>HYPERLINK("https://baanknet.com/view-property/272856/5085A6BD00C6C606ECB8A7AC1B9ADC92F78D5AD7A020063EC3B452E535CC007D", "Open")</f>
        <v>Open</v>
      </c>
      <c r="J2202" t="s">
        <v>3803</v>
      </c>
      <c r="L2202">
        <v>2302000</v>
      </c>
      <c r="M2202">
        <v>230200</v>
      </c>
    </row>
    <row r="2203" spans="1:13" x14ac:dyDescent="0.25">
      <c r="A2203" t="s">
        <v>7523</v>
      </c>
      <c r="B2203" t="s">
        <v>7524</v>
      </c>
      <c r="C2203" t="s">
        <v>15</v>
      </c>
      <c r="D2203" t="s">
        <v>1892</v>
      </c>
      <c r="E2203" t="s">
        <v>7502</v>
      </c>
      <c r="F2203" t="s">
        <v>7521</v>
      </c>
      <c r="G2203" t="s">
        <v>7525</v>
      </c>
      <c r="H2203" t="str">
        <f>HYPERLINK("https://baanknet.com/view-property/249599/9A902FCB14AFF151422F6AF1372798D190DE17FDA6EF5B241B5FBD3F3087B7F4", "https://baanknet.com/view-property/249599/9A902FCB14AFF151422F6AF1372798D190DE17FDA6EF5B241B5FBD3F3087B7F4")</f>
        <v>https://baanknet.com/view-property/249599/9A902FCB14AFF151422F6AF1372798D190DE17FDA6EF5B241B5FBD3F3087B7F4</v>
      </c>
      <c r="I2203" t="str">
        <f>HYPERLINK("https://baanknet.com/view-property/249599/9A902FCB14AFF151422F6AF1372798D190DE17FDA6EF5B241B5FBD3F3087B7F4", "Open")</f>
        <v>Open</v>
      </c>
      <c r="J2203" t="s">
        <v>3803</v>
      </c>
      <c r="L2203">
        <v>5050000</v>
      </c>
      <c r="M2203">
        <v>505000</v>
      </c>
    </row>
    <row r="2204" spans="1:13" x14ac:dyDescent="0.25">
      <c r="A2204" t="s">
        <v>7526</v>
      </c>
      <c r="B2204" t="s">
        <v>7527</v>
      </c>
      <c r="C2204" t="s">
        <v>15</v>
      </c>
      <c r="D2204" t="s">
        <v>7528</v>
      </c>
      <c r="E2204" t="s">
        <v>7502</v>
      </c>
      <c r="F2204" t="s">
        <v>7521</v>
      </c>
      <c r="G2204" t="s">
        <v>7529</v>
      </c>
      <c r="H2204" t="str">
        <f>HYPERLINK("https://baanknet.com/view-property/264855/90100E78EBC9034165B7EA6F546CAFFE1459C5EC73537FCC686F8B9F29FE96D6", "https://baanknet.com/view-property/264855/90100E78EBC9034165B7EA6F546CAFFE1459C5EC73537FCC686F8B9F29FE96D6")</f>
        <v>https://baanknet.com/view-property/264855/90100E78EBC9034165B7EA6F546CAFFE1459C5EC73537FCC686F8B9F29FE96D6</v>
      </c>
      <c r="I2204" t="str">
        <f>HYPERLINK("https://baanknet.com/view-property/264855/90100E78EBC9034165B7EA6F546CAFFE1459C5EC73537FCC686F8B9F29FE96D6", "Open")</f>
        <v>Open</v>
      </c>
      <c r="J2204" t="s">
        <v>3803</v>
      </c>
      <c r="L2204">
        <v>2900000</v>
      </c>
      <c r="M2204">
        <v>290000</v>
      </c>
    </row>
    <row r="2205" spans="1:13" x14ac:dyDescent="0.25">
      <c r="A2205" t="s">
        <v>7530</v>
      </c>
      <c r="B2205" t="s">
        <v>7531</v>
      </c>
      <c r="C2205" t="s">
        <v>15</v>
      </c>
      <c r="D2205" t="s">
        <v>4500</v>
      </c>
      <c r="E2205" t="s">
        <v>7502</v>
      </c>
      <c r="F2205" t="s">
        <v>7521</v>
      </c>
      <c r="G2205" t="s">
        <v>7532</v>
      </c>
      <c r="H2205" t="str">
        <f>HYPERLINK("https://baanknet.com/view-property/215928/9653273A50309BACC8333718066BCD5E06B7100AC02A7BD222C5A9C6238314E8", "https://baanknet.com/view-property/215928/9653273A50309BACC8333718066BCD5E06B7100AC02A7BD222C5A9C6238314E8")</f>
        <v>https://baanknet.com/view-property/215928/9653273A50309BACC8333718066BCD5E06B7100AC02A7BD222C5A9C6238314E8</v>
      </c>
      <c r="I2205" t="str">
        <f>HYPERLINK("https://baanknet.com/view-property/215928/9653273A50309BACC8333718066BCD5E06B7100AC02A7BD222C5A9C6238314E8", "Open")</f>
        <v>Open</v>
      </c>
      <c r="J2205" t="s">
        <v>3803</v>
      </c>
      <c r="L2205">
        <v>2380000</v>
      </c>
      <c r="M2205">
        <v>238000</v>
      </c>
    </row>
    <row r="2206" spans="1:13" x14ac:dyDescent="0.25">
      <c r="A2206" t="s">
        <v>7533</v>
      </c>
      <c r="B2206" t="s">
        <v>7534</v>
      </c>
      <c r="C2206" t="s">
        <v>15</v>
      </c>
      <c r="D2206" t="s">
        <v>578</v>
      </c>
      <c r="E2206" t="s">
        <v>7502</v>
      </c>
      <c r="F2206" t="s">
        <v>7521</v>
      </c>
      <c r="G2206" t="s">
        <v>7535</v>
      </c>
      <c r="H2206" t="str">
        <f>HYPERLINK("https://baanknet.com/view-property/240496/1AAF500C607B130C3DF4E3178E1F4BE4E43018DF81A06E0F316217B126B7613F", "https://baanknet.com/view-property/240496/1AAF500C607B130C3DF4E3178E1F4BE4E43018DF81A06E0F316217B126B7613F")</f>
        <v>https://baanknet.com/view-property/240496/1AAF500C607B130C3DF4E3178E1F4BE4E43018DF81A06E0F316217B126B7613F</v>
      </c>
      <c r="I2206" t="str">
        <f>HYPERLINK("https://baanknet.com/view-property/240496/1AAF500C607B130C3DF4E3178E1F4BE4E43018DF81A06E0F316217B126B7613F", "Open")</f>
        <v>Open</v>
      </c>
      <c r="J2206" t="s">
        <v>3803</v>
      </c>
      <c r="L2206">
        <v>1306000</v>
      </c>
      <c r="M2206">
        <v>130600</v>
      </c>
    </row>
    <row r="2207" spans="1:13" x14ac:dyDescent="0.25">
      <c r="A2207" t="s">
        <v>7536</v>
      </c>
      <c r="B2207" t="s">
        <v>7537</v>
      </c>
      <c r="C2207" t="s">
        <v>15</v>
      </c>
      <c r="D2207" t="s">
        <v>338</v>
      </c>
      <c r="E2207" t="s">
        <v>7502</v>
      </c>
      <c r="F2207" t="s">
        <v>7521</v>
      </c>
      <c r="G2207" t="s">
        <v>7538</v>
      </c>
      <c r="H2207" t="str">
        <f>HYPERLINK("https://baanknet.com/view-property/197849/DADB95B301B8DD3B01E1E5BB955A17D50A5D00B94589CD898A6CDEBA4985F491", "https://baanknet.com/view-property/197849/DADB95B301B8DD3B01E1E5BB955A17D50A5D00B94589CD898A6CDEBA4985F491")</f>
        <v>https://baanknet.com/view-property/197849/DADB95B301B8DD3B01E1E5BB955A17D50A5D00B94589CD898A6CDEBA4985F491</v>
      </c>
      <c r="I2207" t="str">
        <f>HYPERLINK("https://baanknet.com/view-property/197849/DADB95B301B8DD3B01E1E5BB955A17D50A5D00B94589CD898A6CDEBA4985F491", "Open")</f>
        <v>Open</v>
      </c>
      <c r="J2207" t="s">
        <v>3803</v>
      </c>
      <c r="L2207">
        <v>1816000</v>
      </c>
      <c r="M2207">
        <v>181600</v>
      </c>
    </row>
    <row r="2208" spans="1:13" x14ac:dyDescent="0.25">
      <c r="A2208" t="s">
        <v>7539</v>
      </c>
      <c r="B2208" t="s">
        <v>7540</v>
      </c>
      <c r="C2208" t="s">
        <v>15</v>
      </c>
      <c r="D2208" t="s">
        <v>7541</v>
      </c>
      <c r="E2208" t="s">
        <v>7502</v>
      </c>
      <c r="F2208" t="s">
        <v>7521</v>
      </c>
      <c r="G2208" t="s">
        <v>7542</v>
      </c>
      <c r="H2208" t="str">
        <f>HYPERLINK("https://baanknet.com/view-property/240406/433181F3C3F6CB7542F2D4DC1B7F44DD49E7E2FBEE3093384CCB7801E1B26827", "https://baanknet.com/view-property/240406/433181F3C3F6CB7542F2D4DC1B7F44DD49E7E2FBEE3093384CCB7801E1B26827")</f>
        <v>https://baanknet.com/view-property/240406/433181F3C3F6CB7542F2D4DC1B7F44DD49E7E2FBEE3093384CCB7801E1B26827</v>
      </c>
      <c r="I2208" t="str">
        <f>HYPERLINK("https://baanknet.com/view-property/240406/433181F3C3F6CB7542F2D4DC1B7F44DD49E7E2FBEE3093384CCB7801E1B26827", "Open")</f>
        <v>Open</v>
      </c>
      <c r="J2208" t="s">
        <v>3803</v>
      </c>
      <c r="L2208">
        <v>4479000</v>
      </c>
      <c r="M2208">
        <v>447900</v>
      </c>
    </row>
    <row r="2209" spans="1:13" x14ac:dyDescent="0.25">
      <c r="A2209" t="s">
        <v>7543</v>
      </c>
      <c r="B2209" t="s">
        <v>7544</v>
      </c>
      <c r="C2209" t="s">
        <v>15</v>
      </c>
      <c r="D2209" t="s">
        <v>2788</v>
      </c>
      <c r="E2209" t="s">
        <v>7502</v>
      </c>
      <c r="F2209" t="s">
        <v>7521</v>
      </c>
      <c r="G2209" t="s">
        <v>7545</v>
      </c>
      <c r="H2209" t="str">
        <f>HYPERLINK("https://baanknet.com/view-property/265446/9DDBBF2664DD00452129F1EB465BF34D8CD57F35FDC5472BA6F422DFF5E45643", "https://baanknet.com/view-property/265446/9DDBBF2664DD00452129F1EB465BF34D8CD57F35FDC5472BA6F422DFF5E45643")</f>
        <v>https://baanknet.com/view-property/265446/9DDBBF2664DD00452129F1EB465BF34D8CD57F35FDC5472BA6F422DFF5E45643</v>
      </c>
      <c r="I2209" t="str">
        <f>HYPERLINK("https://baanknet.com/view-property/265446/9DDBBF2664DD00452129F1EB465BF34D8CD57F35FDC5472BA6F422DFF5E45643", "Open")</f>
        <v>Open</v>
      </c>
      <c r="J2209" t="s">
        <v>3803</v>
      </c>
      <c r="L2209">
        <v>2100000</v>
      </c>
      <c r="M2209">
        <v>210000</v>
      </c>
    </row>
    <row r="2210" spans="1:13" x14ac:dyDescent="0.25">
      <c r="A2210" t="s">
        <v>7546</v>
      </c>
      <c r="B2210" t="s">
        <v>7547</v>
      </c>
      <c r="C2210" t="s">
        <v>15</v>
      </c>
      <c r="D2210" t="s">
        <v>1892</v>
      </c>
      <c r="E2210" t="s">
        <v>7502</v>
      </c>
      <c r="F2210" t="s">
        <v>7521</v>
      </c>
      <c r="G2210" t="s">
        <v>7548</v>
      </c>
      <c r="H2210" t="str">
        <f>HYPERLINK("https://baanknet.com/view-property/270612/C302F199FD041015883092535BF978072832ED93C67039BE7F2E4C68C45CD2A1", "https://baanknet.com/view-property/270612/C302F199FD041015883092535BF978072832ED93C67039BE7F2E4C68C45CD2A1")</f>
        <v>https://baanknet.com/view-property/270612/C302F199FD041015883092535BF978072832ED93C67039BE7F2E4C68C45CD2A1</v>
      </c>
      <c r="I2210" t="str">
        <f>HYPERLINK("https://baanknet.com/view-property/270612/C302F199FD041015883092535BF978072832ED93C67039BE7F2E4C68C45CD2A1", "Open")</f>
        <v>Open</v>
      </c>
      <c r="J2210" t="s">
        <v>3803</v>
      </c>
      <c r="L2210">
        <v>1405000</v>
      </c>
      <c r="M2210">
        <v>140500</v>
      </c>
    </row>
    <row r="2211" spans="1:13" x14ac:dyDescent="0.25">
      <c r="A2211" t="s">
        <v>7549</v>
      </c>
      <c r="B2211" t="s">
        <v>7550</v>
      </c>
      <c r="C2211" t="s">
        <v>15</v>
      </c>
      <c r="D2211" t="s">
        <v>578</v>
      </c>
      <c r="E2211" t="s">
        <v>7502</v>
      </c>
      <c r="F2211" t="s">
        <v>7521</v>
      </c>
      <c r="G2211" t="s">
        <v>7551</v>
      </c>
      <c r="H2211" t="str">
        <f>HYPERLINK("https://baanknet.com/view-property/264875/AF0F9E88CDF81E18E1A3CD3EDB28CB6126946EF988B72055596E4D63564FD5F2", "https://baanknet.com/view-property/264875/AF0F9E88CDF81E18E1A3CD3EDB28CB6126946EF988B72055596E4D63564FD5F2")</f>
        <v>https://baanknet.com/view-property/264875/AF0F9E88CDF81E18E1A3CD3EDB28CB6126946EF988B72055596E4D63564FD5F2</v>
      </c>
      <c r="I2211" t="str">
        <f>HYPERLINK("https://baanknet.com/view-property/264875/AF0F9E88CDF81E18E1A3CD3EDB28CB6126946EF988B72055596E4D63564FD5F2", "Open")</f>
        <v>Open</v>
      </c>
      <c r="J2211" t="s">
        <v>3803</v>
      </c>
      <c r="L2211">
        <v>2355000</v>
      </c>
      <c r="M2211">
        <v>235500</v>
      </c>
    </row>
    <row r="2212" spans="1:13" x14ac:dyDescent="0.25">
      <c r="A2212" t="s">
        <v>7552</v>
      </c>
      <c r="B2212" t="s">
        <v>7553</v>
      </c>
      <c r="C2212" t="s">
        <v>15</v>
      </c>
      <c r="D2212" t="s">
        <v>7554</v>
      </c>
      <c r="E2212" t="s">
        <v>7502</v>
      </c>
      <c r="F2212" t="s">
        <v>7521</v>
      </c>
      <c r="G2212" t="s">
        <v>7555</v>
      </c>
      <c r="H2212" t="str">
        <f>HYPERLINK("https://baanknet.com/view-property/240405/8C9D497EA6A37912AFB4368AFF75305C3F2685D8EE01538011BC7CADAF104D80", "https://baanknet.com/view-property/240405/8C9D497EA6A37912AFB4368AFF75305C3F2685D8EE01538011BC7CADAF104D80")</f>
        <v>https://baanknet.com/view-property/240405/8C9D497EA6A37912AFB4368AFF75305C3F2685D8EE01538011BC7CADAF104D80</v>
      </c>
      <c r="I2212" t="str">
        <f>HYPERLINK("https://baanknet.com/view-property/240405/8C9D497EA6A37912AFB4368AFF75305C3F2685D8EE01538011BC7CADAF104D80", "Open")</f>
        <v>Open</v>
      </c>
      <c r="J2212" t="s">
        <v>3803</v>
      </c>
      <c r="L2212">
        <v>4275000</v>
      </c>
      <c r="M2212">
        <v>427500</v>
      </c>
    </row>
    <row r="2213" spans="1:13" x14ac:dyDescent="0.25">
      <c r="A2213" t="s">
        <v>7556</v>
      </c>
      <c r="B2213" t="s">
        <v>7557</v>
      </c>
      <c r="C2213" t="s">
        <v>15</v>
      </c>
      <c r="D2213" t="s">
        <v>1892</v>
      </c>
      <c r="E2213" t="s">
        <v>7502</v>
      </c>
      <c r="F2213" t="s">
        <v>7521</v>
      </c>
      <c r="G2213" t="s">
        <v>7558</v>
      </c>
      <c r="H2213" t="str">
        <f>HYPERLINK("https://baanknet.com/view-property/265030/3BA4E3E9D5D211F8624204383E2A30136F0D21606F09CA2FDE809C5B414F8BEE", "https://baanknet.com/view-property/265030/3BA4E3E9D5D211F8624204383E2A30136F0D21606F09CA2FDE809C5B414F8BEE")</f>
        <v>https://baanknet.com/view-property/265030/3BA4E3E9D5D211F8624204383E2A30136F0D21606F09CA2FDE809C5B414F8BEE</v>
      </c>
      <c r="I2213" t="str">
        <f>HYPERLINK("https://baanknet.com/view-property/265030/3BA4E3E9D5D211F8624204383E2A30136F0D21606F09CA2FDE809C5B414F8BEE", "Open")</f>
        <v>Open</v>
      </c>
      <c r="J2213" t="s">
        <v>3803</v>
      </c>
      <c r="L2213">
        <v>7543000</v>
      </c>
      <c r="M2213">
        <v>754300</v>
      </c>
    </row>
    <row r="2214" spans="1:13" x14ac:dyDescent="0.25">
      <c r="A2214" t="s">
        <v>7559</v>
      </c>
      <c r="B2214" t="s">
        <v>7560</v>
      </c>
      <c r="C2214" t="s">
        <v>15</v>
      </c>
      <c r="D2214" t="s">
        <v>1892</v>
      </c>
      <c r="E2214" t="s">
        <v>7502</v>
      </c>
      <c r="F2214" t="s">
        <v>7521</v>
      </c>
      <c r="G2214" t="s">
        <v>7561</v>
      </c>
      <c r="H2214" t="str">
        <f>HYPERLINK("https://baanknet.com/view-property/265024/D75A30C9F7BEEDAA39A24E0F67F5D6463722B90FD56EB1D8A169F1E59750A002", "https://baanknet.com/view-property/265024/D75A30C9F7BEEDAA39A24E0F67F5D6463722B90FD56EB1D8A169F1E59750A002")</f>
        <v>https://baanknet.com/view-property/265024/D75A30C9F7BEEDAA39A24E0F67F5D6463722B90FD56EB1D8A169F1E59750A002</v>
      </c>
      <c r="I2214" t="str">
        <f>HYPERLINK("https://baanknet.com/view-property/265024/D75A30C9F7BEEDAA39A24E0F67F5D6463722B90FD56EB1D8A169F1E59750A002", "Open")</f>
        <v>Open</v>
      </c>
      <c r="J2214" t="s">
        <v>3803</v>
      </c>
      <c r="L2214">
        <v>20428000</v>
      </c>
      <c r="M2214">
        <v>2042800</v>
      </c>
    </row>
    <row r="2215" spans="1:13" x14ac:dyDescent="0.25">
      <c r="A2215" t="s">
        <v>7562</v>
      </c>
      <c r="B2215" t="s">
        <v>7563</v>
      </c>
      <c r="C2215" t="s">
        <v>15</v>
      </c>
      <c r="D2215" t="s">
        <v>1892</v>
      </c>
      <c r="E2215" t="s">
        <v>7502</v>
      </c>
      <c r="F2215" t="s">
        <v>7521</v>
      </c>
      <c r="G2215" t="s">
        <v>7564</v>
      </c>
      <c r="H2215" t="str">
        <f>HYPERLINK("https://baanknet.com/view-property/265026/5763ABFA8FAC03774BBF90D80E6993F8F211C01DD6E58A9C91DAE2812B3D69F8", "https://baanknet.com/view-property/265026/5763ABFA8FAC03774BBF90D80E6993F8F211C01DD6E58A9C91DAE2812B3D69F8")</f>
        <v>https://baanknet.com/view-property/265026/5763ABFA8FAC03774BBF90D80E6993F8F211C01DD6E58A9C91DAE2812B3D69F8</v>
      </c>
      <c r="I2215" t="str">
        <f>HYPERLINK("https://baanknet.com/view-property/265026/5763ABFA8FAC03774BBF90D80E6993F8F211C01DD6E58A9C91DAE2812B3D69F8", "Open")</f>
        <v>Open</v>
      </c>
      <c r="J2215" t="s">
        <v>3803</v>
      </c>
      <c r="L2215">
        <v>7542000</v>
      </c>
      <c r="M2215">
        <v>754200</v>
      </c>
    </row>
    <row r="2216" spans="1:13" x14ac:dyDescent="0.25">
      <c r="A2216" t="s">
        <v>7565</v>
      </c>
      <c r="B2216" t="s">
        <v>7566</v>
      </c>
      <c r="C2216" t="s">
        <v>15</v>
      </c>
      <c r="D2216" t="s">
        <v>338</v>
      </c>
      <c r="E2216" t="s">
        <v>7502</v>
      </c>
      <c r="F2216" t="s">
        <v>7521</v>
      </c>
      <c r="G2216" t="s">
        <v>7567</v>
      </c>
      <c r="H2216" t="str">
        <f>HYPERLINK("https://baanknet.com/view-property/246363/B625AD37557268E4A3A6EB9A8B7B185511CE89812BDA97F2B43F78BF6200386C", "https://baanknet.com/view-property/246363/B625AD37557268E4A3A6EB9A8B7B185511CE89812BDA97F2B43F78BF6200386C")</f>
        <v>https://baanknet.com/view-property/246363/B625AD37557268E4A3A6EB9A8B7B185511CE89812BDA97F2B43F78BF6200386C</v>
      </c>
      <c r="I2216" t="str">
        <f>HYPERLINK("https://baanknet.com/view-property/246363/B625AD37557268E4A3A6EB9A8B7B185511CE89812BDA97F2B43F78BF6200386C", "Open")</f>
        <v>Open</v>
      </c>
      <c r="J2216" t="s">
        <v>3803</v>
      </c>
      <c r="L2216">
        <v>1604000</v>
      </c>
      <c r="M2216">
        <v>160400</v>
      </c>
    </row>
    <row r="2217" spans="1:13" x14ac:dyDescent="0.25">
      <c r="A2217" t="s">
        <v>7568</v>
      </c>
      <c r="B2217" t="s">
        <v>7569</v>
      </c>
      <c r="C2217" t="s">
        <v>15</v>
      </c>
      <c r="D2217" t="s">
        <v>2573</v>
      </c>
      <c r="E2217" t="s">
        <v>7502</v>
      </c>
      <c r="F2217" t="s">
        <v>7521</v>
      </c>
      <c r="G2217" t="s">
        <v>7570</v>
      </c>
      <c r="H2217" t="str">
        <f>HYPERLINK("https://baanknet.com/view-property/282689/48787F223586DE723E1B8FE21D1F2A72ED63672003A6D0137F2699042C0F98B1", "https://baanknet.com/view-property/282689/48787F223586DE723E1B8FE21D1F2A72ED63672003A6D0137F2699042C0F98B1")</f>
        <v>https://baanknet.com/view-property/282689/48787F223586DE723E1B8FE21D1F2A72ED63672003A6D0137F2699042C0F98B1</v>
      </c>
      <c r="I2217" t="str">
        <f>HYPERLINK("https://baanknet.com/view-property/282689/48787F223586DE723E1B8FE21D1F2A72ED63672003A6D0137F2699042C0F98B1", "Open")</f>
        <v>Open</v>
      </c>
      <c r="J2217" t="s">
        <v>3803</v>
      </c>
      <c r="L2217">
        <v>2192000</v>
      </c>
      <c r="M2217">
        <v>219200</v>
      </c>
    </row>
    <row r="2218" spans="1:13" x14ac:dyDescent="0.25">
      <c r="A2218" t="s">
        <v>7571</v>
      </c>
      <c r="B2218" t="s">
        <v>7572</v>
      </c>
      <c r="C2218" t="s">
        <v>15</v>
      </c>
      <c r="D2218" t="s">
        <v>2541</v>
      </c>
      <c r="E2218" t="s">
        <v>7502</v>
      </c>
      <c r="F2218" t="s">
        <v>7521</v>
      </c>
      <c r="G2218" t="s">
        <v>7573</v>
      </c>
      <c r="H2218" t="str">
        <f>HYPERLINK("https://baanknet.com/view-property/274930/DAB225304410610ABDFA091236C75F3C904DC96CC11AC2B9D57689322C1BA118", "https://baanknet.com/view-property/274930/DAB225304410610ABDFA091236C75F3C904DC96CC11AC2B9D57689322C1BA118")</f>
        <v>https://baanknet.com/view-property/274930/DAB225304410610ABDFA091236C75F3C904DC96CC11AC2B9D57689322C1BA118</v>
      </c>
      <c r="I2218" t="str">
        <f>HYPERLINK("https://baanknet.com/view-property/274930/DAB225304410610ABDFA091236C75F3C904DC96CC11AC2B9D57689322C1BA118", "Open")</f>
        <v>Open</v>
      </c>
      <c r="J2218" t="s">
        <v>3803</v>
      </c>
      <c r="L2218">
        <v>13963000</v>
      </c>
      <c r="M2218">
        <v>1396300</v>
      </c>
    </row>
    <row r="2219" spans="1:13" x14ac:dyDescent="0.25">
      <c r="A2219" t="s">
        <v>7574</v>
      </c>
      <c r="B2219" t="s">
        <v>7575</v>
      </c>
      <c r="C2219" t="s">
        <v>15</v>
      </c>
      <c r="D2219" t="s">
        <v>7576</v>
      </c>
      <c r="E2219" t="s">
        <v>7502</v>
      </c>
      <c r="F2219" t="s">
        <v>7577</v>
      </c>
      <c r="G2219" t="s">
        <v>7578</v>
      </c>
      <c r="H2219" t="str">
        <f>HYPERLINK("https://baanknet.com/view-property/274810/A357F3D2C5BBDAE4514C7DC9C2840AA6E309018A3B363C43D14C1A3243C3F7C8", "https://baanknet.com/view-property/274810/A357F3D2C5BBDAE4514C7DC9C2840AA6E309018A3B363C43D14C1A3243C3F7C8")</f>
        <v>https://baanknet.com/view-property/274810/A357F3D2C5BBDAE4514C7DC9C2840AA6E309018A3B363C43D14C1A3243C3F7C8</v>
      </c>
      <c r="I2219" t="str">
        <f>HYPERLINK("https://baanknet.com/view-property/274810/A357F3D2C5BBDAE4514C7DC9C2840AA6E309018A3B363C43D14C1A3243C3F7C8", "Open")</f>
        <v>Open</v>
      </c>
      <c r="J2219" t="s">
        <v>3803</v>
      </c>
      <c r="L2219">
        <v>13900000</v>
      </c>
      <c r="M2219">
        <v>1390000</v>
      </c>
    </row>
    <row r="2220" spans="1:13" x14ac:dyDescent="0.25">
      <c r="A2220" t="s">
        <v>7579</v>
      </c>
      <c r="B2220" t="s">
        <v>7580</v>
      </c>
      <c r="C2220" t="s">
        <v>15</v>
      </c>
      <c r="D2220" t="s">
        <v>7581</v>
      </c>
      <c r="E2220" t="s">
        <v>7502</v>
      </c>
      <c r="F2220" t="s">
        <v>7577</v>
      </c>
      <c r="G2220" t="s">
        <v>7582</v>
      </c>
      <c r="H2220" t="str">
        <f>HYPERLINK("https://baanknet.com/view-property/201159/B45CD64DCD5EEA078E582E737C325C3C68B32B39CB7485D64850FA80F2BDE001", "https://baanknet.com/view-property/201159/B45CD64DCD5EEA078E582E737C325C3C68B32B39CB7485D64850FA80F2BDE001")</f>
        <v>https://baanknet.com/view-property/201159/B45CD64DCD5EEA078E582E737C325C3C68B32B39CB7485D64850FA80F2BDE001</v>
      </c>
      <c r="I2220" t="str">
        <f>HYPERLINK("https://baanknet.com/view-property/201159/B45CD64DCD5EEA078E582E737C325C3C68B32B39CB7485D64850FA80F2BDE001", "Open")</f>
        <v>Open</v>
      </c>
      <c r="J2220" t="s">
        <v>3803</v>
      </c>
      <c r="L2220">
        <v>850000</v>
      </c>
      <c r="M2220">
        <v>85000</v>
      </c>
    </row>
    <row r="2221" spans="1:13" x14ac:dyDescent="0.25">
      <c r="A2221" t="s">
        <v>7583</v>
      </c>
      <c r="B2221" t="s">
        <v>7584</v>
      </c>
      <c r="C2221" t="s">
        <v>15</v>
      </c>
      <c r="D2221" t="s">
        <v>7585</v>
      </c>
      <c r="E2221" t="s">
        <v>7502</v>
      </c>
      <c r="F2221" t="s">
        <v>7577</v>
      </c>
      <c r="G2221" t="s">
        <v>7586</v>
      </c>
      <c r="H2221" t="str">
        <f>HYPERLINK("https://baanknet.com/view-property/254385/E84E75578EE83F4D9D5071453A67F9D6D6C546C01AEEA88C0B93984C2FA695ED", "https://baanknet.com/view-property/254385/E84E75578EE83F4D9D5071453A67F9D6D6C546C01AEEA88C0B93984C2FA695ED")</f>
        <v>https://baanknet.com/view-property/254385/E84E75578EE83F4D9D5071453A67F9D6D6C546C01AEEA88C0B93984C2FA695ED</v>
      </c>
      <c r="I2221" t="str">
        <f>HYPERLINK("https://baanknet.com/view-property/254385/E84E75578EE83F4D9D5071453A67F9D6D6C546C01AEEA88C0B93984C2FA695ED", "Open")</f>
        <v>Open</v>
      </c>
      <c r="J2221" t="s">
        <v>3803</v>
      </c>
      <c r="L2221">
        <v>3600000</v>
      </c>
      <c r="M2221">
        <v>360000</v>
      </c>
    </row>
    <row r="2222" spans="1:13" x14ac:dyDescent="0.25">
      <c r="A2222" t="s">
        <v>7587</v>
      </c>
      <c r="B2222" t="s">
        <v>7588</v>
      </c>
      <c r="C2222" t="s">
        <v>15</v>
      </c>
      <c r="D2222" t="s">
        <v>7589</v>
      </c>
      <c r="E2222" t="s">
        <v>7502</v>
      </c>
      <c r="F2222" t="s">
        <v>7577</v>
      </c>
      <c r="G2222" t="s">
        <v>7590</v>
      </c>
      <c r="H2222" t="str">
        <f>HYPERLINK("https://baanknet.com/view-property/269418/20C14DF7D278612A0AA3F0DCECC1A89FE9B844E20AF428F652F80A842FFA764A", "https://baanknet.com/view-property/269418/20C14DF7D278612A0AA3F0DCECC1A89FE9B844E20AF428F652F80A842FFA764A")</f>
        <v>https://baanknet.com/view-property/269418/20C14DF7D278612A0AA3F0DCECC1A89FE9B844E20AF428F652F80A842FFA764A</v>
      </c>
      <c r="I2222" t="str">
        <f>HYPERLINK("https://baanknet.com/view-property/269418/20C14DF7D278612A0AA3F0DCECC1A89FE9B844E20AF428F652F80A842FFA764A", "Open")</f>
        <v>Open</v>
      </c>
      <c r="J2222" t="s">
        <v>3803</v>
      </c>
      <c r="L2222">
        <v>2065000</v>
      </c>
      <c r="M2222">
        <v>206500</v>
      </c>
    </row>
    <row r="2223" spans="1:13" x14ac:dyDescent="0.25">
      <c r="A2223" t="s">
        <v>7591</v>
      </c>
      <c r="B2223" t="s">
        <v>7592</v>
      </c>
      <c r="C2223" t="s">
        <v>15</v>
      </c>
      <c r="D2223" t="s">
        <v>1591</v>
      </c>
      <c r="E2223" t="s">
        <v>7502</v>
      </c>
      <c r="F2223" t="s">
        <v>7577</v>
      </c>
      <c r="G2223" t="s">
        <v>7593</v>
      </c>
      <c r="H2223" t="str">
        <f>HYPERLINK("https://baanknet.com/view-property/244935/C1CCD02802C1DE605B00822330455E28A21A8867B1CBEA7A2AB00BE28B4E424A", "https://baanknet.com/view-property/244935/C1CCD02802C1DE605B00822330455E28A21A8867B1CBEA7A2AB00BE28B4E424A")</f>
        <v>https://baanknet.com/view-property/244935/C1CCD02802C1DE605B00822330455E28A21A8867B1CBEA7A2AB00BE28B4E424A</v>
      </c>
      <c r="I2223" t="str">
        <f>HYPERLINK("https://baanknet.com/view-property/244935/C1CCD02802C1DE605B00822330455E28A21A8867B1CBEA7A2AB00BE28B4E424A", "Open")</f>
        <v>Open</v>
      </c>
      <c r="J2223" t="s">
        <v>3803</v>
      </c>
      <c r="L2223">
        <v>2300000</v>
      </c>
      <c r="M2223">
        <v>230000</v>
      </c>
    </row>
    <row r="2224" spans="1:13" x14ac:dyDescent="0.25">
      <c r="A2224" t="s">
        <v>7594</v>
      </c>
      <c r="B2224" t="s">
        <v>7595</v>
      </c>
      <c r="C2224" t="s">
        <v>15</v>
      </c>
      <c r="D2224" t="s">
        <v>7596</v>
      </c>
      <c r="E2224" t="s">
        <v>7502</v>
      </c>
      <c r="F2224" t="s">
        <v>7577</v>
      </c>
      <c r="G2224" t="s">
        <v>7597</v>
      </c>
      <c r="H2224" t="str">
        <f>HYPERLINK("https://baanknet.com/view-property/261490/17F34DD4AEB5021105351CB7A628A3683AF7CE702BE4B9D1D47E7216A024E0AC", "https://baanknet.com/view-property/261490/17F34DD4AEB5021105351CB7A628A3683AF7CE702BE4B9D1D47E7216A024E0AC")</f>
        <v>https://baanknet.com/view-property/261490/17F34DD4AEB5021105351CB7A628A3683AF7CE702BE4B9D1D47E7216A024E0AC</v>
      </c>
      <c r="I2224" t="str">
        <f>HYPERLINK("https://baanknet.com/view-property/261490/17F34DD4AEB5021105351CB7A628A3683AF7CE702BE4B9D1D47E7216A024E0AC", "Open")</f>
        <v>Open</v>
      </c>
      <c r="J2224" t="s">
        <v>3803</v>
      </c>
      <c r="L2224">
        <v>900000</v>
      </c>
      <c r="M2224">
        <v>90000</v>
      </c>
    </row>
    <row r="2225" spans="1:13" x14ac:dyDescent="0.25">
      <c r="A2225" t="s">
        <v>7598</v>
      </c>
      <c r="B2225" t="s">
        <v>7599</v>
      </c>
      <c r="C2225" t="s">
        <v>387</v>
      </c>
      <c r="D2225" t="s">
        <v>1246</v>
      </c>
      <c r="E2225" t="s">
        <v>7502</v>
      </c>
      <c r="F2225" t="s">
        <v>7577</v>
      </c>
      <c r="G2225" t="s">
        <v>7600</v>
      </c>
      <c r="H2225" t="str">
        <f>HYPERLINK("https://baanknet.com/view-property/260825/4D1B52C36A274D043FCC208555F75BD7E040AE44AD7DB724F84FC2213ADE76BE", "https://baanknet.com/view-property/260825/4D1B52C36A274D043FCC208555F75BD7E040AE44AD7DB724F84FC2213ADE76BE")</f>
        <v>https://baanknet.com/view-property/260825/4D1B52C36A274D043FCC208555F75BD7E040AE44AD7DB724F84FC2213ADE76BE</v>
      </c>
      <c r="I2225" t="str">
        <f>HYPERLINK("https://baanknet.com/view-property/260825/4D1B52C36A274D043FCC208555F75BD7E040AE44AD7DB724F84FC2213ADE76BE", "Open")</f>
        <v>Open</v>
      </c>
      <c r="J2225" t="s">
        <v>3803</v>
      </c>
      <c r="L2225">
        <v>24000000</v>
      </c>
      <c r="M2225">
        <v>2400000</v>
      </c>
    </row>
    <row r="2226" spans="1:13" x14ac:dyDescent="0.25">
      <c r="A2226" t="s">
        <v>7601</v>
      </c>
      <c r="B2226" t="s">
        <v>7602</v>
      </c>
      <c r="C2226" t="s">
        <v>571</v>
      </c>
      <c r="D2226" t="s">
        <v>1246</v>
      </c>
      <c r="E2226" t="s">
        <v>7502</v>
      </c>
      <c r="F2226" t="s">
        <v>7577</v>
      </c>
      <c r="G2226" t="s">
        <v>7603</v>
      </c>
      <c r="H2226" t="str">
        <f>HYPERLINK("https://baanknet.com/view-property/96543/784609B03244FD561AC0EFC4843015E37BAA19AB91B807CCC9A88B60A5523ABE", "https://baanknet.com/view-property/96543/784609B03244FD561AC0EFC4843015E37BAA19AB91B807CCC9A88B60A5523ABE")</f>
        <v>https://baanknet.com/view-property/96543/784609B03244FD561AC0EFC4843015E37BAA19AB91B807CCC9A88B60A5523ABE</v>
      </c>
      <c r="I2226" t="str">
        <f>HYPERLINK("https://baanknet.com/view-property/96543/784609B03244FD561AC0EFC4843015E37BAA19AB91B807CCC9A88B60A5523ABE", "Open")</f>
        <v>Open</v>
      </c>
      <c r="J2226" t="s">
        <v>3803</v>
      </c>
      <c r="L2226">
        <v>2800000</v>
      </c>
      <c r="M2226">
        <v>280000</v>
      </c>
    </row>
    <row r="2227" spans="1:13" x14ac:dyDescent="0.25">
      <c r="A2227" t="s">
        <v>7604</v>
      </c>
      <c r="B2227" t="s">
        <v>7605</v>
      </c>
      <c r="C2227" t="s">
        <v>571</v>
      </c>
      <c r="D2227" t="s">
        <v>1246</v>
      </c>
      <c r="E2227" t="s">
        <v>7502</v>
      </c>
      <c r="F2227" t="s">
        <v>7577</v>
      </c>
      <c r="G2227" t="s">
        <v>7606</v>
      </c>
      <c r="H2227" t="str">
        <f>HYPERLINK("https://baanknet.com/view-property/60980/1C4F65AAC401FAFAF385A290F41EA4397C1C1574933F431650DB897E63F36064", "https://baanknet.com/view-property/60980/1C4F65AAC401FAFAF385A290F41EA4397C1C1574933F431650DB897E63F36064")</f>
        <v>https://baanknet.com/view-property/60980/1C4F65AAC401FAFAF385A290F41EA4397C1C1574933F431650DB897E63F36064</v>
      </c>
      <c r="I2227" t="str">
        <f>HYPERLINK("https://baanknet.com/view-property/60980/1C4F65AAC401FAFAF385A290F41EA4397C1C1574933F431650DB897E63F36064", "Open")</f>
        <v>Open</v>
      </c>
      <c r="J2227" t="s">
        <v>3803</v>
      </c>
      <c r="L2227">
        <v>2800000</v>
      </c>
      <c r="M2227">
        <v>280000</v>
      </c>
    </row>
    <row r="2228" spans="1:13" x14ac:dyDescent="0.25">
      <c r="A2228" t="s">
        <v>7607</v>
      </c>
      <c r="B2228" t="s">
        <v>7608</v>
      </c>
      <c r="C2228" t="s">
        <v>571</v>
      </c>
      <c r="D2228" t="s">
        <v>7609</v>
      </c>
      <c r="E2228" t="s">
        <v>7502</v>
      </c>
      <c r="F2228" t="s">
        <v>7577</v>
      </c>
      <c r="G2228" t="s">
        <v>7610</v>
      </c>
      <c r="H2228" t="str">
        <f>HYPERLINK("https://baanknet.com/view-property/115504/F958DBF5DC0FC4E8FDFEFC50EA29B7F8A086E9C2823CB3C04998F9DFF4B02690", "https://baanknet.com/view-property/115504/F958DBF5DC0FC4E8FDFEFC50EA29B7F8A086E9C2823CB3C04998F9DFF4B02690")</f>
        <v>https://baanknet.com/view-property/115504/F958DBF5DC0FC4E8FDFEFC50EA29B7F8A086E9C2823CB3C04998F9DFF4B02690</v>
      </c>
      <c r="I2228" t="str">
        <f>HYPERLINK("https://baanknet.com/view-property/115504/F958DBF5DC0FC4E8FDFEFC50EA29B7F8A086E9C2823CB3C04998F9DFF4B02690", "Open")</f>
        <v>Open</v>
      </c>
      <c r="J2228" t="s">
        <v>3803</v>
      </c>
      <c r="L2228">
        <v>3400000</v>
      </c>
      <c r="M2228">
        <v>340000</v>
      </c>
    </row>
    <row r="2229" spans="1:13" x14ac:dyDescent="0.25">
      <c r="A2229" t="s">
        <v>7611</v>
      </c>
      <c r="B2229" t="s">
        <v>7612</v>
      </c>
      <c r="C2229" t="s">
        <v>571</v>
      </c>
      <c r="D2229" t="s">
        <v>1246</v>
      </c>
      <c r="E2229" t="s">
        <v>7502</v>
      </c>
      <c r="F2229" t="s">
        <v>7577</v>
      </c>
      <c r="G2229" t="s">
        <v>7613</v>
      </c>
      <c r="H2229" t="str">
        <f>HYPERLINK("https://baanknet.com/view-property/281104/64BD099E0979BC220A7BA272566C7E2182A78510BEC7091F374AA6B8C5BA23F0", "https://baanknet.com/view-property/281104/64BD099E0979BC220A7BA272566C7E2182A78510BEC7091F374AA6B8C5BA23F0")</f>
        <v>https://baanknet.com/view-property/281104/64BD099E0979BC220A7BA272566C7E2182A78510BEC7091F374AA6B8C5BA23F0</v>
      </c>
      <c r="I2229" t="str">
        <f>HYPERLINK("https://baanknet.com/view-property/281104/64BD099E0979BC220A7BA272566C7E2182A78510BEC7091F374AA6B8C5BA23F0", "Open")</f>
        <v>Open</v>
      </c>
      <c r="J2229" t="s">
        <v>3803</v>
      </c>
      <c r="L2229">
        <v>2000000</v>
      </c>
      <c r="M2229">
        <v>200000</v>
      </c>
    </row>
    <row r="2230" spans="1:13" x14ac:dyDescent="0.25">
      <c r="A2230" t="s">
        <v>7614</v>
      </c>
      <c r="B2230" t="s">
        <v>7615</v>
      </c>
      <c r="C2230" t="s">
        <v>571</v>
      </c>
      <c r="D2230" t="s">
        <v>2425</v>
      </c>
      <c r="E2230" t="s">
        <v>7502</v>
      </c>
      <c r="F2230" t="s">
        <v>7577</v>
      </c>
      <c r="G2230" t="s">
        <v>7616</v>
      </c>
      <c r="H2230" t="str">
        <f>HYPERLINK("https://baanknet.com/view-property/260621/73C6A269E9723CEEBC3B43F0E30CC607583994F36F2EF21182FF91011C108237", "https://baanknet.com/view-property/260621/73C6A269E9723CEEBC3B43F0E30CC607583994F36F2EF21182FF91011C108237")</f>
        <v>https://baanknet.com/view-property/260621/73C6A269E9723CEEBC3B43F0E30CC607583994F36F2EF21182FF91011C108237</v>
      </c>
      <c r="I2230" t="str">
        <f>HYPERLINK("https://baanknet.com/view-property/260621/73C6A269E9723CEEBC3B43F0E30CC607583994F36F2EF21182FF91011C108237", "Open")</f>
        <v>Open</v>
      </c>
      <c r="J2230" t="s">
        <v>3803</v>
      </c>
      <c r="L2230">
        <v>8000000</v>
      </c>
      <c r="M2230">
        <v>800000</v>
      </c>
    </row>
    <row r="2231" spans="1:13" x14ac:dyDescent="0.25">
      <c r="A2231" t="s">
        <v>7617</v>
      </c>
      <c r="B2231" t="s">
        <v>7618</v>
      </c>
      <c r="C2231" t="s">
        <v>571</v>
      </c>
      <c r="D2231" t="s">
        <v>1246</v>
      </c>
      <c r="E2231" t="s">
        <v>7502</v>
      </c>
      <c r="F2231" t="s">
        <v>7577</v>
      </c>
      <c r="G2231" t="s">
        <v>7619</v>
      </c>
      <c r="H2231" t="str">
        <f>HYPERLINK("https://baanknet.com/view-property/198551/1200E90062CAF7B60E11AC01B451E1F0EA2325FD15D4C4D47B67D7049BDB4101", "https://baanknet.com/view-property/198551/1200E90062CAF7B60E11AC01B451E1F0EA2325FD15D4C4D47B67D7049BDB4101")</f>
        <v>https://baanknet.com/view-property/198551/1200E90062CAF7B60E11AC01B451E1F0EA2325FD15D4C4D47B67D7049BDB4101</v>
      </c>
      <c r="I2231" t="str">
        <f>HYPERLINK("https://baanknet.com/view-property/198551/1200E90062CAF7B60E11AC01B451E1F0EA2325FD15D4C4D47B67D7049BDB4101", "Open")</f>
        <v>Open</v>
      </c>
      <c r="J2231" t="s">
        <v>3803</v>
      </c>
      <c r="L2231">
        <v>5600000</v>
      </c>
      <c r="M2231">
        <v>560000</v>
      </c>
    </row>
    <row r="2232" spans="1:13" x14ac:dyDescent="0.25">
      <c r="A2232" t="s">
        <v>7620</v>
      </c>
      <c r="B2232" t="s">
        <v>7621</v>
      </c>
      <c r="C2232" t="s">
        <v>571</v>
      </c>
      <c r="D2232" t="s">
        <v>4743</v>
      </c>
      <c r="E2232" t="s">
        <v>7502</v>
      </c>
      <c r="F2232" t="s">
        <v>7577</v>
      </c>
      <c r="G2232" t="s">
        <v>7622</v>
      </c>
      <c r="H2232" t="str">
        <f>HYPERLINK("https://baanknet.com/view-property/12953/D283647FC11A00C3F0EAB8DB5180C070F82CF564A3366D5C34FEF6C9F1F5C2EB", "https://baanknet.com/view-property/12953/D283647FC11A00C3F0EAB8DB5180C070F82CF564A3366D5C34FEF6C9F1F5C2EB")</f>
        <v>https://baanknet.com/view-property/12953/D283647FC11A00C3F0EAB8DB5180C070F82CF564A3366D5C34FEF6C9F1F5C2EB</v>
      </c>
      <c r="I2232" t="str">
        <f>HYPERLINK("https://baanknet.com/view-property/12953/D283647FC11A00C3F0EAB8DB5180C070F82CF564A3366D5C34FEF6C9F1F5C2EB", "Open")</f>
        <v>Open</v>
      </c>
      <c r="J2232" t="s">
        <v>3803</v>
      </c>
      <c r="L2232">
        <v>2472000</v>
      </c>
      <c r="M2232">
        <v>247200</v>
      </c>
    </row>
    <row r="2233" spans="1:13" x14ac:dyDescent="0.25">
      <c r="A2233" t="s">
        <v>7623</v>
      </c>
      <c r="B2233" t="s">
        <v>7624</v>
      </c>
      <c r="C2233" t="s">
        <v>571</v>
      </c>
      <c r="D2233" t="s">
        <v>1246</v>
      </c>
      <c r="E2233" t="s">
        <v>7502</v>
      </c>
      <c r="F2233" t="s">
        <v>7577</v>
      </c>
      <c r="G2233" t="s">
        <v>7625</v>
      </c>
      <c r="H2233" t="str">
        <f>HYPERLINK("https://baanknet.com/view-property/220458/006FC5484958FACF4630CF7FF2A8200F84483A24AB4BFF1B575C199460BFFC2A", "https://baanknet.com/view-property/220458/006FC5484958FACF4630CF7FF2A8200F84483A24AB4BFF1B575C199460BFFC2A")</f>
        <v>https://baanknet.com/view-property/220458/006FC5484958FACF4630CF7FF2A8200F84483A24AB4BFF1B575C199460BFFC2A</v>
      </c>
      <c r="I2233" t="str">
        <f>HYPERLINK("https://baanknet.com/view-property/220458/006FC5484958FACF4630CF7FF2A8200F84483A24AB4BFF1B575C199460BFFC2A", "Open")</f>
        <v>Open</v>
      </c>
      <c r="J2233" t="s">
        <v>3803</v>
      </c>
      <c r="L2233">
        <v>3000000</v>
      </c>
      <c r="M2233">
        <v>300000</v>
      </c>
    </row>
    <row r="2234" spans="1:13" x14ac:dyDescent="0.25">
      <c r="A2234" t="s">
        <v>7626</v>
      </c>
      <c r="B2234" t="s">
        <v>7627</v>
      </c>
      <c r="C2234" t="s">
        <v>589</v>
      </c>
      <c r="D2234" t="s">
        <v>7628</v>
      </c>
      <c r="E2234" t="s">
        <v>7502</v>
      </c>
      <c r="F2234" t="s">
        <v>624</v>
      </c>
      <c r="G2234" t="s">
        <v>7629</v>
      </c>
      <c r="H2234" t="str">
        <f>HYPERLINK("https://baanknet.com/view-property/271955/52AFE5DB78EAE61831E1C3948BB9965605674661789CFB37A1DFB05ECA52369F", "https://baanknet.com/view-property/271955/52AFE5DB78EAE61831E1C3948BB9965605674661789CFB37A1DFB05ECA52369F")</f>
        <v>https://baanknet.com/view-property/271955/52AFE5DB78EAE61831E1C3948BB9965605674661789CFB37A1DFB05ECA52369F</v>
      </c>
      <c r="I2234" t="str">
        <f>HYPERLINK("https://baanknet.com/view-property/271955/52AFE5DB78EAE61831E1C3948BB9965605674661789CFB37A1DFB05ECA52369F", "Open")</f>
        <v>Open</v>
      </c>
      <c r="J2234" t="s">
        <v>3803</v>
      </c>
      <c r="L2234">
        <v>387000</v>
      </c>
      <c r="M2234">
        <v>38700</v>
      </c>
    </row>
    <row r="2235" spans="1:13" x14ac:dyDescent="0.25">
      <c r="A2235" t="s">
        <v>7630</v>
      </c>
      <c r="B2235" t="s">
        <v>7631</v>
      </c>
      <c r="C2235" t="s">
        <v>589</v>
      </c>
      <c r="D2235" t="s">
        <v>7632</v>
      </c>
      <c r="E2235" t="s">
        <v>7502</v>
      </c>
      <c r="F2235" t="s">
        <v>624</v>
      </c>
      <c r="G2235" t="s">
        <v>7633</v>
      </c>
      <c r="H2235" t="str">
        <f>HYPERLINK("https://baanknet.com/view-property/262682/BAF0859A9449145B31422071BC749E2087677CF8AE9DAEEB923F21A7DCCA5FF1", "https://baanknet.com/view-property/262682/BAF0859A9449145B31422071BC749E2087677CF8AE9DAEEB923F21A7DCCA5FF1")</f>
        <v>https://baanknet.com/view-property/262682/BAF0859A9449145B31422071BC749E2087677CF8AE9DAEEB923F21A7DCCA5FF1</v>
      </c>
      <c r="I2235" t="str">
        <f>HYPERLINK("https://baanknet.com/view-property/262682/BAF0859A9449145B31422071BC749E2087677CF8AE9DAEEB923F21A7DCCA5FF1", "Open")</f>
        <v>Open</v>
      </c>
      <c r="J2235" t="s">
        <v>3803</v>
      </c>
      <c r="L2235">
        <v>2970000</v>
      </c>
      <c r="M2235">
        <v>297000</v>
      </c>
    </row>
    <row r="2236" spans="1:13" x14ac:dyDescent="0.25">
      <c r="A2236" t="s">
        <v>7634</v>
      </c>
      <c r="B2236" t="s">
        <v>7635</v>
      </c>
      <c r="C2236" t="s">
        <v>589</v>
      </c>
      <c r="D2236" t="s">
        <v>7628</v>
      </c>
      <c r="E2236" t="s">
        <v>7502</v>
      </c>
      <c r="F2236" t="s">
        <v>624</v>
      </c>
      <c r="G2236" t="s">
        <v>7636</v>
      </c>
      <c r="H2236" t="str">
        <f>HYPERLINK("https://baanknet.com/view-property/257094/F58E951F0B454CA78605B3FF5AF1C233EAB33ABA3568EEEFDCDC30D7DB66B9F1", "https://baanknet.com/view-property/257094/F58E951F0B454CA78605B3FF5AF1C233EAB33ABA3568EEEFDCDC30D7DB66B9F1")</f>
        <v>https://baanknet.com/view-property/257094/F58E951F0B454CA78605B3FF5AF1C233EAB33ABA3568EEEFDCDC30D7DB66B9F1</v>
      </c>
      <c r="I2236" t="str">
        <f>HYPERLINK("https://baanknet.com/view-property/257094/F58E951F0B454CA78605B3FF5AF1C233EAB33ABA3568EEEFDCDC30D7DB66B9F1", "Open")</f>
        <v>Open</v>
      </c>
      <c r="J2236" t="s">
        <v>3803</v>
      </c>
      <c r="L2236">
        <v>4015000</v>
      </c>
      <c r="M2236">
        <v>401500</v>
      </c>
    </row>
    <row r="2237" spans="1:13" x14ac:dyDescent="0.25">
      <c r="A2237" t="s">
        <v>7637</v>
      </c>
      <c r="B2237" t="s">
        <v>7638</v>
      </c>
      <c r="C2237" t="s">
        <v>589</v>
      </c>
      <c r="D2237" t="s">
        <v>357</v>
      </c>
      <c r="E2237" t="s">
        <v>7502</v>
      </c>
      <c r="F2237" t="s">
        <v>624</v>
      </c>
      <c r="G2237" t="s">
        <v>7639</v>
      </c>
      <c r="H2237" t="str">
        <f>HYPERLINK("https://baanknet.com/view-property/285306/68D76544AD78C436448E7A1B227D63CD3660830AFD63D506BE019E17E7A299A3", "https://baanknet.com/view-property/285306/68D76544AD78C436448E7A1B227D63CD3660830AFD63D506BE019E17E7A299A3")</f>
        <v>https://baanknet.com/view-property/285306/68D76544AD78C436448E7A1B227D63CD3660830AFD63D506BE019E17E7A299A3</v>
      </c>
      <c r="I2237" t="str">
        <f>HYPERLINK("https://baanknet.com/view-property/285306/68D76544AD78C436448E7A1B227D63CD3660830AFD63D506BE019E17E7A299A3", "Open")</f>
        <v>Open</v>
      </c>
      <c r="J2237" t="s">
        <v>3803</v>
      </c>
      <c r="L2237">
        <v>1009800</v>
      </c>
      <c r="M2237">
        <v>100980</v>
      </c>
    </row>
    <row r="2238" spans="1:13" x14ac:dyDescent="0.25">
      <c r="A2238" t="s">
        <v>7640</v>
      </c>
      <c r="B2238" t="s">
        <v>7641</v>
      </c>
      <c r="C2238" t="s">
        <v>589</v>
      </c>
      <c r="D2238" t="s">
        <v>5937</v>
      </c>
      <c r="E2238" t="s">
        <v>7502</v>
      </c>
      <c r="F2238" t="s">
        <v>624</v>
      </c>
      <c r="G2238" t="s">
        <v>7642</v>
      </c>
      <c r="H2238" t="str">
        <f>HYPERLINK("https://baanknet.com/view-property/192245/7C4034D25371E09515D4405F01164D222F18E28933574D375390E6D7A85B3BF0", "https://baanknet.com/view-property/192245/7C4034D25371E09515D4405F01164D222F18E28933574D375390E6D7A85B3BF0")</f>
        <v>https://baanknet.com/view-property/192245/7C4034D25371E09515D4405F01164D222F18E28933574D375390E6D7A85B3BF0</v>
      </c>
      <c r="I2238" t="str">
        <f>HYPERLINK("https://baanknet.com/view-property/192245/7C4034D25371E09515D4405F01164D222F18E28933574D375390E6D7A85B3BF0", "Open")</f>
        <v>Open</v>
      </c>
      <c r="J2238" t="s">
        <v>3803</v>
      </c>
      <c r="L2238">
        <v>3776000</v>
      </c>
      <c r="M2238">
        <v>377600</v>
      </c>
    </row>
    <row r="2239" spans="1:13" x14ac:dyDescent="0.25">
      <c r="A2239" t="s">
        <v>7643</v>
      </c>
      <c r="B2239" t="s">
        <v>7644</v>
      </c>
      <c r="C2239" t="s">
        <v>589</v>
      </c>
      <c r="D2239" t="s">
        <v>7632</v>
      </c>
      <c r="E2239" t="s">
        <v>7502</v>
      </c>
      <c r="F2239" t="s">
        <v>624</v>
      </c>
      <c r="G2239" t="s">
        <v>7645</v>
      </c>
      <c r="H2239" t="str">
        <f>HYPERLINK("https://baanknet.com/view-property/280718/093EECE66D18B68C78F08337475D0E2301D30D0A9B956FC518A27FD0EE6AD503", "https://baanknet.com/view-property/280718/093EECE66D18B68C78F08337475D0E2301D30D0A9B956FC518A27FD0EE6AD503")</f>
        <v>https://baanknet.com/view-property/280718/093EECE66D18B68C78F08337475D0E2301D30D0A9B956FC518A27FD0EE6AD503</v>
      </c>
      <c r="I2239" t="str">
        <f>HYPERLINK("https://baanknet.com/view-property/280718/093EECE66D18B68C78F08337475D0E2301D30D0A9B956FC518A27FD0EE6AD503", "Open")</f>
        <v>Open</v>
      </c>
      <c r="J2239" t="s">
        <v>3803</v>
      </c>
      <c r="L2239">
        <v>3078000</v>
      </c>
      <c r="M2239">
        <v>307800</v>
      </c>
    </row>
    <row r="2240" spans="1:13" x14ac:dyDescent="0.25">
      <c r="A2240" t="s">
        <v>7646</v>
      </c>
      <c r="B2240" t="s">
        <v>7647</v>
      </c>
      <c r="C2240" t="s">
        <v>332</v>
      </c>
      <c r="D2240" t="s">
        <v>7648</v>
      </c>
      <c r="E2240" t="s">
        <v>7502</v>
      </c>
      <c r="F2240" t="s">
        <v>624</v>
      </c>
      <c r="G2240" t="s">
        <v>7649</v>
      </c>
      <c r="H2240" t="str">
        <f>HYPERLINK("https://baanknet.com/view-property/286849/7696BD3298D4A6592EEFDFC6860BFC8757DC8A3B17824268E95A2B3C42BEA3E2", "https://baanknet.com/view-property/286849/7696BD3298D4A6592EEFDFC6860BFC8757DC8A3B17824268E95A2B3C42BEA3E2")</f>
        <v>https://baanknet.com/view-property/286849/7696BD3298D4A6592EEFDFC6860BFC8757DC8A3B17824268E95A2B3C42BEA3E2</v>
      </c>
      <c r="I2240" t="str">
        <f>HYPERLINK("https://baanknet.com/view-property/286849/7696BD3298D4A6592EEFDFC6860BFC8757DC8A3B17824268E95A2B3C42BEA3E2", "Open")</f>
        <v>Open</v>
      </c>
      <c r="J2240" t="s">
        <v>3803</v>
      </c>
      <c r="L2240">
        <v>4500000</v>
      </c>
      <c r="M2240">
        <v>450000</v>
      </c>
    </row>
    <row r="2241" spans="1:13" x14ac:dyDescent="0.25">
      <c r="A2241" t="s">
        <v>7650</v>
      </c>
      <c r="B2241" t="s">
        <v>7651</v>
      </c>
      <c r="C2241" t="s">
        <v>15</v>
      </c>
      <c r="D2241" t="s">
        <v>849</v>
      </c>
      <c r="E2241" t="s">
        <v>7502</v>
      </c>
      <c r="F2241" t="s">
        <v>624</v>
      </c>
      <c r="G2241" t="s">
        <v>7652</v>
      </c>
      <c r="H2241" t="str">
        <f>HYPERLINK("https://baanknet.com/view-property/238069/ADCFC647587A576BE11B8137BB3E0C71914FDB4E00E0A2E3416D8D774B6486BD", "https://baanknet.com/view-property/238069/ADCFC647587A576BE11B8137BB3E0C71914FDB4E00E0A2E3416D8D774B6486BD")</f>
        <v>https://baanknet.com/view-property/238069/ADCFC647587A576BE11B8137BB3E0C71914FDB4E00E0A2E3416D8D774B6486BD</v>
      </c>
      <c r="I2241" t="str">
        <f>HYPERLINK("https://baanknet.com/view-property/238069/ADCFC647587A576BE11B8137BB3E0C71914FDB4E00E0A2E3416D8D774B6486BD", "Open")</f>
        <v>Open</v>
      </c>
      <c r="J2241" t="s">
        <v>3803</v>
      </c>
      <c r="L2241">
        <v>1262250</v>
      </c>
      <c r="M2241">
        <v>126225</v>
      </c>
    </row>
    <row r="2242" spans="1:13" x14ac:dyDescent="0.25">
      <c r="A2242" t="s">
        <v>7653</v>
      </c>
      <c r="B2242" t="s">
        <v>7654</v>
      </c>
      <c r="C2242" t="s">
        <v>15</v>
      </c>
      <c r="D2242" t="s">
        <v>4246</v>
      </c>
      <c r="E2242" t="s">
        <v>7502</v>
      </c>
      <c r="F2242" t="s">
        <v>624</v>
      </c>
      <c r="G2242" t="s">
        <v>7655</v>
      </c>
      <c r="H2242" t="str">
        <f>HYPERLINK("https://baanknet.com/view-property/219066/44F8EB683E299EFF351C47D92526A106638859C5A517E42FAF7513439CD64180", "https://baanknet.com/view-property/219066/44F8EB683E299EFF351C47D92526A106638859C5A517E42FAF7513439CD64180")</f>
        <v>https://baanknet.com/view-property/219066/44F8EB683E299EFF351C47D92526A106638859C5A517E42FAF7513439CD64180</v>
      </c>
      <c r="I2242" t="str">
        <f>HYPERLINK("https://baanknet.com/view-property/219066/44F8EB683E299EFF351C47D92526A106638859C5A517E42FAF7513439CD64180", "Open")</f>
        <v>Open</v>
      </c>
      <c r="J2242" t="s">
        <v>3803</v>
      </c>
      <c r="L2242">
        <v>1678792.5</v>
      </c>
      <c r="M2242">
        <v>167879.25</v>
      </c>
    </row>
    <row r="2243" spans="1:13" x14ac:dyDescent="0.25">
      <c r="A2243" t="s">
        <v>7656</v>
      </c>
      <c r="B2243" t="s">
        <v>7657</v>
      </c>
      <c r="C2243" t="s">
        <v>15</v>
      </c>
      <c r="D2243" t="s">
        <v>1300</v>
      </c>
      <c r="E2243" t="s">
        <v>7502</v>
      </c>
      <c r="F2243" t="s">
        <v>624</v>
      </c>
      <c r="G2243" t="s">
        <v>7658</v>
      </c>
      <c r="H2243" t="str">
        <f>HYPERLINK("https://baanknet.com/view-property/244278/5F0529F30AA77DAFDBCCB8FD13EB433D598F2E22504B62AB079B59E4C57E6B6F", "https://baanknet.com/view-property/244278/5F0529F30AA77DAFDBCCB8FD13EB433D598F2E22504B62AB079B59E4C57E6B6F")</f>
        <v>https://baanknet.com/view-property/244278/5F0529F30AA77DAFDBCCB8FD13EB433D598F2E22504B62AB079B59E4C57E6B6F</v>
      </c>
      <c r="I2243" t="str">
        <f>HYPERLINK("https://baanknet.com/view-property/244278/5F0529F30AA77DAFDBCCB8FD13EB433D598F2E22504B62AB079B59E4C57E6B6F", "Open")</f>
        <v>Open</v>
      </c>
      <c r="J2243" t="s">
        <v>3803</v>
      </c>
      <c r="L2243">
        <v>2499255</v>
      </c>
      <c r="M2243">
        <v>249925.5</v>
      </c>
    </row>
    <row r="2244" spans="1:13" x14ac:dyDescent="0.25">
      <c r="A2244" t="s">
        <v>7659</v>
      </c>
      <c r="B2244" t="s">
        <v>7660</v>
      </c>
      <c r="C2244" t="s">
        <v>15</v>
      </c>
      <c r="D2244" t="s">
        <v>849</v>
      </c>
      <c r="E2244" t="s">
        <v>7502</v>
      </c>
      <c r="F2244" t="s">
        <v>624</v>
      </c>
      <c r="G2244" t="s">
        <v>7661</v>
      </c>
      <c r="H2244" t="str">
        <f>HYPERLINK("https://baanknet.com/view-property/228972/A6D6106912C46C019C90C417DD4597F4E36F43824B2BE181398988A500CBD924", "https://baanknet.com/view-property/228972/A6D6106912C46C019C90C417DD4597F4E36F43824B2BE181398988A500CBD924")</f>
        <v>https://baanknet.com/view-property/228972/A6D6106912C46C019C90C417DD4597F4E36F43824B2BE181398988A500CBD924</v>
      </c>
      <c r="I2244" t="str">
        <f>HYPERLINK("https://baanknet.com/view-property/228972/A6D6106912C46C019C90C417DD4597F4E36F43824B2BE181398988A500CBD924", "Open")</f>
        <v>Open</v>
      </c>
      <c r="J2244" t="s">
        <v>3803</v>
      </c>
      <c r="L2244">
        <v>1098900</v>
      </c>
      <c r="M2244">
        <v>109890</v>
      </c>
    </row>
    <row r="2245" spans="1:13" x14ac:dyDescent="0.25">
      <c r="A2245" t="s">
        <v>7662</v>
      </c>
      <c r="B2245" t="s">
        <v>7663</v>
      </c>
      <c r="C2245" t="s">
        <v>15</v>
      </c>
      <c r="D2245" t="s">
        <v>710</v>
      </c>
      <c r="E2245" t="s">
        <v>7502</v>
      </c>
      <c r="F2245" t="s">
        <v>624</v>
      </c>
      <c r="G2245" t="s">
        <v>7664</v>
      </c>
      <c r="H2245" t="str">
        <f>HYPERLINK("https://baanknet.com/view-property/187921/1CB88AE13F44316D5EE3AEE81C590292CABDD6036F045B40D01A5DB0D7CD6F11", "https://baanknet.com/view-property/187921/1CB88AE13F44316D5EE3AEE81C590292CABDD6036F045B40D01A5DB0D7CD6F11")</f>
        <v>https://baanknet.com/view-property/187921/1CB88AE13F44316D5EE3AEE81C590292CABDD6036F045B40D01A5DB0D7CD6F11</v>
      </c>
      <c r="I2245" t="str">
        <f>HYPERLINK("https://baanknet.com/view-property/187921/1CB88AE13F44316D5EE3AEE81C590292CABDD6036F045B40D01A5DB0D7CD6F11", "Open")</f>
        <v>Open</v>
      </c>
      <c r="J2245" t="s">
        <v>3803</v>
      </c>
      <c r="L2245">
        <v>1219689.8999999999</v>
      </c>
      <c r="M2245">
        <v>121968.99</v>
      </c>
    </row>
    <row r="2246" spans="1:13" x14ac:dyDescent="0.25">
      <c r="A2246" t="s">
        <v>7665</v>
      </c>
      <c r="B2246" t="s">
        <v>7666</v>
      </c>
      <c r="C2246" t="s">
        <v>15</v>
      </c>
      <c r="D2246" t="s">
        <v>2163</v>
      </c>
      <c r="E2246" t="s">
        <v>7502</v>
      </c>
      <c r="F2246" t="s">
        <v>624</v>
      </c>
      <c r="G2246" t="s">
        <v>7667</v>
      </c>
      <c r="H2246" t="str">
        <f>HYPERLINK("https://baanknet.com/view-property/187984/85E1B7E72F22A7D580F373829935FFADFF296B112D28E811DA163F17A144C9EB", "https://baanknet.com/view-property/187984/85E1B7E72F22A7D580F373829935FFADFF296B112D28E811DA163F17A144C9EB")</f>
        <v>https://baanknet.com/view-property/187984/85E1B7E72F22A7D580F373829935FFADFF296B112D28E811DA163F17A144C9EB</v>
      </c>
      <c r="I2246" t="str">
        <f>HYPERLINK("https://baanknet.com/view-property/187984/85E1B7E72F22A7D580F373829935FFADFF296B112D28E811DA163F17A144C9EB", "Open")</f>
        <v>Open</v>
      </c>
      <c r="J2246" t="s">
        <v>3803</v>
      </c>
      <c r="L2246">
        <v>1498500</v>
      </c>
      <c r="M2246">
        <v>149850</v>
      </c>
    </row>
    <row r="2247" spans="1:13" x14ac:dyDescent="0.25">
      <c r="A2247" t="s">
        <v>7668</v>
      </c>
      <c r="B2247" t="s">
        <v>7669</v>
      </c>
      <c r="C2247" t="s">
        <v>15</v>
      </c>
      <c r="D2247" t="s">
        <v>849</v>
      </c>
      <c r="E2247" t="s">
        <v>7502</v>
      </c>
      <c r="F2247" t="s">
        <v>624</v>
      </c>
      <c r="G2247" t="s">
        <v>7670</v>
      </c>
      <c r="H2247" t="str">
        <f>HYPERLINK("https://baanknet.com/view-property/187950/88B4DA9158B9F7CD2A9764DC315D36A55EC6F243AB9A018F0A7BD802E2662CB1", "https://baanknet.com/view-property/187950/88B4DA9158B9F7CD2A9764DC315D36A55EC6F243AB9A018F0A7BD802E2662CB1")</f>
        <v>https://baanknet.com/view-property/187950/88B4DA9158B9F7CD2A9764DC315D36A55EC6F243AB9A018F0A7BD802E2662CB1</v>
      </c>
      <c r="I2247" t="str">
        <f>HYPERLINK("https://baanknet.com/view-property/187950/88B4DA9158B9F7CD2A9764DC315D36A55EC6F243AB9A018F0A7BD802E2662CB1", "Open")</f>
        <v>Open</v>
      </c>
      <c r="J2247" t="s">
        <v>3803</v>
      </c>
      <c r="L2247">
        <v>1847610</v>
      </c>
      <c r="M2247">
        <v>184761</v>
      </c>
    </row>
    <row r="2248" spans="1:13" x14ac:dyDescent="0.25">
      <c r="A2248" t="s">
        <v>7671</v>
      </c>
      <c r="B2248" t="s">
        <v>7672</v>
      </c>
      <c r="C2248" t="s">
        <v>15</v>
      </c>
      <c r="D2248" t="s">
        <v>710</v>
      </c>
      <c r="E2248" t="s">
        <v>7502</v>
      </c>
      <c r="F2248" t="s">
        <v>624</v>
      </c>
      <c r="G2248" t="s">
        <v>7673</v>
      </c>
      <c r="H2248" t="str">
        <f>HYPERLINK("https://baanknet.com/view-property/171087/3022976306396591F4C933F2FD08B8734311644F365191DE0EC2519A23C4610A", "https://baanknet.com/view-property/171087/3022976306396591F4C933F2FD08B8734311644F365191DE0EC2519A23C4610A")</f>
        <v>https://baanknet.com/view-property/171087/3022976306396591F4C933F2FD08B8734311644F365191DE0EC2519A23C4610A</v>
      </c>
      <c r="I2248" t="str">
        <f>HYPERLINK("https://baanknet.com/view-property/171087/3022976306396591F4C933F2FD08B8734311644F365191DE0EC2519A23C4610A", "Open")</f>
        <v>Open</v>
      </c>
      <c r="J2248" t="s">
        <v>3803</v>
      </c>
      <c r="L2248">
        <v>1654830</v>
      </c>
      <c r="M2248">
        <v>165483</v>
      </c>
    </row>
    <row r="2249" spans="1:13" x14ac:dyDescent="0.25">
      <c r="A2249" t="s">
        <v>7674</v>
      </c>
      <c r="B2249" t="s">
        <v>7675</v>
      </c>
      <c r="C2249" t="s">
        <v>15</v>
      </c>
      <c r="D2249" t="s">
        <v>2163</v>
      </c>
      <c r="E2249" t="s">
        <v>7502</v>
      </c>
      <c r="F2249" t="s">
        <v>624</v>
      </c>
      <c r="G2249" t="s">
        <v>7676</v>
      </c>
      <c r="H2249" t="str">
        <f>HYPERLINK("https://baanknet.com/view-property/187966/12049862C81928987E5F483E60E51B9EBF0B82304766DAB62BF83FDA08CC69DB", "https://baanknet.com/view-property/187966/12049862C81928987E5F483E60E51B9EBF0B82304766DAB62BF83FDA08CC69DB")</f>
        <v>https://baanknet.com/view-property/187966/12049862C81928987E5F483E60E51B9EBF0B82304766DAB62BF83FDA08CC69DB</v>
      </c>
      <c r="I2249" t="str">
        <f>HYPERLINK("https://baanknet.com/view-property/187966/12049862C81928987E5F483E60E51B9EBF0B82304766DAB62BF83FDA08CC69DB", "Open")</f>
        <v>Open</v>
      </c>
      <c r="J2249" t="s">
        <v>3803</v>
      </c>
      <c r="L2249">
        <v>2624400</v>
      </c>
      <c r="M2249">
        <v>262440</v>
      </c>
    </row>
    <row r="2250" spans="1:13" x14ac:dyDescent="0.25">
      <c r="A2250" t="s">
        <v>7677</v>
      </c>
      <c r="B2250" t="s">
        <v>7678</v>
      </c>
      <c r="C2250" t="s">
        <v>589</v>
      </c>
      <c r="D2250" t="s">
        <v>1520</v>
      </c>
      <c r="E2250" t="s">
        <v>7502</v>
      </c>
      <c r="F2250" t="s">
        <v>624</v>
      </c>
      <c r="G2250" t="s">
        <v>7679</v>
      </c>
      <c r="H2250" t="str">
        <f>HYPERLINK("https://baanknet.com/view-property/287267/D35262D5EB25E93A2335EC0CC51E77DDF939FA026175B695B94C01049F6DBB4F", "https://baanknet.com/view-property/287267/D35262D5EB25E93A2335EC0CC51E77DDF939FA026175B695B94C01049F6DBB4F")</f>
        <v>https://baanknet.com/view-property/287267/D35262D5EB25E93A2335EC0CC51E77DDF939FA026175B695B94C01049F6DBB4F</v>
      </c>
      <c r="I2250" t="str">
        <f>HYPERLINK("https://baanknet.com/view-property/287267/D35262D5EB25E93A2335EC0CC51E77DDF939FA026175B695B94C01049F6DBB4F", "Open")</f>
        <v>Open</v>
      </c>
      <c r="J2250" t="s">
        <v>3803</v>
      </c>
      <c r="L2250">
        <v>14232000</v>
      </c>
      <c r="M2250">
        <v>1423200</v>
      </c>
    </row>
    <row r="2251" spans="1:13" x14ac:dyDescent="0.25">
      <c r="A2251" t="s">
        <v>7680</v>
      </c>
      <c r="B2251" t="s">
        <v>7681</v>
      </c>
      <c r="C2251" t="s">
        <v>589</v>
      </c>
      <c r="D2251" t="s">
        <v>7682</v>
      </c>
      <c r="E2251" t="s">
        <v>7502</v>
      </c>
      <c r="F2251" t="s">
        <v>624</v>
      </c>
      <c r="G2251" t="s">
        <v>7683</v>
      </c>
      <c r="H2251" t="str">
        <f>HYPERLINK("https://baanknet.com/view-property/287300/D3D2F4C5BCA6CB942F4E0381C9B0A4C4E065851D5BE434E5BAAE503E685A8C32", "https://baanknet.com/view-property/287300/D3D2F4C5BCA6CB942F4E0381C9B0A4C4E065851D5BE434E5BAAE503E685A8C32")</f>
        <v>https://baanknet.com/view-property/287300/D3D2F4C5BCA6CB942F4E0381C9B0A4C4E065851D5BE434E5BAAE503E685A8C32</v>
      </c>
      <c r="I2251" t="str">
        <f>HYPERLINK("https://baanknet.com/view-property/287300/D3D2F4C5BCA6CB942F4E0381C9B0A4C4E065851D5BE434E5BAAE503E685A8C32", "Open")</f>
        <v>Open</v>
      </c>
      <c r="J2251" t="s">
        <v>3803</v>
      </c>
      <c r="L2251">
        <v>7114000</v>
      </c>
      <c r="M2251">
        <v>711400</v>
      </c>
    </row>
    <row r="2252" spans="1:13" x14ac:dyDescent="0.25">
      <c r="A2252" t="s">
        <v>7684</v>
      </c>
      <c r="B2252" t="s">
        <v>7685</v>
      </c>
      <c r="C2252" t="s">
        <v>589</v>
      </c>
      <c r="D2252" t="s">
        <v>7686</v>
      </c>
      <c r="E2252" t="s">
        <v>7502</v>
      </c>
      <c r="F2252" t="s">
        <v>624</v>
      </c>
      <c r="G2252" t="s">
        <v>7687</v>
      </c>
      <c r="H2252" t="str">
        <f>HYPERLINK("https://baanknet.com/view-property/287290/A85070130A28DE04A9C2E2C63868F3DFF9892188160739599BE760C46D4FEDAD", "https://baanknet.com/view-property/287290/A85070130A28DE04A9C2E2C63868F3DFF9892188160739599BE760C46D4FEDAD")</f>
        <v>https://baanknet.com/view-property/287290/A85070130A28DE04A9C2E2C63868F3DFF9892188160739599BE760C46D4FEDAD</v>
      </c>
      <c r="I2252" t="str">
        <f>HYPERLINK("https://baanknet.com/view-property/287290/A85070130A28DE04A9C2E2C63868F3DFF9892188160739599BE760C46D4FEDAD", "Open")</f>
        <v>Open</v>
      </c>
      <c r="J2252" t="s">
        <v>3803</v>
      </c>
      <c r="L2252">
        <v>7800000</v>
      </c>
      <c r="M2252">
        <v>780000</v>
      </c>
    </row>
    <row r="2253" spans="1:13" x14ac:dyDescent="0.25">
      <c r="A2253" t="s">
        <v>7688</v>
      </c>
      <c r="B2253" t="s">
        <v>7689</v>
      </c>
      <c r="C2253" t="s">
        <v>589</v>
      </c>
      <c r="D2253" t="s">
        <v>813</v>
      </c>
      <c r="E2253" t="s">
        <v>7502</v>
      </c>
      <c r="F2253" t="s">
        <v>624</v>
      </c>
      <c r="G2253" t="s">
        <v>7690</v>
      </c>
      <c r="H2253" t="str">
        <f>HYPERLINK("https://baanknet.com/view-property/287262/3EBAA7E192CA562AEB6D6805C69D9D53FC508DBDEA5617278233AE83B07F46AF", "https://baanknet.com/view-property/287262/3EBAA7E192CA562AEB6D6805C69D9D53FC508DBDEA5617278233AE83B07F46AF")</f>
        <v>https://baanknet.com/view-property/287262/3EBAA7E192CA562AEB6D6805C69D9D53FC508DBDEA5617278233AE83B07F46AF</v>
      </c>
      <c r="I2253" t="str">
        <f>HYPERLINK("https://baanknet.com/view-property/287262/3EBAA7E192CA562AEB6D6805C69D9D53FC508DBDEA5617278233AE83B07F46AF", "Open")</f>
        <v>Open</v>
      </c>
      <c r="J2253" t="s">
        <v>3803</v>
      </c>
      <c r="L2253">
        <v>1710000</v>
      </c>
      <c r="M2253">
        <v>171000</v>
      </c>
    </row>
    <row r="2254" spans="1:13" x14ac:dyDescent="0.25">
      <c r="A2254" t="s">
        <v>7691</v>
      </c>
      <c r="B2254" t="s">
        <v>7692</v>
      </c>
      <c r="C2254" t="s">
        <v>589</v>
      </c>
      <c r="D2254" t="s">
        <v>1793</v>
      </c>
      <c r="E2254" t="s">
        <v>7502</v>
      </c>
      <c r="F2254" t="s">
        <v>624</v>
      </c>
      <c r="G2254" t="s">
        <v>7693</v>
      </c>
      <c r="H2254" t="str">
        <f>HYPERLINK("https://baanknet.com/view-property/286789/99652083BA9AB70DD7E191C5C48F5096584C83A87F92C90B40712E8722CD90A3", "https://baanknet.com/view-property/286789/99652083BA9AB70DD7E191C5C48F5096584C83A87F92C90B40712E8722CD90A3")</f>
        <v>https://baanknet.com/view-property/286789/99652083BA9AB70DD7E191C5C48F5096584C83A87F92C90B40712E8722CD90A3</v>
      </c>
      <c r="I2254" t="str">
        <f>HYPERLINK("https://baanknet.com/view-property/286789/99652083BA9AB70DD7E191C5C48F5096584C83A87F92C90B40712E8722CD90A3", "Open")</f>
        <v>Open</v>
      </c>
      <c r="J2254" t="s">
        <v>3803</v>
      </c>
      <c r="L2254">
        <v>7800000</v>
      </c>
      <c r="M2254">
        <v>780000</v>
      </c>
    </row>
    <row r="2255" spans="1:13" x14ac:dyDescent="0.25">
      <c r="A2255" t="s">
        <v>7694</v>
      </c>
      <c r="B2255" t="s">
        <v>7695</v>
      </c>
      <c r="C2255" t="s">
        <v>589</v>
      </c>
      <c r="D2255" t="s">
        <v>7696</v>
      </c>
      <c r="E2255" t="s">
        <v>7502</v>
      </c>
      <c r="F2255" t="s">
        <v>624</v>
      </c>
      <c r="G2255" t="s">
        <v>7697</v>
      </c>
      <c r="H2255" t="str">
        <f>HYPERLINK("https://baanknet.com/view-property/287276/FA0772B9756E098CA77BFD7A87E7E38B9A7D52E7956C77169C34C4F045BDAA07", "https://baanknet.com/view-property/287276/FA0772B9756E098CA77BFD7A87E7E38B9A7D52E7956C77169C34C4F045BDAA07")</f>
        <v>https://baanknet.com/view-property/287276/FA0772B9756E098CA77BFD7A87E7E38B9A7D52E7956C77169C34C4F045BDAA07</v>
      </c>
      <c r="I2255" t="str">
        <f>HYPERLINK("https://baanknet.com/view-property/287276/FA0772B9756E098CA77BFD7A87E7E38B9A7D52E7956C77169C34C4F045BDAA07", "Open")</f>
        <v>Open</v>
      </c>
      <c r="J2255" t="s">
        <v>3803</v>
      </c>
      <c r="L2255">
        <v>1424000</v>
      </c>
      <c r="M2255">
        <v>143000</v>
      </c>
    </row>
    <row r="2256" spans="1:13" x14ac:dyDescent="0.25">
      <c r="A2256" t="s">
        <v>7698</v>
      </c>
      <c r="B2256" t="s">
        <v>7699</v>
      </c>
      <c r="C2256" t="s">
        <v>144</v>
      </c>
      <c r="D2256" t="s">
        <v>2007</v>
      </c>
      <c r="E2256" t="s">
        <v>7502</v>
      </c>
      <c r="F2256" t="s">
        <v>624</v>
      </c>
      <c r="G2256" t="s">
        <v>7700</v>
      </c>
      <c r="H2256" t="str">
        <f>HYPERLINK("https://baanknet.com/view-property/272654/A6146A0166A4D1A1477A9AFBCEF6EA24E2B1F7D840672F0E89D884A1AD89FB56", "https://baanknet.com/view-property/272654/A6146A0166A4D1A1477A9AFBCEF6EA24E2B1F7D840672F0E89D884A1AD89FB56")</f>
        <v>https://baanknet.com/view-property/272654/A6146A0166A4D1A1477A9AFBCEF6EA24E2B1F7D840672F0E89D884A1AD89FB56</v>
      </c>
      <c r="I2256" t="str">
        <f>HYPERLINK("https://baanknet.com/view-property/272654/A6146A0166A4D1A1477A9AFBCEF6EA24E2B1F7D840672F0E89D884A1AD89FB56", "Open")</f>
        <v>Open</v>
      </c>
      <c r="J2256" t="s">
        <v>3803</v>
      </c>
      <c r="L2256">
        <v>2159000</v>
      </c>
      <c r="M2256">
        <v>215900</v>
      </c>
    </row>
    <row r="2257" spans="1:13" x14ac:dyDescent="0.25">
      <c r="A2257" t="s">
        <v>7701</v>
      </c>
      <c r="B2257" t="s">
        <v>7702</v>
      </c>
      <c r="C2257" t="s">
        <v>144</v>
      </c>
      <c r="D2257" t="s">
        <v>364</v>
      </c>
      <c r="E2257" t="s">
        <v>7502</v>
      </c>
      <c r="F2257" t="s">
        <v>624</v>
      </c>
      <c r="G2257" t="s">
        <v>7703</v>
      </c>
      <c r="H2257" t="str">
        <f>HYPERLINK("https://baanknet.com/view-property/253077/A01ADBBAD7707EE8CDB96C63E80CA7C15F4F835AB0C18CA87E438762A4538054", "https://baanknet.com/view-property/253077/A01ADBBAD7707EE8CDB96C63E80CA7C15F4F835AB0C18CA87E438762A4538054")</f>
        <v>https://baanknet.com/view-property/253077/A01ADBBAD7707EE8CDB96C63E80CA7C15F4F835AB0C18CA87E438762A4538054</v>
      </c>
      <c r="I2257" t="str">
        <f>HYPERLINK("https://baanknet.com/view-property/253077/A01ADBBAD7707EE8CDB96C63E80CA7C15F4F835AB0C18CA87E438762A4538054", "Open")</f>
        <v>Open</v>
      </c>
      <c r="J2257" t="s">
        <v>3803</v>
      </c>
      <c r="L2257">
        <v>4049000</v>
      </c>
      <c r="M2257">
        <v>404900</v>
      </c>
    </row>
    <row r="2258" spans="1:13" x14ac:dyDescent="0.25">
      <c r="A2258" t="s">
        <v>7704</v>
      </c>
      <c r="B2258" t="s">
        <v>7705</v>
      </c>
      <c r="C2258" t="s">
        <v>144</v>
      </c>
      <c r="D2258" t="s">
        <v>7706</v>
      </c>
      <c r="E2258" t="s">
        <v>7502</v>
      </c>
      <c r="F2258" t="s">
        <v>624</v>
      </c>
      <c r="G2258" t="s">
        <v>7707</v>
      </c>
      <c r="H2258" t="str">
        <f>HYPERLINK("https://baanknet.com/view-property/265087/288780EC7DF4DEBF9A77A7E306BB7CB77AE6D3F774A643D3D65C4AEAD3CF053A", "https://baanknet.com/view-property/265087/288780EC7DF4DEBF9A77A7E306BB7CB77AE6D3F774A643D3D65C4AEAD3CF053A")</f>
        <v>https://baanknet.com/view-property/265087/288780EC7DF4DEBF9A77A7E306BB7CB77AE6D3F774A643D3D65C4AEAD3CF053A</v>
      </c>
      <c r="I2258" t="str">
        <f>HYPERLINK("https://baanknet.com/view-property/265087/288780EC7DF4DEBF9A77A7E306BB7CB77AE6D3F774A643D3D65C4AEAD3CF053A", "Open")</f>
        <v>Open</v>
      </c>
      <c r="J2258" t="s">
        <v>3803</v>
      </c>
      <c r="L2258">
        <v>5254000</v>
      </c>
      <c r="M2258">
        <v>525400</v>
      </c>
    </row>
    <row r="2259" spans="1:13" x14ac:dyDescent="0.25">
      <c r="A2259" t="s">
        <v>7708</v>
      </c>
      <c r="B2259" t="s">
        <v>7709</v>
      </c>
      <c r="C2259" t="s">
        <v>144</v>
      </c>
      <c r="D2259" t="s">
        <v>7710</v>
      </c>
      <c r="E2259" t="s">
        <v>7502</v>
      </c>
      <c r="F2259" t="s">
        <v>624</v>
      </c>
      <c r="G2259" t="s">
        <v>7711</v>
      </c>
      <c r="H2259" t="str">
        <f>HYPERLINK("https://baanknet.com/view-property/284015/6F8794FFEE8369ACDCFADC0ECFFFD1807EC4D469A2B09D0BC81D2559BD1E5385", "https://baanknet.com/view-property/284015/6F8794FFEE8369ACDCFADC0ECFFFD1807EC4D469A2B09D0BC81D2559BD1E5385")</f>
        <v>https://baanknet.com/view-property/284015/6F8794FFEE8369ACDCFADC0ECFFFD1807EC4D469A2B09D0BC81D2559BD1E5385</v>
      </c>
      <c r="I2259" t="str">
        <f>HYPERLINK("https://baanknet.com/view-property/284015/6F8794FFEE8369ACDCFADC0ECFFFD1807EC4D469A2B09D0BC81D2559BD1E5385", "Open")</f>
        <v>Open</v>
      </c>
      <c r="J2259" t="s">
        <v>3803</v>
      </c>
      <c r="L2259">
        <v>2345000</v>
      </c>
      <c r="M2259">
        <v>234500</v>
      </c>
    </row>
    <row r="2260" spans="1:13" x14ac:dyDescent="0.25">
      <c r="A2260" t="s">
        <v>7712</v>
      </c>
      <c r="B2260" t="s">
        <v>7713</v>
      </c>
      <c r="C2260" t="s">
        <v>589</v>
      </c>
      <c r="D2260" t="s">
        <v>4309</v>
      </c>
      <c r="E2260" t="s">
        <v>7502</v>
      </c>
      <c r="F2260" t="s">
        <v>624</v>
      </c>
      <c r="G2260" t="s">
        <v>7714</v>
      </c>
      <c r="H2260" t="str">
        <f>HYPERLINK("https://baanknet.com/view-property/221349/98C820C391582471D88C55612742CEE2C0E7E9C8E8CE3A05613F4209AEA6C2D0", "https://baanknet.com/view-property/221349/98C820C391582471D88C55612742CEE2C0E7E9C8E8CE3A05613F4209AEA6C2D0")</f>
        <v>https://baanknet.com/view-property/221349/98C820C391582471D88C55612742CEE2C0E7E9C8E8CE3A05613F4209AEA6C2D0</v>
      </c>
      <c r="I2260" t="str">
        <f>HYPERLINK("https://baanknet.com/view-property/221349/98C820C391582471D88C55612742CEE2C0E7E9C8E8CE3A05613F4209AEA6C2D0", "Open")</f>
        <v>Open</v>
      </c>
      <c r="J2260" t="s">
        <v>3803</v>
      </c>
      <c r="L2260">
        <v>1817100</v>
      </c>
      <c r="M2260">
        <v>181710</v>
      </c>
    </row>
    <row r="2261" spans="1:13" x14ac:dyDescent="0.25">
      <c r="A2261" t="s">
        <v>7715</v>
      </c>
      <c r="B2261" t="s">
        <v>7716</v>
      </c>
      <c r="C2261" t="s">
        <v>589</v>
      </c>
      <c r="D2261" t="s">
        <v>2185</v>
      </c>
      <c r="E2261" t="s">
        <v>7502</v>
      </c>
      <c r="F2261" t="s">
        <v>624</v>
      </c>
      <c r="G2261" t="s">
        <v>7717</v>
      </c>
      <c r="H2261" t="str">
        <f>HYPERLINK("https://baanknet.com/view-property/96128/DB0242B2EF69E69834F547A38EA167C0313131281F0F1510DDA8DB50B2AE4594", "https://baanknet.com/view-property/96128/DB0242B2EF69E69834F547A38EA167C0313131281F0F1510DDA8DB50B2AE4594")</f>
        <v>https://baanknet.com/view-property/96128/DB0242B2EF69E69834F547A38EA167C0313131281F0F1510DDA8DB50B2AE4594</v>
      </c>
      <c r="I2261" t="str">
        <f>HYPERLINK("https://baanknet.com/view-property/96128/DB0242B2EF69E69834F547A38EA167C0313131281F0F1510DDA8DB50B2AE4594", "Open")</f>
        <v>Open</v>
      </c>
      <c r="J2261" t="s">
        <v>3803</v>
      </c>
      <c r="L2261">
        <v>2102000</v>
      </c>
      <c r="M2261">
        <v>210200</v>
      </c>
    </row>
    <row r="2262" spans="1:13" x14ac:dyDescent="0.25">
      <c r="A2262" t="s">
        <v>7718</v>
      </c>
      <c r="B2262" t="s">
        <v>7719</v>
      </c>
      <c r="C2262" t="s">
        <v>589</v>
      </c>
      <c r="D2262" t="s">
        <v>7720</v>
      </c>
      <c r="E2262" t="s">
        <v>7502</v>
      </c>
      <c r="F2262" t="s">
        <v>624</v>
      </c>
      <c r="G2262" t="s">
        <v>7721</v>
      </c>
      <c r="H2262" t="str">
        <f>HYPERLINK("https://baanknet.com/view-property/287882/79AF1E8DDE7A61E18F79D428FFB2CD162D5AB8B5836025C1448F317C5A6E1F1B", "https://baanknet.com/view-property/287882/79AF1E8DDE7A61E18F79D428FFB2CD162D5AB8B5836025C1448F317C5A6E1F1B")</f>
        <v>https://baanknet.com/view-property/287882/79AF1E8DDE7A61E18F79D428FFB2CD162D5AB8B5836025C1448F317C5A6E1F1B</v>
      </c>
      <c r="I2262" t="str">
        <f>HYPERLINK("https://baanknet.com/view-property/287882/79AF1E8DDE7A61E18F79D428FFB2CD162D5AB8B5836025C1448F317C5A6E1F1B", "Open")</f>
        <v>Open</v>
      </c>
      <c r="J2262" t="s">
        <v>3803</v>
      </c>
      <c r="L2262">
        <v>2015000</v>
      </c>
      <c r="M2262">
        <v>201500</v>
      </c>
    </row>
    <row r="2263" spans="1:13" x14ac:dyDescent="0.25">
      <c r="A2263" t="s">
        <v>7722</v>
      </c>
      <c r="B2263" t="s">
        <v>7723</v>
      </c>
      <c r="C2263" t="s">
        <v>589</v>
      </c>
      <c r="D2263" t="s">
        <v>153</v>
      </c>
      <c r="E2263" t="s">
        <v>7502</v>
      </c>
      <c r="F2263" t="s">
        <v>624</v>
      </c>
      <c r="G2263" t="s">
        <v>7724</v>
      </c>
      <c r="H2263" t="str">
        <f>HYPERLINK("https://baanknet.com/view-property/287663/F4CB8806612A52F20843B18EE7E52E08FC915798F87CA3F70AD07E251BEA7D8E", "https://baanknet.com/view-property/287663/F4CB8806612A52F20843B18EE7E52E08FC915798F87CA3F70AD07E251BEA7D8E")</f>
        <v>https://baanknet.com/view-property/287663/F4CB8806612A52F20843B18EE7E52E08FC915798F87CA3F70AD07E251BEA7D8E</v>
      </c>
      <c r="I2263" t="str">
        <f>HYPERLINK("https://baanknet.com/view-property/287663/F4CB8806612A52F20843B18EE7E52E08FC915798F87CA3F70AD07E251BEA7D8E", "Open")</f>
        <v>Open</v>
      </c>
      <c r="J2263" t="s">
        <v>3803</v>
      </c>
      <c r="L2263">
        <v>2206000</v>
      </c>
      <c r="M2263">
        <v>220600</v>
      </c>
    </row>
    <row r="2264" spans="1:13" x14ac:dyDescent="0.25">
      <c r="A2264" t="s">
        <v>7725</v>
      </c>
      <c r="B2264" t="s">
        <v>7726</v>
      </c>
      <c r="C2264" t="s">
        <v>589</v>
      </c>
      <c r="D2264" t="s">
        <v>153</v>
      </c>
      <c r="E2264" t="s">
        <v>7502</v>
      </c>
      <c r="F2264" t="s">
        <v>624</v>
      </c>
      <c r="G2264" t="s">
        <v>7727</v>
      </c>
      <c r="H2264" t="str">
        <f>HYPERLINK("https://baanknet.com/view-property/287650/52728BA8DBD30140C9479C653528B7D67E39FB6164C6A35CAFCB7E776F68F6E3", "https://baanknet.com/view-property/287650/52728BA8DBD30140C9479C653528B7D67E39FB6164C6A35CAFCB7E776F68F6E3")</f>
        <v>https://baanknet.com/view-property/287650/52728BA8DBD30140C9479C653528B7D67E39FB6164C6A35CAFCB7E776F68F6E3</v>
      </c>
      <c r="I2264" t="str">
        <f>HYPERLINK("https://baanknet.com/view-property/287650/52728BA8DBD30140C9479C653528B7D67E39FB6164C6A35CAFCB7E776F68F6E3", "Open")</f>
        <v>Open</v>
      </c>
      <c r="J2264" t="s">
        <v>3803</v>
      </c>
      <c r="L2264">
        <v>2725000</v>
      </c>
      <c r="M2264">
        <v>272500</v>
      </c>
    </row>
    <row r="2265" spans="1:13" x14ac:dyDescent="0.25">
      <c r="A2265" t="s">
        <v>7728</v>
      </c>
      <c r="B2265" t="s">
        <v>7729</v>
      </c>
      <c r="C2265" t="s">
        <v>589</v>
      </c>
      <c r="D2265" t="s">
        <v>7730</v>
      </c>
      <c r="E2265" t="s">
        <v>7502</v>
      </c>
      <c r="F2265" t="s">
        <v>624</v>
      </c>
      <c r="G2265" t="s">
        <v>7731</v>
      </c>
      <c r="H2265" t="str">
        <f>HYPERLINK("https://baanknet.com/view-property/287623/77D39554F11B467A2EDB95D06D6AF068C3A3D2BC6B52DBBF5F8A523549C61383", "https://baanknet.com/view-property/287623/77D39554F11B467A2EDB95D06D6AF068C3A3D2BC6B52DBBF5F8A523549C61383")</f>
        <v>https://baanknet.com/view-property/287623/77D39554F11B467A2EDB95D06D6AF068C3A3D2BC6B52DBBF5F8A523549C61383</v>
      </c>
      <c r="I2265" t="str">
        <f>HYPERLINK("https://baanknet.com/view-property/287623/77D39554F11B467A2EDB95D06D6AF068C3A3D2BC6B52DBBF5F8A523549C61383", "Open")</f>
        <v>Open</v>
      </c>
      <c r="J2265" t="s">
        <v>3803</v>
      </c>
      <c r="L2265">
        <v>2062000</v>
      </c>
      <c r="M2265">
        <v>206200</v>
      </c>
    </row>
    <row r="2266" spans="1:13" x14ac:dyDescent="0.25">
      <c r="A2266" t="s">
        <v>7732</v>
      </c>
      <c r="B2266" t="s">
        <v>7733</v>
      </c>
      <c r="C2266" t="s">
        <v>15</v>
      </c>
      <c r="D2266" t="s">
        <v>6614</v>
      </c>
      <c r="E2266" t="s">
        <v>7502</v>
      </c>
      <c r="F2266" t="s">
        <v>624</v>
      </c>
      <c r="G2266" t="s">
        <v>7734</v>
      </c>
      <c r="H2266" t="str">
        <f>HYPERLINK("https://baanknet.com/view-property/250486/E349AD527970EF24334BAE6059E03E2CA8B7D8169CFACE7864C79C02568B2DC0", "https://baanknet.com/view-property/250486/E349AD527970EF24334BAE6059E03E2CA8B7D8169CFACE7864C79C02568B2DC0")</f>
        <v>https://baanknet.com/view-property/250486/E349AD527970EF24334BAE6059E03E2CA8B7D8169CFACE7864C79C02568B2DC0</v>
      </c>
      <c r="I2266" t="str">
        <f>HYPERLINK("https://baanknet.com/view-property/250486/E349AD527970EF24334BAE6059E03E2CA8B7D8169CFACE7864C79C02568B2DC0", "Open")</f>
        <v>Open</v>
      </c>
      <c r="J2266" t="s">
        <v>3803</v>
      </c>
      <c r="L2266">
        <v>848000</v>
      </c>
      <c r="M2266">
        <v>84800</v>
      </c>
    </row>
    <row r="2267" spans="1:13" x14ac:dyDescent="0.25">
      <c r="A2267" t="s">
        <v>7735</v>
      </c>
      <c r="B2267" t="s">
        <v>7736</v>
      </c>
      <c r="C2267" t="s">
        <v>15</v>
      </c>
      <c r="D2267" t="s">
        <v>2824</v>
      </c>
      <c r="E2267" t="s">
        <v>7502</v>
      </c>
      <c r="F2267" t="s">
        <v>624</v>
      </c>
      <c r="G2267" t="s">
        <v>7737</v>
      </c>
      <c r="H2267" t="str">
        <f>HYPERLINK("https://baanknet.com/view-property/204321/6E8D50E9C988F29AEFFA6022C5CB986A8B5593D7D7B984479291A798FC78F283", "https://baanknet.com/view-property/204321/6E8D50E9C988F29AEFFA6022C5CB986A8B5593D7D7B984479291A798FC78F283")</f>
        <v>https://baanknet.com/view-property/204321/6E8D50E9C988F29AEFFA6022C5CB986A8B5593D7D7B984479291A798FC78F283</v>
      </c>
      <c r="I2267" t="str">
        <f>HYPERLINK("https://baanknet.com/view-property/204321/6E8D50E9C988F29AEFFA6022C5CB986A8B5593D7D7B984479291A798FC78F283", "Open")</f>
        <v>Open</v>
      </c>
      <c r="J2267" t="s">
        <v>3803</v>
      </c>
      <c r="L2267">
        <v>592000</v>
      </c>
      <c r="M2267">
        <v>59200</v>
      </c>
    </row>
    <row r="2268" spans="1:13" x14ac:dyDescent="0.25">
      <c r="A2268" t="s">
        <v>7738</v>
      </c>
      <c r="B2268" t="s">
        <v>7739</v>
      </c>
      <c r="C2268" t="s">
        <v>15</v>
      </c>
      <c r="D2268" t="s">
        <v>7740</v>
      </c>
      <c r="E2268" t="s">
        <v>7502</v>
      </c>
      <c r="F2268" t="s">
        <v>624</v>
      </c>
      <c r="G2268" t="s">
        <v>7741</v>
      </c>
      <c r="H2268" t="str">
        <f>HYPERLINK("https://baanknet.com/view-property/250506/BEBADF28F28F74C67FCBA48EA58B762A9CD2C0E94E8A511BC81192387F51790B", "https://baanknet.com/view-property/250506/BEBADF28F28F74C67FCBA48EA58B762A9CD2C0E94E8A511BC81192387F51790B")</f>
        <v>https://baanknet.com/view-property/250506/BEBADF28F28F74C67FCBA48EA58B762A9CD2C0E94E8A511BC81192387F51790B</v>
      </c>
      <c r="I2268" t="str">
        <f>HYPERLINK("https://baanknet.com/view-property/250506/BEBADF28F28F74C67FCBA48EA58B762A9CD2C0E94E8A511BC81192387F51790B", "Open")</f>
        <v>Open</v>
      </c>
      <c r="J2268" t="s">
        <v>3803</v>
      </c>
      <c r="L2268">
        <v>1232000</v>
      </c>
      <c r="M2268">
        <v>123200</v>
      </c>
    </row>
    <row r="2269" spans="1:13" x14ac:dyDescent="0.25">
      <c r="A2269" t="s">
        <v>7742</v>
      </c>
      <c r="B2269" t="s">
        <v>7743</v>
      </c>
      <c r="C2269" t="s">
        <v>15</v>
      </c>
      <c r="D2269" t="s">
        <v>7744</v>
      </c>
      <c r="E2269" t="s">
        <v>7502</v>
      </c>
      <c r="F2269" t="s">
        <v>624</v>
      </c>
      <c r="G2269" t="s">
        <v>7745</v>
      </c>
      <c r="H2269" t="str">
        <f>HYPERLINK("https://baanknet.com/view-property/261679/9B5F819F1CCE12CDD109EA18E9A823FA57C8D5FB669ECF0C866D412E7E118988", "https://baanknet.com/view-property/261679/9B5F819F1CCE12CDD109EA18E9A823FA57C8D5FB669ECF0C866D412E7E118988")</f>
        <v>https://baanknet.com/view-property/261679/9B5F819F1CCE12CDD109EA18E9A823FA57C8D5FB669ECF0C866D412E7E118988</v>
      </c>
      <c r="I2269" t="str">
        <f>HYPERLINK("https://baanknet.com/view-property/261679/9B5F819F1CCE12CDD109EA18E9A823FA57C8D5FB669ECF0C866D412E7E118988", "Open")</f>
        <v>Open</v>
      </c>
      <c r="J2269" t="s">
        <v>3803</v>
      </c>
      <c r="L2269">
        <v>627000</v>
      </c>
      <c r="M2269">
        <v>62700</v>
      </c>
    </row>
    <row r="2270" spans="1:13" x14ac:dyDescent="0.25">
      <c r="A2270" t="s">
        <v>7746</v>
      </c>
      <c r="B2270" t="s">
        <v>7747</v>
      </c>
      <c r="C2270" t="s">
        <v>589</v>
      </c>
      <c r="D2270" t="s">
        <v>7748</v>
      </c>
      <c r="E2270" t="s">
        <v>7502</v>
      </c>
      <c r="F2270" t="s">
        <v>624</v>
      </c>
      <c r="G2270" t="s">
        <v>7749</v>
      </c>
      <c r="H2270" t="str">
        <f>HYPERLINK("https://baanknet.com/view-property/288166/853A81EA089E696DF83D9542E848571FE50E004DEEA4F1C8970DFBF4D7376331", "https://baanknet.com/view-property/288166/853A81EA089E696DF83D9542E848571FE50E004DEEA4F1C8970DFBF4D7376331")</f>
        <v>https://baanknet.com/view-property/288166/853A81EA089E696DF83D9542E848571FE50E004DEEA4F1C8970DFBF4D7376331</v>
      </c>
      <c r="I2270" t="str">
        <f>HYPERLINK("https://baanknet.com/view-property/288166/853A81EA089E696DF83D9542E848571FE50E004DEEA4F1C8970DFBF4D7376331", "Open")</f>
        <v>Open</v>
      </c>
      <c r="J2270" t="s">
        <v>3803</v>
      </c>
      <c r="L2270">
        <v>1071000</v>
      </c>
      <c r="M2270">
        <v>107100</v>
      </c>
    </row>
    <row r="2271" spans="1:13" x14ac:dyDescent="0.25">
      <c r="A2271" t="s">
        <v>7750</v>
      </c>
      <c r="B2271" t="s">
        <v>7751</v>
      </c>
      <c r="C2271" t="s">
        <v>387</v>
      </c>
      <c r="D2271" t="s">
        <v>518</v>
      </c>
      <c r="E2271" t="s">
        <v>7502</v>
      </c>
      <c r="F2271" t="s">
        <v>7752</v>
      </c>
      <c r="G2271" t="s">
        <v>7753</v>
      </c>
      <c r="H2271" t="str">
        <f>HYPERLINK("https://baanknet.com/view-property/284228/A5018D1AA7438AFB1BDE64DE1C61642DF98286B5159C89AA870E984C553D1FF3", "https://baanknet.com/view-property/284228/A5018D1AA7438AFB1BDE64DE1C61642DF98286B5159C89AA870E984C553D1FF3")</f>
        <v>https://baanknet.com/view-property/284228/A5018D1AA7438AFB1BDE64DE1C61642DF98286B5159C89AA870E984C553D1FF3</v>
      </c>
      <c r="I2271" t="str">
        <f>HYPERLINK("https://baanknet.com/view-property/284228/A5018D1AA7438AFB1BDE64DE1C61642DF98286B5159C89AA870E984C553D1FF3", "Open")</f>
        <v>Open</v>
      </c>
      <c r="J2271" t="s">
        <v>3803</v>
      </c>
      <c r="L2271">
        <v>91275000</v>
      </c>
      <c r="M2271">
        <v>9127500</v>
      </c>
    </row>
    <row r="2272" spans="1:13" x14ac:dyDescent="0.25">
      <c r="A2272" t="s">
        <v>7754</v>
      </c>
      <c r="B2272" t="s">
        <v>7755</v>
      </c>
      <c r="C2272" t="s">
        <v>726</v>
      </c>
      <c r="D2272" t="s">
        <v>4553</v>
      </c>
      <c r="E2272" t="s">
        <v>7756</v>
      </c>
      <c r="F2272" t="s">
        <v>7757</v>
      </c>
      <c r="G2272" t="s">
        <v>7758</v>
      </c>
      <c r="H2272" t="str">
        <f>HYPERLINK("https://baanknet.com/view-property/284938/B778DAACB8063ECC34F57E33303611D34FB391C76446AAC598B5E4347A48CA2A", "https://baanknet.com/view-property/284938/B778DAACB8063ECC34F57E33303611D34FB391C76446AAC598B5E4347A48CA2A")</f>
        <v>https://baanknet.com/view-property/284938/B778DAACB8063ECC34F57E33303611D34FB391C76446AAC598B5E4347A48CA2A</v>
      </c>
      <c r="I2272" t="str">
        <f>HYPERLINK("https://baanknet.com/view-property/284938/B778DAACB8063ECC34F57E33303611D34FB391C76446AAC598B5E4347A48CA2A", "Open")</f>
        <v>Open</v>
      </c>
      <c r="J2272" t="s">
        <v>3803</v>
      </c>
      <c r="L2272">
        <v>31691000</v>
      </c>
      <c r="M2272">
        <v>3169100</v>
      </c>
    </row>
    <row r="2273" spans="1:13" x14ac:dyDescent="0.25">
      <c r="A2273" t="s">
        <v>7759</v>
      </c>
      <c r="B2273" t="s">
        <v>7760</v>
      </c>
      <c r="C2273" t="s">
        <v>15</v>
      </c>
      <c r="D2273" t="s">
        <v>608</v>
      </c>
      <c r="E2273" t="s">
        <v>7756</v>
      </c>
      <c r="F2273" t="s">
        <v>7757</v>
      </c>
      <c r="G2273" t="s">
        <v>7761</v>
      </c>
      <c r="H2273" t="str">
        <f>HYPERLINK("https://baanknet.com/view-property/248596/E92CA44EB6364FF478F9F058CC72B8DA850396768865377EEB565599E28CD321", "https://baanknet.com/view-property/248596/E92CA44EB6364FF478F9F058CC72B8DA850396768865377EEB565599E28CD321")</f>
        <v>https://baanknet.com/view-property/248596/E92CA44EB6364FF478F9F058CC72B8DA850396768865377EEB565599E28CD321</v>
      </c>
      <c r="I2273" t="str">
        <f>HYPERLINK("https://baanknet.com/view-property/248596/E92CA44EB6364FF478F9F058CC72B8DA850396768865377EEB565599E28CD321", "Open")</f>
        <v>Open</v>
      </c>
      <c r="J2273" t="s">
        <v>3803</v>
      </c>
      <c r="L2273">
        <v>4000000</v>
      </c>
      <c r="M2273">
        <v>400000</v>
      </c>
    </row>
    <row r="2274" spans="1:13" x14ac:dyDescent="0.25">
      <c r="A2274" t="s">
        <v>7762</v>
      </c>
      <c r="B2274" t="s">
        <v>7763</v>
      </c>
      <c r="C2274" t="s">
        <v>15</v>
      </c>
      <c r="D2274" t="s">
        <v>608</v>
      </c>
      <c r="E2274" t="s">
        <v>7756</v>
      </c>
      <c r="F2274" t="s">
        <v>7757</v>
      </c>
      <c r="G2274" t="s">
        <v>7764</v>
      </c>
      <c r="H2274" t="str">
        <f>HYPERLINK("https://baanknet.com/view-property/248586/52649750302EF669D85DC7DEFE8CA61467CF869A560B5B1DBEF37324FE0F4FBB", "https://baanknet.com/view-property/248586/52649750302EF669D85DC7DEFE8CA61467CF869A560B5B1DBEF37324FE0F4FBB")</f>
        <v>https://baanknet.com/view-property/248586/52649750302EF669D85DC7DEFE8CA61467CF869A560B5B1DBEF37324FE0F4FBB</v>
      </c>
      <c r="I2274" t="str">
        <f>HYPERLINK("https://baanknet.com/view-property/248586/52649750302EF669D85DC7DEFE8CA61467CF869A560B5B1DBEF37324FE0F4FBB", "Open")</f>
        <v>Open</v>
      </c>
      <c r="J2274" t="s">
        <v>3803</v>
      </c>
      <c r="L2274">
        <v>4000000</v>
      </c>
      <c r="M2274">
        <v>400000</v>
      </c>
    </row>
    <row r="2275" spans="1:13" x14ac:dyDescent="0.25">
      <c r="A2275" t="s">
        <v>7765</v>
      </c>
      <c r="B2275" t="s">
        <v>7766</v>
      </c>
      <c r="C2275" t="s">
        <v>15</v>
      </c>
      <c r="D2275" t="s">
        <v>608</v>
      </c>
      <c r="E2275" t="s">
        <v>7756</v>
      </c>
      <c r="F2275" t="s">
        <v>7757</v>
      </c>
      <c r="G2275" t="s">
        <v>7767</v>
      </c>
      <c r="H2275" t="str">
        <f>HYPERLINK("https://baanknet.com/view-property/248598/13FEC4A5189B02CC1113EAFC3C2F9CCDA173660B9B6778A2AFBC268A961AD524", "https://baanknet.com/view-property/248598/13FEC4A5189B02CC1113EAFC3C2F9CCDA173660B9B6778A2AFBC268A961AD524")</f>
        <v>https://baanknet.com/view-property/248598/13FEC4A5189B02CC1113EAFC3C2F9CCDA173660B9B6778A2AFBC268A961AD524</v>
      </c>
      <c r="I2275" t="str">
        <f>HYPERLINK("https://baanknet.com/view-property/248598/13FEC4A5189B02CC1113EAFC3C2F9CCDA173660B9B6778A2AFBC268A961AD524", "Open")</f>
        <v>Open</v>
      </c>
      <c r="J2275" t="s">
        <v>3803</v>
      </c>
      <c r="L2275">
        <v>4000000</v>
      </c>
      <c r="M2275">
        <v>400000</v>
      </c>
    </row>
    <row r="2276" spans="1:13" x14ac:dyDescent="0.25">
      <c r="A2276" t="s">
        <v>7768</v>
      </c>
      <c r="B2276" t="s">
        <v>7769</v>
      </c>
      <c r="C2276" t="s">
        <v>15</v>
      </c>
      <c r="D2276" t="s">
        <v>7770</v>
      </c>
      <c r="E2276" t="s">
        <v>7756</v>
      </c>
      <c r="F2276" t="s">
        <v>7757</v>
      </c>
      <c r="G2276" t="s">
        <v>7771</v>
      </c>
      <c r="H2276" t="str">
        <f>HYPERLINK("https://baanknet.com/view-property/269898/E499B263B7E144B0005499CCC4ECFC23805027DFA558BB524717CBF95A8AB469", "https://baanknet.com/view-property/269898/E499B263B7E144B0005499CCC4ECFC23805027DFA558BB524717CBF95A8AB469")</f>
        <v>https://baanknet.com/view-property/269898/E499B263B7E144B0005499CCC4ECFC23805027DFA558BB524717CBF95A8AB469</v>
      </c>
      <c r="I2276" t="str">
        <f>HYPERLINK("https://baanknet.com/view-property/269898/E499B263B7E144B0005499CCC4ECFC23805027DFA558BB524717CBF95A8AB469", "Open")</f>
        <v>Open</v>
      </c>
      <c r="J2276" t="s">
        <v>3803</v>
      </c>
      <c r="L2276">
        <v>2071000</v>
      </c>
      <c r="M2276">
        <v>207100</v>
      </c>
    </row>
    <row r="2277" spans="1:13" x14ac:dyDescent="0.25">
      <c r="A2277" t="s">
        <v>7772</v>
      </c>
      <c r="B2277" t="s">
        <v>7773</v>
      </c>
      <c r="C2277" t="s">
        <v>15</v>
      </c>
      <c r="D2277" t="s">
        <v>608</v>
      </c>
      <c r="E2277" t="s">
        <v>7756</v>
      </c>
      <c r="F2277" t="s">
        <v>7757</v>
      </c>
      <c r="G2277" t="s">
        <v>7774</v>
      </c>
      <c r="H2277" t="str">
        <f>HYPERLINK("https://baanknet.com/view-property/284940/7F5B6BD75FFB13C48B942F94789066A53363F796ECAA7719DA3633178015EC48", "https://baanknet.com/view-property/284940/7F5B6BD75FFB13C48B942F94789066A53363F796ECAA7719DA3633178015EC48")</f>
        <v>https://baanknet.com/view-property/284940/7F5B6BD75FFB13C48B942F94789066A53363F796ECAA7719DA3633178015EC48</v>
      </c>
      <c r="I2277" t="str">
        <f>HYPERLINK("https://baanknet.com/view-property/284940/7F5B6BD75FFB13C48B942F94789066A53363F796ECAA7719DA3633178015EC48", "Open")</f>
        <v>Open</v>
      </c>
      <c r="J2277" t="s">
        <v>3803</v>
      </c>
      <c r="L2277">
        <v>36473000</v>
      </c>
      <c r="M2277">
        <v>3647300</v>
      </c>
    </row>
    <row r="2278" spans="1:13" x14ac:dyDescent="0.25">
      <c r="A2278" t="s">
        <v>7775</v>
      </c>
      <c r="B2278" t="s">
        <v>7776</v>
      </c>
      <c r="C2278" t="s">
        <v>15</v>
      </c>
      <c r="D2278" t="s">
        <v>608</v>
      </c>
      <c r="E2278" t="s">
        <v>7756</v>
      </c>
      <c r="F2278" t="s">
        <v>7757</v>
      </c>
      <c r="G2278" t="s">
        <v>7777</v>
      </c>
      <c r="H2278" t="str">
        <f>HYPERLINK("https://baanknet.com/view-property/204123/8392D4E2AAFA46487384D88C329ED2749309D564B47C7843EB20B28F73682584", "https://baanknet.com/view-property/204123/8392D4E2AAFA46487384D88C329ED2749309D564B47C7843EB20B28F73682584")</f>
        <v>https://baanknet.com/view-property/204123/8392D4E2AAFA46487384D88C329ED2749309D564B47C7843EB20B28F73682584</v>
      </c>
      <c r="I2278" t="str">
        <f>HYPERLINK("https://baanknet.com/view-property/204123/8392D4E2AAFA46487384D88C329ED2749309D564B47C7843EB20B28F73682584", "Open")</f>
        <v>Open</v>
      </c>
      <c r="J2278" t="s">
        <v>3803</v>
      </c>
      <c r="L2278">
        <v>21000000</v>
      </c>
      <c r="M2278">
        <v>2100000</v>
      </c>
    </row>
    <row r="2279" spans="1:13" x14ac:dyDescent="0.25">
      <c r="A2279" t="s">
        <v>7778</v>
      </c>
      <c r="B2279" t="s">
        <v>7779</v>
      </c>
      <c r="C2279" t="s">
        <v>15</v>
      </c>
      <c r="D2279" t="s">
        <v>3747</v>
      </c>
      <c r="E2279" t="s">
        <v>7756</v>
      </c>
      <c r="F2279" t="s">
        <v>7757</v>
      </c>
      <c r="G2279" t="s">
        <v>7780</v>
      </c>
      <c r="H2279" t="str">
        <f>HYPERLINK("https://baanknet.com/view-property/272627/7BC089C94FAE5D72DA61766FCEBE8D3A818663043184B057FDC56B73A157D83B", "https://baanknet.com/view-property/272627/7BC089C94FAE5D72DA61766FCEBE8D3A818663043184B057FDC56B73A157D83B")</f>
        <v>https://baanknet.com/view-property/272627/7BC089C94FAE5D72DA61766FCEBE8D3A818663043184B057FDC56B73A157D83B</v>
      </c>
      <c r="I2279" t="str">
        <f>HYPERLINK("https://baanknet.com/view-property/272627/7BC089C94FAE5D72DA61766FCEBE8D3A818663043184B057FDC56B73A157D83B", "Open")</f>
        <v>Open</v>
      </c>
      <c r="J2279" t="s">
        <v>3803</v>
      </c>
      <c r="L2279">
        <v>5040000</v>
      </c>
      <c r="M2279">
        <v>504000</v>
      </c>
    </row>
    <row r="2280" spans="1:13" x14ac:dyDescent="0.25">
      <c r="A2280" t="s">
        <v>7781</v>
      </c>
      <c r="B2280" t="s">
        <v>7782</v>
      </c>
      <c r="C2280" t="s">
        <v>15</v>
      </c>
      <c r="D2280" t="s">
        <v>608</v>
      </c>
      <c r="E2280" t="s">
        <v>7756</v>
      </c>
      <c r="F2280" t="s">
        <v>7757</v>
      </c>
      <c r="G2280" t="s">
        <v>7783</v>
      </c>
      <c r="H2280" t="str">
        <f>HYPERLINK("https://baanknet.com/view-property/247617/4661EE4D15AD187F944E6DAC6BB683508ACCE7D8F7C6C4F0512415238A921BEE", "https://baanknet.com/view-property/247617/4661EE4D15AD187F944E6DAC6BB683508ACCE7D8F7C6C4F0512415238A921BEE")</f>
        <v>https://baanknet.com/view-property/247617/4661EE4D15AD187F944E6DAC6BB683508ACCE7D8F7C6C4F0512415238A921BEE</v>
      </c>
      <c r="I2280" t="str">
        <f>HYPERLINK("https://baanknet.com/view-property/247617/4661EE4D15AD187F944E6DAC6BB683508ACCE7D8F7C6C4F0512415238A921BEE", "Open")</f>
        <v>Open</v>
      </c>
      <c r="J2280" t="s">
        <v>3803</v>
      </c>
      <c r="L2280">
        <v>4000000</v>
      </c>
      <c r="M2280">
        <v>400000</v>
      </c>
    </row>
    <row r="2281" spans="1:13" x14ac:dyDescent="0.25">
      <c r="A2281" t="s">
        <v>7784</v>
      </c>
      <c r="B2281" t="s">
        <v>7785</v>
      </c>
      <c r="C2281" t="s">
        <v>15</v>
      </c>
      <c r="D2281" t="s">
        <v>608</v>
      </c>
      <c r="E2281" t="s">
        <v>7756</v>
      </c>
      <c r="F2281" t="s">
        <v>7757</v>
      </c>
      <c r="G2281" t="s">
        <v>7786</v>
      </c>
      <c r="H2281" t="str">
        <f>HYPERLINK("https://baanknet.com/view-property/275249/A83DB7B2854FA89C05C1EC0E3C4C1ABAB49B0A6DAFEE268B69CD04FC60A39C60", "https://baanknet.com/view-property/275249/A83DB7B2854FA89C05C1EC0E3C4C1ABAB49B0A6DAFEE268B69CD04FC60A39C60")</f>
        <v>https://baanknet.com/view-property/275249/A83DB7B2854FA89C05C1EC0E3C4C1ABAB49B0A6DAFEE268B69CD04FC60A39C60</v>
      </c>
      <c r="I2281" t="str">
        <f>HYPERLINK("https://baanknet.com/view-property/275249/A83DB7B2854FA89C05C1EC0E3C4C1ABAB49B0A6DAFEE268B69CD04FC60A39C60", "Open")</f>
        <v>Open</v>
      </c>
      <c r="J2281" t="s">
        <v>3803</v>
      </c>
      <c r="L2281">
        <v>4500000</v>
      </c>
      <c r="M2281">
        <v>450000</v>
      </c>
    </row>
    <row r="2282" spans="1:13" x14ac:dyDescent="0.25">
      <c r="A2282" t="s">
        <v>7787</v>
      </c>
      <c r="B2282" t="s">
        <v>7788</v>
      </c>
      <c r="C2282" t="s">
        <v>726</v>
      </c>
      <c r="D2282" t="s">
        <v>7789</v>
      </c>
      <c r="E2282" t="s">
        <v>7756</v>
      </c>
      <c r="F2282" t="s">
        <v>7757</v>
      </c>
      <c r="G2282" t="s">
        <v>7790</v>
      </c>
      <c r="H2282" t="str">
        <f>HYPERLINK("https://baanknet.com/view-property/246067/8AF83A4B9A940B5F479B51E3448221BB8DD48597CFBC55DD98194FB1223B0F52", "https://baanknet.com/view-property/246067/8AF83A4B9A940B5F479B51E3448221BB8DD48597CFBC55DD98194FB1223B0F52")</f>
        <v>https://baanknet.com/view-property/246067/8AF83A4B9A940B5F479B51E3448221BB8DD48597CFBC55DD98194FB1223B0F52</v>
      </c>
      <c r="I2282" t="str">
        <f>HYPERLINK("https://baanknet.com/view-property/246067/8AF83A4B9A940B5F479B51E3448221BB8DD48597CFBC55DD98194FB1223B0F52", "Open")</f>
        <v>Open</v>
      </c>
      <c r="J2282" t="s">
        <v>3803</v>
      </c>
      <c r="L2282">
        <v>4850000</v>
      </c>
      <c r="M2282">
        <v>485000</v>
      </c>
    </row>
    <row r="2283" spans="1:13" x14ac:dyDescent="0.25">
      <c r="A2283" t="s">
        <v>7791</v>
      </c>
      <c r="B2283" t="s">
        <v>7792</v>
      </c>
      <c r="C2283" t="s">
        <v>15</v>
      </c>
      <c r="D2283" t="s">
        <v>608</v>
      </c>
      <c r="E2283" t="s">
        <v>7756</v>
      </c>
      <c r="F2283" t="s">
        <v>7757</v>
      </c>
      <c r="G2283" t="s">
        <v>7793</v>
      </c>
      <c r="H2283" t="str">
        <f>HYPERLINK("https://baanknet.com/view-property/249132/02D27F43FFF7087D4CDCC039B87C707133B568066EAA2B6D1CF5A6FECAC6CA88", "https://baanknet.com/view-property/249132/02D27F43FFF7087D4CDCC039B87C707133B568066EAA2B6D1CF5A6FECAC6CA88")</f>
        <v>https://baanknet.com/view-property/249132/02D27F43FFF7087D4CDCC039B87C707133B568066EAA2B6D1CF5A6FECAC6CA88</v>
      </c>
      <c r="I2283" t="str">
        <f>HYPERLINK("https://baanknet.com/view-property/249132/02D27F43FFF7087D4CDCC039B87C707133B568066EAA2B6D1CF5A6FECAC6CA88", "Open")</f>
        <v>Open</v>
      </c>
      <c r="J2283" t="s">
        <v>3803</v>
      </c>
      <c r="L2283">
        <v>3500000</v>
      </c>
      <c r="M2283">
        <v>350000</v>
      </c>
    </row>
    <row r="2284" spans="1:13" x14ac:dyDescent="0.25">
      <c r="A2284" t="s">
        <v>7794</v>
      </c>
      <c r="B2284" t="s">
        <v>7795</v>
      </c>
      <c r="C2284" t="s">
        <v>15</v>
      </c>
      <c r="D2284" t="s">
        <v>1246</v>
      </c>
      <c r="E2284" t="s">
        <v>7756</v>
      </c>
      <c r="F2284" t="s">
        <v>7757</v>
      </c>
      <c r="G2284" t="s">
        <v>7796</v>
      </c>
      <c r="H2284" t="str">
        <f>HYPERLINK("https://baanknet.com/view-property/275978/D9B767FB7D6BC5D29373D60046947233DA8806E1B3EA0FB21A9B38D068A75C3A", "https://baanknet.com/view-property/275978/D9B767FB7D6BC5D29373D60046947233DA8806E1B3EA0FB21A9B38D068A75C3A")</f>
        <v>https://baanknet.com/view-property/275978/D9B767FB7D6BC5D29373D60046947233DA8806E1B3EA0FB21A9B38D068A75C3A</v>
      </c>
      <c r="I2284" t="str">
        <f>HYPERLINK("https://baanknet.com/view-property/275978/D9B767FB7D6BC5D29373D60046947233DA8806E1B3EA0FB21A9B38D068A75C3A", "Open")</f>
        <v>Open</v>
      </c>
      <c r="J2284" t="s">
        <v>3803</v>
      </c>
      <c r="L2284">
        <v>3000000</v>
      </c>
      <c r="M2284">
        <v>300000</v>
      </c>
    </row>
    <row r="2285" spans="1:13" x14ac:dyDescent="0.25">
      <c r="A2285" t="s">
        <v>7797</v>
      </c>
      <c r="B2285" t="s">
        <v>7798</v>
      </c>
      <c r="C2285" t="s">
        <v>15</v>
      </c>
      <c r="D2285" t="s">
        <v>1246</v>
      </c>
      <c r="E2285" t="s">
        <v>7756</v>
      </c>
      <c r="F2285" t="s">
        <v>7757</v>
      </c>
      <c r="G2285" t="s">
        <v>7799</v>
      </c>
      <c r="H2285" t="str">
        <f>HYPERLINK("https://baanknet.com/view-property/275980/BCA5DD721918D263B0A6337E3D856548EC759284B7B71502B05EE6C2ABB65A58", "https://baanknet.com/view-property/275980/BCA5DD721918D263B0A6337E3D856548EC759284B7B71502B05EE6C2ABB65A58")</f>
        <v>https://baanknet.com/view-property/275980/BCA5DD721918D263B0A6337E3D856548EC759284B7B71502B05EE6C2ABB65A58</v>
      </c>
      <c r="I2285" t="str">
        <f>HYPERLINK("https://baanknet.com/view-property/275980/BCA5DD721918D263B0A6337E3D856548EC759284B7B71502B05EE6C2ABB65A58", "Open")</f>
        <v>Open</v>
      </c>
      <c r="J2285" t="s">
        <v>3803</v>
      </c>
      <c r="L2285">
        <v>3000000</v>
      </c>
      <c r="M2285">
        <v>300000</v>
      </c>
    </row>
    <row r="2286" spans="1:13" x14ac:dyDescent="0.25">
      <c r="A2286" t="s">
        <v>7800</v>
      </c>
      <c r="B2286" t="s">
        <v>7801</v>
      </c>
      <c r="C2286" t="s">
        <v>15</v>
      </c>
      <c r="D2286" t="s">
        <v>7802</v>
      </c>
      <c r="E2286" t="s">
        <v>7756</v>
      </c>
      <c r="F2286" t="s">
        <v>7757</v>
      </c>
      <c r="G2286" t="s">
        <v>7803</v>
      </c>
      <c r="H2286" t="str">
        <f>HYPERLINK("https://baanknet.com/view-property/265674/7EC3408E877FEDAD276056A6EA5226DDDD97697B46C271FC37C430BB0C6B9071", "https://baanknet.com/view-property/265674/7EC3408E877FEDAD276056A6EA5226DDDD97697B46C271FC37C430BB0C6B9071")</f>
        <v>https://baanknet.com/view-property/265674/7EC3408E877FEDAD276056A6EA5226DDDD97697B46C271FC37C430BB0C6B9071</v>
      </c>
      <c r="I2286" t="str">
        <f>HYPERLINK("https://baanknet.com/view-property/265674/7EC3408E877FEDAD276056A6EA5226DDDD97697B46C271FC37C430BB0C6B9071", "Open")</f>
        <v>Open</v>
      </c>
      <c r="J2286" t="s">
        <v>3803</v>
      </c>
      <c r="L2286">
        <v>4350000</v>
      </c>
      <c r="M2286">
        <v>435000</v>
      </c>
    </row>
    <row r="2287" spans="1:13" x14ac:dyDescent="0.25">
      <c r="A2287" t="s">
        <v>7804</v>
      </c>
      <c r="B2287" t="s">
        <v>7805</v>
      </c>
      <c r="C2287" t="s">
        <v>15</v>
      </c>
      <c r="D2287" t="s">
        <v>7802</v>
      </c>
      <c r="E2287" t="s">
        <v>7756</v>
      </c>
      <c r="F2287" t="s">
        <v>7757</v>
      </c>
      <c r="G2287" t="s">
        <v>7806</v>
      </c>
      <c r="H2287" t="str">
        <f>HYPERLINK("https://baanknet.com/view-property/265682/A6D86DD18319A213184A93E20AF62682CE0C39DFD925F7F950181C9AF96817B4", "https://baanknet.com/view-property/265682/A6D86DD18319A213184A93E20AF62682CE0C39DFD925F7F950181C9AF96817B4")</f>
        <v>https://baanknet.com/view-property/265682/A6D86DD18319A213184A93E20AF62682CE0C39DFD925F7F950181C9AF96817B4</v>
      </c>
      <c r="I2287" t="str">
        <f>HYPERLINK("https://baanknet.com/view-property/265682/A6D86DD18319A213184A93E20AF62682CE0C39DFD925F7F950181C9AF96817B4", "Open")</f>
        <v>Open</v>
      </c>
      <c r="J2287" t="s">
        <v>3803</v>
      </c>
      <c r="L2287">
        <v>5350000</v>
      </c>
      <c r="M2287">
        <v>535000</v>
      </c>
    </row>
    <row r="2288" spans="1:13" x14ac:dyDescent="0.25">
      <c r="A2288" t="s">
        <v>7807</v>
      </c>
      <c r="B2288" t="s">
        <v>7808</v>
      </c>
      <c r="C2288" t="s">
        <v>15</v>
      </c>
      <c r="D2288" t="s">
        <v>4420</v>
      </c>
      <c r="E2288" t="s">
        <v>7756</v>
      </c>
      <c r="F2288" t="s">
        <v>7757</v>
      </c>
      <c r="G2288" t="s">
        <v>7809</v>
      </c>
      <c r="H2288" t="str">
        <f>HYPERLINK("https://baanknet.com/view-property/244233/07853F80428D399D1E64A165E814D2F2996C26A15D0F01840C143D750964015E", "https://baanknet.com/view-property/244233/07853F80428D399D1E64A165E814D2F2996C26A15D0F01840C143D750964015E")</f>
        <v>https://baanknet.com/view-property/244233/07853F80428D399D1E64A165E814D2F2996C26A15D0F01840C143D750964015E</v>
      </c>
      <c r="I2288" t="str">
        <f>HYPERLINK("https://baanknet.com/view-property/244233/07853F80428D399D1E64A165E814D2F2996C26A15D0F01840C143D750964015E", "Open")</f>
        <v>Open</v>
      </c>
      <c r="J2288" t="s">
        <v>3803</v>
      </c>
      <c r="L2288">
        <v>2800000</v>
      </c>
      <c r="M2288">
        <v>280000</v>
      </c>
    </row>
    <row r="2289" spans="1:13" x14ac:dyDescent="0.25">
      <c r="A2289" t="s">
        <v>7810</v>
      </c>
      <c r="B2289" t="s">
        <v>7811</v>
      </c>
      <c r="C2289" t="s">
        <v>15</v>
      </c>
      <c r="D2289" t="s">
        <v>1246</v>
      </c>
      <c r="E2289" t="s">
        <v>7756</v>
      </c>
      <c r="F2289" t="s">
        <v>7757</v>
      </c>
      <c r="G2289" t="s">
        <v>7812</v>
      </c>
      <c r="H2289" t="str">
        <f>HYPERLINK("https://baanknet.com/view-property/275136/723A77EDA72BC335B7636CCF51BF84A9BB97B73A00000FDFD0FF2B4D73131E7D", "https://baanknet.com/view-property/275136/723A77EDA72BC335B7636CCF51BF84A9BB97B73A00000FDFD0FF2B4D73131E7D")</f>
        <v>https://baanknet.com/view-property/275136/723A77EDA72BC335B7636CCF51BF84A9BB97B73A00000FDFD0FF2B4D73131E7D</v>
      </c>
      <c r="I2289" t="str">
        <f>HYPERLINK("https://baanknet.com/view-property/275136/723A77EDA72BC335B7636CCF51BF84A9BB97B73A00000FDFD0FF2B4D73131E7D", "Open")</f>
        <v>Open</v>
      </c>
      <c r="J2289" t="s">
        <v>3803</v>
      </c>
      <c r="L2289">
        <v>2850000</v>
      </c>
      <c r="M2289">
        <v>285000</v>
      </c>
    </row>
    <row r="2290" spans="1:13" x14ac:dyDescent="0.25">
      <c r="A2290" t="s">
        <v>7813</v>
      </c>
      <c r="B2290" t="s">
        <v>7814</v>
      </c>
      <c r="C2290" t="s">
        <v>15</v>
      </c>
      <c r="D2290" t="s">
        <v>1246</v>
      </c>
      <c r="E2290" t="s">
        <v>7756</v>
      </c>
      <c r="F2290" t="s">
        <v>7757</v>
      </c>
      <c r="G2290" t="s">
        <v>7815</v>
      </c>
      <c r="H2290" t="str">
        <f>HYPERLINK("https://baanknet.com/view-property/248342/53696B2550C383441DC7F3EA1283A065387574B57B34C237D34E06753ADFA8CA", "https://baanknet.com/view-property/248342/53696B2550C383441DC7F3EA1283A065387574B57B34C237D34E06753ADFA8CA")</f>
        <v>https://baanknet.com/view-property/248342/53696B2550C383441DC7F3EA1283A065387574B57B34C237D34E06753ADFA8CA</v>
      </c>
      <c r="I2290" t="str">
        <f>HYPERLINK("https://baanknet.com/view-property/248342/53696B2550C383441DC7F3EA1283A065387574B57B34C237D34E06753ADFA8CA", "Open")</f>
        <v>Open</v>
      </c>
      <c r="J2290" t="s">
        <v>3803</v>
      </c>
      <c r="L2290">
        <v>3150000</v>
      </c>
      <c r="M2290">
        <v>315000</v>
      </c>
    </row>
    <row r="2291" spans="1:13" x14ac:dyDescent="0.25">
      <c r="A2291" t="s">
        <v>7816</v>
      </c>
      <c r="B2291" t="s">
        <v>7817</v>
      </c>
      <c r="C2291" t="s">
        <v>15</v>
      </c>
      <c r="D2291" t="s">
        <v>7818</v>
      </c>
      <c r="E2291" t="s">
        <v>7756</v>
      </c>
      <c r="F2291" t="s">
        <v>7757</v>
      </c>
      <c r="G2291" t="s">
        <v>7819</v>
      </c>
      <c r="H2291" t="str">
        <f>HYPERLINK("https://baanknet.com/view-property/244327/91CF1AB4C23B77C1790FC0BE45F09D44A3CAC0BDFAE2ECEF91A4D624D4753D1C", "https://baanknet.com/view-property/244327/91CF1AB4C23B77C1790FC0BE45F09D44A3CAC0BDFAE2ECEF91A4D624D4753D1C")</f>
        <v>https://baanknet.com/view-property/244327/91CF1AB4C23B77C1790FC0BE45F09D44A3CAC0BDFAE2ECEF91A4D624D4753D1C</v>
      </c>
      <c r="I2291" t="str">
        <f>HYPERLINK("https://baanknet.com/view-property/244327/91CF1AB4C23B77C1790FC0BE45F09D44A3CAC0BDFAE2ECEF91A4D624D4753D1C", "Open")</f>
        <v>Open</v>
      </c>
      <c r="J2291" t="s">
        <v>3803</v>
      </c>
      <c r="L2291">
        <v>3000000</v>
      </c>
      <c r="M2291">
        <v>300000</v>
      </c>
    </row>
    <row r="2292" spans="1:13" x14ac:dyDescent="0.25">
      <c r="A2292" t="s">
        <v>7820</v>
      </c>
      <c r="B2292" t="s">
        <v>7821</v>
      </c>
      <c r="C2292" t="s">
        <v>15</v>
      </c>
      <c r="D2292" t="s">
        <v>7818</v>
      </c>
      <c r="E2292" t="s">
        <v>7756</v>
      </c>
      <c r="F2292" t="s">
        <v>7757</v>
      </c>
      <c r="G2292" t="s">
        <v>7822</v>
      </c>
      <c r="H2292" t="str">
        <f>HYPERLINK("https://baanknet.com/view-property/244328/D3490EEDEF4268FAFE3F131433BA8572B564DE6D640C2755A31C2576E0C8099A", "https://baanknet.com/view-property/244328/D3490EEDEF4268FAFE3F131433BA8572B564DE6D640C2755A31C2576E0C8099A")</f>
        <v>https://baanknet.com/view-property/244328/D3490EEDEF4268FAFE3F131433BA8572B564DE6D640C2755A31C2576E0C8099A</v>
      </c>
      <c r="I2292" t="str">
        <f>HYPERLINK("https://baanknet.com/view-property/244328/D3490EEDEF4268FAFE3F131433BA8572B564DE6D640C2755A31C2576E0C8099A", "Open")</f>
        <v>Open</v>
      </c>
      <c r="J2292" t="s">
        <v>3803</v>
      </c>
      <c r="L2292">
        <v>3200000</v>
      </c>
      <c r="M2292">
        <v>320000</v>
      </c>
    </row>
    <row r="2293" spans="1:13" x14ac:dyDescent="0.25">
      <c r="A2293" t="s">
        <v>7823</v>
      </c>
      <c r="B2293" t="s">
        <v>7824</v>
      </c>
      <c r="C2293" t="s">
        <v>15</v>
      </c>
      <c r="D2293" t="s">
        <v>7818</v>
      </c>
      <c r="E2293" t="s">
        <v>7756</v>
      </c>
      <c r="F2293" t="s">
        <v>7757</v>
      </c>
      <c r="G2293" t="s">
        <v>7825</v>
      </c>
      <c r="H2293" t="str">
        <f>HYPERLINK("https://baanknet.com/view-property/244338/D8608710954E8144AC10B7950580099787560D3E19ABF3E599FFAE8BA96CE4EE", "https://baanknet.com/view-property/244338/D8608710954E8144AC10B7950580099787560D3E19ABF3E599FFAE8BA96CE4EE")</f>
        <v>https://baanknet.com/view-property/244338/D8608710954E8144AC10B7950580099787560D3E19ABF3E599FFAE8BA96CE4EE</v>
      </c>
      <c r="I2293" t="str">
        <f>HYPERLINK("https://baanknet.com/view-property/244338/D8608710954E8144AC10B7950580099787560D3E19ABF3E599FFAE8BA96CE4EE", "Open")</f>
        <v>Open</v>
      </c>
      <c r="J2293" t="s">
        <v>3803</v>
      </c>
      <c r="L2293">
        <v>1900000</v>
      </c>
      <c r="M2293">
        <v>190000</v>
      </c>
    </row>
    <row r="2294" spans="1:13" x14ac:dyDescent="0.25">
      <c r="A2294" t="s">
        <v>7826</v>
      </c>
      <c r="B2294" t="s">
        <v>7827</v>
      </c>
      <c r="C2294" t="s">
        <v>15</v>
      </c>
      <c r="D2294" t="s">
        <v>7828</v>
      </c>
      <c r="E2294" t="s">
        <v>7756</v>
      </c>
      <c r="F2294" t="s">
        <v>7757</v>
      </c>
      <c r="G2294" t="s">
        <v>7829</v>
      </c>
      <c r="H2294" t="str">
        <f>HYPERLINK("https://baanknet.com/view-property/242853/674890F5E725E228D8A9707787B44496A207F2D7DEB140D61E36262410DD0993", "https://baanknet.com/view-property/242853/674890F5E725E228D8A9707787B44496A207F2D7DEB140D61E36262410DD0993")</f>
        <v>https://baanknet.com/view-property/242853/674890F5E725E228D8A9707787B44496A207F2D7DEB140D61E36262410DD0993</v>
      </c>
      <c r="I2294" t="str">
        <f>HYPERLINK("https://baanknet.com/view-property/242853/674890F5E725E228D8A9707787B44496A207F2D7DEB140D61E36262410DD0993", "Open")</f>
        <v>Open</v>
      </c>
      <c r="J2294" t="s">
        <v>3803</v>
      </c>
      <c r="L2294">
        <v>1600000</v>
      </c>
      <c r="M2294">
        <v>160000</v>
      </c>
    </row>
    <row r="2295" spans="1:13" x14ac:dyDescent="0.25">
      <c r="A2295" t="s">
        <v>7830</v>
      </c>
      <c r="B2295" t="s">
        <v>7831</v>
      </c>
      <c r="C2295" t="s">
        <v>15</v>
      </c>
      <c r="D2295" t="s">
        <v>7832</v>
      </c>
      <c r="E2295" t="s">
        <v>7756</v>
      </c>
      <c r="F2295" t="s">
        <v>7757</v>
      </c>
      <c r="G2295" t="s">
        <v>7833</v>
      </c>
      <c r="H2295" t="str">
        <f>HYPERLINK("https://baanknet.com/view-property/266598/3B785FF139CE2771EC3FD48934D514700B181B6F34AC31128098ED7FC72EEF05", "https://baanknet.com/view-property/266598/3B785FF139CE2771EC3FD48934D514700B181B6F34AC31128098ED7FC72EEF05")</f>
        <v>https://baanknet.com/view-property/266598/3B785FF139CE2771EC3FD48934D514700B181B6F34AC31128098ED7FC72EEF05</v>
      </c>
      <c r="I2295" t="str">
        <f>HYPERLINK("https://baanknet.com/view-property/266598/3B785FF139CE2771EC3FD48934D514700B181B6F34AC31128098ED7FC72EEF05", "Open")</f>
        <v>Open</v>
      </c>
      <c r="J2295" t="s">
        <v>3803</v>
      </c>
      <c r="L2295">
        <v>6000000</v>
      </c>
      <c r="M2295">
        <v>600000</v>
      </c>
    </row>
    <row r="2296" spans="1:13" x14ac:dyDescent="0.25">
      <c r="A2296" t="s">
        <v>7834</v>
      </c>
      <c r="B2296" t="s">
        <v>7835</v>
      </c>
      <c r="C2296" t="s">
        <v>15</v>
      </c>
      <c r="D2296" t="s">
        <v>5025</v>
      </c>
      <c r="E2296" t="s">
        <v>7756</v>
      </c>
      <c r="F2296" t="s">
        <v>7757</v>
      </c>
      <c r="G2296" t="s">
        <v>7836</v>
      </c>
      <c r="H2296" t="str">
        <f>HYPERLINK("https://baanknet.com/view-property/192326/FFFC48905AF0388CA349300228372AEC6B1020A0518F18E6D5DCA435C7E00487", "https://baanknet.com/view-property/192326/FFFC48905AF0388CA349300228372AEC6B1020A0518F18E6D5DCA435C7E00487")</f>
        <v>https://baanknet.com/view-property/192326/FFFC48905AF0388CA349300228372AEC6B1020A0518F18E6D5DCA435C7E00487</v>
      </c>
      <c r="I2296" t="str">
        <f>HYPERLINK("https://baanknet.com/view-property/192326/FFFC48905AF0388CA349300228372AEC6B1020A0518F18E6D5DCA435C7E00487", "Open")</f>
        <v>Open</v>
      </c>
      <c r="J2296" t="s">
        <v>3803</v>
      </c>
      <c r="L2296">
        <v>10000000</v>
      </c>
      <c r="M2296">
        <v>1000000</v>
      </c>
    </row>
    <row r="2297" spans="1:13" x14ac:dyDescent="0.25">
      <c r="A2297" t="s">
        <v>7837</v>
      </c>
      <c r="B2297" t="s">
        <v>7838</v>
      </c>
      <c r="C2297" t="s">
        <v>15</v>
      </c>
      <c r="D2297" t="s">
        <v>7839</v>
      </c>
      <c r="E2297" t="s">
        <v>7756</v>
      </c>
      <c r="F2297" t="s">
        <v>7757</v>
      </c>
      <c r="G2297" t="s">
        <v>7840</v>
      </c>
      <c r="H2297" t="str">
        <f>HYPERLINK("https://baanknet.com/view-property/280470/DA2A52D76DD532D90557E50F6D269011E959FEB02DC72B3625BBB67C0EAA321B", "https://baanknet.com/view-property/280470/DA2A52D76DD532D90557E50F6D269011E959FEB02DC72B3625BBB67C0EAA321B")</f>
        <v>https://baanknet.com/view-property/280470/DA2A52D76DD532D90557E50F6D269011E959FEB02DC72B3625BBB67C0EAA321B</v>
      </c>
      <c r="I2297" t="str">
        <f>HYPERLINK("https://baanknet.com/view-property/280470/DA2A52D76DD532D90557E50F6D269011E959FEB02DC72B3625BBB67C0EAA321B", "Open")</f>
        <v>Open</v>
      </c>
      <c r="J2297" t="s">
        <v>3803</v>
      </c>
      <c r="L2297">
        <v>1650000</v>
      </c>
      <c r="M2297">
        <v>165000</v>
      </c>
    </row>
    <row r="2298" spans="1:13" x14ac:dyDescent="0.25">
      <c r="A2298" t="s">
        <v>7841</v>
      </c>
      <c r="B2298" t="s">
        <v>7842</v>
      </c>
      <c r="C2298" t="s">
        <v>15</v>
      </c>
      <c r="D2298" t="s">
        <v>3968</v>
      </c>
      <c r="E2298" t="s">
        <v>7756</v>
      </c>
      <c r="F2298" t="s">
        <v>7757</v>
      </c>
      <c r="G2298" t="s">
        <v>7843</v>
      </c>
      <c r="H2298" t="str">
        <f>HYPERLINK("https://baanknet.com/view-property/192305/AC2E9B313E50401689FA61AD6279885392EB222B17B5F39BCA57584C393A9FDF", "https://baanknet.com/view-property/192305/AC2E9B313E50401689FA61AD6279885392EB222B17B5F39BCA57584C393A9FDF")</f>
        <v>https://baanknet.com/view-property/192305/AC2E9B313E50401689FA61AD6279885392EB222B17B5F39BCA57584C393A9FDF</v>
      </c>
      <c r="I2298" t="str">
        <f>HYPERLINK("https://baanknet.com/view-property/192305/AC2E9B313E50401689FA61AD6279885392EB222B17B5F39BCA57584C393A9FDF", "Open")</f>
        <v>Open</v>
      </c>
      <c r="J2298" t="s">
        <v>3803</v>
      </c>
      <c r="L2298">
        <v>22500000</v>
      </c>
      <c r="M2298">
        <v>2250000</v>
      </c>
    </row>
    <row r="2299" spans="1:13" x14ac:dyDescent="0.25">
      <c r="A2299" t="s">
        <v>7844</v>
      </c>
      <c r="B2299" t="s">
        <v>7845</v>
      </c>
      <c r="C2299" t="s">
        <v>15</v>
      </c>
      <c r="D2299" t="s">
        <v>3558</v>
      </c>
      <c r="E2299" t="s">
        <v>7756</v>
      </c>
      <c r="F2299" t="s">
        <v>7757</v>
      </c>
      <c r="G2299" t="s">
        <v>7846</v>
      </c>
      <c r="H2299" t="str">
        <f>HYPERLINK("https://baanknet.com/view-property/254579/D7756C482924B1C0A96A19817C29D9EDE30B444B180293D1DC14650F6C77F183", "https://baanknet.com/view-property/254579/D7756C482924B1C0A96A19817C29D9EDE30B444B180293D1DC14650F6C77F183")</f>
        <v>https://baanknet.com/view-property/254579/D7756C482924B1C0A96A19817C29D9EDE30B444B180293D1DC14650F6C77F183</v>
      </c>
      <c r="I2299" t="str">
        <f>HYPERLINK("https://baanknet.com/view-property/254579/D7756C482924B1C0A96A19817C29D9EDE30B444B180293D1DC14650F6C77F183", "Open")</f>
        <v>Open</v>
      </c>
      <c r="J2299" t="s">
        <v>3803</v>
      </c>
      <c r="L2299">
        <v>2000000</v>
      </c>
      <c r="M2299">
        <v>200000</v>
      </c>
    </row>
    <row r="2300" spans="1:13" x14ac:dyDescent="0.25">
      <c r="A2300" t="s">
        <v>7847</v>
      </c>
      <c r="B2300" t="s">
        <v>7848</v>
      </c>
      <c r="C2300" t="s">
        <v>15</v>
      </c>
      <c r="D2300" t="s">
        <v>7849</v>
      </c>
      <c r="E2300" t="s">
        <v>7756</v>
      </c>
      <c r="F2300" t="s">
        <v>7757</v>
      </c>
      <c r="G2300" t="s">
        <v>7850</v>
      </c>
      <c r="H2300" t="str">
        <f>HYPERLINK("https://baanknet.com/view-property/214785/3F9F1F2C79D6AD39A0B0EADDE49B07E409491896B6147AA0007C310EA529BB7C", "https://baanknet.com/view-property/214785/3F9F1F2C79D6AD39A0B0EADDE49B07E409491896B6147AA0007C310EA529BB7C")</f>
        <v>https://baanknet.com/view-property/214785/3F9F1F2C79D6AD39A0B0EADDE49B07E409491896B6147AA0007C310EA529BB7C</v>
      </c>
      <c r="I2300" t="str">
        <f>HYPERLINK("https://baanknet.com/view-property/214785/3F9F1F2C79D6AD39A0B0EADDE49B07E409491896B6147AA0007C310EA529BB7C", "Open")</f>
        <v>Open</v>
      </c>
      <c r="J2300" t="s">
        <v>3803</v>
      </c>
      <c r="L2300">
        <v>125000</v>
      </c>
      <c r="M2300">
        <v>12500</v>
      </c>
    </row>
    <row r="2301" spans="1:13" x14ac:dyDescent="0.25">
      <c r="A2301" t="s">
        <v>7851</v>
      </c>
      <c r="B2301" t="s">
        <v>7852</v>
      </c>
      <c r="C2301" t="s">
        <v>15</v>
      </c>
      <c r="D2301" t="s">
        <v>7853</v>
      </c>
      <c r="E2301" t="s">
        <v>7756</v>
      </c>
      <c r="F2301" t="s">
        <v>7757</v>
      </c>
      <c r="G2301" t="s">
        <v>7854</v>
      </c>
      <c r="H2301" t="str">
        <f>HYPERLINK("https://baanknet.com/view-property/248731/5DE34AA36AB07B4008E5B098DE5845F3A18BF988CDA6B5FD82541F0CBCF35A9E", "https://baanknet.com/view-property/248731/5DE34AA36AB07B4008E5B098DE5845F3A18BF988CDA6B5FD82541F0CBCF35A9E")</f>
        <v>https://baanknet.com/view-property/248731/5DE34AA36AB07B4008E5B098DE5845F3A18BF988CDA6B5FD82541F0CBCF35A9E</v>
      </c>
      <c r="I2301" t="str">
        <f>HYPERLINK("https://baanknet.com/view-property/248731/5DE34AA36AB07B4008E5B098DE5845F3A18BF988CDA6B5FD82541F0CBCF35A9E", "Open")</f>
        <v>Open</v>
      </c>
      <c r="J2301" t="s">
        <v>3803</v>
      </c>
      <c r="L2301">
        <v>4800000</v>
      </c>
      <c r="M2301">
        <v>480000</v>
      </c>
    </row>
    <row r="2302" spans="1:13" x14ac:dyDescent="0.25">
      <c r="A2302" t="s">
        <v>7855</v>
      </c>
      <c r="B2302" t="s">
        <v>7856</v>
      </c>
      <c r="C2302" t="s">
        <v>15</v>
      </c>
      <c r="D2302" t="s">
        <v>7857</v>
      </c>
      <c r="E2302" t="s">
        <v>7756</v>
      </c>
      <c r="F2302" t="s">
        <v>7757</v>
      </c>
      <c r="G2302" t="s">
        <v>7858</v>
      </c>
      <c r="H2302" t="str">
        <f>HYPERLINK("https://baanknet.com/view-property/247816/92B9BCEBF1FC4FD57423F07FB0909CDFCCBAB2CA3C22FE032D43A8AF0D31DB8C", "https://baanknet.com/view-property/247816/92B9BCEBF1FC4FD57423F07FB0909CDFCCBAB2CA3C22FE032D43A8AF0D31DB8C")</f>
        <v>https://baanknet.com/view-property/247816/92B9BCEBF1FC4FD57423F07FB0909CDFCCBAB2CA3C22FE032D43A8AF0D31DB8C</v>
      </c>
      <c r="I2302" t="str">
        <f>HYPERLINK("https://baanknet.com/view-property/247816/92B9BCEBF1FC4FD57423F07FB0909CDFCCBAB2CA3C22FE032D43A8AF0D31DB8C", "Open")</f>
        <v>Open</v>
      </c>
      <c r="J2302" t="s">
        <v>3803</v>
      </c>
      <c r="L2302">
        <v>4860000</v>
      </c>
      <c r="M2302">
        <v>486000</v>
      </c>
    </row>
    <row r="2303" spans="1:13" x14ac:dyDescent="0.25">
      <c r="A2303" t="s">
        <v>7859</v>
      </c>
      <c r="B2303" t="s">
        <v>7860</v>
      </c>
      <c r="C2303" t="s">
        <v>15</v>
      </c>
      <c r="D2303" t="s">
        <v>3968</v>
      </c>
      <c r="E2303" t="s">
        <v>7756</v>
      </c>
      <c r="F2303" t="s">
        <v>7757</v>
      </c>
      <c r="G2303" t="s">
        <v>7861</v>
      </c>
      <c r="H2303" t="str">
        <f>HYPERLINK("https://baanknet.com/view-property/198074/CBF10D54B07F9D4A1C6118D51F3B41C81592FF972D4B925A0C8847D7D8F7FD75", "https://baanknet.com/view-property/198074/CBF10D54B07F9D4A1C6118D51F3B41C81592FF972D4B925A0C8847D7D8F7FD75")</f>
        <v>https://baanknet.com/view-property/198074/CBF10D54B07F9D4A1C6118D51F3B41C81592FF972D4B925A0C8847D7D8F7FD75</v>
      </c>
      <c r="I2303" t="str">
        <f>HYPERLINK("https://baanknet.com/view-property/198074/CBF10D54B07F9D4A1C6118D51F3B41C81592FF972D4B925A0C8847D7D8F7FD75", "Open")</f>
        <v>Open</v>
      </c>
      <c r="J2303" t="s">
        <v>3803</v>
      </c>
      <c r="L2303">
        <v>6300000</v>
      </c>
      <c r="M2303">
        <v>630000</v>
      </c>
    </row>
    <row r="2304" spans="1:13" x14ac:dyDescent="0.25">
      <c r="A2304" t="s">
        <v>7862</v>
      </c>
      <c r="B2304" t="s">
        <v>7863</v>
      </c>
      <c r="C2304" t="s">
        <v>15</v>
      </c>
      <c r="D2304" t="s">
        <v>3670</v>
      </c>
      <c r="E2304" t="s">
        <v>7756</v>
      </c>
      <c r="F2304" t="s">
        <v>7757</v>
      </c>
      <c r="G2304" t="s">
        <v>7864</v>
      </c>
      <c r="H2304" t="str">
        <f>HYPERLINK("https://baanknet.com/view-property/270741/D556F3E6F15398ADE2278469F36355B2B757212C516001457DB721E3FC5684F9", "https://baanknet.com/view-property/270741/D556F3E6F15398ADE2278469F36355B2B757212C516001457DB721E3FC5684F9")</f>
        <v>https://baanknet.com/view-property/270741/D556F3E6F15398ADE2278469F36355B2B757212C516001457DB721E3FC5684F9</v>
      </c>
      <c r="I2304" t="str">
        <f>HYPERLINK("https://baanknet.com/view-property/270741/D556F3E6F15398ADE2278469F36355B2B757212C516001457DB721E3FC5684F9", "Open")</f>
        <v>Open</v>
      </c>
      <c r="J2304" t="s">
        <v>3803</v>
      </c>
      <c r="L2304">
        <v>2240000</v>
      </c>
      <c r="M2304">
        <v>224000</v>
      </c>
    </row>
    <row r="2305" spans="1:13" x14ac:dyDescent="0.25">
      <c r="A2305" t="s">
        <v>7865</v>
      </c>
      <c r="B2305" t="s">
        <v>7866</v>
      </c>
      <c r="C2305" t="s">
        <v>15</v>
      </c>
      <c r="D2305" t="s">
        <v>7867</v>
      </c>
      <c r="E2305" t="s">
        <v>7756</v>
      </c>
      <c r="F2305" t="s">
        <v>7757</v>
      </c>
      <c r="G2305" t="s">
        <v>7868</v>
      </c>
      <c r="H2305" t="str">
        <f>HYPERLINK("https://baanknet.com/view-property/266311/3DE2CD62B5675BC5194DC11F047D8922C95DF7067496AC3E6EECCCC52BE0F3B4", "https://baanknet.com/view-property/266311/3DE2CD62B5675BC5194DC11F047D8922C95DF7067496AC3E6EECCCC52BE0F3B4")</f>
        <v>https://baanknet.com/view-property/266311/3DE2CD62B5675BC5194DC11F047D8922C95DF7067496AC3E6EECCCC52BE0F3B4</v>
      </c>
      <c r="I2305" t="str">
        <f>HYPERLINK("https://baanknet.com/view-property/266311/3DE2CD62B5675BC5194DC11F047D8922C95DF7067496AC3E6EECCCC52BE0F3B4", "Open")</f>
        <v>Open</v>
      </c>
      <c r="J2305" t="s">
        <v>3803</v>
      </c>
      <c r="L2305">
        <v>1550000</v>
      </c>
      <c r="M2305">
        <v>155000</v>
      </c>
    </row>
    <row r="2306" spans="1:13" x14ac:dyDescent="0.25">
      <c r="A2306" t="s">
        <v>7869</v>
      </c>
      <c r="B2306" t="s">
        <v>7870</v>
      </c>
      <c r="C2306" t="s">
        <v>15</v>
      </c>
      <c r="D2306" t="s">
        <v>5032</v>
      </c>
      <c r="E2306" t="s">
        <v>7756</v>
      </c>
      <c r="F2306" t="s">
        <v>7757</v>
      </c>
      <c r="G2306" t="s">
        <v>7871</v>
      </c>
      <c r="H2306" t="str">
        <f>HYPERLINK("https://baanknet.com/view-property/198214/A4B7161EEFF0D591FA7C0317E31DFC55996D402BEE25B0C74899D654F5C42DBA", "https://baanknet.com/view-property/198214/A4B7161EEFF0D591FA7C0317E31DFC55996D402BEE25B0C74899D654F5C42DBA")</f>
        <v>https://baanknet.com/view-property/198214/A4B7161EEFF0D591FA7C0317E31DFC55996D402BEE25B0C74899D654F5C42DBA</v>
      </c>
      <c r="I2306" t="str">
        <f>HYPERLINK("https://baanknet.com/view-property/198214/A4B7161EEFF0D591FA7C0317E31DFC55996D402BEE25B0C74899D654F5C42DBA", "Open")</f>
        <v>Open</v>
      </c>
      <c r="J2306" t="s">
        <v>3803</v>
      </c>
      <c r="L2306">
        <v>6480000</v>
      </c>
      <c r="M2306">
        <v>648000</v>
      </c>
    </row>
    <row r="2307" spans="1:13" x14ac:dyDescent="0.25">
      <c r="A2307" t="s">
        <v>7872</v>
      </c>
      <c r="B2307" t="s">
        <v>7873</v>
      </c>
      <c r="C2307" t="s">
        <v>15</v>
      </c>
      <c r="D2307" t="s">
        <v>3968</v>
      </c>
      <c r="E2307" t="s">
        <v>7756</v>
      </c>
      <c r="F2307" t="s">
        <v>7757</v>
      </c>
      <c r="G2307" t="s">
        <v>7874</v>
      </c>
      <c r="H2307" t="str">
        <f>HYPERLINK("https://baanknet.com/view-property/186883/3B3E1B6E8ECC470B7E5A899A3BAE986D6EFA881EC960F350459C93104E920B76", "https://baanknet.com/view-property/186883/3B3E1B6E8ECC470B7E5A899A3BAE986D6EFA881EC960F350459C93104E920B76")</f>
        <v>https://baanknet.com/view-property/186883/3B3E1B6E8ECC470B7E5A899A3BAE986D6EFA881EC960F350459C93104E920B76</v>
      </c>
      <c r="I2307" t="str">
        <f>HYPERLINK("https://baanknet.com/view-property/186883/3B3E1B6E8ECC470B7E5A899A3BAE986D6EFA881EC960F350459C93104E920B76", "Open")</f>
        <v>Open</v>
      </c>
      <c r="J2307" t="s">
        <v>3803</v>
      </c>
      <c r="L2307">
        <v>1100000</v>
      </c>
      <c r="M2307">
        <v>110000</v>
      </c>
    </row>
    <row r="2308" spans="1:13" x14ac:dyDescent="0.25">
      <c r="A2308" t="s">
        <v>7875</v>
      </c>
      <c r="B2308" t="s">
        <v>7876</v>
      </c>
      <c r="C2308" t="s">
        <v>15</v>
      </c>
      <c r="D2308" t="s">
        <v>7867</v>
      </c>
      <c r="E2308" t="s">
        <v>7756</v>
      </c>
      <c r="F2308" t="s">
        <v>7757</v>
      </c>
      <c r="G2308" t="s">
        <v>7877</v>
      </c>
      <c r="H2308" t="str">
        <f>HYPERLINK("https://baanknet.com/view-property/191887/2C1114D7427C9820C67DA5314217EB9D8E1116E3A74C372B54E6FB135AC2F0C7", "https://baanknet.com/view-property/191887/2C1114D7427C9820C67DA5314217EB9D8E1116E3A74C372B54E6FB135AC2F0C7")</f>
        <v>https://baanknet.com/view-property/191887/2C1114D7427C9820C67DA5314217EB9D8E1116E3A74C372B54E6FB135AC2F0C7</v>
      </c>
      <c r="I2308" t="str">
        <f>HYPERLINK("https://baanknet.com/view-property/191887/2C1114D7427C9820C67DA5314217EB9D8E1116E3A74C372B54E6FB135AC2F0C7", "Open")</f>
        <v>Open</v>
      </c>
      <c r="J2308" t="s">
        <v>3803</v>
      </c>
      <c r="L2308">
        <v>1050000</v>
      </c>
      <c r="M2308">
        <v>105000</v>
      </c>
    </row>
    <row r="2309" spans="1:13" x14ac:dyDescent="0.25">
      <c r="A2309" t="s">
        <v>7878</v>
      </c>
      <c r="B2309" t="s">
        <v>7879</v>
      </c>
      <c r="C2309" t="s">
        <v>15</v>
      </c>
      <c r="D2309" t="s">
        <v>3968</v>
      </c>
      <c r="E2309" t="s">
        <v>7756</v>
      </c>
      <c r="F2309" t="s">
        <v>7757</v>
      </c>
      <c r="G2309" t="s">
        <v>7880</v>
      </c>
      <c r="H2309" t="str">
        <f>HYPERLINK("https://baanknet.com/view-property/186884/312BCE83D14DE05183A892AEF72637ACE3253D300F12CBCAB0DE74D6BD3E2953", "https://baanknet.com/view-property/186884/312BCE83D14DE05183A892AEF72637ACE3253D300F12CBCAB0DE74D6BD3E2953")</f>
        <v>https://baanknet.com/view-property/186884/312BCE83D14DE05183A892AEF72637ACE3253D300F12CBCAB0DE74D6BD3E2953</v>
      </c>
      <c r="I2309" t="str">
        <f>HYPERLINK("https://baanknet.com/view-property/186884/312BCE83D14DE05183A892AEF72637ACE3253D300F12CBCAB0DE74D6BD3E2953", "Open")</f>
        <v>Open</v>
      </c>
      <c r="J2309" t="s">
        <v>3803</v>
      </c>
      <c r="L2309">
        <v>3900000</v>
      </c>
      <c r="M2309">
        <v>390000</v>
      </c>
    </row>
    <row r="2310" spans="1:13" x14ac:dyDescent="0.25">
      <c r="A2310" t="s">
        <v>7881</v>
      </c>
      <c r="B2310" t="s">
        <v>7882</v>
      </c>
      <c r="C2310" t="s">
        <v>15</v>
      </c>
      <c r="D2310" t="s">
        <v>7883</v>
      </c>
      <c r="E2310" t="s">
        <v>7756</v>
      </c>
      <c r="F2310" t="s">
        <v>7757</v>
      </c>
      <c r="G2310" t="s">
        <v>7884</v>
      </c>
      <c r="H2310" t="str">
        <f>HYPERLINK("https://baanknet.com/view-property/271298/2F3AF4A22856EF3C245A73735C2BB6AE6B4D2408B65294B03F138E5C83DB890C", "https://baanknet.com/view-property/271298/2F3AF4A22856EF3C245A73735C2BB6AE6B4D2408B65294B03F138E5C83DB890C")</f>
        <v>https://baanknet.com/view-property/271298/2F3AF4A22856EF3C245A73735C2BB6AE6B4D2408B65294B03F138E5C83DB890C</v>
      </c>
      <c r="I2310" t="str">
        <f>HYPERLINK("https://baanknet.com/view-property/271298/2F3AF4A22856EF3C245A73735C2BB6AE6B4D2408B65294B03F138E5C83DB890C", "Open")</f>
        <v>Open</v>
      </c>
      <c r="J2310" t="s">
        <v>3803</v>
      </c>
      <c r="L2310">
        <v>2880000</v>
      </c>
      <c r="M2310">
        <v>288000</v>
      </c>
    </row>
    <row r="2311" spans="1:13" x14ac:dyDescent="0.25">
      <c r="A2311" t="s">
        <v>7885</v>
      </c>
      <c r="B2311" t="s">
        <v>7886</v>
      </c>
      <c r="C2311" t="s">
        <v>15</v>
      </c>
      <c r="D2311" t="s">
        <v>7867</v>
      </c>
      <c r="E2311" t="s">
        <v>7756</v>
      </c>
      <c r="F2311" t="s">
        <v>7757</v>
      </c>
      <c r="G2311" t="s">
        <v>7887</v>
      </c>
      <c r="H2311" t="str">
        <f>HYPERLINK("https://baanknet.com/view-property/254280/D3178FB0A7C289E5A8818D9F0AB28FC6A83B0693ACE9950A454E010AA3FDCCF3", "https://baanknet.com/view-property/254280/D3178FB0A7C289E5A8818D9F0AB28FC6A83B0693ACE9950A454E010AA3FDCCF3")</f>
        <v>https://baanknet.com/view-property/254280/D3178FB0A7C289E5A8818D9F0AB28FC6A83B0693ACE9950A454E010AA3FDCCF3</v>
      </c>
      <c r="I2311" t="str">
        <f>HYPERLINK("https://baanknet.com/view-property/254280/D3178FB0A7C289E5A8818D9F0AB28FC6A83B0693ACE9950A454E010AA3FDCCF3", "Open")</f>
        <v>Open</v>
      </c>
      <c r="J2311" t="s">
        <v>3803</v>
      </c>
      <c r="L2311">
        <v>420000</v>
      </c>
      <c r="M2311">
        <v>42000</v>
      </c>
    </row>
    <row r="2312" spans="1:13" x14ac:dyDescent="0.25">
      <c r="A2312" t="s">
        <v>7888</v>
      </c>
      <c r="B2312" t="s">
        <v>7889</v>
      </c>
      <c r="C2312" t="s">
        <v>15</v>
      </c>
      <c r="D2312" t="s">
        <v>7890</v>
      </c>
      <c r="E2312" t="s">
        <v>7756</v>
      </c>
      <c r="F2312" t="s">
        <v>7757</v>
      </c>
      <c r="G2312" t="s">
        <v>7891</v>
      </c>
      <c r="H2312" t="str">
        <f>HYPERLINK("https://baanknet.com/view-property/197874/943FE95F99D603200B26F899EE8B3424612E30FE64DD91CFEEC9748A363DD74B", "https://baanknet.com/view-property/197874/943FE95F99D603200B26F899EE8B3424612E30FE64DD91CFEEC9748A363DD74B")</f>
        <v>https://baanknet.com/view-property/197874/943FE95F99D603200B26F899EE8B3424612E30FE64DD91CFEEC9748A363DD74B</v>
      </c>
      <c r="I2312" t="str">
        <f>HYPERLINK("https://baanknet.com/view-property/197874/943FE95F99D603200B26F899EE8B3424612E30FE64DD91CFEEC9748A363DD74B", "Open")</f>
        <v>Open</v>
      </c>
      <c r="J2312" t="s">
        <v>3803</v>
      </c>
      <c r="L2312">
        <v>9720000</v>
      </c>
      <c r="M2312">
        <v>972000</v>
      </c>
    </row>
    <row r="2313" spans="1:13" x14ac:dyDescent="0.25">
      <c r="A2313" t="s">
        <v>7892</v>
      </c>
      <c r="B2313" t="s">
        <v>7893</v>
      </c>
      <c r="C2313" t="s">
        <v>15</v>
      </c>
      <c r="D2313" t="s">
        <v>3584</v>
      </c>
      <c r="E2313" t="s">
        <v>7756</v>
      </c>
      <c r="F2313" t="s">
        <v>7757</v>
      </c>
      <c r="G2313" t="s">
        <v>7894</v>
      </c>
      <c r="H2313" t="str">
        <f>HYPERLINK("https://baanknet.com/view-property/199105/8AA5D2AB0D1219C5EBE73FA4ECFA0B1CC4E05CE7BC4F9101BEB0652657EA9698", "https://baanknet.com/view-property/199105/8AA5D2AB0D1219C5EBE73FA4ECFA0B1CC4E05CE7BC4F9101BEB0652657EA9698")</f>
        <v>https://baanknet.com/view-property/199105/8AA5D2AB0D1219C5EBE73FA4ECFA0B1CC4E05CE7BC4F9101BEB0652657EA9698</v>
      </c>
      <c r="I2313" t="str">
        <f>HYPERLINK("https://baanknet.com/view-property/199105/8AA5D2AB0D1219C5EBE73FA4ECFA0B1CC4E05CE7BC4F9101BEB0652657EA9698", "Open")</f>
        <v>Open</v>
      </c>
      <c r="J2313" t="s">
        <v>3803</v>
      </c>
      <c r="L2313">
        <v>5340000</v>
      </c>
      <c r="M2313">
        <v>534000</v>
      </c>
    </row>
    <row r="2314" spans="1:13" x14ac:dyDescent="0.25">
      <c r="A2314" t="s">
        <v>7895</v>
      </c>
      <c r="B2314" t="s">
        <v>7896</v>
      </c>
      <c r="C2314" t="s">
        <v>15</v>
      </c>
      <c r="D2314" t="s">
        <v>7867</v>
      </c>
      <c r="E2314" t="s">
        <v>7756</v>
      </c>
      <c r="F2314" t="s">
        <v>7757</v>
      </c>
      <c r="G2314" t="s">
        <v>7897</v>
      </c>
      <c r="H2314" t="str">
        <f>HYPERLINK("https://baanknet.com/view-property/282405/4067B9B2A5FC6C4FC71ABBA487CEB47F490A432234E3F6E93E3C36A1508ECB28", "https://baanknet.com/view-property/282405/4067B9B2A5FC6C4FC71ABBA487CEB47F490A432234E3F6E93E3C36A1508ECB28")</f>
        <v>https://baanknet.com/view-property/282405/4067B9B2A5FC6C4FC71ABBA487CEB47F490A432234E3F6E93E3C36A1508ECB28</v>
      </c>
      <c r="I2314" t="str">
        <f>HYPERLINK("https://baanknet.com/view-property/282405/4067B9B2A5FC6C4FC71ABBA487CEB47F490A432234E3F6E93E3C36A1508ECB28", "Open")</f>
        <v>Open</v>
      </c>
      <c r="J2314" t="s">
        <v>3803</v>
      </c>
      <c r="L2314">
        <v>400000</v>
      </c>
      <c r="M2314">
        <v>40000</v>
      </c>
    </row>
    <row r="2315" spans="1:13" x14ac:dyDescent="0.25">
      <c r="A2315" t="s">
        <v>7898</v>
      </c>
      <c r="B2315" t="s">
        <v>7899</v>
      </c>
      <c r="C2315" t="s">
        <v>15</v>
      </c>
      <c r="D2315" t="s">
        <v>7867</v>
      </c>
      <c r="E2315" t="s">
        <v>7756</v>
      </c>
      <c r="F2315" t="s">
        <v>7757</v>
      </c>
      <c r="G2315" t="s">
        <v>7900</v>
      </c>
      <c r="H2315" t="str">
        <f>HYPERLINK("https://baanknet.com/view-property/257863/FC6BBCEBBD7AED7C88512296CC3F5907A3F61FD20C8C9B66C421253A67CF1EA7", "https://baanknet.com/view-property/257863/FC6BBCEBBD7AED7C88512296CC3F5907A3F61FD20C8C9B66C421253A67CF1EA7")</f>
        <v>https://baanknet.com/view-property/257863/FC6BBCEBBD7AED7C88512296CC3F5907A3F61FD20C8C9B66C421253A67CF1EA7</v>
      </c>
      <c r="I2315" t="str">
        <f>HYPERLINK("https://baanknet.com/view-property/257863/FC6BBCEBBD7AED7C88512296CC3F5907A3F61FD20C8C9B66C421253A67CF1EA7", "Open")</f>
        <v>Open</v>
      </c>
      <c r="J2315" t="s">
        <v>3803</v>
      </c>
      <c r="L2315">
        <v>490000</v>
      </c>
      <c r="M2315">
        <v>49000</v>
      </c>
    </row>
    <row r="2316" spans="1:13" x14ac:dyDescent="0.25">
      <c r="A2316" t="s">
        <v>7901</v>
      </c>
      <c r="B2316" t="s">
        <v>7902</v>
      </c>
      <c r="C2316" t="s">
        <v>15</v>
      </c>
      <c r="D2316" t="s">
        <v>4034</v>
      </c>
      <c r="E2316" t="s">
        <v>7756</v>
      </c>
      <c r="F2316" t="s">
        <v>7757</v>
      </c>
      <c r="G2316" t="s">
        <v>7903</v>
      </c>
      <c r="H2316" t="str">
        <f>HYPERLINK("https://baanknet.com/view-property/281159/4A2C7D504849852F9C5439EF8E1DB6516A9E600ACB1462282B06B736F8EF9E18", "https://baanknet.com/view-property/281159/4A2C7D504849852F9C5439EF8E1DB6516A9E600ACB1462282B06B736F8EF9E18")</f>
        <v>https://baanknet.com/view-property/281159/4A2C7D504849852F9C5439EF8E1DB6516A9E600ACB1462282B06B736F8EF9E18</v>
      </c>
      <c r="I2316" t="str">
        <f>HYPERLINK("https://baanknet.com/view-property/281159/4A2C7D504849852F9C5439EF8E1DB6516A9E600ACB1462282B06B736F8EF9E18", "Open")</f>
        <v>Open</v>
      </c>
      <c r="J2316" t="s">
        <v>3803</v>
      </c>
      <c r="L2316">
        <v>3300000</v>
      </c>
      <c r="M2316">
        <v>330000</v>
      </c>
    </row>
    <row r="2317" spans="1:13" x14ac:dyDescent="0.25">
      <c r="A2317" t="s">
        <v>7904</v>
      </c>
      <c r="B2317" t="s">
        <v>7905</v>
      </c>
      <c r="C2317" t="s">
        <v>15</v>
      </c>
      <c r="D2317" t="s">
        <v>2425</v>
      </c>
      <c r="E2317" t="s">
        <v>7756</v>
      </c>
      <c r="F2317" t="s">
        <v>7757</v>
      </c>
      <c r="G2317" t="s">
        <v>7906</v>
      </c>
      <c r="H2317" t="str">
        <f>HYPERLINK("https://baanknet.com/view-property/250458/7F096588DBDB041B2755ED681056703C38E5D5FB47982951CDC172DEB119ACC8", "https://baanknet.com/view-property/250458/7F096588DBDB041B2755ED681056703C38E5D5FB47982951CDC172DEB119ACC8")</f>
        <v>https://baanknet.com/view-property/250458/7F096588DBDB041B2755ED681056703C38E5D5FB47982951CDC172DEB119ACC8</v>
      </c>
      <c r="I2317" t="str">
        <f>HYPERLINK("https://baanknet.com/view-property/250458/7F096588DBDB041B2755ED681056703C38E5D5FB47982951CDC172DEB119ACC8", "Open")</f>
        <v>Open</v>
      </c>
      <c r="J2317" t="s">
        <v>3803</v>
      </c>
      <c r="L2317">
        <v>3150000</v>
      </c>
      <c r="M2317">
        <v>315000</v>
      </c>
    </row>
    <row r="2318" spans="1:13" x14ac:dyDescent="0.25">
      <c r="A2318" t="s">
        <v>7907</v>
      </c>
      <c r="B2318" t="s">
        <v>7908</v>
      </c>
      <c r="C2318" t="s">
        <v>15</v>
      </c>
      <c r="D2318" t="s">
        <v>7909</v>
      </c>
      <c r="E2318" t="s">
        <v>7756</v>
      </c>
      <c r="F2318" t="s">
        <v>7757</v>
      </c>
      <c r="G2318" t="s">
        <v>7910</v>
      </c>
      <c r="H2318" t="str">
        <f>HYPERLINK("https://baanknet.com/view-property/253545/4F046055565A99CBFB64139F41F71C84B8695C9BA8787F06A5179621D4940263", "https://baanknet.com/view-property/253545/4F046055565A99CBFB64139F41F71C84B8695C9BA8787F06A5179621D4940263")</f>
        <v>https://baanknet.com/view-property/253545/4F046055565A99CBFB64139F41F71C84B8695C9BA8787F06A5179621D4940263</v>
      </c>
      <c r="I2318" t="str">
        <f>HYPERLINK("https://baanknet.com/view-property/253545/4F046055565A99CBFB64139F41F71C84B8695C9BA8787F06A5179621D4940263", "Open")</f>
        <v>Open</v>
      </c>
      <c r="J2318" t="s">
        <v>3803</v>
      </c>
      <c r="L2318">
        <v>26100000</v>
      </c>
      <c r="M2318">
        <v>2610000</v>
      </c>
    </row>
    <row r="2319" spans="1:13" x14ac:dyDescent="0.25">
      <c r="A2319" t="s">
        <v>7911</v>
      </c>
      <c r="B2319" t="s">
        <v>7912</v>
      </c>
      <c r="C2319" t="s">
        <v>15</v>
      </c>
      <c r="D2319" t="s">
        <v>3747</v>
      </c>
      <c r="E2319" t="s">
        <v>7756</v>
      </c>
      <c r="F2319" t="s">
        <v>7757</v>
      </c>
      <c r="G2319" t="s">
        <v>7913</v>
      </c>
      <c r="H2319" t="str">
        <f>HYPERLINK("https://baanknet.com/view-property/253580/124AD4DDB18FD415B1987EABA958698FBAABE108F6BB6C86D9622386D4E462B8", "https://baanknet.com/view-property/253580/124AD4DDB18FD415B1987EABA958698FBAABE108F6BB6C86D9622386D4E462B8")</f>
        <v>https://baanknet.com/view-property/253580/124AD4DDB18FD415B1987EABA958698FBAABE108F6BB6C86D9622386D4E462B8</v>
      </c>
      <c r="I2319" t="str">
        <f>HYPERLINK("https://baanknet.com/view-property/253580/124AD4DDB18FD415B1987EABA958698FBAABE108F6BB6C86D9622386D4E462B8", "Open")</f>
        <v>Open</v>
      </c>
      <c r="J2319" t="s">
        <v>3803</v>
      </c>
      <c r="L2319">
        <v>14600000</v>
      </c>
      <c r="M2319">
        <v>1460000</v>
      </c>
    </row>
    <row r="2320" spans="1:13" x14ac:dyDescent="0.25">
      <c r="A2320" t="s">
        <v>7914</v>
      </c>
      <c r="B2320" t="s">
        <v>7915</v>
      </c>
      <c r="C2320" t="s">
        <v>15</v>
      </c>
      <c r="D2320" t="s">
        <v>7916</v>
      </c>
      <c r="E2320" t="s">
        <v>7756</v>
      </c>
      <c r="F2320" t="s">
        <v>7757</v>
      </c>
      <c r="G2320" t="s">
        <v>7917</v>
      </c>
      <c r="H2320" t="str">
        <f>HYPERLINK("https://baanknet.com/view-property/255063/6332701FEE36C7861FA66EE13225E8181B5F09D0739CFE2E04AB0CEF82CB5066", "https://baanknet.com/view-property/255063/6332701FEE36C7861FA66EE13225E8181B5F09D0739CFE2E04AB0CEF82CB5066")</f>
        <v>https://baanknet.com/view-property/255063/6332701FEE36C7861FA66EE13225E8181B5F09D0739CFE2E04AB0CEF82CB5066</v>
      </c>
      <c r="I2320" t="str">
        <f>HYPERLINK("https://baanknet.com/view-property/255063/6332701FEE36C7861FA66EE13225E8181B5F09D0739CFE2E04AB0CEF82CB5066", "Open")</f>
        <v>Open</v>
      </c>
      <c r="J2320" t="s">
        <v>3803</v>
      </c>
      <c r="L2320">
        <v>2300000</v>
      </c>
      <c r="M2320">
        <v>230000</v>
      </c>
    </row>
    <row r="2321" spans="1:13" x14ac:dyDescent="0.25">
      <c r="A2321" t="s">
        <v>7918</v>
      </c>
      <c r="B2321" t="s">
        <v>7919</v>
      </c>
      <c r="C2321" t="s">
        <v>15</v>
      </c>
      <c r="D2321" t="s">
        <v>7920</v>
      </c>
      <c r="E2321" t="s">
        <v>7756</v>
      </c>
      <c r="F2321" t="s">
        <v>7757</v>
      </c>
      <c r="G2321" t="s">
        <v>7921</v>
      </c>
      <c r="H2321" t="str">
        <f>HYPERLINK("https://baanknet.com/view-property/249799/5CEA3426204B663859FB4DCF45D5CA886D16B90CF37282E2AD8E0C8C30F9D229", "https://baanknet.com/view-property/249799/5CEA3426204B663859FB4DCF45D5CA886D16B90CF37282E2AD8E0C8C30F9D229")</f>
        <v>https://baanknet.com/view-property/249799/5CEA3426204B663859FB4DCF45D5CA886D16B90CF37282E2AD8E0C8C30F9D229</v>
      </c>
      <c r="I2321" t="str">
        <f>HYPERLINK("https://baanknet.com/view-property/249799/5CEA3426204B663859FB4DCF45D5CA886D16B90CF37282E2AD8E0C8C30F9D229", "Open")</f>
        <v>Open</v>
      </c>
      <c r="J2321" t="s">
        <v>3803</v>
      </c>
      <c r="L2321">
        <v>3600000</v>
      </c>
      <c r="M2321">
        <v>360000</v>
      </c>
    </row>
    <row r="2322" spans="1:13" x14ac:dyDescent="0.25">
      <c r="A2322" t="s">
        <v>7922</v>
      </c>
      <c r="B2322" t="s">
        <v>7923</v>
      </c>
      <c r="C2322" t="s">
        <v>15</v>
      </c>
      <c r="D2322" t="s">
        <v>7924</v>
      </c>
      <c r="E2322" t="s">
        <v>7756</v>
      </c>
      <c r="F2322" t="s">
        <v>7757</v>
      </c>
      <c r="G2322" t="s">
        <v>7925</v>
      </c>
      <c r="H2322" t="str">
        <f>HYPERLINK("https://baanknet.com/view-property/254468/EA011954284FCCAEDF7597CBAE12326CFF48A8066E66EA1C885758B3BFEAC9D7", "https://baanknet.com/view-property/254468/EA011954284FCCAEDF7597CBAE12326CFF48A8066E66EA1C885758B3BFEAC9D7")</f>
        <v>https://baanknet.com/view-property/254468/EA011954284FCCAEDF7597CBAE12326CFF48A8066E66EA1C885758B3BFEAC9D7</v>
      </c>
      <c r="I2322" t="str">
        <f>HYPERLINK("https://baanknet.com/view-property/254468/EA011954284FCCAEDF7597CBAE12326CFF48A8066E66EA1C885758B3BFEAC9D7", "Open")</f>
        <v>Open</v>
      </c>
      <c r="J2322" t="s">
        <v>3803</v>
      </c>
      <c r="L2322">
        <v>9800000</v>
      </c>
      <c r="M2322">
        <v>980000</v>
      </c>
    </row>
    <row r="2323" spans="1:13" x14ac:dyDescent="0.25">
      <c r="A2323" t="s">
        <v>7926</v>
      </c>
      <c r="B2323" t="s">
        <v>7927</v>
      </c>
      <c r="C2323" t="s">
        <v>15</v>
      </c>
      <c r="D2323" t="s">
        <v>7928</v>
      </c>
      <c r="E2323" t="s">
        <v>7756</v>
      </c>
      <c r="F2323" t="s">
        <v>7757</v>
      </c>
      <c r="G2323" t="s">
        <v>7929</v>
      </c>
      <c r="H2323" t="str">
        <f>HYPERLINK("https://baanknet.com/view-property/278309/A353B30B7BE207117E1D95CCF1002EC2BA2591AD6E8351B1F64EC17C5F1B0026", "https://baanknet.com/view-property/278309/A353B30B7BE207117E1D95CCF1002EC2BA2591AD6E8351B1F64EC17C5F1B0026")</f>
        <v>https://baanknet.com/view-property/278309/A353B30B7BE207117E1D95CCF1002EC2BA2591AD6E8351B1F64EC17C5F1B0026</v>
      </c>
      <c r="I2323" t="str">
        <f>HYPERLINK("https://baanknet.com/view-property/278309/A353B30B7BE207117E1D95CCF1002EC2BA2591AD6E8351B1F64EC17C5F1B0026", "Open")</f>
        <v>Open</v>
      </c>
      <c r="J2323" t="s">
        <v>3803</v>
      </c>
      <c r="L2323">
        <v>16000000</v>
      </c>
      <c r="M2323">
        <v>1600000</v>
      </c>
    </row>
    <row r="2324" spans="1:13" x14ac:dyDescent="0.25">
      <c r="A2324" t="s">
        <v>7930</v>
      </c>
      <c r="B2324" t="s">
        <v>7931</v>
      </c>
      <c r="C2324" t="s">
        <v>15</v>
      </c>
      <c r="D2324" t="s">
        <v>7932</v>
      </c>
      <c r="E2324" t="s">
        <v>7756</v>
      </c>
      <c r="F2324" t="s">
        <v>7757</v>
      </c>
      <c r="G2324" t="s">
        <v>7933</v>
      </c>
      <c r="H2324" t="str">
        <f>HYPERLINK("https://baanknet.com/view-property/276128/522D88B376B60CED4603107596009340E545147A2C2801ECD8DFA333594161F0", "https://baanknet.com/view-property/276128/522D88B376B60CED4603107596009340E545147A2C2801ECD8DFA333594161F0")</f>
        <v>https://baanknet.com/view-property/276128/522D88B376B60CED4603107596009340E545147A2C2801ECD8DFA333594161F0</v>
      </c>
      <c r="I2324" t="str">
        <f>HYPERLINK("https://baanknet.com/view-property/276128/522D88B376B60CED4603107596009340E545147A2C2801ECD8DFA333594161F0", "Open")</f>
        <v>Open</v>
      </c>
      <c r="J2324" t="s">
        <v>3803</v>
      </c>
      <c r="L2324">
        <v>2750000</v>
      </c>
      <c r="M2324">
        <v>275000</v>
      </c>
    </row>
    <row r="2325" spans="1:13" x14ac:dyDescent="0.25">
      <c r="A2325" t="s">
        <v>7934</v>
      </c>
      <c r="B2325" t="s">
        <v>7935</v>
      </c>
      <c r="C2325" t="s">
        <v>15</v>
      </c>
      <c r="D2325" t="s">
        <v>1246</v>
      </c>
      <c r="E2325" t="s">
        <v>7756</v>
      </c>
      <c r="F2325" t="s">
        <v>7757</v>
      </c>
      <c r="G2325" t="s">
        <v>7936</v>
      </c>
      <c r="H2325" t="str">
        <f>HYPERLINK("https://baanknet.com/view-property/241367/C3F591F60E56D62BA2BD95AB1B2A7AD583D58CC1BE8A7EA31982008F8A92EB10", "https://baanknet.com/view-property/241367/C3F591F60E56D62BA2BD95AB1B2A7AD583D58CC1BE8A7EA31982008F8A92EB10")</f>
        <v>https://baanknet.com/view-property/241367/C3F591F60E56D62BA2BD95AB1B2A7AD583D58CC1BE8A7EA31982008F8A92EB10</v>
      </c>
      <c r="I2325" t="str">
        <f>HYPERLINK("https://baanknet.com/view-property/241367/C3F591F60E56D62BA2BD95AB1B2A7AD583D58CC1BE8A7EA31982008F8A92EB10", "Open")</f>
        <v>Open</v>
      </c>
      <c r="J2325" t="s">
        <v>3803</v>
      </c>
      <c r="L2325">
        <v>2300000</v>
      </c>
      <c r="M2325">
        <v>230000</v>
      </c>
    </row>
    <row r="2326" spans="1:13" x14ac:dyDescent="0.25">
      <c r="A2326" t="s">
        <v>7937</v>
      </c>
      <c r="B2326" t="s">
        <v>7938</v>
      </c>
      <c r="C2326" t="s">
        <v>15</v>
      </c>
      <c r="D2326" t="s">
        <v>1246</v>
      </c>
      <c r="E2326" t="s">
        <v>7756</v>
      </c>
      <c r="F2326" t="s">
        <v>7757</v>
      </c>
      <c r="G2326" t="s">
        <v>7939</v>
      </c>
      <c r="H2326" t="str">
        <f>HYPERLINK("https://baanknet.com/view-property/241364/2698C24B0F36E6C431CCC14C572AEF2619F0134987BCF777119E3772009B7223", "https://baanknet.com/view-property/241364/2698C24B0F36E6C431CCC14C572AEF2619F0134987BCF777119E3772009B7223")</f>
        <v>https://baanknet.com/view-property/241364/2698C24B0F36E6C431CCC14C572AEF2619F0134987BCF777119E3772009B7223</v>
      </c>
      <c r="I2326" t="str">
        <f>HYPERLINK("https://baanknet.com/view-property/241364/2698C24B0F36E6C431CCC14C572AEF2619F0134987BCF777119E3772009B7223", "Open")</f>
        <v>Open</v>
      </c>
      <c r="J2326" t="s">
        <v>3803</v>
      </c>
      <c r="L2326">
        <v>2200000</v>
      </c>
      <c r="M2326">
        <v>220000</v>
      </c>
    </row>
    <row r="2327" spans="1:13" x14ac:dyDescent="0.25">
      <c r="A2327" t="s">
        <v>7940</v>
      </c>
      <c r="B2327" t="s">
        <v>7941</v>
      </c>
      <c r="C2327" t="s">
        <v>15</v>
      </c>
      <c r="D2327" t="s">
        <v>7942</v>
      </c>
      <c r="E2327" t="s">
        <v>7756</v>
      </c>
      <c r="F2327" t="s">
        <v>7757</v>
      </c>
      <c r="G2327" t="s">
        <v>7943</v>
      </c>
      <c r="H2327" t="str">
        <f>HYPERLINK("https://baanknet.com/view-property/242866/91911F335FFC7EE1F3D917FD09A2398BD34B3AECB59BC925D72D6E57CF1F6ABB", "https://baanknet.com/view-property/242866/91911F335FFC7EE1F3D917FD09A2398BD34B3AECB59BC925D72D6E57CF1F6ABB")</f>
        <v>https://baanknet.com/view-property/242866/91911F335FFC7EE1F3D917FD09A2398BD34B3AECB59BC925D72D6E57CF1F6ABB</v>
      </c>
      <c r="I2327" t="str">
        <f>HYPERLINK("https://baanknet.com/view-property/242866/91911F335FFC7EE1F3D917FD09A2398BD34B3AECB59BC925D72D6E57CF1F6ABB", "Open")</f>
        <v>Open</v>
      </c>
      <c r="J2327" t="s">
        <v>3803</v>
      </c>
      <c r="L2327">
        <v>1725000</v>
      </c>
      <c r="M2327">
        <v>172500</v>
      </c>
    </row>
    <row r="2328" spans="1:13" x14ac:dyDescent="0.25">
      <c r="A2328" t="s">
        <v>7944</v>
      </c>
      <c r="B2328" t="s">
        <v>7945</v>
      </c>
      <c r="C2328" t="s">
        <v>15</v>
      </c>
      <c r="D2328" t="s">
        <v>1246</v>
      </c>
      <c r="E2328" t="s">
        <v>7756</v>
      </c>
      <c r="F2328" t="s">
        <v>7757</v>
      </c>
      <c r="G2328" t="s">
        <v>7946</v>
      </c>
      <c r="H2328" t="str">
        <f>HYPERLINK("https://baanknet.com/view-property/280000/4D0559BC4760979FB7D82568911BE6B1122A357FAAC037C8F7F32D4A94E845CC", "https://baanknet.com/view-property/280000/4D0559BC4760979FB7D82568911BE6B1122A357FAAC037C8F7F32D4A94E845CC")</f>
        <v>https://baanknet.com/view-property/280000/4D0559BC4760979FB7D82568911BE6B1122A357FAAC037C8F7F32D4A94E845CC</v>
      </c>
      <c r="I2328" t="str">
        <f>HYPERLINK("https://baanknet.com/view-property/280000/4D0559BC4760979FB7D82568911BE6B1122A357FAAC037C8F7F32D4A94E845CC", "Open")</f>
        <v>Open</v>
      </c>
      <c r="J2328" t="s">
        <v>3803</v>
      </c>
      <c r="L2328">
        <v>5600000</v>
      </c>
      <c r="M2328">
        <v>560000</v>
      </c>
    </row>
    <row r="2329" spans="1:13" x14ac:dyDescent="0.25">
      <c r="A2329" t="s">
        <v>7947</v>
      </c>
      <c r="B2329" t="s">
        <v>7948</v>
      </c>
      <c r="C2329" t="s">
        <v>15</v>
      </c>
      <c r="D2329" t="s">
        <v>1246</v>
      </c>
      <c r="E2329" t="s">
        <v>7756</v>
      </c>
      <c r="F2329" t="s">
        <v>7757</v>
      </c>
      <c r="G2329" t="s">
        <v>7949</v>
      </c>
      <c r="H2329" t="str">
        <f>HYPERLINK("https://baanknet.com/view-property/279861/1BE83813E467C8915BCD868593358EA4EC6B0FFA343DBA39113A89E14959B709", "https://baanknet.com/view-property/279861/1BE83813E467C8915BCD868593358EA4EC6B0FFA343DBA39113A89E14959B709")</f>
        <v>https://baanknet.com/view-property/279861/1BE83813E467C8915BCD868593358EA4EC6B0FFA343DBA39113A89E14959B709</v>
      </c>
      <c r="I2329" t="str">
        <f>HYPERLINK("https://baanknet.com/view-property/279861/1BE83813E467C8915BCD868593358EA4EC6B0FFA343DBA39113A89E14959B709", "Open")</f>
        <v>Open</v>
      </c>
      <c r="J2329" t="s">
        <v>3803</v>
      </c>
      <c r="L2329">
        <v>3850000</v>
      </c>
      <c r="M2329">
        <v>385000</v>
      </c>
    </row>
    <row r="2330" spans="1:13" x14ac:dyDescent="0.25">
      <c r="A2330" t="s">
        <v>7950</v>
      </c>
      <c r="B2330" t="s">
        <v>7951</v>
      </c>
      <c r="C2330" t="s">
        <v>15</v>
      </c>
      <c r="D2330" t="s">
        <v>1246</v>
      </c>
      <c r="E2330" t="s">
        <v>7756</v>
      </c>
      <c r="F2330" t="s">
        <v>7757</v>
      </c>
      <c r="G2330" t="s">
        <v>7952</v>
      </c>
      <c r="H2330" t="str">
        <f>HYPERLINK("https://baanknet.com/view-property/276384/78F7208B97AEC7F6785C651B58190038A3A5662A57BCB531F300F8275333546C", "https://baanknet.com/view-property/276384/78F7208B97AEC7F6785C651B58190038A3A5662A57BCB531F300F8275333546C")</f>
        <v>https://baanknet.com/view-property/276384/78F7208B97AEC7F6785C651B58190038A3A5662A57BCB531F300F8275333546C</v>
      </c>
      <c r="I2330" t="str">
        <f>HYPERLINK("https://baanknet.com/view-property/276384/78F7208B97AEC7F6785C651B58190038A3A5662A57BCB531F300F8275333546C", "Open")</f>
        <v>Open</v>
      </c>
      <c r="J2330" t="s">
        <v>3803</v>
      </c>
      <c r="L2330">
        <v>14100000</v>
      </c>
      <c r="M2330">
        <v>1410000</v>
      </c>
    </row>
    <row r="2331" spans="1:13" x14ac:dyDescent="0.25">
      <c r="A2331" t="s">
        <v>7953</v>
      </c>
      <c r="B2331" t="s">
        <v>7954</v>
      </c>
      <c r="C2331" t="s">
        <v>15</v>
      </c>
      <c r="D2331" t="s">
        <v>2425</v>
      </c>
      <c r="E2331" t="s">
        <v>7756</v>
      </c>
      <c r="F2331" t="s">
        <v>7757</v>
      </c>
      <c r="G2331" t="s">
        <v>7955</v>
      </c>
      <c r="H2331" t="str">
        <f>HYPERLINK("https://baanknet.com/view-property/252795/3C16F21235FF18C183CE49B9EDF8BC4842D9861E2B784B24269EAC82F7433830", "https://baanknet.com/view-property/252795/3C16F21235FF18C183CE49B9EDF8BC4842D9861E2B784B24269EAC82F7433830")</f>
        <v>https://baanknet.com/view-property/252795/3C16F21235FF18C183CE49B9EDF8BC4842D9861E2B784B24269EAC82F7433830</v>
      </c>
      <c r="I2331" t="str">
        <f>HYPERLINK("https://baanknet.com/view-property/252795/3C16F21235FF18C183CE49B9EDF8BC4842D9861E2B784B24269EAC82F7433830", "Open")</f>
        <v>Open</v>
      </c>
      <c r="J2331" t="s">
        <v>3803</v>
      </c>
      <c r="L2331">
        <v>2500000</v>
      </c>
      <c r="M2331">
        <v>250000</v>
      </c>
    </row>
    <row r="2332" spans="1:13" x14ac:dyDescent="0.25">
      <c r="A2332" t="s">
        <v>7956</v>
      </c>
      <c r="B2332" t="s">
        <v>7957</v>
      </c>
      <c r="C2332" t="s">
        <v>15</v>
      </c>
      <c r="D2332" t="s">
        <v>1246</v>
      </c>
      <c r="E2332" t="s">
        <v>7756</v>
      </c>
      <c r="F2332" t="s">
        <v>7757</v>
      </c>
      <c r="G2332" t="s">
        <v>7958</v>
      </c>
      <c r="H2332" t="str">
        <f>HYPERLINK("https://baanknet.com/view-property/265410/4826D8BB6AEBD25C66A4DD314F128A8A3F4CC16D7D950E45751026DD2EFF1635", "https://baanknet.com/view-property/265410/4826D8BB6AEBD25C66A4DD314F128A8A3F4CC16D7D950E45751026DD2EFF1635")</f>
        <v>https://baanknet.com/view-property/265410/4826D8BB6AEBD25C66A4DD314F128A8A3F4CC16D7D950E45751026DD2EFF1635</v>
      </c>
      <c r="I2332" t="str">
        <f>HYPERLINK("https://baanknet.com/view-property/265410/4826D8BB6AEBD25C66A4DD314F128A8A3F4CC16D7D950E45751026DD2EFF1635", "Open")</f>
        <v>Open</v>
      </c>
      <c r="J2332" t="s">
        <v>3803</v>
      </c>
      <c r="L2332">
        <v>18500000</v>
      </c>
      <c r="M2332">
        <v>1850000</v>
      </c>
    </row>
    <row r="2333" spans="1:13" x14ac:dyDescent="0.25">
      <c r="A2333" t="s">
        <v>7959</v>
      </c>
      <c r="B2333" t="s">
        <v>7960</v>
      </c>
      <c r="C2333" t="s">
        <v>15</v>
      </c>
      <c r="D2333" t="s">
        <v>1246</v>
      </c>
      <c r="E2333" t="s">
        <v>7756</v>
      </c>
      <c r="F2333" t="s">
        <v>7757</v>
      </c>
      <c r="G2333" t="s">
        <v>7961</v>
      </c>
      <c r="H2333" t="str">
        <f>HYPERLINK("https://baanknet.com/view-property/275705/38D28067108DBB0901CCFD4A961483F2A1169FFD0C7958ABD27B501AA81804F4", "https://baanknet.com/view-property/275705/38D28067108DBB0901CCFD4A961483F2A1169FFD0C7958ABD27B501AA81804F4")</f>
        <v>https://baanknet.com/view-property/275705/38D28067108DBB0901CCFD4A961483F2A1169FFD0C7958ABD27B501AA81804F4</v>
      </c>
      <c r="I2333" t="str">
        <f>HYPERLINK("https://baanknet.com/view-property/275705/38D28067108DBB0901CCFD4A961483F2A1169FFD0C7958ABD27B501AA81804F4", "Open")</f>
        <v>Open</v>
      </c>
      <c r="J2333" t="s">
        <v>3803</v>
      </c>
      <c r="L2333">
        <v>3700000</v>
      </c>
      <c r="M2333">
        <v>370000</v>
      </c>
    </row>
    <row r="2334" spans="1:13" x14ac:dyDescent="0.25">
      <c r="A2334" t="s">
        <v>7962</v>
      </c>
      <c r="B2334" t="s">
        <v>7963</v>
      </c>
      <c r="C2334" t="s">
        <v>15</v>
      </c>
      <c r="D2334" t="s">
        <v>1246</v>
      </c>
      <c r="E2334" t="s">
        <v>7756</v>
      </c>
      <c r="F2334" t="s">
        <v>7757</v>
      </c>
      <c r="G2334" t="s">
        <v>7964</v>
      </c>
      <c r="H2334" t="str">
        <f>HYPERLINK("https://baanknet.com/view-property/252792/BB0BCABB10E55646DE55B6E7F0C0DC88A3031736B623646573204A5E9B32834A", "https://baanknet.com/view-property/252792/BB0BCABB10E55646DE55B6E7F0C0DC88A3031736B623646573204A5E9B32834A")</f>
        <v>https://baanknet.com/view-property/252792/BB0BCABB10E55646DE55B6E7F0C0DC88A3031736B623646573204A5E9B32834A</v>
      </c>
      <c r="I2334" t="str">
        <f>HYPERLINK("https://baanknet.com/view-property/252792/BB0BCABB10E55646DE55B6E7F0C0DC88A3031736B623646573204A5E9B32834A", "Open")</f>
        <v>Open</v>
      </c>
      <c r="J2334" t="s">
        <v>3803</v>
      </c>
      <c r="L2334">
        <v>4400000</v>
      </c>
      <c r="M2334">
        <v>440000</v>
      </c>
    </row>
    <row r="2335" spans="1:13" x14ac:dyDescent="0.25">
      <c r="A2335" t="s">
        <v>7965</v>
      </c>
      <c r="B2335" t="s">
        <v>7966</v>
      </c>
      <c r="C2335" t="s">
        <v>15</v>
      </c>
      <c r="D2335" t="s">
        <v>1246</v>
      </c>
      <c r="E2335" t="s">
        <v>7756</v>
      </c>
      <c r="F2335" t="s">
        <v>7757</v>
      </c>
      <c r="G2335" t="s">
        <v>7967</v>
      </c>
      <c r="H2335" t="str">
        <f>HYPERLINK("https://baanknet.com/view-property/275165/6616585F67BA9046B1CCA78AB160CCA11B6BB466B9F5133A6E04544054881EC5", "https://baanknet.com/view-property/275165/6616585F67BA9046B1CCA78AB160CCA11B6BB466B9F5133A6E04544054881EC5")</f>
        <v>https://baanknet.com/view-property/275165/6616585F67BA9046B1CCA78AB160CCA11B6BB466B9F5133A6E04544054881EC5</v>
      </c>
      <c r="I2335" t="str">
        <f>HYPERLINK("https://baanknet.com/view-property/275165/6616585F67BA9046B1CCA78AB160CCA11B6BB466B9F5133A6E04544054881EC5", "Open")</f>
        <v>Open</v>
      </c>
      <c r="J2335" t="s">
        <v>3803</v>
      </c>
      <c r="L2335">
        <v>3500000</v>
      </c>
      <c r="M2335">
        <v>350000</v>
      </c>
    </row>
    <row r="2336" spans="1:13" x14ac:dyDescent="0.25">
      <c r="A2336" t="s">
        <v>7968</v>
      </c>
      <c r="B2336" t="s">
        <v>7969</v>
      </c>
      <c r="C2336" t="s">
        <v>15</v>
      </c>
      <c r="D2336" t="s">
        <v>2425</v>
      </c>
      <c r="E2336" t="s">
        <v>7756</v>
      </c>
      <c r="F2336" t="s">
        <v>7757</v>
      </c>
      <c r="G2336" t="s">
        <v>7970</v>
      </c>
      <c r="H2336" t="str">
        <f>HYPERLINK("https://baanknet.com/view-property/262390/7BAD351360C3C34B1B44D07C6A352B173CCA0D3D2E0AFA6BDCB460D426CF5A19", "https://baanknet.com/view-property/262390/7BAD351360C3C34B1B44D07C6A352B173CCA0D3D2E0AFA6BDCB460D426CF5A19")</f>
        <v>https://baanknet.com/view-property/262390/7BAD351360C3C34B1B44D07C6A352B173CCA0D3D2E0AFA6BDCB460D426CF5A19</v>
      </c>
      <c r="I2336" t="str">
        <f>HYPERLINK("https://baanknet.com/view-property/262390/7BAD351360C3C34B1B44D07C6A352B173CCA0D3D2E0AFA6BDCB460D426CF5A19", "Open")</f>
        <v>Open</v>
      </c>
      <c r="J2336" t="s">
        <v>3803</v>
      </c>
      <c r="L2336">
        <v>3900000</v>
      </c>
      <c r="M2336">
        <v>390000</v>
      </c>
    </row>
    <row r="2337" spans="1:13" x14ac:dyDescent="0.25">
      <c r="A2337" t="s">
        <v>7971</v>
      </c>
      <c r="B2337" t="s">
        <v>7972</v>
      </c>
      <c r="C2337" t="s">
        <v>15</v>
      </c>
      <c r="D2337" t="s">
        <v>7973</v>
      </c>
      <c r="E2337" t="s">
        <v>7756</v>
      </c>
      <c r="F2337" t="s">
        <v>7757</v>
      </c>
      <c r="G2337" t="s">
        <v>7974</v>
      </c>
      <c r="H2337" t="str">
        <f>HYPERLINK("https://baanknet.com/view-property/265436/E1940220F566177C395C9B720C0CF31865414D9F1FAEC0EEE9C726C131E1CCB4", "https://baanknet.com/view-property/265436/E1940220F566177C395C9B720C0CF31865414D9F1FAEC0EEE9C726C131E1CCB4")</f>
        <v>https://baanknet.com/view-property/265436/E1940220F566177C395C9B720C0CF31865414D9F1FAEC0EEE9C726C131E1CCB4</v>
      </c>
      <c r="I2337" t="str">
        <f>HYPERLINK("https://baanknet.com/view-property/265436/E1940220F566177C395C9B720C0CF31865414D9F1FAEC0EEE9C726C131E1CCB4", "Open")</f>
        <v>Open</v>
      </c>
      <c r="J2337" t="s">
        <v>3803</v>
      </c>
      <c r="L2337">
        <v>3800000</v>
      </c>
      <c r="M2337">
        <v>380000</v>
      </c>
    </row>
    <row r="2338" spans="1:13" x14ac:dyDescent="0.25">
      <c r="A2338" t="s">
        <v>7975</v>
      </c>
      <c r="B2338" t="s">
        <v>7976</v>
      </c>
      <c r="C2338" t="s">
        <v>15</v>
      </c>
      <c r="D2338" t="s">
        <v>7977</v>
      </c>
      <c r="E2338" t="s">
        <v>7756</v>
      </c>
      <c r="F2338" t="s">
        <v>7757</v>
      </c>
      <c r="G2338" t="s">
        <v>7978</v>
      </c>
      <c r="H2338" t="str">
        <f>HYPERLINK("https://baanknet.com/view-property/265428/772AD42430FFE63485984B280D5C57E1CDF06A8B64E8A39A979F904F516A88B6", "https://baanknet.com/view-property/265428/772AD42430FFE63485984B280D5C57E1CDF06A8B64E8A39A979F904F516A88B6")</f>
        <v>https://baanknet.com/view-property/265428/772AD42430FFE63485984B280D5C57E1CDF06A8B64E8A39A979F904F516A88B6</v>
      </c>
      <c r="I2338" t="str">
        <f>HYPERLINK("https://baanknet.com/view-property/265428/772AD42430FFE63485984B280D5C57E1CDF06A8B64E8A39A979F904F516A88B6", "Open")</f>
        <v>Open</v>
      </c>
      <c r="J2338" t="s">
        <v>3803</v>
      </c>
      <c r="L2338">
        <v>3900000</v>
      </c>
      <c r="M2338">
        <v>390000</v>
      </c>
    </row>
    <row r="2339" spans="1:13" x14ac:dyDescent="0.25">
      <c r="A2339" t="s">
        <v>7979</v>
      </c>
      <c r="B2339" t="s">
        <v>7980</v>
      </c>
      <c r="C2339" t="s">
        <v>15</v>
      </c>
      <c r="D2339" t="s">
        <v>7981</v>
      </c>
      <c r="E2339" t="s">
        <v>7756</v>
      </c>
      <c r="F2339" t="s">
        <v>7757</v>
      </c>
      <c r="G2339" t="s">
        <v>7982</v>
      </c>
      <c r="H2339" t="str">
        <f>HYPERLINK("https://baanknet.com/view-property/281168/CD5E7D00D2BD900BBFC1F96D3A94B025FAC2E3C6E6DF54E0E31039C370A959EF", "https://baanknet.com/view-property/281168/CD5E7D00D2BD900BBFC1F96D3A94B025FAC2E3C6E6DF54E0E31039C370A959EF")</f>
        <v>https://baanknet.com/view-property/281168/CD5E7D00D2BD900BBFC1F96D3A94B025FAC2E3C6E6DF54E0E31039C370A959EF</v>
      </c>
      <c r="I2339" t="str">
        <f>HYPERLINK("https://baanknet.com/view-property/281168/CD5E7D00D2BD900BBFC1F96D3A94B025FAC2E3C6E6DF54E0E31039C370A959EF", "Open")</f>
        <v>Open</v>
      </c>
      <c r="J2339" t="s">
        <v>3803</v>
      </c>
      <c r="L2339">
        <v>1700000</v>
      </c>
      <c r="M2339">
        <v>170000</v>
      </c>
    </row>
    <row r="2340" spans="1:13" x14ac:dyDescent="0.25">
      <c r="A2340" t="s">
        <v>7983</v>
      </c>
      <c r="B2340" t="s">
        <v>7984</v>
      </c>
      <c r="C2340" t="s">
        <v>15</v>
      </c>
      <c r="D2340" t="s">
        <v>7981</v>
      </c>
      <c r="E2340" t="s">
        <v>7756</v>
      </c>
      <c r="F2340" t="s">
        <v>7757</v>
      </c>
      <c r="G2340" t="s">
        <v>7985</v>
      </c>
      <c r="H2340" t="str">
        <f>HYPERLINK("https://baanknet.com/view-property/281171/79BBD5D4485106DD28D2BD4B1ED92CF2ADA4792EE2512DD1C0EAE63E02BA6D06", "https://baanknet.com/view-property/281171/79BBD5D4485106DD28D2BD4B1ED92CF2ADA4792EE2512DD1C0EAE63E02BA6D06")</f>
        <v>https://baanknet.com/view-property/281171/79BBD5D4485106DD28D2BD4B1ED92CF2ADA4792EE2512DD1C0EAE63E02BA6D06</v>
      </c>
      <c r="I2340" t="str">
        <f>HYPERLINK("https://baanknet.com/view-property/281171/79BBD5D4485106DD28D2BD4B1ED92CF2ADA4792EE2512DD1C0EAE63E02BA6D06", "Open")</f>
        <v>Open</v>
      </c>
      <c r="J2340" t="s">
        <v>3803</v>
      </c>
      <c r="L2340">
        <v>1750000</v>
      </c>
      <c r="M2340">
        <v>175000</v>
      </c>
    </row>
    <row r="2341" spans="1:13" x14ac:dyDescent="0.25">
      <c r="A2341" t="s">
        <v>7986</v>
      </c>
      <c r="B2341" t="s">
        <v>7987</v>
      </c>
      <c r="C2341" t="s">
        <v>15</v>
      </c>
      <c r="D2341" t="s">
        <v>2425</v>
      </c>
      <c r="E2341" t="s">
        <v>7756</v>
      </c>
      <c r="F2341" t="s">
        <v>7757</v>
      </c>
      <c r="G2341" t="s">
        <v>7988</v>
      </c>
      <c r="H2341" t="str">
        <f>HYPERLINK("https://baanknet.com/view-property/248349/60313EC58A11C8B33493E47DDC4186DA37E2B72F58B377B9CED0FA231F5880F3", "https://baanknet.com/view-property/248349/60313EC58A11C8B33493E47DDC4186DA37E2B72F58B377B9CED0FA231F5880F3")</f>
        <v>https://baanknet.com/view-property/248349/60313EC58A11C8B33493E47DDC4186DA37E2B72F58B377B9CED0FA231F5880F3</v>
      </c>
      <c r="I2341" t="str">
        <f>HYPERLINK("https://baanknet.com/view-property/248349/60313EC58A11C8B33493E47DDC4186DA37E2B72F58B377B9CED0FA231F5880F3", "Open")</f>
        <v>Open</v>
      </c>
      <c r="J2341" t="s">
        <v>3803</v>
      </c>
      <c r="L2341">
        <v>3852000</v>
      </c>
      <c r="M2341">
        <v>385200</v>
      </c>
    </row>
    <row r="2342" spans="1:13" x14ac:dyDescent="0.25">
      <c r="A2342" t="s">
        <v>7989</v>
      </c>
      <c r="B2342" t="s">
        <v>7990</v>
      </c>
      <c r="C2342" t="s">
        <v>15</v>
      </c>
      <c r="D2342" t="s">
        <v>7991</v>
      </c>
      <c r="E2342" t="s">
        <v>7756</v>
      </c>
      <c r="F2342" t="s">
        <v>7757</v>
      </c>
      <c r="G2342" t="s">
        <v>7992</v>
      </c>
      <c r="H2342" t="str">
        <f>HYPERLINK("https://baanknet.com/view-property/279273/7447697C7800D4EAB10172453F13CC7C07A10D7605F0C2E16FF76DC98BC8B200", "https://baanknet.com/view-property/279273/7447697C7800D4EAB10172453F13CC7C07A10D7605F0C2E16FF76DC98BC8B200")</f>
        <v>https://baanknet.com/view-property/279273/7447697C7800D4EAB10172453F13CC7C07A10D7605F0C2E16FF76DC98BC8B200</v>
      </c>
      <c r="I2342" t="str">
        <f>HYPERLINK("https://baanknet.com/view-property/279273/7447697C7800D4EAB10172453F13CC7C07A10D7605F0C2E16FF76DC98BC8B200", "Open")</f>
        <v>Open</v>
      </c>
      <c r="J2342" t="s">
        <v>3803</v>
      </c>
      <c r="L2342">
        <v>1620000</v>
      </c>
      <c r="M2342">
        <v>162000</v>
      </c>
    </row>
    <row r="2343" spans="1:13" x14ac:dyDescent="0.25">
      <c r="A2343" t="s">
        <v>7993</v>
      </c>
      <c r="B2343" t="s">
        <v>7994</v>
      </c>
      <c r="C2343" t="s">
        <v>15</v>
      </c>
      <c r="D2343" t="s">
        <v>4228</v>
      </c>
      <c r="E2343" t="s">
        <v>7756</v>
      </c>
      <c r="F2343" t="s">
        <v>7757</v>
      </c>
      <c r="G2343" t="s">
        <v>7995</v>
      </c>
      <c r="H2343" t="str">
        <f>HYPERLINK("https://baanknet.com/view-property/258849/3500AF05D212D2CF9EDFDB4DD7EA9F09BB2669925C15CD4957389D308239426A", "https://baanknet.com/view-property/258849/3500AF05D212D2CF9EDFDB4DD7EA9F09BB2669925C15CD4957389D308239426A")</f>
        <v>https://baanknet.com/view-property/258849/3500AF05D212D2CF9EDFDB4DD7EA9F09BB2669925C15CD4957389D308239426A</v>
      </c>
      <c r="I2343" t="str">
        <f>HYPERLINK("https://baanknet.com/view-property/258849/3500AF05D212D2CF9EDFDB4DD7EA9F09BB2669925C15CD4957389D308239426A", "Open")</f>
        <v>Open</v>
      </c>
      <c r="J2343" t="s">
        <v>3803</v>
      </c>
      <c r="L2343">
        <v>3150000</v>
      </c>
      <c r="M2343">
        <v>315000</v>
      </c>
    </row>
    <row r="2344" spans="1:13" x14ac:dyDescent="0.25">
      <c r="A2344" t="s">
        <v>7996</v>
      </c>
      <c r="B2344" t="s">
        <v>7997</v>
      </c>
      <c r="C2344" t="s">
        <v>15</v>
      </c>
      <c r="D2344" t="s">
        <v>4228</v>
      </c>
      <c r="E2344" t="s">
        <v>7756</v>
      </c>
      <c r="F2344" t="s">
        <v>7757</v>
      </c>
      <c r="G2344" t="s">
        <v>7998</v>
      </c>
      <c r="H2344" t="str">
        <f>HYPERLINK("https://baanknet.com/view-property/258850/E243A99E2FDE0D4A85DA8C91F52EE906869A0310AA024DFEFE8F2DB9589AB4BB", "https://baanknet.com/view-property/258850/E243A99E2FDE0D4A85DA8C91F52EE906869A0310AA024DFEFE8F2DB9589AB4BB")</f>
        <v>https://baanknet.com/view-property/258850/E243A99E2FDE0D4A85DA8C91F52EE906869A0310AA024DFEFE8F2DB9589AB4BB</v>
      </c>
      <c r="I2344" t="str">
        <f>HYPERLINK("https://baanknet.com/view-property/258850/E243A99E2FDE0D4A85DA8C91F52EE906869A0310AA024DFEFE8F2DB9589AB4BB", "Open")</f>
        <v>Open</v>
      </c>
      <c r="J2344" t="s">
        <v>3803</v>
      </c>
      <c r="L2344">
        <v>7200000</v>
      </c>
      <c r="M2344">
        <v>720000</v>
      </c>
    </row>
    <row r="2345" spans="1:13" x14ac:dyDescent="0.25">
      <c r="A2345" t="s">
        <v>7999</v>
      </c>
      <c r="B2345" t="s">
        <v>8000</v>
      </c>
      <c r="C2345" t="s">
        <v>15</v>
      </c>
      <c r="D2345" t="s">
        <v>3652</v>
      </c>
      <c r="E2345" t="s">
        <v>7756</v>
      </c>
      <c r="F2345" t="s">
        <v>7757</v>
      </c>
      <c r="G2345" t="s">
        <v>8001</v>
      </c>
      <c r="H2345" t="str">
        <f>HYPERLINK("https://baanknet.com/view-property/279274/AEE574326E146018EFDAE6E58495065ABFB87566D467809F317ECBC1139AAA79", "https://baanknet.com/view-property/279274/AEE574326E146018EFDAE6E58495065ABFB87566D467809F317ECBC1139AAA79")</f>
        <v>https://baanknet.com/view-property/279274/AEE574326E146018EFDAE6E58495065ABFB87566D467809F317ECBC1139AAA79</v>
      </c>
      <c r="I2345" t="str">
        <f>HYPERLINK("https://baanknet.com/view-property/279274/AEE574326E146018EFDAE6E58495065ABFB87566D467809F317ECBC1139AAA79", "Open")</f>
        <v>Open</v>
      </c>
      <c r="J2345" t="s">
        <v>3803</v>
      </c>
      <c r="L2345">
        <v>2300000</v>
      </c>
      <c r="M2345">
        <v>230000</v>
      </c>
    </row>
    <row r="2346" spans="1:13" x14ac:dyDescent="0.25">
      <c r="A2346" t="s">
        <v>8002</v>
      </c>
      <c r="B2346" t="s">
        <v>8003</v>
      </c>
      <c r="C2346" t="s">
        <v>15</v>
      </c>
      <c r="D2346" t="s">
        <v>2425</v>
      </c>
      <c r="E2346" t="s">
        <v>7756</v>
      </c>
      <c r="F2346" t="s">
        <v>7757</v>
      </c>
      <c r="G2346" t="s">
        <v>8004</v>
      </c>
      <c r="H2346" t="str">
        <f>HYPERLINK("https://baanknet.com/view-property/273695/F700B7F3C679C58E3A01EF6774D136BAD14C87C540B12827FB978FC38C88D642", "https://baanknet.com/view-property/273695/F700B7F3C679C58E3A01EF6774D136BAD14C87C540B12827FB978FC38C88D642")</f>
        <v>https://baanknet.com/view-property/273695/F700B7F3C679C58E3A01EF6774D136BAD14C87C540B12827FB978FC38C88D642</v>
      </c>
      <c r="I2346" t="str">
        <f>HYPERLINK("https://baanknet.com/view-property/273695/F700B7F3C679C58E3A01EF6774D136BAD14C87C540B12827FB978FC38C88D642", "Open")</f>
        <v>Open</v>
      </c>
      <c r="J2346" t="s">
        <v>3803</v>
      </c>
      <c r="L2346">
        <v>4161000</v>
      </c>
      <c r="M2346">
        <v>416100</v>
      </c>
    </row>
    <row r="2347" spans="1:13" x14ac:dyDescent="0.25">
      <c r="A2347" t="s">
        <v>8005</v>
      </c>
      <c r="B2347" t="s">
        <v>8006</v>
      </c>
      <c r="C2347" t="s">
        <v>15</v>
      </c>
      <c r="D2347" t="s">
        <v>1246</v>
      </c>
      <c r="E2347" t="s">
        <v>7756</v>
      </c>
      <c r="F2347" t="s">
        <v>7757</v>
      </c>
      <c r="G2347" t="s">
        <v>8007</v>
      </c>
      <c r="H2347" t="str">
        <f>HYPERLINK("https://baanknet.com/view-property/243820/CF07B24B450356FF5D3055D71C1C2EC190B5F4679A79CDBBBECF5B32D0AE43B6", "https://baanknet.com/view-property/243820/CF07B24B450356FF5D3055D71C1C2EC190B5F4679A79CDBBBECF5B32D0AE43B6")</f>
        <v>https://baanknet.com/view-property/243820/CF07B24B450356FF5D3055D71C1C2EC190B5F4679A79CDBBBECF5B32D0AE43B6</v>
      </c>
      <c r="I2347" t="str">
        <f>HYPERLINK("https://baanknet.com/view-property/243820/CF07B24B450356FF5D3055D71C1C2EC190B5F4679A79CDBBBECF5B32D0AE43B6", "Open")</f>
        <v>Open</v>
      </c>
      <c r="J2347" t="s">
        <v>3803</v>
      </c>
      <c r="L2347">
        <v>1525000</v>
      </c>
      <c r="M2347">
        <v>152500</v>
      </c>
    </row>
    <row r="2348" spans="1:13" x14ac:dyDescent="0.25">
      <c r="A2348" t="s">
        <v>8008</v>
      </c>
      <c r="B2348" t="s">
        <v>8009</v>
      </c>
      <c r="C2348" t="s">
        <v>15</v>
      </c>
      <c r="D2348" t="s">
        <v>1246</v>
      </c>
      <c r="E2348" t="s">
        <v>7756</v>
      </c>
      <c r="F2348" t="s">
        <v>7757</v>
      </c>
      <c r="G2348" t="s">
        <v>8010</v>
      </c>
      <c r="H2348" t="str">
        <f>HYPERLINK("https://baanknet.com/view-property/248339/AC2EC11A8549CC30CEBFA95DF35D713DD3D03406BE27B30CDB1AD1B64E55CFE5", "https://baanknet.com/view-property/248339/AC2EC11A8549CC30CEBFA95DF35D713DD3D03406BE27B30CDB1AD1B64E55CFE5")</f>
        <v>https://baanknet.com/view-property/248339/AC2EC11A8549CC30CEBFA95DF35D713DD3D03406BE27B30CDB1AD1B64E55CFE5</v>
      </c>
      <c r="I2348" t="str">
        <f>HYPERLINK("https://baanknet.com/view-property/248339/AC2EC11A8549CC30CEBFA95DF35D713DD3D03406BE27B30CDB1AD1B64E55CFE5", "Open")</f>
        <v>Open</v>
      </c>
      <c r="J2348" t="s">
        <v>3803</v>
      </c>
      <c r="L2348">
        <v>3650000</v>
      </c>
      <c r="M2348">
        <v>365000</v>
      </c>
    </row>
    <row r="2349" spans="1:13" x14ac:dyDescent="0.25">
      <c r="A2349" t="s">
        <v>8011</v>
      </c>
      <c r="B2349" t="s">
        <v>8012</v>
      </c>
      <c r="C2349" t="s">
        <v>15</v>
      </c>
      <c r="D2349" t="s">
        <v>3670</v>
      </c>
      <c r="E2349" t="s">
        <v>7756</v>
      </c>
      <c r="F2349" t="s">
        <v>7757</v>
      </c>
      <c r="G2349" t="s">
        <v>8013</v>
      </c>
      <c r="H2349" t="str">
        <f>HYPERLINK("https://baanknet.com/view-property/248942/5B5FE2D11E6C4FB61B394DE10619F69618831C4F3034A35EBA7528D597ACF597", "https://baanknet.com/view-property/248942/5B5FE2D11E6C4FB61B394DE10619F69618831C4F3034A35EBA7528D597ACF597")</f>
        <v>https://baanknet.com/view-property/248942/5B5FE2D11E6C4FB61B394DE10619F69618831C4F3034A35EBA7528D597ACF597</v>
      </c>
      <c r="I2349" t="str">
        <f>HYPERLINK("https://baanknet.com/view-property/248942/5B5FE2D11E6C4FB61B394DE10619F69618831C4F3034A35EBA7528D597ACF597", "Open")</f>
        <v>Open</v>
      </c>
      <c r="J2349" t="s">
        <v>3803</v>
      </c>
      <c r="L2349">
        <v>1820000</v>
      </c>
      <c r="M2349">
        <v>182000</v>
      </c>
    </row>
    <row r="2350" spans="1:13" x14ac:dyDescent="0.25">
      <c r="A2350" t="s">
        <v>8014</v>
      </c>
      <c r="B2350" t="s">
        <v>8015</v>
      </c>
      <c r="C2350" t="s">
        <v>15</v>
      </c>
      <c r="D2350" t="s">
        <v>3830</v>
      </c>
      <c r="E2350" t="s">
        <v>7756</v>
      </c>
      <c r="F2350" t="s">
        <v>7757</v>
      </c>
      <c r="G2350" t="s">
        <v>8016</v>
      </c>
      <c r="H2350" t="str">
        <f>HYPERLINK("https://baanknet.com/view-property/267996/DA6B17AD92DCD297A2838105BA8D6DB3FD1B70431FDAA903A8790D235A6FCC7C", "https://baanknet.com/view-property/267996/DA6B17AD92DCD297A2838105BA8D6DB3FD1B70431FDAA903A8790D235A6FCC7C")</f>
        <v>https://baanknet.com/view-property/267996/DA6B17AD92DCD297A2838105BA8D6DB3FD1B70431FDAA903A8790D235A6FCC7C</v>
      </c>
      <c r="I2350" t="str">
        <f>HYPERLINK("https://baanknet.com/view-property/267996/DA6B17AD92DCD297A2838105BA8D6DB3FD1B70431FDAA903A8790D235A6FCC7C", "Open")</f>
        <v>Open</v>
      </c>
      <c r="J2350" t="s">
        <v>3803</v>
      </c>
      <c r="L2350">
        <v>1335000</v>
      </c>
      <c r="M2350">
        <v>133500</v>
      </c>
    </row>
    <row r="2351" spans="1:13" x14ac:dyDescent="0.25">
      <c r="A2351" t="s">
        <v>8017</v>
      </c>
      <c r="B2351" t="s">
        <v>8018</v>
      </c>
      <c r="C2351" t="s">
        <v>15</v>
      </c>
      <c r="D2351" t="s">
        <v>3830</v>
      </c>
      <c r="E2351" t="s">
        <v>7756</v>
      </c>
      <c r="F2351" t="s">
        <v>7757</v>
      </c>
      <c r="G2351" t="s">
        <v>8019</v>
      </c>
      <c r="H2351" t="str">
        <f>HYPERLINK("https://baanknet.com/view-property/267988/0A39246F6ADDC96216485BD55C0BD9EDF7C29527150F144195AD8713E42BE6FD", "https://baanknet.com/view-property/267988/0A39246F6ADDC96216485BD55C0BD9EDF7C29527150F144195AD8713E42BE6FD")</f>
        <v>https://baanknet.com/view-property/267988/0A39246F6ADDC96216485BD55C0BD9EDF7C29527150F144195AD8713E42BE6FD</v>
      </c>
      <c r="I2351" t="str">
        <f>HYPERLINK("https://baanknet.com/view-property/267988/0A39246F6ADDC96216485BD55C0BD9EDF7C29527150F144195AD8713E42BE6FD", "Open")</f>
        <v>Open</v>
      </c>
      <c r="J2351" t="s">
        <v>3803</v>
      </c>
      <c r="L2351">
        <v>1335000</v>
      </c>
      <c r="M2351">
        <v>133500</v>
      </c>
    </row>
    <row r="2352" spans="1:13" x14ac:dyDescent="0.25">
      <c r="A2352" t="s">
        <v>8020</v>
      </c>
      <c r="B2352" t="s">
        <v>8021</v>
      </c>
      <c r="C2352" t="s">
        <v>15</v>
      </c>
      <c r="D2352" t="s">
        <v>8022</v>
      </c>
      <c r="E2352" t="s">
        <v>7756</v>
      </c>
      <c r="F2352" t="s">
        <v>7757</v>
      </c>
      <c r="G2352" t="s">
        <v>8023</v>
      </c>
      <c r="H2352" t="str">
        <f>HYPERLINK("https://baanknet.com/view-property/287523/C10C8C07674355C53D09EFD3B84D19D8CF4DFC94D72CC1A07D080E8CF81DA517", "https://baanknet.com/view-property/287523/C10C8C07674355C53D09EFD3B84D19D8CF4DFC94D72CC1A07D080E8CF81DA517")</f>
        <v>https://baanknet.com/view-property/287523/C10C8C07674355C53D09EFD3B84D19D8CF4DFC94D72CC1A07D080E8CF81DA517</v>
      </c>
      <c r="I2352" t="str">
        <f>HYPERLINK("https://baanknet.com/view-property/287523/C10C8C07674355C53D09EFD3B84D19D8CF4DFC94D72CC1A07D080E8CF81DA517", "Open")</f>
        <v>Open</v>
      </c>
      <c r="J2352" t="s">
        <v>3803</v>
      </c>
      <c r="L2352">
        <v>7000000</v>
      </c>
      <c r="M2352">
        <v>700000</v>
      </c>
    </row>
    <row r="2353" spans="1:13" x14ac:dyDescent="0.25">
      <c r="A2353" t="s">
        <v>8024</v>
      </c>
      <c r="B2353" t="s">
        <v>8025</v>
      </c>
      <c r="C2353" t="s">
        <v>15</v>
      </c>
      <c r="D2353" t="s">
        <v>4743</v>
      </c>
      <c r="E2353" t="s">
        <v>7756</v>
      </c>
      <c r="F2353" t="s">
        <v>7757</v>
      </c>
      <c r="G2353" t="s">
        <v>8026</v>
      </c>
      <c r="H2353" t="str">
        <f>HYPERLINK("https://baanknet.com/view-property/271302/2B5D066106004786340B0BA7FE7A441B76E014FD73935F1EF5542442069859EA", "https://baanknet.com/view-property/271302/2B5D066106004786340B0BA7FE7A441B76E014FD73935F1EF5542442069859EA")</f>
        <v>https://baanknet.com/view-property/271302/2B5D066106004786340B0BA7FE7A441B76E014FD73935F1EF5542442069859EA</v>
      </c>
      <c r="I2353" t="str">
        <f>HYPERLINK("https://baanknet.com/view-property/271302/2B5D066106004786340B0BA7FE7A441B76E014FD73935F1EF5542442069859EA", "Open")</f>
        <v>Open</v>
      </c>
      <c r="J2353" t="s">
        <v>3803</v>
      </c>
      <c r="L2353">
        <v>4800000</v>
      </c>
      <c r="M2353">
        <v>480000</v>
      </c>
    </row>
    <row r="2354" spans="1:13" x14ac:dyDescent="0.25">
      <c r="A2354" t="s">
        <v>8027</v>
      </c>
      <c r="B2354" t="s">
        <v>8028</v>
      </c>
      <c r="C2354" t="s">
        <v>144</v>
      </c>
      <c r="D2354" t="s">
        <v>56</v>
      </c>
      <c r="E2354" t="s">
        <v>7756</v>
      </c>
      <c r="F2354" t="s">
        <v>637</v>
      </c>
      <c r="G2354" t="s">
        <v>8029</v>
      </c>
      <c r="H2354" t="str">
        <f>HYPERLINK("https://baanknet.com/view-property/285338/84817D6D3D554EF9C732E41CE38BFCD5EC061BBE88373D0BDF0D36F6531BC052", "https://baanknet.com/view-property/285338/84817D6D3D554EF9C732E41CE38BFCD5EC061BBE88373D0BDF0D36F6531BC052")</f>
        <v>https://baanknet.com/view-property/285338/84817D6D3D554EF9C732E41CE38BFCD5EC061BBE88373D0BDF0D36F6531BC052</v>
      </c>
      <c r="I2354" t="str">
        <f>HYPERLINK("https://baanknet.com/view-property/285338/84817D6D3D554EF9C732E41CE38BFCD5EC061BBE88373D0BDF0D36F6531BC052", "Open")</f>
        <v>Open</v>
      </c>
      <c r="J2354" t="s">
        <v>3803</v>
      </c>
      <c r="L2354">
        <v>36572000</v>
      </c>
      <c r="M2354">
        <v>3657200</v>
      </c>
    </row>
    <row r="2355" spans="1:13" x14ac:dyDescent="0.25">
      <c r="A2355" t="s">
        <v>8030</v>
      </c>
      <c r="B2355" t="s">
        <v>8031</v>
      </c>
      <c r="C2355" t="s">
        <v>144</v>
      </c>
      <c r="D2355" t="s">
        <v>6627</v>
      </c>
      <c r="E2355" t="s">
        <v>7756</v>
      </c>
      <c r="F2355" t="s">
        <v>637</v>
      </c>
      <c r="G2355" t="s">
        <v>8032</v>
      </c>
      <c r="H2355" t="str">
        <f>HYPERLINK("https://baanknet.com/view-property/285346/B562EA41BB6F0EA2058C05BEEDCBBF083B20072087EB8A49F69B663F85053DFA", "https://baanknet.com/view-property/285346/B562EA41BB6F0EA2058C05BEEDCBBF083B20072087EB8A49F69B663F85053DFA")</f>
        <v>https://baanknet.com/view-property/285346/B562EA41BB6F0EA2058C05BEEDCBBF083B20072087EB8A49F69B663F85053DFA</v>
      </c>
      <c r="I2355" t="str">
        <f>HYPERLINK("https://baanknet.com/view-property/285346/B562EA41BB6F0EA2058C05BEEDCBBF083B20072087EB8A49F69B663F85053DFA", "Open")</f>
        <v>Open</v>
      </c>
      <c r="J2355" t="s">
        <v>3803</v>
      </c>
      <c r="L2355">
        <v>21581000</v>
      </c>
      <c r="M2355">
        <v>2158100</v>
      </c>
    </row>
    <row r="2356" spans="1:13" x14ac:dyDescent="0.25">
      <c r="A2356" t="s">
        <v>8033</v>
      </c>
      <c r="B2356" t="s">
        <v>8034</v>
      </c>
      <c r="C2356" t="s">
        <v>144</v>
      </c>
      <c r="D2356" t="s">
        <v>4679</v>
      </c>
      <c r="E2356" t="s">
        <v>7756</v>
      </c>
      <c r="F2356" t="s">
        <v>637</v>
      </c>
      <c r="G2356" t="s">
        <v>8035</v>
      </c>
      <c r="H2356" t="str">
        <f>HYPERLINK("https://baanknet.com/view-property/274550/36CF5767926DCEA9E464FFD51EA7C9DA1AB07B97B16A5B7266A353714318ABB4", "https://baanknet.com/view-property/274550/36CF5767926DCEA9E464FFD51EA7C9DA1AB07B97B16A5B7266A353714318ABB4")</f>
        <v>https://baanknet.com/view-property/274550/36CF5767926DCEA9E464FFD51EA7C9DA1AB07B97B16A5B7266A353714318ABB4</v>
      </c>
      <c r="I2356" t="str">
        <f>HYPERLINK("https://baanknet.com/view-property/274550/36CF5767926DCEA9E464FFD51EA7C9DA1AB07B97B16A5B7266A353714318ABB4", "Open")</f>
        <v>Open</v>
      </c>
      <c r="J2356" t="s">
        <v>3803</v>
      </c>
      <c r="L2356">
        <v>7015000</v>
      </c>
      <c r="M2356">
        <v>701500</v>
      </c>
    </row>
    <row r="2357" spans="1:13" x14ac:dyDescent="0.25">
      <c r="A2357" t="s">
        <v>8036</v>
      </c>
      <c r="B2357" t="s">
        <v>8037</v>
      </c>
      <c r="C2357" t="s">
        <v>144</v>
      </c>
      <c r="D2357" t="s">
        <v>6627</v>
      </c>
      <c r="E2357" t="s">
        <v>7756</v>
      </c>
      <c r="F2357" t="s">
        <v>637</v>
      </c>
      <c r="G2357" t="s">
        <v>8038</v>
      </c>
      <c r="H2357" t="str">
        <f>HYPERLINK("https://baanknet.com/view-property/285292/00429132E2AB6243BC5C1DF7ADA8E0F79DE568F2609B68337C568ABA313D71C2", "https://baanknet.com/view-property/285292/00429132E2AB6243BC5C1DF7ADA8E0F79DE568F2609B68337C568ABA313D71C2")</f>
        <v>https://baanknet.com/view-property/285292/00429132E2AB6243BC5C1DF7ADA8E0F79DE568F2609B68337C568ABA313D71C2</v>
      </c>
      <c r="I2357" t="str">
        <f>HYPERLINK("https://baanknet.com/view-property/285292/00429132E2AB6243BC5C1DF7ADA8E0F79DE568F2609B68337C568ABA313D71C2", "Open")</f>
        <v>Open</v>
      </c>
      <c r="J2357" t="s">
        <v>3803</v>
      </c>
      <c r="L2357">
        <v>1712000</v>
      </c>
      <c r="M2357">
        <v>171200</v>
      </c>
    </row>
    <row r="2358" spans="1:13" x14ac:dyDescent="0.25">
      <c r="A2358" t="s">
        <v>8039</v>
      </c>
      <c r="B2358" t="s">
        <v>8040</v>
      </c>
      <c r="C2358" t="s">
        <v>15</v>
      </c>
      <c r="D2358" t="s">
        <v>849</v>
      </c>
      <c r="E2358" t="s">
        <v>8041</v>
      </c>
      <c r="F2358" t="s">
        <v>624</v>
      </c>
      <c r="G2358" t="s">
        <v>8042</v>
      </c>
      <c r="H2358" t="str">
        <f>HYPERLINK("https://baanknet.com/view-property/279224/36F569EDBAC94304DA26F2B1E11B30E7C96D530027CFE1AA723823C99C63F477", "https://baanknet.com/view-property/279224/36F569EDBAC94304DA26F2B1E11B30E7C96D530027CFE1AA723823C99C63F477")</f>
        <v>https://baanknet.com/view-property/279224/36F569EDBAC94304DA26F2B1E11B30E7C96D530027CFE1AA723823C99C63F477</v>
      </c>
      <c r="I2358" t="str">
        <f>HYPERLINK("https://baanknet.com/view-property/279224/36F569EDBAC94304DA26F2B1E11B30E7C96D530027CFE1AA723823C99C63F477", "Open")</f>
        <v>Open</v>
      </c>
      <c r="J2358" t="s">
        <v>3803</v>
      </c>
      <c r="L2358">
        <v>1742400</v>
      </c>
      <c r="M2358">
        <v>174240</v>
      </c>
    </row>
    <row r="2359" spans="1:13" x14ac:dyDescent="0.25">
      <c r="A2359" t="s">
        <v>8043</v>
      </c>
      <c r="B2359" t="s">
        <v>8044</v>
      </c>
      <c r="C2359" t="s">
        <v>15</v>
      </c>
      <c r="D2359" t="s">
        <v>1300</v>
      </c>
      <c r="E2359" t="s">
        <v>8041</v>
      </c>
      <c r="F2359" t="s">
        <v>624</v>
      </c>
      <c r="G2359" t="s">
        <v>8045</v>
      </c>
      <c r="H2359" t="str">
        <f>HYPERLINK("https://baanknet.com/view-property/284091/173A38D5C97CC19DEF5394BEB3D928A3DD64FFBC941C263D1CCE3464B3DCB575", "https://baanknet.com/view-property/284091/173A38D5C97CC19DEF5394BEB3D928A3DD64FFBC941C263D1CCE3464B3DCB575")</f>
        <v>https://baanknet.com/view-property/284091/173A38D5C97CC19DEF5394BEB3D928A3DD64FFBC941C263D1CCE3464B3DCB575</v>
      </c>
      <c r="I2359" t="str">
        <f>HYPERLINK("https://baanknet.com/view-property/284091/173A38D5C97CC19DEF5394BEB3D928A3DD64FFBC941C263D1CCE3464B3DCB575", "Open")</f>
        <v>Open</v>
      </c>
      <c r="J2359" t="s">
        <v>3803</v>
      </c>
      <c r="L2359">
        <v>2493750</v>
      </c>
      <c r="M2359">
        <v>249375</v>
      </c>
    </row>
    <row r="2360" spans="1:13" x14ac:dyDescent="0.25">
      <c r="A2360" t="s">
        <v>8046</v>
      </c>
      <c r="B2360" t="s">
        <v>8047</v>
      </c>
      <c r="C2360" t="s">
        <v>15</v>
      </c>
      <c r="D2360" t="s">
        <v>706</v>
      </c>
      <c r="E2360" t="s">
        <v>8041</v>
      </c>
      <c r="F2360" t="s">
        <v>624</v>
      </c>
      <c r="G2360" t="s">
        <v>8048</v>
      </c>
      <c r="H2360" t="str">
        <f>HYPERLINK("https://baanknet.com/view-property/261398/39CFB455899CE378465E4CF2B2BCD06AF609467B9CC117F0012402762717895B", "https://baanknet.com/view-property/261398/39CFB455899CE378465E4CF2B2BCD06AF609467B9CC117F0012402762717895B")</f>
        <v>https://baanknet.com/view-property/261398/39CFB455899CE378465E4CF2B2BCD06AF609467B9CC117F0012402762717895B</v>
      </c>
      <c r="I2360" t="str">
        <f>HYPERLINK("https://baanknet.com/view-property/261398/39CFB455899CE378465E4CF2B2BCD06AF609467B9CC117F0012402762717895B", "Open")</f>
        <v>Open</v>
      </c>
      <c r="J2360" t="s">
        <v>3803</v>
      </c>
      <c r="L2360">
        <v>1390000</v>
      </c>
      <c r="M2360">
        <v>139000</v>
      </c>
    </row>
    <row r="2361" spans="1:13" x14ac:dyDescent="0.25">
      <c r="A2361" t="s">
        <v>8049</v>
      </c>
      <c r="B2361" t="s">
        <v>8050</v>
      </c>
      <c r="C2361" t="s">
        <v>15</v>
      </c>
      <c r="D2361" t="s">
        <v>1352</v>
      </c>
      <c r="E2361" t="s">
        <v>8041</v>
      </c>
      <c r="F2361" t="s">
        <v>624</v>
      </c>
      <c r="G2361" t="s">
        <v>8051</v>
      </c>
      <c r="H2361" t="str">
        <f>HYPERLINK("https://baanknet.com/view-property/258946/271D95CFC29FA2601E834BB2E6E7152E1C650EC5454EAD71327F63260E1FF59D", "https://baanknet.com/view-property/258946/271D95CFC29FA2601E834BB2E6E7152E1C650EC5454EAD71327F63260E1FF59D")</f>
        <v>https://baanknet.com/view-property/258946/271D95CFC29FA2601E834BB2E6E7152E1C650EC5454EAD71327F63260E1FF59D</v>
      </c>
      <c r="I2361" t="str">
        <f>HYPERLINK("https://baanknet.com/view-property/258946/271D95CFC29FA2601E834BB2E6E7152E1C650EC5454EAD71327F63260E1FF59D", "Open")</f>
        <v>Open</v>
      </c>
      <c r="J2361" t="s">
        <v>3803</v>
      </c>
      <c r="L2361">
        <v>1749600</v>
      </c>
      <c r="M2361">
        <v>174960</v>
      </c>
    </row>
    <row r="2362" spans="1:13" x14ac:dyDescent="0.25">
      <c r="A2362" t="s">
        <v>8052</v>
      </c>
      <c r="B2362" t="s">
        <v>8053</v>
      </c>
      <c r="C2362" t="s">
        <v>15</v>
      </c>
      <c r="D2362" t="s">
        <v>1300</v>
      </c>
      <c r="E2362" t="s">
        <v>8041</v>
      </c>
      <c r="F2362" t="s">
        <v>624</v>
      </c>
      <c r="G2362" t="s">
        <v>8054</v>
      </c>
      <c r="H2362" t="str">
        <f>HYPERLINK("https://baanknet.com/view-property/258950/FA0E553E283BD660FC170FBFC13ED6DE6FD477C939731126E7CC1AEC0AA16ACE", "https://baanknet.com/view-property/258950/FA0E553E283BD660FC170FBFC13ED6DE6FD477C939731126E7CC1AEC0AA16ACE")</f>
        <v>https://baanknet.com/view-property/258950/FA0E553E283BD660FC170FBFC13ED6DE6FD477C939731126E7CC1AEC0AA16ACE</v>
      </c>
      <c r="I2362" t="str">
        <f>HYPERLINK("https://baanknet.com/view-property/258950/FA0E553E283BD660FC170FBFC13ED6DE6FD477C939731126E7CC1AEC0AA16ACE", "Open")</f>
        <v>Open</v>
      </c>
      <c r="J2362" t="s">
        <v>3803</v>
      </c>
      <c r="L2362">
        <v>1080000</v>
      </c>
      <c r="M2362">
        <v>108000</v>
      </c>
    </row>
    <row r="2363" spans="1:13" x14ac:dyDescent="0.25">
      <c r="A2363" t="s">
        <v>8055</v>
      </c>
      <c r="B2363" t="s">
        <v>8056</v>
      </c>
      <c r="C2363" t="s">
        <v>15</v>
      </c>
      <c r="D2363" t="s">
        <v>710</v>
      </c>
      <c r="E2363" t="s">
        <v>8041</v>
      </c>
      <c r="F2363" t="s">
        <v>624</v>
      </c>
      <c r="G2363" t="s">
        <v>8057</v>
      </c>
      <c r="H2363" t="str">
        <f>HYPERLINK("https://baanknet.com/view-property/249500/DB66908BEEFDB917FD2AA8B2C11D8A3F7B2B939B299A13902BCCD2104E22B28A", "https://baanknet.com/view-property/249500/DB66908BEEFDB917FD2AA8B2C11D8A3F7B2B939B299A13902BCCD2104E22B28A")</f>
        <v>https://baanknet.com/view-property/249500/DB66908BEEFDB917FD2AA8B2C11D8A3F7B2B939B299A13902BCCD2104E22B28A</v>
      </c>
      <c r="I2363" t="str">
        <f>HYPERLINK("https://baanknet.com/view-property/249500/DB66908BEEFDB917FD2AA8B2C11D8A3F7B2B939B299A13902BCCD2104E22B28A", "Open")</f>
        <v>Open</v>
      </c>
      <c r="J2363" t="s">
        <v>3803</v>
      </c>
      <c r="L2363">
        <v>2198780</v>
      </c>
      <c r="M2363">
        <v>219878</v>
      </c>
    </row>
    <row r="2364" spans="1:13" x14ac:dyDescent="0.25">
      <c r="A2364" t="s">
        <v>8058</v>
      </c>
      <c r="B2364" t="s">
        <v>8059</v>
      </c>
      <c r="C2364" t="s">
        <v>15</v>
      </c>
      <c r="D2364" t="s">
        <v>553</v>
      </c>
      <c r="E2364" t="s">
        <v>8041</v>
      </c>
      <c r="F2364" t="s">
        <v>624</v>
      </c>
      <c r="G2364" t="s">
        <v>8060</v>
      </c>
      <c r="H2364" t="str">
        <f>HYPERLINK("https://baanknet.com/view-property/248555/B957566539CA10E0340EACF53D9433221076C7A87D926FD5FC90E90C9215F2B0", "https://baanknet.com/view-property/248555/B957566539CA10E0340EACF53D9433221076C7A87D926FD5FC90E90C9215F2B0")</f>
        <v>https://baanknet.com/view-property/248555/B957566539CA10E0340EACF53D9433221076C7A87D926FD5FC90E90C9215F2B0</v>
      </c>
      <c r="I2364" t="str">
        <f>HYPERLINK("https://baanknet.com/view-property/248555/B957566539CA10E0340EACF53D9433221076C7A87D926FD5FC90E90C9215F2B0", "Open")</f>
        <v>Open</v>
      </c>
      <c r="J2364" t="s">
        <v>3803</v>
      </c>
      <c r="L2364">
        <v>615000</v>
      </c>
      <c r="M2364">
        <v>61500</v>
      </c>
    </row>
    <row r="2365" spans="1:13" x14ac:dyDescent="0.25">
      <c r="A2365" t="s">
        <v>8061</v>
      </c>
      <c r="B2365" t="s">
        <v>8062</v>
      </c>
      <c r="C2365" t="s">
        <v>15</v>
      </c>
      <c r="D2365" t="s">
        <v>1300</v>
      </c>
      <c r="E2365" t="s">
        <v>8041</v>
      </c>
      <c r="F2365" t="s">
        <v>624</v>
      </c>
      <c r="G2365" t="s">
        <v>8063</v>
      </c>
      <c r="H2365" t="str">
        <f>HYPERLINK("https://baanknet.com/view-property/245333/68D9C7417C2B6C3B0782817AC654323EB2C7E0EB6B4210A12C660B73FA51B20A", "https://baanknet.com/view-property/245333/68D9C7417C2B6C3B0782817AC654323EB2C7E0EB6B4210A12C660B73FA51B20A")</f>
        <v>https://baanknet.com/view-property/245333/68D9C7417C2B6C3B0782817AC654323EB2C7E0EB6B4210A12C660B73FA51B20A</v>
      </c>
      <c r="I2365" t="str">
        <f>HYPERLINK("https://baanknet.com/view-property/245333/68D9C7417C2B6C3B0782817AC654323EB2C7E0EB6B4210A12C660B73FA51B20A", "Open")</f>
        <v>Open</v>
      </c>
      <c r="J2365" t="s">
        <v>3803</v>
      </c>
      <c r="L2365">
        <v>1234440</v>
      </c>
      <c r="M2365">
        <v>123444</v>
      </c>
    </row>
    <row r="2366" spans="1:13" x14ac:dyDescent="0.25">
      <c r="A2366" t="s">
        <v>8064</v>
      </c>
      <c r="B2366" t="s">
        <v>8065</v>
      </c>
      <c r="C2366" t="s">
        <v>15</v>
      </c>
      <c r="D2366" t="s">
        <v>849</v>
      </c>
      <c r="E2366" t="s">
        <v>8041</v>
      </c>
      <c r="F2366" t="s">
        <v>624</v>
      </c>
      <c r="G2366" t="s">
        <v>8066</v>
      </c>
      <c r="H2366" t="str">
        <f>HYPERLINK("https://baanknet.com/view-property/245331/EC0C45160D251E0F4C2937D1BB0382DAB931E61CD8F431FFDB64055794C3CF05", "https://baanknet.com/view-property/245331/EC0C45160D251E0F4C2937D1BB0382DAB931E61CD8F431FFDB64055794C3CF05")</f>
        <v>https://baanknet.com/view-property/245331/EC0C45160D251E0F4C2937D1BB0382DAB931E61CD8F431FFDB64055794C3CF05</v>
      </c>
      <c r="I2366" t="str">
        <f>HYPERLINK("https://baanknet.com/view-property/245331/EC0C45160D251E0F4C2937D1BB0382DAB931E61CD8F431FFDB64055794C3CF05", "Open")</f>
        <v>Open</v>
      </c>
      <c r="J2366" t="s">
        <v>3803</v>
      </c>
      <c r="L2366">
        <v>1230000</v>
      </c>
      <c r="M2366">
        <v>123000</v>
      </c>
    </row>
    <row r="2367" spans="1:13" x14ac:dyDescent="0.25">
      <c r="A2367" t="s">
        <v>8067</v>
      </c>
      <c r="B2367" t="s">
        <v>8068</v>
      </c>
      <c r="C2367" t="s">
        <v>15</v>
      </c>
      <c r="D2367" t="s">
        <v>1300</v>
      </c>
      <c r="E2367" t="s">
        <v>8041</v>
      </c>
      <c r="F2367" t="s">
        <v>624</v>
      </c>
      <c r="G2367" t="s">
        <v>8069</v>
      </c>
      <c r="H2367" t="str">
        <f>HYPERLINK("https://baanknet.com/view-property/245329/ED90436D061107C868DD61CE00E75C7D12D06E7E0C09B12AE7E48CC18D2E2C1C", "https://baanknet.com/view-property/245329/ED90436D061107C868DD61CE00E75C7D12D06E7E0C09B12AE7E48CC18D2E2C1C")</f>
        <v>https://baanknet.com/view-property/245329/ED90436D061107C868DD61CE00E75C7D12D06E7E0C09B12AE7E48CC18D2E2C1C</v>
      </c>
      <c r="I2367" t="str">
        <f>HYPERLINK("https://baanknet.com/view-property/245329/ED90436D061107C868DD61CE00E75C7D12D06E7E0C09B12AE7E48CC18D2E2C1C", "Open")</f>
        <v>Open</v>
      </c>
      <c r="J2367" t="s">
        <v>3803</v>
      </c>
      <c r="L2367">
        <v>1779900</v>
      </c>
      <c r="M2367">
        <v>177990</v>
      </c>
    </row>
    <row r="2368" spans="1:13" x14ac:dyDescent="0.25">
      <c r="A2368" t="s">
        <v>8070</v>
      </c>
      <c r="B2368" t="s">
        <v>8071</v>
      </c>
      <c r="C2368" t="s">
        <v>15</v>
      </c>
      <c r="D2368" t="s">
        <v>1481</v>
      </c>
      <c r="E2368" t="s">
        <v>8041</v>
      </c>
      <c r="F2368" t="s">
        <v>624</v>
      </c>
      <c r="G2368" t="s">
        <v>8072</v>
      </c>
      <c r="H2368" t="str">
        <f>HYPERLINK("https://baanknet.com/view-property/245320/3533B4F9BD767F10A7A253256733BF64D12B890E9434EAFA0F03A1C56FF0408A", "https://baanknet.com/view-property/245320/3533B4F9BD767F10A7A253256733BF64D12B890E9434EAFA0F03A1C56FF0408A")</f>
        <v>https://baanknet.com/view-property/245320/3533B4F9BD767F10A7A253256733BF64D12B890E9434EAFA0F03A1C56FF0408A</v>
      </c>
      <c r="I2368" t="str">
        <f>HYPERLINK("https://baanknet.com/view-property/245320/3533B4F9BD767F10A7A253256733BF64D12B890E9434EAFA0F03A1C56FF0408A", "Open")</f>
        <v>Open</v>
      </c>
      <c r="J2368" t="s">
        <v>3803</v>
      </c>
      <c r="L2368">
        <v>1111120</v>
      </c>
      <c r="M2368">
        <v>111112</v>
      </c>
    </row>
    <row r="2369" spans="1:13" x14ac:dyDescent="0.25">
      <c r="A2369" t="s">
        <v>8073</v>
      </c>
      <c r="B2369" t="s">
        <v>8074</v>
      </c>
      <c r="C2369" t="s">
        <v>15</v>
      </c>
      <c r="D2369" t="s">
        <v>1300</v>
      </c>
      <c r="E2369" t="s">
        <v>8041</v>
      </c>
      <c r="F2369" t="s">
        <v>624</v>
      </c>
      <c r="G2369" t="s">
        <v>8075</v>
      </c>
      <c r="H2369" t="str">
        <f>HYPERLINK("https://baanknet.com/view-property/245306/8C3B52C139F64B69F66417A6CD67BD99EC36432B221247536D22DB905DD66198", "https://baanknet.com/view-property/245306/8C3B52C139F64B69F66417A6CD67BD99EC36432B221247536D22DB905DD66198")</f>
        <v>https://baanknet.com/view-property/245306/8C3B52C139F64B69F66417A6CD67BD99EC36432B221247536D22DB905DD66198</v>
      </c>
      <c r="I2369" t="str">
        <f>HYPERLINK("https://baanknet.com/view-property/245306/8C3B52C139F64B69F66417A6CD67BD99EC36432B221247536D22DB905DD66198", "Open")</f>
        <v>Open</v>
      </c>
      <c r="J2369" t="s">
        <v>3803</v>
      </c>
      <c r="L2369">
        <v>3070000</v>
      </c>
      <c r="M2369">
        <v>307000</v>
      </c>
    </row>
    <row r="2370" spans="1:13" x14ac:dyDescent="0.25">
      <c r="A2370" t="s">
        <v>8076</v>
      </c>
      <c r="B2370" t="s">
        <v>8077</v>
      </c>
      <c r="C2370" t="s">
        <v>15</v>
      </c>
      <c r="D2370" t="s">
        <v>553</v>
      </c>
      <c r="E2370" t="s">
        <v>8041</v>
      </c>
      <c r="F2370" t="s">
        <v>624</v>
      </c>
      <c r="G2370" t="s">
        <v>8078</v>
      </c>
      <c r="H2370" t="str">
        <f>HYPERLINK("https://baanknet.com/view-property/241829/E9004FDE76FF63DC1AA92CC14663BC8A696DA54FBBF7969726BCDCAFB24F67E7", "https://baanknet.com/view-property/241829/E9004FDE76FF63DC1AA92CC14663BC8A696DA54FBBF7969726BCDCAFB24F67E7")</f>
        <v>https://baanknet.com/view-property/241829/E9004FDE76FF63DC1AA92CC14663BC8A696DA54FBBF7969726BCDCAFB24F67E7</v>
      </c>
      <c r="I2370" t="str">
        <f>HYPERLINK("https://baanknet.com/view-property/241829/E9004FDE76FF63DC1AA92CC14663BC8A696DA54FBBF7969726BCDCAFB24F67E7", "Open")</f>
        <v>Open</v>
      </c>
      <c r="J2370" t="s">
        <v>3803</v>
      </c>
      <c r="L2370">
        <v>874800</v>
      </c>
      <c r="M2370">
        <v>87480</v>
      </c>
    </row>
    <row r="2371" spans="1:13" x14ac:dyDescent="0.25">
      <c r="A2371" t="s">
        <v>8079</v>
      </c>
      <c r="B2371" t="s">
        <v>8080</v>
      </c>
      <c r="C2371" t="s">
        <v>15</v>
      </c>
      <c r="D2371" t="s">
        <v>706</v>
      </c>
      <c r="E2371" t="s">
        <v>8041</v>
      </c>
      <c r="F2371" t="s">
        <v>624</v>
      </c>
      <c r="G2371" t="s">
        <v>8081</v>
      </c>
      <c r="H2371" t="str">
        <f>HYPERLINK("https://baanknet.com/view-property/245301/CC0CFFFE28C392C03D9C7BE47AD54683960A85EB0D2F25F47E7ED9DBEFD233F4", "https://baanknet.com/view-property/245301/CC0CFFFE28C392C03D9C7BE47AD54683960A85EB0D2F25F47E7ED9DBEFD233F4")</f>
        <v>https://baanknet.com/view-property/245301/CC0CFFFE28C392C03D9C7BE47AD54683960A85EB0D2F25F47E7ED9DBEFD233F4</v>
      </c>
      <c r="I2371" t="str">
        <f>HYPERLINK("https://baanknet.com/view-property/245301/CC0CFFFE28C392C03D9C7BE47AD54683960A85EB0D2F25F47E7ED9DBEFD233F4", "Open")</f>
        <v>Open</v>
      </c>
      <c r="J2371" t="s">
        <v>3803</v>
      </c>
      <c r="L2371">
        <v>2094400</v>
      </c>
      <c r="M2371">
        <v>209440</v>
      </c>
    </row>
    <row r="2372" spans="1:13" x14ac:dyDescent="0.25">
      <c r="A2372" t="s">
        <v>8082</v>
      </c>
      <c r="B2372" t="s">
        <v>8083</v>
      </c>
      <c r="C2372" t="s">
        <v>15</v>
      </c>
      <c r="D2372" t="s">
        <v>1300</v>
      </c>
      <c r="E2372" t="s">
        <v>8041</v>
      </c>
      <c r="F2372" t="s">
        <v>624</v>
      </c>
      <c r="G2372" t="s">
        <v>8084</v>
      </c>
      <c r="H2372" t="str">
        <f>HYPERLINK("https://baanknet.com/view-property/189925/D3C42AB0CC5230738E9E2C70F64AF80E7ED258D3FBB35B2F33C84EF2E740BA8B", "https://baanknet.com/view-property/189925/D3C42AB0CC5230738E9E2C70F64AF80E7ED258D3FBB35B2F33C84EF2E740BA8B")</f>
        <v>https://baanknet.com/view-property/189925/D3C42AB0CC5230738E9E2C70F64AF80E7ED258D3FBB35B2F33C84EF2E740BA8B</v>
      </c>
      <c r="I2372" t="str">
        <f>HYPERLINK("https://baanknet.com/view-property/189925/D3C42AB0CC5230738E9E2C70F64AF80E7ED258D3FBB35B2F33C84EF2E740BA8B", "Open")</f>
        <v>Open</v>
      </c>
      <c r="J2372" t="s">
        <v>3803</v>
      </c>
      <c r="L2372">
        <v>3179000</v>
      </c>
      <c r="M2372">
        <v>317900</v>
      </c>
    </row>
    <row r="2373" spans="1:13" x14ac:dyDescent="0.25">
      <c r="A2373" t="s">
        <v>8085</v>
      </c>
      <c r="B2373" t="s">
        <v>8086</v>
      </c>
      <c r="C2373" t="s">
        <v>15</v>
      </c>
      <c r="D2373" t="s">
        <v>8087</v>
      </c>
      <c r="E2373" t="s">
        <v>8041</v>
      </c>
      <c r="F2373" t="s">
        <v>624</v>
      </c>
      <c r="G2373" t="s">
        <v>8088</v>
      </c>
      <c r="H2373" t="str">
        <f>HYPERLINK("https://baanknet.com/view-property/188036/575D65D1A7464792FD2A88DD57D928FB5E0B91AAD4543FA806A628B79B0705E9", "https://baanknet.com/view-property/188036/575D65D1A7464792FD2A88DD57D928FB5E0B91AAD4543FA806A628B79B0705E9")</f>
        <v>https://baanknet.com/view-property/188036/575D65D1A7464792FD2A88DD57D928FB5E0B91AAD4543FA806A628B79B0705E9</v>
      </c>
      <c r="I2373" t="str">
        <f>HYPERLINK("https://baanknet.com/view-property/188036/575D65D1A7464792FD2A88DD57D928FB5E0B91AAD4543FA806A628B79B0705E9", "Open")</f>
        <v>Open</v>
      </c>
      <c r="J2373" t="s">
        <v>3803</v>
      </c>
      <c r="L2373">
        <v>1558050</v>
      </c>
      <c r="M2373">
        <v>155805</v>
      </c>
    </row>
    <row r="2374" spans="1:13" x14ac:dyDescent="0.25">
      <c r="A2374" t="s">
        <v>8089</v>
      </c>
      <c r="B2374" t="s">
        <v>8090</v>
      </c>
      <c r="C2374" t="s">
        <v>15</v>
      </c>
      <c r="D2374" t="s">
        <v>553</v>
      </c>
      <c r="E2374" t="s">
        <v>8041</v>
      </c>
      <c r="F2374" t="s">
        <v>624</v>
      </c>
      <c r="G2374" t="s">
        <v>8091</v>
      </c>
      <c r="H2374" t="str">
        <f>HYPERLINK("https://baanknet.com/view-property/286835/BDBD5E18A6B4A3910701DF5600CCD3A8AC8AB0992CE9EDE83C52F8033BDB20E8", "https://baanknet.com/view-property/286835/BDBD5E18A6B4A3910701DF5600CCD3A8AC8AB0992CE9EDE83C52F8033BDB20E8")</f>
        <v>https://baanknet.com/view-property/286835/BDBD5E18A6B4A3910701DF5600CCD3A8AC8AB0992CE9EDE83C52F8033BDB20E8</v>
      </c>
      <c r="I2374" t="str">
        <f>HYPERLINK("https://baanknet.com/view-property/286835/BDBD5E18A6B4A3910701DF5600CCD3A8AC8AB0992CE9EDE83C52F8033BDB20E8", "Open")</f>
        <v>Open</v>
      </c>
      <c r="J2374" t="s">
        <v>3803</v>
      </c>
      <c r="L2374">
        <v>1604800</v>
      </c>
      <c r="M2374">
        <v>160480</v>
      </c>
    </row>
    <row r="2375" spans="1:13" x14ac:dyDescent="0.25">
      <c r="A2375" t="s">
        <v>8092</v>
      </c>
      <c r="B2375" t="s">
        <v>8093</v>
      </c>
      <c r="C2375" t="s">
        <v>15</v>
      </c>
      <c r="D2375" t="s">
        <v>706</v>
      </c>
      <c r="E2375" t="s">
        <v>8041</v>
      </c>
      <c r="F2375" t="s">
        <v>8094</v>
      </c>
      <c r="G2375" t="s">
        <v>8095</v>
      </c>
      <c r="H2375" t="str">
        <f>HYPERLINK("https://baanknet.com/view-property/286833/13A266A32E491DBDB4D1A04214046328E072029BB5587940E50B1190629C56FC", "https://baanknet.com/view-property/286833/13A266A32E491DBDB4D1A04214046328E072029BB5587940E50B1190629C56FC")</f>
        <v>https://baanknet.com/view-property/286833/13A266A32E491DBDB4D1A04214046328E072029BB5587940E50B1190629C56FC</v>
      </c>
      <c r="I2375" t="str">
        <f>HYPERLINK("https://baanknet.com/view-property/286833/13A266A32E491DBDB4D1A04214046328E072029BB5587940E50B1190629C56FC", "Open")</f>
        <v>Open</v>
      </c>
      <c r="J2375" t="s">
        <v>3803</v>
      </c>
      <c r="L2375">
        <v>1644300</v>
      </c>
      <c r="M2375">
        <v>164430</v>
      </c>
    </row>
    <row r="2376" spans="1:13" x14ac:dyDescent="0.25">
      <c r="A2376" t="s">
        <v>8096</v>
      </c>
      <c r="B2376" t="s">
        <v>8097</v>
      </c>
      <c r="C2376" t="s">
        <v>15</v>
      </c>
      <c r="D2376" t="s">
        <v>849</v>
      </c>
      <c r="E2376" t="s">
        <v>8041</v>
      </c>
      <c r="F2376" t="s">
        <v>8098</v>
      </c>
      <c r="G2376" t="s">
        <v>8099</v>
      </c>
      <c r="H2376" t="str">
        <f>HYPERLINK("https://baanknet.com/view-property/266507/4312552CEADBF01C4B9DDAF466A762DFFDB9EFAA0BF81A6521EAEDC95CEBF56A", "https://baanknet.com/view-property/266507/4312552CEADBF01C4B9DDAF466A762DFFDB9EFAA0BF81A6521EAEDC95CEBF56A")</f>
        <v>https://baanknet.com/view-property/266507/4312552CEADBF01C4B9DDAF466A762DFFDB9EFAA0BF81A6521EAEDC95CEBF56A</v>
      </c>
      <c r="I2376" t="str">
        <f>HYPERLINK("https://baanknet.com/view-property/266507/4312552CEADBF01C4B9DDAF466A762DFFDB9EFAA0BF81A6521EAEDC95CEBF56A", "Open")</f>
        <v>Open</v>
      </c>
      <c r="J2376" t="s">
        <v>3803</v>
      </c>
      <c r="L2376">
        <v>1390000</v>
      </c>
      <c r="M2376">
        <v>139000</v>
      </c>
    </row>
    <row r="2377" spans="1:13" x14ac:dyDescent="0.25">
      <c r="A2377" t="s">
        <v>8100</v>
      </c>
      <c r="B2377" t="s">
        <v>8101</v>
      </c>
      <c r="C2377" t="s">
        <v>15</v>
      </c>
      <c r="D2377" t="s">
        <v>8102</v>
      </c>
      <c r="E2377" t="s">
        <v>623</v>
      </c>
      <c r="F2377" t="s">
        <v>7757</v>
      </c>
      <c r="G2377" t="s">
        <v>8103</v>
      </c>
      <c r="H2377" t="str">
        <f>HYPERLINK("https://baanknet.com/view-property/279571/FFE6FFF4AC7FA66B302303C1C66F4CCEC30BA482A0C82866A53C7BB6279A4764", "https://baanknet.com/view-property/279571/FFE6FFF4AC7FA66B302303C1C66F4CCEC30BA482A0C82866A53C7BB6279A4764")</f>
        <v>https://baanknet.com/view-property/279571/FFE6FFF4AC7FA66B302303C1C66F4CCEC30BA482A0C82866A53C7BB6279A4764</v>
      </c>
      <c r="I2377" t="str">
        <f>HYPERLINK("https://baanknet.com/view-property/279571/FFE6FFF4AC7FA66B302303C1C66F4CCEC30BA482A0C82866A53C7BB6279A4764", "Open")</f>
        <v>Open</v>
      </c>
      <c r="J2377" t="s">
        <v>3803</v>
      </c>
      <c r="L2377">
        <v>585000</v>
      </c>
      <c r="M2377">
        <v>58500</v>
      </c>
    </row>
    <row r="2378" spans="1:13" x14ac:dyDescent="0.25">
      <c r="A2378" t="s">
        <v>8104</v>
      </c>
      <c r="B2378" t="s">
        <v>8105</v>
      </c>
      <c r="C2378" t="s">
        <v>15</v>
      </c>
      <c r="D2378" t="s">
        <v>4778</v>
      </c>
      <c r="E2378" t="s">
        <v>623</v>
      </c>
      <c r="F2378" t="s">
        <v>7757</v>
      </c>
      <c r="G2378" t="s">
        <v>8106</v>
      </c>
      <c r="H2378" t="str">
        <f>HYPERLINK("https://baanknet.com/view-property/223659/1D885FC5C535C189D75E1FADC3E87DB68FA4DAAA463DADAD0564DA10908EF678", "https://baanknet.com/view-property/223659/1D885FC5C535C189D75E1FADC3E87DB68FA4DAAA463DADAD0564DA10908EF678")</f>
        <v>https://baanknet.com/view-property/223659/1D885FC5C535C189D75E1FADC3E87DB68FA4DAAA463DADAD0564DA10908EF678</v>
      </c>
      <c r="I2378" t="str">
        <f>HYPERLINK("https://baanknet.com/view-property/223659/1D885FC5C535C189D75E1FADC3E87DB68FA4DAAA463DADAD0564DA10908EF678", "Open")</f>
        <v>Open</v>
      </c>
      <c r="J2378" t="s">
        <v>3803</v>
      </c>
      <c r="L2378">
        <v>1456200</v>
      </c>
      <c r="M2378">
        <v>145620</v>
      </c>
    </row>
    <row r="2379" spans="1:13" x14ac:dyDescent="0.25">
      <c r="A2379" t="s">
        <v>8107</v>
      </c>
      <c r="B2379" t="s">
        <v>8108</v>
      </c>
      <c r="C2379" t="s">
        <v>15</v>
      </c>
      <c r="D2379" t="s">
        <v>1310</v>
      </c>
      <c r="E2379" t="s">
        <v>623</v>
      </c>
      <c r="F2379" t="s">
        <v>7517</v>
      </c>
      <c r="G2379" t="s">
        <v>8109</v>
      </c>
      <c r="H2379" t="str">
        <f>HYPERLINK("https://baanknet.com/view-property/285183/C65FC9D3429076D51299243BFBABE30B885BA2946349B0573F3CA94AC72224BA", "https://baanknet.com/view-property/285183/C65FC9D3429076D51299243BFBABE30B885BA2946349B0573F3CA94AC72224BA")</f>
        <v>https://baanknet.com/view-property/285183/C65FC9D3429076D51299243BFBABE30B885BA2946349B0573F3CA94AC72224BA</v>
      </c>
      <c r="I2379" t="str">
        <f>HYPERLINK("https://baanknet.com/view-property/285183/C65FC9D3429076D51299243BFBABE30B885BA2946349B0573F3CA94AC72224BA", "Open")</f>
        <v>Open</v>
      </c>
      <c r="J2379" t="s">
        <v>3803</v>
      </c>
      <c r="L2379">
        <v>33103000</v>
      </c>
      <c r="M2379">
        <v>3310300</v>
      </c>
    </row>
    <row r="2380" spans="1:13" x14ac:dyDescent="0.25">
      <c r="A2380" t="s">
        <v>8110</v>
      </c>
      <c r="B2380" t="s">
        <v>8111</v>
      </c>
      <c r="C2380" t="s">
        <v>15</v>
      </c>
      <c r="D2380" t="s">
        <v>2163</v>
      </c>
      <c r="E2380" t="s">
        <v>623</v>
      </c>
      <c r="F2380" t="s">
        <v>7517</v>
      </c>
      <c r="G2380" t="s">
        <v>8112</v>
      </c>
      <c r="H2380" t="str">
        <f>HYPERLINK("https://baanknet.com/view-property/241328/3B1F4E664E372329DC243132BE1EF024BCDE99F56D83A63C530E22E516074767", "https://baanknet.com/view-property/241328/3B1F4E664E372329DC243132BE1EF024BCDE99F56D83A63C530E22E516074767")</f>
        <v>https://baanknet.com/view-property/241328/3B1F4E664E372329DC243132BE1EF024BCDE99F56D83A63C530E22E516074767</v>
      </c>
      <c r="I2380" t="str">
        <f>HYPERLINK("https://baanknet.com/view-property/241328/3B1F4E664E372329DC243132BE1EF024BCDE99F56D83A63C530E22E516074767", "Open")</f>
        <v>Open</v>
      </c>
      <c r="J2380" t="s">
        <v>3803</v>
      </c>
      <c r="L2380">
        <v>2410200</v>
      </c>
      <c r="M2380">
        <v>241020</v>
      </c>
    </row>
    <row r="2381" spans="1:13" x14ac:dyDescent="0.25">
      <c r="A2381" t="s">
        <v>8113</v>
      </c>
      <c r="B2381" t="s">
        <v>8114</v>
      </c>
      <c r="C2381" t="s">
        <v>15</v>
      </c>
      <c r="D2381" t="s">
        <v>8115</v>
      </c>
      <c r="E2381" t="s">
        <v>623</v>
      </c>
      <c r="F2381" t="s">
        <v>7517</v>
      </c>
      <c r="G2381" t="s">
        <v>8116</v>
      </c>
      <c r="H2381" t="str">
        <f>HYPERLINK("https://baanknet.com/view-property/240268/F2489CB2F4E5BF33F636933EB23E6E9145B9F63C30F837C5E47C13B0315647C7", "https://baanknet.com/view-property/240268/F2489CB2F4E5BF33F636933EB23E6E9145B9F63C30F837C5E47C13B0315647C7")</f>
        <v>https://baanknet.com/view-property/240268/F2489CB2F4E5BF33F636933EB23E6E9145B9F63C30F837C5E47C13B0315647C7</v>
      </c>
      <c r="I2381" t="str">
        <f>HYPERLINK("https://baanknet.com/view-property/240268/F2489CB2F4E5BF33F636933EB23E6E9145B9F63C30F837C5E47C13B0315647C7", "Open")</f>
        <v>Open</v>
      </c>
      <c r="J2381" t="s">
        <v>3803</v>
      </c>
      <c r="L2381">
        <v>7800000</v>
      </c>
      <c r="M2381">
        <v>780000</v>
      </c>
    </row>
    <row r="2382" spans="1:13" x14ac:dyDescent="0.25">
      <c r="A2382" t="s">
        <v>8117</v>
      </c>
      <c r="B2382" t="s">
        <v>8118</v>
      </c>
      <c r="C2382" t="s">
        <v>15</v>
      </c>
      <c r="D2382" t="s">
        <v>1246</v>
      </c>
      <c r="E2382" t="s">
        <v>623</v>
      </c>
      <c r="F2382" t="s">
        <v>7517</v>
      </c>
      <c r="G2382" t="s">
        <v>8119</v>
      </c>
      <c r="H2382" t="str">
        <f>HYPERLINK("https://baanknet.com/view-property/262429/3EA55CC0801CF1AC7EFC3F853A9949F5EA903595065F9DACD86E2BB4B72F4C4B", "https://baanknet.com/view-property/262429/3EA55CC0801CF1AC7EFC3F853A9949F5EA903595065F9DACD86E2BB4B72F4C4B")</f>
        <v>https://baanknet.com/view-property/262429/3EA55CC0801CF1AC7EFC3F853A9949F5EA903595065F9DACD86E2BB4B72F4C4B</v>
      </c>
      <c r="I2382" t="str">
        <f>HYPERLINK("https://baanknet.com/view-property/262429/3EA55CC0801CF1AC7EFC3F853A9949F5EA903595065F9DACD86E2BB4B72F4C4B", "Open")</f>
        <v>Open</v>
      </c>
      <c r="J2382" t="s">
        <v>3803</v>
      </c>
      <c r="L2382">
        <v>5084000</v>
      </c>
      <c r="M2382">
        <v>508400</v>
      </c>
    </row>
    <row r="2383" spans="1:13" x14ac:dyDescent="0.25">
      <c r="A2383" t="s">
        <v>8120</v>
      </c>
      <c r="B2383" t="s">
        <v>8121</v>
      </c>
      <c r="C2383" t="s">
        <v>15</v>
      </c>
      <c r="D2383" t="s">
        <v>608</v>
      </c>
      <c r="E2383" t="s">
        <v>623</v>
      </c>
      <c r="F2383" t="s">
        <v>7517</v>
      </c>
      <c r="G2383" t="s">
        <v>8122</v>
      </c>
      <c r="H2383" t="str">
        <f>HYPERLINK("https://baanknet.com/view-property/244359/E13A14338990D68F6033C36C823E57022259BCE1078F73D856E512FC0AF6C36D", "https://baanknet.com/view-property/244359/E13A14338990D68F6033C36C823E57022259BCE1078F73D856E512FC0AF6C36D")</f>
        <v>https://baanknet.com/view-property/244359/E13A14338990D68F6033C36C823E57022259BCE1078F73D856E512FC0AF6C36D</v>
      </c>
      <c r="I2383" t="str">
        <f>HYPERLINK("https://baanknet.com/view-property/244359/E13A14338990D68F6033C36C823E57022259BCE1078F73D856E512FC0AF6C36D", "Open")</f>
        <v>Open</v>
      </c>
      <c r="J2383" t="s">
        <v>3803</v>
      </c>
      <c r="L2383">
        <v>8750000</v>
      </c>
      <c r="M2383">
        <v>875000</v>
      </c>
    </row>
    <row r="2384" spans="1:13" x14ac:dyDescent="0.25">
      <c r="A2384" t="s">
        <v>8123</v>
      </c>
      <c r="B2384" t="s">
        <v>8124</v>
      </c>
      <c r="C2384" t="s">
        <v>15</v>
      </c>
      <c r="D2384" t="s">
        <v>2425</v>
      </c>
      <c r="E2384" t="s">
        <v>623</v>
      </c>
      <c r="F2384" t="s">
        <v>7517</v>
      </c>
      <c r="G2384" t="s">
        <v>8125</v>
      </c>
      <c r="H2384" t="str">
        <f>HYPERLINK("https://baanknet.com/view-property/265090/7481421455DBEBE99C44981F395A54C1B9C8174FBA1B6BD8202BAF6E92D48FF4", "https://baanknet.com/view-property/265090/7481421455DBEBE99C44981F395A54C1B9C8174FBA1B6BD8202BAF6E92D48FF4")</f>
        <v>https://baanknet.com/view-property/265090/7481421455DBEBE99C44981F395A54C1B9C8174FBA1B6BD8202BAF6E92D48FF4</v>
      </c>
      <c r="I2384" t="str">
        <f>HYPERLINK("https://baanknet.com/view-property/265090/7481421455DBEBE99C44981F395A54C1B9C8174FBA1B6BD8202BAF6E92D48FF4", "Open")</f>
        <v>Open</v>
      </c>
      <c r="J2384" t="s">
        <v>3803</v>
      </c>
      <c r="L2384">
        <v>2550000</v>
      </c>
      <c r="M2384">
        <v>255000</v>
      </c>
    </row>
    <row r="2385" spans="1:13" x14ac:dyDescent="0.25">
      <c r="A2385" t="s">
        <v>8126</v>
      </c>
      <c r="B2385" t="s">
        <v>8127</v>
      </c>
      <c r="C2385" t="s">
        <v>15</v>
      </c>
      <c r="D2385" t="s">
        <v>4430</v>
      </c>
      <c r="E2385" t="s">
        <v>623</v>
      </c>
      <c r="F2385" t="s">
        <v>7517</v>
      </c>
      <c r="G2385" t="s">
        <v>8128</v>
      </c>
      <c r="H2385" t="str">
        <f>HYPERLINK("https://baanknet.com/view-property/242570/673EA30A92A4B20E3F58878C2EEE9BE18C8A1DD02CB352C0CA46555A0F8145B3", "https://baanknet.com/view-property/242570/673EA30A92A4B20E3F58878C2EEE9BE18C8A1DD02CB352C0CA46555A0F8145B3")</f>
        <v>https://baanknet.com/view-property/242570/673EA30A92A4B20E3F58878C2EEE9BE18C8A1DD02CB352C0CA46555A0F8145B3</v>
      </c>
      <c r="I2385" t="str">
        <f>HYPERLINK("https://baanknet.com/view-property/242570/673EA30A92A4B20E3F58878C2EEE9BE18C8A1DD02CB352C0CA46555A0F8145B3", "Open")</f>
        <v>Open</v>
      </c>
      <c r="J2385" t="s">
        <v>3803</v>
      </c>
      <c r="L2385">
        <v>2160000</v>
      </c>
      <c r="M2385">
        <v>216000</v>
      </c>
    </row>
    <row r="2386" spans="1:13" x14ac:dyDescent="0.25">
      <c r="A2386" t="s">
        <v>8129</v>
      </c>
      <c r="B2386" t="s">
        <v>8130</v>
      </c>
      <c r="C2386" t="s">
        <v>15</v>
      </c>
      <c r="D2386" t="s">
        <v>1246</v>
      </c>
      <c r="E2386" t="s">
        <v>623</v>
      </c>
      <c r="F2386" t="s">
        <v>7517</v>
      </c>
      <c r="G2386" t="s">
        <v>8131</v>
      </c>
      <c r="H2386" t="str">
        <f>HYPERLINK("https://baanknet.com/view-property/279631/4BBD87DF20A01A62D834CFA0C0C0C643065971F60A474BDF4718E1749B3D842D", "https://baanknet.com/view-property/279631/4BBD87DF20A01A62D834CFA0C0C0C643065971F60A474BDF4718E1749B3D842D")</f>
        <v>https://baanknet.com/view-property/279631/4BBD87DF20A01A62D834CFA0C0C0C643065971F60A474BDF4718E1749B3D842D</v>
      </c>
      <c r="I2386" t="str">
        <f>HYPERLINK("https://baanknet.com/view-property/279631/4BBD87DF20A01A62D834CFA0C0C0C643065971F60A474BDF4718E1749B3D842D", "Open")</f>
        <v>Open</v>
      </c>
      <c r="J2386" t="s">
        <v>3803</v>
      </c>
      <c r="L2386">
        <v>6700000</v>
      </c>
      <c r="M2386">
        <v>670000</v>
      </c>
    </row>
    <row r="2387" spans="1:13" x14ac:dyDescent="0.25">
      <c r="A2387" t="s">
        <v>8132</v>
      </c>
      <c r="B2387" t="s">
        <v>8133</v>
      </c>
      <c r="C2387" t="s">
        <v>15</v>
      </c>
      <c r="D2387" t="s">
        <v>2425</v>
      </c>
      <c r="E2387" t="s">
        <v>623</v>
      </c>
      <c r="F2387" t="s">
        <v>7517</v>
      </c>
      <c r="G2387" t="s">
        <v>8134</v>
      </c>
      <c r="H2387" t="str">
        <f>HYPERLINK("https://baanknet.com/view-property/255541/4DAD1A777236BDDAEDC75BB2202ECB1E72C24637AC0923E55EF8FAD9D8F59E41", "https://baanknet.com/view-property/255541/4DAD1A777236BDDAEDC75BB2202ECB1E72C24637AC0923E55EF8FAD9D8F59E41")</f>
        <v>https://baanknet.com/view-property/255541/4DAD1A777236BDDAEDC75BB2202ECB1E72C24637AC0923E55EF8FAD9D8F59E41</v>
      </c>
      <c r="I2387" t="str">
        <f>HYPERLINK("https://baanknet.com/view-property/255541/4DAD1A777236BDDAEDC75BB2202ECB1E72C24637AC0923E55EF8FAD9D8F59E41", "Open")</f>
        <v>Open</v>
      </c>
      <c r="J2387" t="s">
        <v>3803</v>
      </c>
      <c r="L2387">
        <v>3660000</v>
      </c>
      <c r="M2387">
        <v>366000</v>
      </c>
    </row>
    <row r="2388" spans="1:13" x14ac:dyDescent="0.25">
      <c r="A2388" t="s">
        <v>8135</v>
      </c>
      <c r="B2388" t="s">
        <v>8136</v>
      </c>
      <c r="C2388" t="s">
        <v>15</v>
      </c>
      <c r="D2388" t="s">
        <v>1246</v>
      </c>
      <c r="E2388" t="s">
        <v>623</v>
      </c>
      <c r="F2388" t="s">
        <v>7517</v>
      </c>
      <c r="G2388" t="s">
        <v>8137</v>
      </c>
      <c r="H2388" t="str">
        <f>HYPERLINK("https://baanknet.com/view-property/262406/43A2296688A24EA0C35A97318BB1D5D1886FC7937A9DC9357CDCAB9C221983A2", "https://baanknet.com/view-property/262406/43A2296688A24EA0C35A97318BB1D5D1886FC7937A9DC9357CDCAB9C221983A2")</f>
        <v>https://baanknet.com/view-property/262406/43A2296688A24EA0C35A97318BB1D5D1886FC7937A9DC9357CDCAB9C221983A2</v>
      </c>
      <c r="I2388" t="str">
        <f>HYPERLINK("https://baanknet.com/view-property/262406/43A2296688A24EA0C35A97318BB1D5D1886FC7937A9DC9357CDCAB9C221983A2", "Open")</f>
        <v>Open</v>
      </c>
      <c r="J2388" t="s">
        <v>3803</v>
      </c>
      <c r="L2388">
        <v>3240000</v>
      </c>
      <c r="M2388">
        <v>324000</v>
      </c>
    </row>
    <row r="2389" spans="1:13" x14ac:dyDescent="0.25">
      <c r="A2389" t="s">
        <v>8138</v>
      </c>
      <c r="B2389" t="s">
        <v>8139</v>
      </c>
      <c r="C2389" t="s">
        <v>15</v>
      </c>
      <c r="D2389" t="s">
        <v>2425</v>
      </c>
      <c r="E2389" t="s">
        <v>623</v>
      </c>
      <c r="F2389" t="s">
        <v>7517</v>
      </c>
      <c r="G2389" t="s">
        <v>8140</v>
      </c>
      <c r="H2389" t="str">
        <f>HYPERLINK("https://baanknet.com/view-property/271203/B83E997B6F0BA9770CCC69E0C912ABDB92E09B5993B9F8D8662BC0120BE52556", "https://baanknet.com/view-property/271203/B83E997B6F0BA9770CCC69E0C912ABDB92E09B5993B9F8D8662BC0120BE52556")</f>
        <v>https://baanknet.com/view-property/271203/B83E997B6F0BA9770CCC69E0C912ABDB92E09B5993B9F8D8662BC0120BE52556</v>
      </c>
      <c r="I2389" t="str">
        <f>HYPERLINK("https://baanknet.com/view-property/271203/B83E997B6F0BA9770CCC69E0C912ABDB92E09B5993B9F8D8662BC0120BE52556", "Open")</f>
        <v>Open</v>
      </c>
      <c r="J2389" t="s">
        <v>3803</v>
      </c>
      <c r="L2389">
        <v>4414000</v>
      </c>
      <c r="M2389">
        <v>441400</v>
      </c>
    </row>
    <row r="2390" spans="1:13" x14ac:dyDescent="0.25">
      <c r="A2390" t="s">
        <v>8141</v>
      </c>
      <c r="B2390" t="s">
        <v>8142</v>
      </c>
      <c r="C2390" t="s">
        <v>15</v>
      </c>
      <c r="D2390" t="s">
        <v>1246</v>
      </c>
      <c r="E2390" t="s">
        <v>623</v>
      </c>
      <c r="F2390" t="s">
        <v>7517</v>
      </c>
      <c r="G2390" t="s">
        <v>8143</v>
      </c>
      <c r="H2390" t="str">
        <f>HYPERLINK("https://baanknet.com/view-property/257848/ABF1A79ABE58A184D0F0AAB3C8B4FDA4E21EC4AA0CEBDE42FD9DE8F9880A917E", "https://baanknet.com/view-property/257848/ABF1A79ABE58A184D0F0AAB3C8B4FDA4E21EC4AA0CEBDE42FD9DE8F9880A917E")</f>
        <v>https://baanknet.com/view-property/257848/ABF1A79ABE58A184D0F0AAB3C8B4FDA4E21EC4AA0CEBDE42FD9DE8F9880A917E</v>
      </c>
      <c r="I2390" t="str">
        <f>HYPERLINK("https://baanknet.com/view-property/257848/ABF1A79ABE58A184D0F0AAB3C8B4FDA4E21EC4AA0CEBDE42FD9DE8F9880A917E", "Open")</f>
        <v>Open</v>
      </c>
      <c r="J2390" t="s">
        <v>3803</v>
      </c>
      <c r="L2390">
        <v>5600000</v>
      </c>
      <c r="M2390">
        <v>560000</v>
      </c>
    </row>
    <row r="2391" spans="1:13" x14ac:dyDescent="0.25">
      <c r="A2391" t="s">
        <v>8144</v>
      </c>
      <c r="B2391" t="s">
        <v>8145</v>
      </c>
      <c r="C2391" t="s">
        <v>15</v>
      </c>
      <c r="D2391" t="s">
        <v>1246</v>
      </c>
      <c r="E2391" t="s">
        <v>623</v>
      </c>
      <c r="F2391" t="s">
        <v>7517</v>
      </c>
      <c r="G2391" t="s">
        <v>8146</v>
      </c>
      <c r="H2391" t="str">
        <f>HYPERLINK("https://baanknet.com/view-property/242561/570B1B9FE7C2F8499532697BF71C63A40ADD846A11297D1D441D11608FD62E00", "https://baanknet.com/view-property/242561/570B1B9FE7C2F8499532697BF71C63A40ADD846A11297D1D441D11608FD62E00")</f>
        <v>https://baanknet.com/view-property/242561/570B1B9FE7C2F8499532697BF71C63A40ADD846A11297D1D441D11608FD62E00</v>
      </c>
      <c r="I2391" t="str">
        <f>HYPERLINK("https://baanknet.com/view-property/242561/570B1B9FE7C2F8499532697BF71C63A40ADD846A11297D1D441D11608FD62E00", "Open")</f>
        <v>Open</v>
      </c>
      <c r="J2391" t="s">
        <v>3803</v>
      </c>
      <c r="L2391">
        <v>8757000</v>
      </c>
      <c r="M2391">
        <v>875700</v>
      </c>
    </row>
    <row r="2392" spans="1:13" x14ac:dyDescent="0.25">
      <c r="A2392" t="s">
        <v>8147</v>
      </c>
      <c r="B2392" t="s">
        <v>8148</v>
      </c>
      <c r="C2392" t="s">
        <v>15</v>
      </c>
      <c r="D2392" t="s">
        <v>1246</v>
      </c>
      <c r="E2392" t="s">
        <v>623</v>
      </c>
      <c r="F2392" t="s">
        <v>7517</v>
      </c>
      <c r="G2392" t="s">
        <v>8149</v>
      </c>
      <c r="H2392" t="str">
        <f>HYPERLINK("https://baanknet.com/view-property/242563/739A0112A69C8C7569CBA0CFCBE80CA65E19D396B107D62A463574529A1CFED5", "https://baanknet.com/view-property/242563/739A0112A69C8C7569CBA0CFCBE80CA65E19D396B107D62A463574529A1CFED5")</f>
        <v>https://baanknet.com/view-property/242563/739A0112A69C8C7569CBA0CFCBE80CA65E19D396B107D62A463574529A1CFED5</v>
      </c>
      <c r="I2392" t="str">
        <f>HYPERLINK("https://baanknet.com/view-property/242563/739A0112A69C8C7569CBA0CFCBE80CA65E19D396B107D62A463574529A1CFED5", "Open")</f>
        <v>Open</v>
      </c>
      <c r="J2392" t="s">
        <v>3803</v>
      </c>
      <c r="L2392">
        <v>3380000</v>
      </c>
      <c r="M2392">
        <v>338000</v>
      </c>
    </row>
    <row r="2393" spans="1:13" x14ac:dyDescent="0.25">
      <c r="A2393" t="s">
        <v>8150</v>
      </c>
      <c r="B2393" t="s">
        <v>8151</v>
      </c>
      <c r="C2393" t="s">
        <v>15</v>
      </c>
      <c r="D2393" t="s">
        <v>1246</v>
      </c>
      <c r="E2393" t="s">
        <v>623</v>
      </c>
      <c r="F2393" t="s">
        <v>7517</v>
      </c>
      <c r="G2393" t="s">
        <v>8152</v>
      </c>
      <c r="H2393" t="str">
        <f>HYPERLINK("https://baanknet.com/view-property/275700/5619166FFA445F34544D006C66594C62850AE228A3136559166F9983C918680B", "https://baanknet.com/view-property/275700/5619166FFA445F34544D006C66594C62850AE228A3136559166F9983C918680B")</f>
        <v>https://baanknet.com/view-property/275700/5619166FFA445F34544D006C66594C62850AE228A3136559166F9983C918680B</v>
      </c>
      <c r="I2393" t="str">
        <f>HYPERLINK("https://baanknet.com/view-property/275700/5619166FFA445F34544D006C66594C62850AE228A3136559166F9983C918680B", "Open")</f>
        <v>Open</v>
      </c>
      <c r="J2393" t="s">
        <v>3803</v>
      </c>
      <c r="L2393">
        <v>3370000</v>
      </c>
      <c r="M2393">
        <v>337000</v>
      </c>
    </row>
    <row r="2394" spans="1:13" x14ac:dyDescent="0.25">
      <c r="A2394" t="s">
        <v>8153</v>
      </c>
      <c r="B2394" t="s">
        <v>8154</v>
      </c>
      <c r="C2394" t="s">
        <v>15</v>
      </c>
      <c r="D2394" t="s">
        <v>8155</v>
      </c>
      <c r="E2394" t="s">
        <v>623</v>
      </c>
      <c r="F2394" t="s">
        <v>7517</v>
      </c>
      <c r="G2394" t="s">
        <v>8156</v>
      </c>
      <c r="H2394" t="str">
        <f>HYPERLINK("https://baanknet.com/view-property/280215/6900F48B0252406B3DF58DCDAAFB31CEB5BBEE858ED6243C6955B0AFC2192DE8", "https://baanknet.com/view-property/280215/6900F48B0252406B3DF58DCDAAFB31CEB5BBEE858ED6243C6955B0AFC2192DE8")</f>
        <v>https://baanknet.com/view-property/280215/6900F48B0252406B3DF58DCDAAFB31CEB5BBEE858ED6243C6955B0AFC2192DE8</v>
      </c>
      <c r="I2394" t="str">
        <f>HYPERLINK("https://baanknet.com/view-property/280215/6900F48B0252406B3DF58DCDAAFB31CEB5BBEE858ED6243C6955B0AFC2192DE8", "Open")</f>
        <v>Open</v>
      </c>
      <c r="J2394" t="s">
        <v>3803</v>
      </c>
      <c r="L2394">
        <v>2250000</v>
      </c>
      <c r="M2394">
        <v>225000</v>
      </c>
    </row>
    <row r="2395" spans="1:13" x14ac:dyDescent="0.25">
      <c r="A2395" t="s">
        <v>8157</v>
      </c>
      <c r="B2395" t="s">
        <v>8158</v>
      </c>
      <c r="C2395" t="s">
        <v>15</v>
      </c>
      <c r="D2395" t="s">
        <v>1246</v>
      </c>
      <c r="E2395" t="s">
        <v>623</v>
      </c>
      <c r="F2395" t="s">
        <v>7517</v>
      </c>
      <c r="G2395" t="s">
        <v>8159</v>
      </c>
      <c r="H2395" t="str">
        <f>HYPERLINK("https://baanknet.com/view-property/265658/1A22D1A08564CD211C0B581D685CAD68FEC2CAEE51E3231937D153D04B777750", "https://baanknet.com/view-property/265658/1A22D1A08564CD211C0B581D685CAD68FEC2CAEE51E3231937D153D04B777750")</f>
        <v>https://baanknet.com/view-property/265658/1A22D1A08564CD211C0B581D685CAD68FEC2CAEE51E3231937D153D04B777750</v>
      </c>
      <c r="I2395" t="str">
        <f>HYPERLINK("https://baanknet.com/view-property/265658/1A22D1A08564CD211C0B581D685CAD68FEC2CAEE51E3231937D153D04B777750", "Open")</f>
        <v>Open</v>
      </c>
      <c r="J2395" t="s">
        <v>3803</v>
      </c>
      <c r="L2395">
        <v>38500000</v>
      </c>
      <c r="M2395">
        <v>3850000</v>
      </c>
    </row>
    <row r="2396" spans="1:13" x14ac:dyDescent="0.25">
      <c r="A2396" t="s">
        <v>8160</v>
      </c>
      <c r="B2396" t="s">
        <v>8161</v>
      </c>
      <c r="C2396" t="s">
        <v>15</v>
      </c>
      <c r="D2396" t="s">
        <v>8162</v>
      </c>
      <c r="E2396" t="s">
        <v>623</v>
      </c>
      <c r="F2396" t="s">
        <v>7517</v>
      </c>
      <c r="G2396" t="s">
        <v>8163</v>
      </c>
      <c r="H2396" t="str">
        <f>HYPERLINK("https://baanknet.com/view-property/260428/557C8A59A7A0B8B1861CFF40E92555774BBB8B41366E157537C6B0BCD5C0E507", "https://baanknet.com/view-property/260428/557C8A59A7A0B8B1861CFF40E92555774BBB8B41366E157537C6B0BCD5C0E507")</f>
        <v>https://baanknet.com/view-property/260428/557C8A59A7A0B8B1861CFF40E92555774BBB8B41366E157537C6B0BCD5C0E507</v>
      </c>
      <c r="I2396" t="str">
        <f>HYPERLINK("https://baanknet.com/view-property/260428/557C8A59A7A0B8B1861CFF40E92555774BBB8B41366E157537C6B0BCD5C0E507", "Open")</f>
        <v>Open</v>
      </c>
      <c r="J2396" t="s">
        <v>3803</v>
      </c>
      <c r="L2396">
        <v>2635000</v>
      </c>
      <c r="M2396">
        <v>263500</v>
      </c>
    </row>
    <row r="2397" spans="1:13" x14ac:dyDescent="0.25">
      <c r="A2397" t="s">
        <v>8164</v>
      </c>
      <c r="B2397" t="s">
        <v>8165</v>
      </c>
      <c r="C2397" t="s">
        <v>15</v>
      </c>
      <c r="D2397" t="s">
        <v>7857</v>
      </c>
      <c r="E2397" t="s">
        <v>623</v>
      </c>
      <c r="F2397" t="s">
        <v>7517</v>
      </c>
      <c r="G2397" t="s">
        <v>8166</v>
      </c>
      <c r="H2397" t="str">
        <f>HYPERLINK("https://baanknet.com/view-property/280187/52099D693D195626FBBCC7912DBE7086A61CA4FAC40C823C835E18BC03B0CBF5", "https://baanknet.com/view-property/280187/52099D693D195626FBBCC7912DBE7086A61CA4FAC40C823C835E18BC03B0CBF5")</f>
        <v>https://baanknet.com/view-property/280187/52099D693D195626FBBCC7912DBE7086A61CA4FAC40C823C835E18BC03B0CBF5</v>
      </c>
      <c r="I2397" t="str">
        <f>HYPERLINK("https://baanknet.com/view-property/280187/52099D693D195626FBBCC7912DBE7086A61CA4FAC40C823C835E18BC03B0CBF5", "Open")</f>
        <v>Open</v>
      </c>
      <c r="J2397" t="s">
        <v>3803</v>
      </c>
      <c r="L2397">
        <v>1640000</v>
      </c>
      <c r="M2397">
        <v>164000</v>
      </c>
    </row>
    <row r="2398" spans="1:13" x14ac:dyDescent="0.25">
      <c r="A2398" t="s">
        <v>8167</v>
      </c>
      <c r="B2398" t="s">
        <v>8168</v>
      </c>
      <c r="C2398" t="s">
        <v>15</v>
      </c>
      <c r="D2398" t="s">
        <v>1246</v>
      </c>
      <c r="E2398" t="s">
        <v>623</v>
      </c>
      <c r="F2398" t="s">
        <v>7517</v>
      </c>
      <c r="G2398" t="s">
        <v>8169</v>
      </c>
      <c r="H2398" t="str">
        <f>HYPERLINK("https://baanknet.com/view-property/255533/5614FF02B8D3E3B32918E6E311F2A51C9B4B4B5AE5F8F3FC1CA66483263074FF", "https://baanknet.com/view-property/255533/5614FF02B8D3E3B32918E6E311F2A51C9B4B4B5AE5F8F3FC1CA66483263074FF")</f>
        <v>https://baanknet.com/view-property/255533/5614FF02B8D3E3B32918E6E311F2A51C9B4B4B5AE5F8F3FC1CA66483263074FF</v>
      </c>
      <c r="I2398" t="str">
        <f>HYPERLINK("https://baanknet.com/view-property/255533/5614FF02B8D3E3B32918E6E311F2A51C9B4B4B5AE5F8F3FC1CA66483263074FF", "Open")</f>
        <v>Open</v>
      </c>
      <c r="J2398" t="s">
        <v>3803</v>
      </c>
      <c r="L2398">
        <v>3660000</v>
      </c>
      <c r="M2398">
        <v>366000</v>
      </c>
    </row>
    <row r="2399" spans="1:13" x14ac:dyDescent="0.25">
      <c r="A2399" t="s">
        <v>8170</v>
      </c>
      <c r="B2399" t="s">
        <v>8171</v>
      </c>
      <c r="C2399" t="s">
        <v>15</v>
      </c>
      <c r="D2399" t="s">
        <v>4940</v>
      </c>
      <c r="E2399" t="s">
        <v>623</v>
      </c>
      <c r="F2399" t="s">
        <v>7517</v>
      </c>
      <c r="G2399" t="s">
        <v>8172</v>
      </c>
      <c r="H2399" t="str">
        <f>HYPERLINK("https://baanknet.com/view-property/271175/CF8E0E18CDAA4EB3E949F8724264A0D55BC90E5FC26B5D06B2ADB9FED93B5DD7", "https://baanknet.com/view-property/271175/CF8E0E18CDAA4EB3E949F8724264A0D55BC90E5FC26B5D06B2ADB9FED93B5DD7")</f>
        <v>https://baanknet.com/view-property/271175/CF8E0E18CDAA4EB3E949F8724264A0D55BC90E5FC26B5D06B2ADB9FED93B5DD7</v>
      </c>
      <c r="I2399" t="str">
        <f>HYPERLINK("https://baanknet.com/view-property/271175/CF8E0E18CDAA4EB3E949F8724264A0D55BC90E5FC26B5D06B2ADB9FED93B5DD7", "Open")</f>
        <v>Open</v>
      </c>
      <c r="J2399" t="s">
        <v>3803</v>
      </c>
      <c r="L2399">
        <v>5575000</v>
      </c>
      <c r="M2399">
        <v>557500</v>
      </c>
    </row>
    <row r="2400" spans="1:13" x14ac:dyDescent="0.25">
      <c r="A2400" t="s">
        <v>8173</v>
      </c>
      <c r="B2400" t="s">
        <v>8174</v>
      </c>
      <c r="C2400" t="s">
        <v>15</v>
      </c>
      <c r="D2400" t="s">
        <v>8162</v>
      </c>
      <c r="E2400" t="s">
        <v>623</v>
      </c>
      <c r="F2400" t="s">
        <v>7517</v>
      </c>
      <c r="G2400" t="s">
        <v>8175</v>
      </c>
      <c r="H2400" t="str">
        <f>HYPERLINK("https://baanknet.com/view-property/250007/31D09E143E345E5E9E10482A4280227852FC441C5059B7350548E746258B6872", "https://baanknet.com/view-property/250007/31D09E143E345E5E9E10482A4280227852FC441C5059B7350548E746258B6872")</f>
        <v>https://baanknet.com/view-property/250007/31D09E143E345E5E9E10482A4280227852FC441C5059B7350548E746258B6872</v>
      </c>
      <c r="I2400" t="str">
        <f>HYPERLINK("https://baanknet.com/view-property/250007/31D09E143E345E5E9E10482A4280227852FC441C5059B7350548E746258B6872", "Open")</f>
        <v>Open</v>
      </c>
      <c r="J2400" t="s">
        <v>3803</v>
      </c>
      <c r="L2400">
        <v>5000000</v>
      </c>
      <c r="M2400">
        <v>500000</v>
      </c>
    </row>
    <row r="2401" spans="1:13" x14ac:dyDescent="0.25">
      <c r="A2401" t="s">
        <v>8176</v>
      </c>
      <c r="B2401" t="s">
        <v>8177</v>
      </c>
      <c r="C2401" t="s">
        <v>15</v>
      </c>
      <c r="D2401" t="s">
        <v>3221</v>
      </c>
      <c r="E2401" t="s">
        <v>623</v>
      </c>
      <c r="F2401" t="s">
        <v>7517</v>
      </c>
      <c r="G2401" t="s">
        <v>8178</v>
      </c>
      <c r="H2401" t="str">
        <f>HYPERLINK("https://baanknet.com/view-property/197737/262D62BF970EF0FD1755C22DB5D8AB7A21680FC7069942DD24AD104F07E21222", "https://baanknet.com/view-property/197737/262D62BF970EF0FD1755C22DB5D8AB7A21680FC7069942DD24AD104F07E21222")</f>
        <v>https://baanknet.com/view-property/197737/262D62BF970EF0FD1755C22DB5D8AB7A21680FC7069942DD24AD104F07E21222</v>
      </c>
      <c r="I2401" t="str">
        <f>HYPERLINK("https://baanknet.com/view-property/197737/262D62BF970EF0FD1755C22DB5D8AB7A21680FC7069942DD24AD104F07E21222", "Open")</f>
        <v>Open</v>
      </c>
      <c r="J2401" t="s">
        <v>3803</v>
      </c>
      <c r="L2401">
        <v>1190000</v>
      </c>
      <c r="M2401">
        <v>119000</v>
      </c>
    </row>
    <row r="2402" spans="1:13" x14ac:dyDescent="0.25">
      <c r="A2402" t="s">
        <v>8179</v>
      </c>
      <c r="B2402" t="s">
        <v>8180</v>
      </c>
      <c r="C2402" t="s">
        <v>15</v>
      </c>
      <c r="D2402" t="s">
        <v>8162</v>
      </c>
      <c r="E2402" t="s">
        <v>623</v>
      </c>
      <c r="F2402" t="s">
        <v>7517</v>
      </c>
      <c r="G2402" t="s">
        <v>8181</v>
      </c>
      <c r="H2402" t="str">
        <f>HYPERLINK("https://baanknet.com/view-property/250008/001C38BEF7ECA5B5FF2CEAA10A0F22D641F76D14325684818E5BA2234AB08955", "https://baanknet.com/view-property/250008/001C38BEF7ECA5B5FF2CEAA10A0F22D641F76D14325684818E5BA2234AB08955")</f>
        <v>https://baanknet.com/view-property/250008/001C38BEF7ECA5B5FF2CEAA10A0F22D641F76D14325684818E5BA2234AB08955</v>
      </c>
      <c r="I2402" t="str">
        <f>HYPERLINK("https://baanknet.com/view-property/250008/001C38BEF7ECA5B5FF2CEAA10A0F22D641F76D14325684818E5BA2234AB08955", "Open")</f>
        <v>Open</v>
      </c>
      <c r="J2402" t="s">
        <v>3803</v>
      </c>
      <c r="L2402">
        <v>3000000</v>
      </c>
      <c r="M2402">
        <v>300000</v>
      </c>
    </row>
    <row r="2403" spans="1:13" x14ac:dyDescent="0.25">
      <c r="A2403" t="s">
        <v>8182</v>
      </c>
      <c r="B2403" t="s">
        <v>8183</v>
      </c>
      <c r="C2403" t="s">
        <v>15</v>
      </c>
      <c r="D2403" t="s">
        <v>1246</v>
      </c>
      <c r="E2403" t="s">
        <v>623</v>
      </c>
      <c r="F2403" t="s">
        <v>7517</v>
      </c>
      <c r="G2403" t="s">
        <v>8184</v>
      </c>
      <c r="H2403" t="str">
        <f>HYPERLINK("https://baanknet.com/view-property/280112/49582F5E5D129DA1A7838B2A856FA676F944E20CF9E9F77705703BDEC9856299", "https://baanknet.com/view-property/280112/49582F5E5D129DA1A7838B2A856FA676F944E20CF9E9F77705703BDEC9856299")</f>
        <v>https://baanknet.com/view-property/280112/49582F5E5D129DA1A7838B2A856FA676F944E20CF9E9F77705703BDEC9856299</v>
      </c>
      <c r="I2403" t="str">
        <f>HYPERLINK("https://baanknet.com/view-property/280112/49582F5E5D129DA1A7838B2A856FA676F944E20CF9E9F77705703BDEC9856299", "Open")</f>
        <v>Open</v>
      </c>
      <c r="J2403" t="s">
        <v>3803</v>
      </c>
      <c r="L2403">
        <v>5930000</v>
      </c>
      <c r="M2403">
        <v>593000</v>
      </c>
    </row>
    <row r="2404" spans="1:13" x14ac:dyDescent="0.25">
      <c r="A2404" t="s">
        <v>8185</v>
      </c>
      <c r="B2404" t="s">
        <v>8186</v>
      </c>
      <c r="C2404" t="s">
        <v>15</v>
      </c>
      <c r="D2404" t="s">
        <v>1246</v>
      </c>
      <c r="E2404" t="s">
        <v>623</v>
      </c>
      <c r="F2404" t="s">
        <v>7517</v>
      </c>
      <c r="G2404" t="s">
        <v>8187</v>
      </c>
      <c r="H2404" t="str">
        <f>HYPERLINK("https://baanknet.com/view-property/248088/0353D1B8DAE299EFE8E6BDE163B13A48FDA7183DD815C55F113972F5FD90EF98", "https://baanknet.com/view-property/248088/0353D1B8DAE299EFE8E6BDE163B13A48FDA7183DD815C55F113972F5FD90EF98")</f>
        <v>https://baanknet.com/view-property/248088/0353D1B8DAE299EFE8E6BDE163B13A48FDA7183DD815C55F113972F5FD90EF98</v>
      </c>
      <c r="I2404" t="str">
        <f>HYPERLINK("https://baanknet.com/view-property/248088/0353D1B8DAE299EFE8E6BDE163B13A48FDA7183DD815C55F113972F5FD90EF98", "Open")</f>
        <v>Open</v>
      </c>
      <c r="J2404" t="s">
        <v>3803</v>
      </c>
      <c r="L2404">
        <v>1360000</v>
      </c>
      <c r="M2404">
        <v>136000</v>
      </c>
    </row>
    <row r="2405" spans="1:13" x14ac:dyDescent="0.25">
      <c r="A2405" t="s">
        <v>8188</v>
      </c>
      <c r="B2405" t="s">
        <v>8189</v>
      </c>
      <c r="C2405" t="s">
        <v>15</v>
      </c>
      <c r="D2405" t="s">
        <v>1246</v>
      </c>
      <c r="E2405" t="s">
        <v>623</v>
      </c>
      <c r="F2405" t="s">
        <v>7517</v>
      </c>
      <c r="G2405" t="s">
        <v>8190</v>
      </c>
      <c r="H2405" t="str">
        <f>HYPERLINK("https://baanknet.com/view-property/286382/0D83EB2AC0CCF6A5D9D2A7F58A65F0E7771F891E393DD7F03A53E9CA7F1DDD3A", "https://baanknet.com/view-property/286382/0D83EB2AC0CCF6A5D9D2A7F58A65F0E7771F891E393DD7F03A53E9CA7F1DDD3A")</f>
        <v>https://baanknet.com/view-property/286382/0D83EB2AC0CCF6A5D9D2A7F58A65F0E7771F891E393DD7F03A53E9CA7F1DDD3A</v>
      </c>
      <c r="I2405" t="str">
        <f>HYPERLINK("https://baanknet.com/view-property/286382/0D83EB2AC0CCF6A5D9D2A7F58A65F0E7771F891E393DD7F03A53E9CA7F1DDD3A", "Open")</f>
        <v>Open</v>
      </c>
      <c r="J2405" t="s">
        <v>3803</v>
      </c>
      <c r="L2405">
        <v>5930000</v>
      </c>
      <c r="M2405">
        <v>593000</v>
      </c>
    </row>
    <row r="2406" spans="1:13" x14ac:dyDescent="0.25">
      <c r="A2406" t="s">
        <v>8191</v>
      </c>
      <c r="B2406" t="s">
        <v>8192</v>
      </c>
      <c r="C2406" t="s">
        <v>15</v>
      </c>
      <c r="D2406" t="s">
        <v>608</v>
      </c>
      <c r="E2406" t="s">
        <v>623</v>
      </c>
      <c r="F2406" t="s">
        <v>7517</v>
      </c>
      <c r="G2406" t="s">
        <v>8193</v>
      </c>
      <c r="H2406" t="str">
        <f>HYPERLINK("https://baanknet.com/view-property/242340/DAD8E9C95E05F0ABEE58164C61DCC46CF5BDA8F3CB827A5A27AA42DD3050601B", "https://baanknet.com/view-property/242340/DAD8E9C95E05F0ABEE58164C61DCC46CF5BDA8F3CB827A5A27AA42DD3050601B")</f>
        <v>https://baanknet.com/view-property/242340/DAD8E9C95E05F0ABEE58164C61DCC46CF5BDA8F3CB827A5A27AA42DD3050601B</v>
      </c>
      <c r="I2406" t="str">
        <f>HYPERLINK("https://baanknet.com/view-property/242340/DAD8E9C95E05F0ABEE58164C61DCC46CF5BDA8F3CB827A5A27AA42DD3050601B", "Open")</f>
        <v>Open</v>
      </c>
      <c r="J2406" t="s">
        <v>3803</v>
      </c>
      <c r="L2406">
        <v>2916000</v>
      </c>
      <c r="M2406">
        <v>291600</v>
      </c>
    </row>
    <row r="2407" spans="1:13" x14ac:dyDescent="0.25">
      <c r="A2407" t="s">
        <v>8194</v>
      </c>
      <c r="B2407" t="s">
        <v>8195</v>
      </c>
      <c r="C2407" t="s">
        <v>15</v>
      </c>
      <c r="D2407" t="s">
        <v>608</v>
      </c>
      <c r="E2407" t="s">
        <v>623</v>
      </c>
      <c r="F2407" t="s">
        <v>7517</v>
      </c>
      <c r="G2407" t="s">
        <v>8196</v>
      </c>
      <c r="H2407" t="str">
        <f>HYPERLINK("https://baanknet.com/view-property/235149/61AE1279B56C6DD56E51F4A6E9257572A2E3CD7A4842290342D1F3929547F078", "https://baanknet.com/view-property/235149/61AE1279B56C6DD56E51F4A6E9257572A2E3CD7A4842290342D1F3929547F078")</f>
        <v>https://baanknet.com/view-property/235149/61AE1279B56C6DD56E51F4A6E9257572A2E3CD7A4842290342D1F3929547F078</v>
      </c>
      <c r="I2407" t="str">
        <f>HYPERLINK("https://baanknet.com/view-property/235149/61AE1279B56C6DD56E51F4A6E9257572A2E3CD7A4842290342D1F3929547F078", "Open")</f>
        <v>Open</v>
      </c>
      <c r="J2407" t="s">
        <v>3803</v>
      </c>
      <c r="L2407">
        <v>22050000</v>
      </c>
      <c r="M2407">
        <v>2205000</v>
      </c>
    </row>
    <row r="2408" spans="1:13" x14ac:dyDescent="0.25">
      <c r="A2408" t="s">
        <v>8197</v>
      </c>
      <c r="B2408" t="s">
        <v>8198</v>
      </c>
      <c r="C2408" t="s">
        <v>15</v>
      </c>
      <c r="D2408" t="s">
        <v>853</v>
      </c>
      <c r="E2408" t="s">
        <v>623</v>
      </c>
      <c r="F2408" t="s">
        <v>7517</v>
      </c>
      <c r="G2408" t="s">
        <v>8199</v>
      </c>
      <c r="H2408" t="str">
        <f>HYPERLINK("https://baanknet.com/view-property/225121/9916B882072F58FB15C56857978471F45DA2C4A923F340887F3E38D35A36B13C", "https://baanknet.com/view-property/225121/9916B882072F58FB15C56857978471F45DA2C4A923F340887F3E38D35A36B13C")</f>
        <v>https://baanknet.com/view-property/225121/9916B882072F58FB15C56857978471F45DA2C4A923F340887F3E38D35A36B13C</v>
      </c>
      <c r="I2408" t="str">
        <f>HYPERLINK("https://baanknet.com/view-property/225121/9916B882072F58FB15C56857978471F45DA2C4A923F340887F3E38D35A36B13C", "Open")</f>
        <v>Open</v>
      </c>
      <c r="J2408" t="s">
        <v>3803</v>
      </c>
      <c r="L2408">
        <v>2300000</v>
      </c>
      <c r="M2408">
        <v>230000</v>
      </c>
    </row>
    <row r="2409" spans="1:13" x14ac:dyDescent="0.25">
      <c r="A2409" t="s">
        <v>8200</v>
      </c>
      <c r="B2409" t="s">
        <v>8201</v>
      </c>
      <c r="C2409" t="s">
        <v>15</v>
      </c>
      <c r="D2409" t="s">
        <v>549</v>
      </c>
      <c r="E2409" t="s">
        <v>623</v>
      </c>
      <c r="F2409" t="s">
        <v>7517</v>
      </c>
      <c r="G2409" t="s">
        <v>8202</v>
      </c>
      <c r="H2409" t="str">
        <f>HYPERLINK("https://baanknet.com/view-property/247790/B12726EEDDB2BF1C89D6B683AD6FA81DF15CD6230ED7D0474FE8FBDA0BF9568E", "https://baanknet.com/view-property/247790/B12726EEDDB2BF1C89D6B683AD6FA81DF15CD6230ED7D0474FE8FBDA0BF9568E")</f>
        <v>https://baanknet.com/view-property/247790/B12726EEDDB2BF1C89D6B683AD6FA81DF15CD6230ED7D0474FE8FBDA0BF9568E</v>
      </c>
      <c r="I2409" t="str">
        <f>HYPERLINK("https://baanknet.com/view-property/247790/B12726EEDDB2BF1C89D6B683AD6FA81DF15CD6230ED7D0474FE8FBDA0BF9568E", "Open")</f>
        <v>Open</v>
      </c>
      <c r="J2409" t="s">
        <v>3803</v>
      </c>
      <c r="L2409">
        <v>1580000</v>
      </c>
      <c r="M2409">
        <v>158000</v>
      </c>
    </row>
    <row r="2410" spans="1:13" x14ac:dyDescent="0.25">
      <c r="A2410" t="s">
        <v>8203</v>
      </c>
      <c r="B2410" t="s">
        <v>8204</v>
      </c>
      <c r="C2410" t="s">
        <v>15</v>
      </c>
      <c r="D2410" t="s">
        <v>706</v>
      </c>
      <c r="E2410" t="s">
        <v>623</v>
      </c>
      <c r="F2410" t="s">
        <v>7517</v>
      </c>
      <c r="G2410" t="s">
        <v>8205</v>
      </c>
      <c r="H2410" t="str">
        <f>HYPERLINK("https://baanknet.com/view-property/253085/7540B8DA31E5FC35191960BF73081DCCE78385690E9AB128D025C0F9D62C7DA8", "https://baanknet.com/view-property/253085/7540B8DA31E5FC35191960BF73081DCCE78385690E9AB128D025C0F9D62C7DA8")</f>
        <v>https://baanknet.com/view-property/253085/7540B8DA31E5FC35191960BF73081DCCE78385690E9AB128D025C0F9D62C7DA8</v>
      </c>
      <c r="I2410" t="str">
        <f>HYPERLINK("https://baanknet.com/view-property/253085/7540B8DA31E5FC35191960BF73081DCCE78385690E9AB128D025C0F9D62C7DA8", "Open")</f>
        <v>Open</v>
      </c>
      <c r="J2410" t="s">
        <v>3803</v>
      </c>
      <c r="L2410">
        <v>2050000</v>
      </c>
      <c r="M2410">
        <v>205000</v>
      </c>
    </row>
    <row r="2411" spans="1:13" x14ac:dyDescent="0.25">
      <c r="A2411" t="s">
        <v>8206</v>
      </c>
      <c r="B2411" t="s">
        <v>8207</v>
      </c>
      <c r="C2411" t="s">
        <v>15</v>
      </c>
      <c r="D2411" t="s">
        <v>8208</v>
      </c>
      <c r="E2411" t="s">
        <v>623</v>
      </c>
      <c r="F2411" t="s">
        <v>7517</v>
      </c>
      <c r="G2411" t="s">
        <v>8209</v>
      </c>
      <c r="H2411" t="str">
        <f>HYPERLINK("https://baanknet.com/view-property/270660/0F80C53F037BC310FA3A5B4B09674CF7663BE60C1F970D9FDF82BFBDBFE40469", "https://baanknet.com/view-property/270660/0F80C53F037BC310FA3A5B4B09674CF7663BE60C1F970D9FDF82BFBDBFE40469")</f>
        <v>https://baanknet.com/view-property/270660/0F80C53F037BC310FA3A5B4B09674CF7663BE60C1F970D9FDF82BFBDBFE40469</v>
      </c>
      <c r="I2411" t="str">
        <f>HYPERLINK("https://baanknet.com/view-property/270660/0F80C53F037BC310FA3A5B4B09674CF7663BE60C1F970D9FDF82BFBDBFE40469", "Open")</f>
        <v>Open</v>
      </c>
      <c r="J2411" t="s">
        <v>3803</v>
      </c>
      <c r="L2411">
        <v>5000000</v>
      </c>
      <c r="M2411">
        <v>500000</v>
      </c>
    </row>
    <row r="2412" spans="1:13" x14ac:dyDescent="0.25">
      <c r="A2412" t="s">
        <v>8210</v>
      </c>
      <c r="B2412" t="s">
        <v>8211</v>
      </c>
      <c r="C2412" t="s">
        <v>15</v>
      </c>
      <c r="D2412" t="s">
        <v>8212</v>
      </c>
      <c r="E2412" t="s">
        <v>623</v>
      </c>
      <c r="F2412" t="s">
        <v>7517</v>
      </c>
      <c r="G2412" t="s">
        <v>8213</v>
      </c>
      <c r="H2412" t="str">
        <f>HYPERLINK("https://baanknet.com/view-property/190399/DE5CE1C07687D3DA13F23CB0DDC922D842FA005AE70BCA59966D99B0673A474E", "https://baanknet.com/view-property/190399/DE5CE1C07687D3DA13F23CB0DDC922D842FA005AE70BCA59966D99B0673A474E")</f>
        <v>https://baanknet.com/view-property/190399/DE5CE1C07687D3DA13F23CB0DDC922D842FA005AE70BCA59966D99B0673A474E</v>
      </c>
      <c r="I2412" t="str">
        <f>HYPERLINK("https://baanknet.com/view-property/190399/DE5CE1C07687D3DA13F23CB0DDC922D842FA005AE70BCA59966D99B0673A474E", "Open")</f>
        <v>Open</v>
      </c>
      <c r="J2412" t="s">
        <v>3803</v>
      </c>
      <c r="L2412">
        <v>2050000</v>
      </c>
      <c r="M2412">
        <v>205000</v>
      </c>
    </row>
    <row r="2413" spans="1:13" x14ac:dyDescent="0.25">
      <c r="A2413" t="s">
        <v>8214</v>
      </c>
      <c r="B2413" t="s">
        <v>8215</v>
      </c>
      <c r="C2413" t="s">
        <v>15</v>
      </c>
      <c r="D2413" t="s">
        <v>706</v>
      </c>
      <c r="E2413" t="s">
        <v>623</v>
      </c>
      <c r="F2413" t="s">
        <v>7517</v>
      </c>
      <c r="G2413" t="s">
        <v>8216</v>
      </c>
      <c r="H2413" t="str">
        <f>HYPERLINK("https://baanknet.com/view-property/253087/096FFC9054636CE8582AA3E24603873F49D9A6D0E3FC43248FC1B89E16F2065A", "https://baanknet.com/view-property/253087/096FFC9054636CE8582AA3E24603873F49D9A6D0E3FC43248FC1B89E16F2065A")</f>
        <v>https://baanknet.com/view-property/253087/096FFC9054636CE8582AA3E24603873F49D9A6D0E3FC43248FC1B89E16F2065A</v>
      </c>
      <c r="I2413" t="str">
        <f>HYPERLINK("https://baanknet.com/view-property/253087/096FFC9054636CE8582AA3E24603873F49D9A6D0E3FC43248FC1B89E16F2065A", "Open")</f>
        <v>Open</v>
      </c>
      <c r="J2413" t="s">
        <v>3803</v>
      </c>
      <c r="L2413">
        <v>2000000</v>
      </c>
      <c r="M2413">
        <v>200000</v>
      </c>
    </row>
    <row r="2414" spans="1:13" x14ac:dyDescent="0.25">
      <c r="A2414" t="s">
        <v>8217</v>
      </c>
      <c r="B2414" t="s">
        <v>8218</v>
      </c>
      <c r="C2414" t="s">
        <v>15</v>
      </c>
      <c r="D2414" t="s">
        <v>1300</v>
      </c>
      <c r="E2414" t="s">
        <v>623</v>
      </c>
      <c r="F2414" t="s">
        <v>7517</v>
      </c>
      <c r="G2414" t="s">
        <v>8219</v>
      </c>
      <c r="H2414" t="str">
        <f>HYPERLINK("https://baanknet.com/view-property/266546/77839CE69DE00894E0D4F8B7CACE7FBC97D41E4B7FA3808DEA09648CE1698276", "https://baanknet.com/view-property/266546/77839CE69DE00894E0D4F8B7CACE7FBC97D41E4B7FA3808DEA09648CE1698276")</f>
        <v>https://baanknet.com/view-property/266546/77839CE69DE00894E0D4F8B7CACE7FBC97D41E4B7FA3808DEA09648CE1698276</v>
      </c>
      <c r="I2414" t="str">
        <f>HYPERLINK("https://baanknet.com/view-property/266546/77839CE69DE00894E0D4F8B7CACE7FBC97D41E4B7FA3808DEA09648CE1698276", "Open")</f>
        <v>Open</v>
      </c>
      <c r="J2414" t="s">
        <v>3803</v>
      </c>
      <c r="L2414">
        <v>3230000</v>
      </c>
      <c r="M2414">
        <v>323000</v>
      </c>
    </row>
    <row r="2415" spans="1:13" x14ac:dyDescent="0.25">
      <c r="A2415" t="s">
        <v>8220</v>
      </c>
      <c r="B2415" t="s">
        <v>8221</v>
      </c>
      <c r="C2415" t="s">
        <v>15</v>
      </c>
      <c r="D2415" t="s">
        <v>1310</v>
      </c>
      <c r="E2415" t="s">
        <v>623</v>
      </c>
      <c r="F2415" t="s">
        <v>7517</v>
      </c>
      <c r="G2415" t="s">
        <v>8222</v>
      </c>
      <c r="H2415" t="str">
        <f>HYPERLINK("https://baanknet.com/view-property/258863/975E40465DECA39CABBF632272BE45195FE6E6C75CC2C3E9B488E9A3EF589515", "https://baanknet.com/view-property/258863/975E40465DECA39CABBF632272BE45195FE6E6C75CC2C3E9B488E9A3EF589515")</f>
        <v>https://baanknet.com/view-property/258863/975E40465DECA39CABBF632272BE45195FE6E6C75CC2C3E9B488E9A3EF589515</v>
      </c>
      <c r="I2415" t="str">
        <f>HYPERLINK("https://baanknet.com/view-property/258863/975E40465DECA39CABBF632272BE45195FE6E6C75CC2C3E9B488E9A3EF589515", "Open")</f>
        <v>Open</v>
      </c>
      <c r="J2415" t="s">
        <v>3803</v>
      </c>
      <c r="L2415">
        <v>2028000</v>
      </c>
      <c r="M2415">
        <v>202800</v>
      </c>
    </row>
    <row r="2416" spans="1:13" x14ac:dyDescent="0.25">
      <c r="A2416" t="s">
        <v>8223</v>
      </c>
      <c r="B2416" t="s">
        <v>8224</v>
      </c>
      <c r="C2416" t="s">
        <v>15</v>
      </c>
      <c r="D2416" t="s">
        <v>1300</v>
      </c>
      <c r="E2416" t="s">
        <v>623</v>
      </c>
      <c r="F2416" t="s">
        <v>7517</v>
      </c>
      <c r="G2416" t="s">
        <v>8225</v>
      </c>
      <c r="H2416" t="str">
        <f>HYPERLINK("https://baanknet.com/view-property/256942/08A4D2E2A0F1BF8377E4B8F78B17A87DDB830C557007B11396FB2295EA6C6976", "https://baanknet.com/view-property/256942/08A4D2E2A0F1BF8377E4B8F78B17A87DDB830C557007B11396FB2295EA6C6976")</f>
        <v>https://baanknet.com/view-property/256942/08A4D2E2A0F1BF8377E4B8F78B17A87DDB830C557007B11396FB2295EA6C6976</v>
      </c>
      <c r="I2416" t="str">
        <f>HYPERLINK("https://baanknet.com/view-property/256942/08A4D2E2A0F1BF8377E4B8F78B17A87DDB830C557007B11396FB2295EA6C6976", "Open")</f>
        <v>Open</v>
      </c>
      <c r="J2416" t="s">
        <v>3803</v>
      </c>
      <c r="L2416">
        <v>3031000</v>
      </c>
      <c r="M2416">
        <v>303100</v>
      </c>
    </row>
    <row r="2417" spans="1:13" x14ac:dyDescent="0.25">
      <c r="A2417" t="s">
        <v>8226</v>
      </c>
      <c r="B2417" t="s">
        <v>8227</v>
      </c>
      <c r="C2417" t="s">
        <v>15</v>
      </c>
      <c r="D2417" t="s">
        <v>2163</v>
      </c>
      <c r="E2417" t="s">
        <v>623</v>
      </c>
      <c r="F2417" t="s">
        <v>7517</v>
      </c>
      <c r="G2417" t="s">
        <v>8228</v>
      </c>
      <c r="H2417" t="str">
        <f>HYPERLINK("https://baanknet.com/view-property/258424/96136232A25B5ACD356B65463E779C30E405E72703EBADD19A7B7DD6B97DBC9A", "https://baanknet.com/view-property/258424/96136232A25B5ACD356B65463E779C30E405E72703EBADD19A7B7DD6B97DBC9A")</f>
        <v>https://baanknet.com/view-property/258424/96136232A25B5ACD356B65463E779C30E405E72703EBADD19A7B7DD6B97DBC9A</v>
      </c>
      <c r="I2417" t="str">
        <f>HYPERLINK("https://baanknet.com/view-property/258424/96136232A25B5ACD356B65463E779C30E405E72703EBADD19A7B7DD6B97DBC9A", "Open")</f>
        <v>Open</v>
      </c>
      <c r="J2417" t="s">
        <v>3803</v>
      </c>
      <c r="L2417">
        <v>5625000</v>
      </c>
      <c r="M2417">
        <v>562500</v>
      </c>
    </row>
    <row r="2418" spans="1:13" x14ac:dyDescent="0.25">
      <c r="A2418" t="s">
        <v>8229</v>
      </c>
      <c r="B2418" t="s">
        <v>8230</v>
      </c>
      <c r="C2418" t="s">
        <v>15</v>
      </c>
      <c r="D2418" t="s">
        <v>8231</v>
      </c>
      <c r="E2418" t="s">
        <v>623</v>
      </c>
      <c r="F2418" t="s">
        <v>7517</v>
      </c>
      <c r="G2418" t="s">
        <v>8232</v>
      </c>
      <c r="H2418" t="str">
        <f>HYPERLINK("https://baanknet.com/view-property/283964/5246B370C24289D2A29F5C7A82079E95E0956D8C267F5E159058053630BFDD52", "https://baanknet.com/view-property/283964/5246B370C24289D2A29F5C7A82079E95E0956D8C267F5E159058053630BFDD52")</f>
        <v>https://baanknet.com/view-property/283964/5246B370C24289D2A29F5C7A82079E95E0956D8C267F5E159058053630BFDD52</v>
      </c>
      <c r="I2418" t="str">
        <f>HYPERLINK("https://baanknet.com/view-property/283964/5246B370C24289D2A29F5C7A82079E95E0956D8C267F5E159058053630BFDD52", "Open")</f>
        <v>Open</v>
      </c>
      <c r="J2418" t="s">
        <v>3803</v>
      </c>
      <c r="L2418">
        <v>1870000</v>
      </c>
      <c r="M2418">
        <v>187000</v>
      </c>
    </row>
    <row r="2419" spans="1:13" x14ac:dyDescent="0.25">
      <c r="A2419" t="s">
        <v>8233</v>
      </c>
      <c r="B2419" t="s">
        <v>8234</v>
      </c>
      <c r="C2419" t="s">
        <v>15</v>
      </c>
      <c r="D2419" t="s">
        <v>1310</v>
      </c>
      <c r="E2419" t="s">
        <v>623</v>
      </c>
      <c r="F2419" t="s">
        <v>7517</v>
      </c>
      <c r="G2419" t="s">
        <v>8235</v>
      </c>
      <c r="H2419" t="str">
        <f>HYPERLINK("https://baanknet.com/view-property/217052/9E5C2E63B2DED43B746D5CE5C1B7AA38F4FDF0652A8BAD6C46F34F8456730958", "https://baanknet.com/view-property/217052/9E5C2E63B2DED43B746D5CE5C1B7AA38F4FDF0652A8BAD6C46F34F8456730958")</f>
        <v>https://baanknet.com/view-property/217052/9E5C2E63B2DED43B746D5CE5C1B7AA38F4FDF0652A8BAD6C46F34F8456730958</v>
      </c>
      <c r="I2419" t="str">
        <f>HYPERLINK("https://baanknet.com/view-property/217052/9E5C2E63B2DED43B746D5CE5C1B7AA38F4FDF0652A8BAD6C46F34F8456730958", "Open")</f>
        <v>Open</v>
      </c>
      <c r="J2419" t="s">
        <v>3803</v>
      </c>
      <c r="L2419">
        <v>8050000</v>
      </c>
      <c r="M2419">
        <v>805000</v>
      </c>
    </row>
    <row r="2420" spans="1:13" x14ac:dyDescent="0.25">
      <c r="A2420" t="s">
        <v>8236</v>
      </c>
      <c r="B2420" t="s">
        <v>8237</v>
      </c>
      <c r="C2420" t="s">
        <v>15</v>
      </c>
      <c r="D2420" t="s">
        <v>1300</v>
      </c>
      <c r="E2420" t="s">
        <v>623</v>
      </c>
      <c r="F2420" t="s">
        <v>7517</v>
      </c>
      <c r="G2420" t="s">
        <v>8238</v>
      </c>
      <c r="H2420" t="str">
        <f>HYPERLINK("https://baanknet.com/view-property/247782/40102399FA74FEA7E0EDDF613557B0A02D83AB714992ECFAA9F6C87DC1EE4298", "https://baanknet.com/view-property/247782/40102399FA74FEA7E0EDDF613557B0A02D83AB714992ECFAA9F6C87DC1EE4298")</f>
        <v>https://baanknet.com/view-property/247782/40102399FA74FEA7E0EDDF613557B0A02D83AB714992ECFAA9F6C87DC1EE4298</v>
      </c>
      <c r="I2420" t="str">
        <f>HYPERLINK("https://baanknet.com/view-property/247782/40102399FA74FEA7E0EDDF613557B0A02D83AB714992ECFAA9F6C87DC1EE4298", "Open")</f>
        <v>Open</v>
      </c>
      <c r="J2420" t="s">
        <v>3803</v>
      </c>
      <c r="L2420">
        <v>2500000</v>
      </c>
      <c r="M2420">
        <v>250000</v>
      </c>
    </row>
    <row r="2421" spans="1:13" x14ac:dyDescent="0.25">
      <c r="A2421" t="s">
        <v>8239</v>
      </c>
      <c r="B2421" t="s">
        <v>8240</v>
      </c>
      <c r="C2421" t="s">
        <v>15</v>
      </c>
      <c r="D2421" t="s">
        <v>710</v>
      </c>
      <c r="E2421" t="s">
        <v>623</v>
      </c>
      <c r="F2421" t="s">
        <v>7517</v>
      </c>
      <c r="G2421" t="s">
        <v>8241</v>
      </c>
      <c r="H2421" t="str">
        <f>HYPERLINK("https://baanknet.com/view-property/247952/425BFB1ED8513179BAA0BE4D87FB3FE7AAD560690CFE2DA355C1B065758D7099", "https://baanknet.com/view-property/247952/425BFB1ED8513179BAA0BE4D87FB3FE7AAD560690CFE2DA355C1B065758D7099")</f>
        <v>https://baanknet.com/view-property/247952/425BFB1ED8513179BAA0BE4D87FB3FE7AAD560690CFE2DA355C1B065758D7099</v>
      </c>
      <c r="I2421" t="str">
        <f>HYPERLINK("https://baanknet.com/view-property/247952/425BFB1ED8513179BAA0BE4D87FB3FE7AAD560690CFE2DA355C1B065758D7099", "Open")</f>
        <v>Open</v>
      </c>
      <c r="J2421" t="s">
        <v>3803</v>
      </c>
      <c r="L2421">
        <v>2350000</v>
      </c>
      <c r="M2421">
        <v>235000</v>
      </c>
    </row>
    <row r="2422" spans="1:13" x14ac:dyDescent="0.25">
      <c r="A2422" t="s">
        <v>8242</v>
      </c>
      <c r="B2422" t="s">
        <v>8243</v>
      </c>
      <c r="C2422" t="s">
        <v>15</v>
      </c>
      <c r="D2422" t="s">
        <v>1293</v>
      </c>
      <c r="E2422" t="s">
        <v>623</v>
      </c>
      <c r="F2422" t="s">
        <v>7517</v>
      </c>
      <c r="G2422" t="s">
        <v>8244</v>
      </c>
      <c r="H2422" t="str">
        <f>HYPERLINK("https://baanknet.com/view-property/247951/9341C8A1DE7E3A8D659C0F676FD0496E90EBD5DC7526524E497DD972660D2B8E", "https://baanknet.com/view-property/247951/9341C8A1DE7E3A8D659C0F676FD0496E90EBD5DC7526524E497DD972660D2B8E")</f>
        <v>https://baanknet.com/view-property/247951/9341C8A1DE7E3A8D659C0F676FD0496E90EBD5DC7526524E497DD972660D2B8E</v>
      </c>
      <c r="I2422" t="str">
        <f>HYPERLINK("https://baanknet.com/view-property/247951/9341C8A1DE7E3A8D659C0F676FD0496E90EBD5DC7526524E497DD972660D2B8E", "Open")</f>
        <v>Open</v>
      </c>
      <c r="J2422" t="s">
        <v>3803</v>
      </c>
      <c r="L2422">
        <v>1950000</v>
      </c>
      <c r="M2422">
        <v>195000</v>
      </c>
    </row>
    <row r="2423" spans="1:13" x14ac:dyDescent="0.25">
      <c r="A2423" t="s">
        <v>8245</v>
      </c>
      <c r="B2423" t="s">
        <v>8246</v>
      </c>
      <c r="C2423" t="s">
        <v>15</v>
      </c>
      <c r="D2423" t="s">
        <v>8247</v>
      </c>
      <c r="E2423" t="s">
        <v>623</v>
      </c>
      <c r="F2423" t="s">
        <v>7517</v>
      </c>
      <c r="G2423" t="s">
        <v>8248</v>
      </c>
      <c r="H2423" t="str">
        <f>HYPERLINK("https://baanknet.com/view-property/280552/9958F1296256F1A3588850889631E62F2407D42207BC19440A183C5FE3491A38", "https://baanknet.com/view-property/280552/9958F1296256F1A3588850889631E62F2407D42207BC19440A183C5FE3491A38")</f>
        <v>https://baanknet.com/view-property/280552/9958F1296256F1A3588850889631E62F2407D42207BC19440A183C5FE3491A38</v>
      </c>
      <c r="I2423" t="str">
        <f>HYPERLINK("https://baanknet.com/view-property/280552/9958F1296256F1A3588850889631E62F2407D42207BC19440A183C5FE3491A38", "Open")</f>
        <v>Open</v>
      </c>
      <c r="J2423" t="s">
        <v>3803</v>
      </c>
      <c r="L2423">
        <v>2300000</v>
      </c>
      <c r="M2423">
        <v>230000</v>
      </c>
    </row>
    <row r="2424" spans="1:13" x14ac:dyDescent="0.25">
      <c r="A2424" t="s">
        <v>8249</v>
      </c>
      <c r="B2424" t="s">
        <v>8250</v>
      </c>
      <c r="C2424" t="s">
        <v>15</v>
      </c>
      <c r="D2424" t="s">
        <v>4246</v>
      </c>
      <c r="E2424" t="s">
        <v>623</v>
      </c>
      <c r="F2424" t="s">
        <v>7517</v>
      </c>
      <c r="G2424" t="s">
        <v>8251</v>
      </c>
      <c r="H2424" t="str">
        <f>HYPERLINK("https://baanknet.com/view-property/248691/8F8EE0BDEDBF2A7D86CE3BB4F13992A21523A74F38584CFB95B3EB40A7867D22", "https://baanknet.com/view-property/248691/8F8EE0BDEDBF2A7D86CE3BB4F13992A21523A74F38584CFB95B3EB40A7867D22")</f>
        <v>https://baanknet.com/view-property/248691/8F8EE0BDEDBF2A7D86CE3BB4F13992A21523A74F38584CFB95B3EB40A7867D22</v>
      </c>
      <c r="I2424" t="str">
        <f>HYPERLINK("https://baanknet.com/view-property/248691/8F8EE0BDEDBF2A7D86CE3BB4F13992A21523A74F38584CFB95B3EB40A7867D22", "Open")</f>
        <v>Open</v>
      </c>
      <c r="J2424" t="s">
        <v>3803</v>
      </c>
      <c r="L2424">
        <v>1860000</v>
      </c>
      <c r="M2424">
        <v>186000</v>
      </c>
    </row>
    <row r="2425" spans="1:13" x14ac:dyDescent="0.25">
      <c r="A2425" t="s">
        <v>8252</v>
      </c>
      <c r="B2425" t="s">
        <v>8253</v>
      </c>
      <c r="C2425" t="s">
        <v>15</v>
      </c>
      <c r="D2425" t="s">
        <v>4246</v>
      </c>
      <c r="E2425" t="s">
        <v>623</v>
      </c>
      <c r="F2425" t="s">
        <v>7517</v>
      </c>
      <c r="G2425" t="s">
        <v>8254</v>
      </c>
      <c r="H2425" t="str">
        <f>HYPERLINK("https://baanknet.com/view-property/248693/B7E54708EBE7AF96BEB3AAE685704826489E41CC03C9B159D8D40A7FCBF8E61C", "https://baanknet.com/view-property/248693/B7E54708EBE7AF96BEB3AAE685704826489E41CC03C9B159D8D40A7FCBF8E61C")</f>
        <v>https://baanknet.com/view-property/248693/B7E54708EBE7AF96BEB3AAE685704826489E41CC03C9B159D8D40A7FCBF8E61C</v>
      </c>
      <c r="I2425" t="str">
        <f>HYPERLINK("https://baanknet.com/view-property/248693/B7E54708EBE7AF96BEB3AAE685704826489E41CC03C9B159D8D40A7FCBF8E61C", "Open")</f>
        <v>Open</v>
      </c>
      <c r="J2425" t="s">
        <v>3803</v>
      </c>
      <c r="L2425">
        <v>1860000</v>
      </c>
      <c r="M2425">
        <v>186000</v>
      </c>
    </row>
    <row r="2426" spans="1:13" x14ac:dyDescent="0.25">
      <c r="A2426" t="s">
        <v>8255</v>
      </c>
      <c r="B2426" t="s">
        <v>8256</v>
      </c>
      <c r="C2426" t="s">
        <v>15</v>
      </c>
      <c r="D2426" t="s">
        <v>710</v>
      </c>
      <c r="E2426" t="s">
        <v>623</v>
      </c>
      <c r="F2426" t="s">
        <v>7517</v>
      </c>
      <c r="G2426" t="s">
        <v>8257</v>
      </c>
      <c r="H2426" t="str">
        <f>HYPERLINK("https://baanknet.com/view-property/257629/416116BD97C4162A17295007043BF3A33115ED0B2A5B464F036AA936E118F838", "https://baanknet.com/view-property/257629/416116BD97C4162A17295007043BF3A33115ED0B2A5B464F036AA936E118F838")</f>
        <v>https://baanknet.com/view-property/257629/416116BD97C4162A17295007043BF3A33115ED0B2A5B464F036AA936E118F838</v>
      </c>
      <c r="I2426" t="str">
        <f>HYPERLINK("https://baanknet.com/view-property/257629/416116BD97C4162A17295007043BF3A33115ED0B2A5B464F036AA936E118F838", "Open")</f>
        <v>Open</v>
      </c>
      <c r="J2426" t="s">
        <v>3803</v>
      </c>
      <c r="L2426">
        <v>2300000</v>
      </c>
      <c r="M2426">
        <v>230000</v>
      </c>
    </row>
    <row r="2427" spans="1:13" x14ac:dyDescent="0.25">
      <c r="A2427" t="s">
        <v>8258</v>
      </c>
      <c r="B2427" t="s">
        <v>8259</v>
      </c>
      <c r="C2427" t="s">
        <v>15</v>
      </c>
      <c r="D2427" t="s">
        <v>1310</v>
      </c>
      <c r="E2427" t="s">
        <v>623</v>
      </c>
      <c r="F2427" t="s">
        <v>7517</v>
      </c>
      <c r="G2427" t="s">
        <v>8260</v>
      </c>
      <c r="H2427" t="str">
        <f>HYPERLINK("https://baanknet.com/view-property/257673/427C133A6CD7BA3806C083B95299DDF51E719C9DAF61591E70FE121A2E358602", "https://baanknet.com/view-property/257673/427C133A6CD7BA3806C083B95299DDF51E719C9DAF61591E70FE121A2E358602")</f>
        <v>https://baanknet.com/view-property/257673/427C133A6CD7BA3806C083B95299DDF51E719C9DAF61591E70FE121A2E358602</v>
      </c>
      <c r="I2427" t="str">
        <f>HYPERLINK("https://baanknet.com/view-property/257673/427C133A6CD7BA3806C083B95299DDF51E719C9DAF61591E70FE121A2E358602", "Open")</f>
        <v>Open</v>
      </c>
      <c r="J2427" t="s">
        <v>3803</v>
      </c>
      <c r="L2427">
        <v>2300000</v>
      </c>
      <c r="M2427">
        <v>230000</v>
      </c>
    </row>
    <row r="2428" spans="1:13" x14ac:dyDescent="0.25">
      <c r="A2428" t="s">
        <v>8261</v>
      </c>
      <c r="B2428" t="s">
        <v>8262</v>
      </c>
      <c r="C2428" t="s">
        <v>15</v>
      </c>
      <c r="D2428" t="s">
        <v>1310</v>
      </c>
      <c r="E2428" t="s">
        <v>623</v>
      </c>
      <c r="F2428" t="s">
        <v>7517</v>
      </c>
      <c r="G2428" t="s">
        <v>8263</v>
      </c>
      <c r="H2428" t="str">
        <f>HYPERLINK("https://baanknet.com/view-property/279113/DACBAD4C3925B3ED0B9C794DF0082241C4A03690E3F62D876AAD86A57D3066FD", "https://baanknet.com/view-property/279113/DACBAD4C3925B3ED0B9C794DF0082241C4A03690E3F62D876AAD86A57D3066FD")</f>
        <v>https://baanknet.com/view-property/279113/DACBAD4C3925B3ED0B9C794DF0082241C4A03690E3F62D876AAD86A57D3066FD</v>
      </c>
      <c r="I2428" t="str">
        <f>HYPERLINK("https://baanknet.com/view-property/279113/DACBAD4C3925B3ED0B9C794DF0082241C4A03690E3F62D876AAD86A57D3066FD", "Open")</f>
        <v>Open</v>
      </c>
      <c r="J2428" t="s">
        <v>3803</v>
      </c>
      <c r="L2428">
        <v>14100000</v>
      </c>
      <c r="M2428">
        <v>1410000</v>
      </c>
    </row>
    <row r="2429" spans="1:13" x14ac:dyDescent="0.25">
      <c r="A2429" t="s">
        <v>8264</v>
      </c>
      <c r="B2429" t="s">
        <v>8265</v>
      </c>
      <c r="C2429" t="s">
        <v>15</v>
      </c>
      <c r="D2429" t="s">
        <v>8266</v>
      </c>
      <c r="E2429" t="s">
        <v>623</v>
      </c>
      <c r="F2429" t="s">
        <v>7517</v>
      </c>
      <c r="G2429" t="s">
        <v>8267</v>
      </c>
      <c r="H2429" t="str">
        <f>HYPERLINK("https://baanknet.com/view-property/284032/84249823694FB6A11906BF8C07F8FD96C47EC401458260B1B280F6F3D52C96B6", "https://baanknet.com/view-property/284032/84249823694FB6A11906BF8C07F8FD96C47EC401458260B1B280F6F3D52C96B6")</f>
        <v>https://baanknet.com/view-property/284032/84249823694FB6A11906BF8C07F8FD96C47EC401458260B1B280F6F3D52C96B6</v>
      </c>
      <c r="I2429" t="str">
        <f>HYPERLINK("https://baanknet.com/view-property/284032/84249823694FB6A11906BF8C07F8FD96C47EC401458260B1B280F6F3D52C96B6", "Open")</f>
        <v>Open</v>
      </c>
      <c r="J2429" t="s">
        <v>3803</v>
      </c>
      <c r="L2429">
        <v>1911400</v>
      </c>
      <c r="M2429">
        <v>191140</v>
      </c>
    </row>
    <row r="2430" spans="1:13" x14ac:dyDescent="0.25">
      <c r="A2430" t="s">
        <v>8268</v>
      </c>
      <c r="B2430" t="s">
        <v>8269</v>
      </c>
      <c r="C2430" t="s">
        <v>15</v>
      </c>
      <c r="D2430" t="s">
        <v>853</v>
      </c>
      <c r="E2430" t="s">
        <v>623</v>
      </c>
      <c r="F2430" t="s">
        <v>7517</v>
      </c>
      <c r="G2430" t="s">
        <v>8270</v>
      </c>
      <c r="H2430" t="str">
        <f>HYPERLINK("https://baanknet.com/view-property/254673/D4FCEF357BE25CC20D392954E7462AB8ED16846031E8D20648B986528574E55A", "https://baanknet.com/view-property/254673/D4FCEF357BE25CC20D392954E7462AB8ED16846031E8D20648B986528574E55A")</f>
        <v>https://baanknet.com/view-property/254673/D4FCEF357BE25CC20D392954E7462AB8ED16846031E8D20648B986528574E55A</v>
      </c>
      <c r="I2430" t="str">
        <f>HYPERLINK("https://baanknet.com/view-property/254673/D4FCEF357BE25CC20D392954E7462AB8ED16846031E8D20648B986528574E55A", "Open")</f>
        <v>Open</v>
      </c>
      <c r="J2430" t="s">
        <v>3803</v>
      </c>
      <c r="L2430">
        <v>1500000</v>
      </c>
      <c r="M2430">
        <v>150000</v>
      </c>
    </row>
    <row r="2431" spans="1:13" x14ac:dyDescent="0.25">
      <c r="A2431" t="s">
        <v>8271</v>
      </c>
      <c r="B2431" t="s">
        <v>8272</v>
      </c>
      <c r="C2431" t="s">
        <v>15</v>
      </c>
      <c r="D2431" t="s">
        <v>853</v>
      </c>
      <c r="E2431" t="s">
        <v>623</v>
      </c>
      <c r="F2431" t="s">
        <v>7517</v>
      </c>
      <c r="G2431" t="s">
        <v>8273</v>
      </c>
      <c r="H2431" t="str">
        <f>HYPERLINK("https://baanknet.com/view-property/254684/DB61424546B1A66641365325AEF7991F29A3DBF1A0055FF5BC2DE11B800D5903", "https://baanknet.com/view-property/254684/DB61424546B1A66641365325AEF7991F29A3DBF1A0055FF5BC2DE11B800D5903")</f>
        <v>https://baanknet.com/view-property/254684/DB61424546B1A66641365325AEF7991F29A3DBF1A0055FF5BC2DE11B800D5903</v>
      </c>
      <c r="I2431" t="str">
        <f>HYPERLINK("https://baanknet.com/view-property/254684/DB61424546B1A66641365325AEF7991F29A3DBF1A0055FF5BC2DE11B800D5903", "Open")</f>
        <v>Open</v>
      </c>
      <c r="J2431" t="s">
        <v>3803</v>
      </c>
      <c r="L2431">
        <v>1540000</v>
      </c>
      <c r="M2431">
        <v>154000</v>
      </c>
    </row>
    <row r="2432" spans="1:13" x14ac:dyDescent="0.25">
      <c r="A2432" t="s">
        <v>8274</v>
      </c>
      <c r="B2432" t="s">
        <v>8275</v>
      </c>
      <c r="C2432" t="s">
        <v>15</v>
      </c>
      <c r="D2432" t="s">
        <v>4546</v>
      </c>
      <c r="E2432" t="s">
        <v>623</v>
      </c>
      <c r="F2432" t="s">
        <v>7517</v>
      </c>
      <c r="G2432" t="s">
        <v>8276</v>
      </c>
      <c r="H2432" t="str">
        <f>HYPERLINK("https://baanknet.com/view-property/271306/C970635B2F5ACFECC22CFFB8173E3E7B8C1E8D07EE1DFE6463E3BA061B361FBE", "https://baanknet.com/view-property/271306/C970635B2F5ACFECC22CFFB8173E3E7B8C1E8D07EE1DFE6463E3BA061B361FBE")</f>
        <v>https://baanknet.com/view-property/271306/C970635B2F5ACFECC22CFFB8173E3E7B8C1E8D07EE1DFE6463E3BA061B361FBE</v>
      </c>
      <c r="I2432" t="str">
        <f>HYPERLINK("https://baanknet.com/view-property/271306/C970635B2F5ACFECC22CFFB8173E3E7B8C1E8D07EE1DFE6463E3BA061B361FBE", "Open")</f>
        <v>Open</v>
      </c>
      <c r="J2432" t="s">
        <v>3803</v>
      </c>
      <c r="L2432">
        <v>2227000</v>
      </c>
      <c r="M2432">
        <v>222700</v>
      </c>
    </row>
    <row r="2433" spans="1:13" x14ac:dyDescent="0.25">
      <c r="A2433" t="s">
        <v>8277</v>
      </c>
      <c r="B2433" t="s">
        <v>8278</v>
      </c>
      <c r="C2433" t="s">
        <v>15</v>
      </c>
      <c r="D2433" t="s">
        <v>8279</v>
      </c>
      <c r="E2433" t="s">
        <v>623</v>
      </c>
      <c r="F2433" t="s">
        <v>7517</v>
      </c>
      <c r="G2433" t="s">
        <v>8280</v>
      </c>
      <c r="H2433" t="str">
        <f>HYPERLINK("https://baanknet.com/view-property/244692/2BF9DE0A9C4C7C52C1953D919B7B3C8C511FAEA12CBFC9583AB94549795B28F6", "https://baanknet.com/view-property/244692/2BF9DE0A9C4C7C52C1953D919B7B3C8C511FAEA12CBFC9583AB94549795B28F6")</f>
        <v>https://baanknet.com/view-property/244692/2BF9DE0A9C4C7C52C1953D919B7B3C8C511FAEA12CBFC9583AB94549795B28F6</v>
      </c>
      <c r="I2433" t="str">
        <f>HYPERLINK("https://baanknet.com/view-property/244692/2BF9DE0A9C4C7C52C1953D919B7B3C8C511FAEA12CBFC9583AB94549795B28F6", "Open")</f>
        <v>Open</v>
      </c>
      <c r="J2433" t="s">
        <v>3803</v>
      </c>
      <c r="L2433">
        <v>855000</v>
      </c>
      <c r="M2433">
        <v>85500</v>
      </c>
    </row>
    <row r="2434" spans="1:13" x14ac:dyDescent="0.25">
      <c r="A2434" t="s">
        <v>8281</v>
      </c>
      <c r="B2434" t="s">
        <v>8282</v>
      </c>
      <c r="C2434" t="s">
        <v>15</v>
      </c>
      <c r="D2434" t="s">
        <v>8283</v>
      </c>
      <c r="E2434" t="s">
        <v>623</v>
      </c>
      <c r="F2434" t="s">
        <v>7517</v>
      </c>
      <c r="G2434" t="s">
        <v>8284</v>
      </c>
      <c r="H2434" t="str">
        <f>HYPERLINK("https://baanknet.com/view-property/247168/F4E1FC4FB632F6011F201A4DBFC99CB4128E38FF946078EAB1D2E8F14A01C649", "https://baanknet.com/view-property/247168/F4E1FC4FB632F6011F201A4DBFC99CB4128E38FF946078EAB1D2E8F14A01C649")</f>
        <v>https://baanknet.com/view-property/247168/F4E1FC4FB632F6011F201A4DBFC99CB4128E38FF946078EAB1D2E8F14A01C649</v>
      </c>
      <c r="I2434" t="str">
        <f>HYPERLINK("https://baanknet.com/view-property/247168/F4E1FC4FB632F6011F201A4DBFC99CB4128E38FF946078EAB1D2E8F14A01C649", "Open")</f>
        <v>Open</v>
      </c>
      <c r="J2434" t="s">
        <v>3803</v>
      </c>
      <c r="L2434">
        <v>6822000</v>
      </c>
      <c r="M2434">
        <v>682200</v>
      </c>
    </row>
    <row r="2435" spans="1:13" x14ac:dyDescent="0.25">
      <c r="A2435" t="s">
        <v>8285</v>
      </c>
      <c r="B2435" t="s">
        <v>8286</v>
      </c>
      <c r="C2435" t="s">
        <v>15</v>
      </c>
      <c r="D2435" t="s">
        <v>2185</v>
      </c>
      <c r="E2435" t="s">
        <v>623</v>
      </c>
      <c r="F2435" t="s">
        <v>7517</v>
      </c>
      <c r="G2435" t="s">
        <v>8287</v>
      </c>
      <c r="H2435" t="str">
        <f>HYPERLINK("https://baanknet.com/view-property/245422/2A6762410915D4736AB57BD6D19E59DEA7988FC1432FEF46D142F4DF5FE1F956", "https://baanknet.com/view-property/245422/2A6762410915D4736AB57BD6D19E59DEA7988FC1432FEF46D142F4DF5FE1F956")</f>
        <v>https://baanknet.com/view-property/245422/2A6762410915D4736AB57BD6D19E59DEA7988FC1432FEF46D142F4DF5FE1F956</v>
      </c>
      <c r="I2435" t="str">
        <f>HYPERLINK("https://baanknet.com/view-property/245422/2A6762410915D4736AB57BD6D19E59DEA7988FC1432FEF46D142F4DF5FE1F956", "Open")</f>
        <v>Open</v>
      </c>
      <c r="J2435" t="s">
        <v>3803</v>
      </c>
      <c r="L2435">
        <v>17334000</v>
      </c>
      <c r="M2435">
        <v>1733400</v>
      </c>
    </row>
    <row r="2436" spans="1:13" x14ac:dyDescent="0.25">
      <c r="A2436" t="s">
        <v>8288</v>
      </c>
      <c r="B2436" t="s">
        <v>8289</v>
      </c>
      <c r="C2436" t="s">
        <v>15</v>
      </c>
      <c r="D2436" t="s">
        <v>8290</v>
      </c>
      <c r="E2436" t="s">
        <v>623</v>
      </c>
      <c r="F2436" t="s">
        <v>7517</v>
      </c>
      <c r="G2436" t="s">
        <v>8291</v>
      </c>
      <c r="H2436" t="str">
        <f>HYPERLINK("https://baanknet.com/view-property/243276/9BFEA9A658D1F6B406B44FFADAF374312B02358CE5697721077C3404BE6F13F4", "https://baanknet.com/view-property/243276/9BFEA9A658D1F6B406B44FFADAF374312B02358CE5697721077C3404BE6F13F4")</f>
        <v>https://baanknet.com/view-property/243276/9BFEA9A658D1F6B406B44FFADAF374312B02358CE5697721077C3404BE6F13F4</v>
      </c>
      <c r="I2436" t="str">
        <f>HYPERLINK("https://baanknet.com/view-property/243276/9BFEA9A658D1F6B406B44FFADAF374312B02358CE5697721077C3404BE6F13F4", "Open")</f>
        <v>Open</v>
      </c>
      <c r="J2436" t="s">
        <v>3803</v>
      </c>
      <c r="L2436">
        <v>3250000</v>
      </c>
      <c r="M2436">
        <v>325000</v>
      </c>
    </row>
    <row r="2437" spans="1:13" x14ac:dyDescent="0.25">
      <c r="A2437" t="s">
        <v>8292</v>
      </c>
      <c r="B2437" t="s">
        <v>8293</v>
      </c>
      <c r="C2437" t="s">
        <v>15</v>
      </c>
      <c r="D2437" t="s">
        <v>8294</v>
      </c>
      <c r="E2437" t="s">
        <v>623</v>
      </c>
      <c r="F2437" t="s">
        <v>7517</v>
      </c>
      <c r="G2437" t="s">
        <v>8295</v>
      </c>
      <c r="H2437" t="str">
        <f>HYPERLINK("https://baanknet.com/view-property/255674/AD17F167B687B4862B084A624F95CE85F2F213E675D63C99FA9E21115B0BD9ED", "https://baanknet.com/view-property/255674/AD17F167B687B4862B084A624F95CE85F2F213E675D63C99FA9E21115B0BD9ED")</f>
        <v>https://baanknet.com/view-property/255674/AD17F167B687B4862B084A624F95CE85F2F213E675D63C99FA9E21115B0BD9ED</v>
      </c>
      <c r="I2437" t="str">
        <f>HYPERLINK("https://baanknet.com/view-property/255674/AD17F167B687B4862B084A624F95CE85F2F213E675D63C99FA9E21115B0BD9ED", "Open")</f>
        <v>Open</v>
      </c>
      <c r="J2437" t="s">
        <v>3803</v>
      </c>
      <c r="L2437">
        <v>837000</v>
      </c>
      <c r="M2437">
        <v>83700</v>
      </c>
    </row>
    <row r="2438" spans="1:13" x14ac:dyDescent="0.25">
      <c r="A2438" t="s">
        <v>8296</v>
      </c>
      <c r="B2438" t="s">
        <v>8297</v>
      </c>
      <c r="C2438" t="s">
        <v>15</v>
      </c>
      <c r="D2438" t="s">
        <v>3225</v>
      </c>
      <c r="E2438" t="s">
        <v>623</v>
      </c>
      <c r="F2438" t="s">
        <v>7517</v>
      </c>
      <c r="G2438" t="s">
        <v>8298</v>
      </c>
      <c r="H2438" t="str">
        <f>HYPERLINK("https://baanknet.com/view-property/280435/66C72F1B9DD29936DAFDDF3877AED801AA3DB8AECA8FBE92F89403B31E727C2E", "https://baanknet.com/view-property/280435/66C72F1B9DD29936DAFDDF3877AED801AA3DB8AECA8FBE92F89403B31E727C2E")</f>
        <v>https://baanknet.com/view-property/280435/66C72F1B9DD29936DAFDDF3877AED801AA3DB8AECA8FBE92F89403B31E727C2E</v>
      </c>
      <c r="I2438" t="str">
        <f>HYPERLINK("https://baanknet.com/view-property/280435/66C72F1B9DD29936DAFDDF3877AED801AA3DB8AECA8FBE92F89403B31E727C2E", "Open")</f>
        <v>Open</v>
      </c>
      <c r="J2438" t="s">
        <v>3803</v>
      </c>
      <c r="L2438">
        <v>5200000</v>
      </c>
      <c r="M2438">
        <v>520000</v>
      </c>
    </row>
    <row r="2439" spans="1:13" x14ac:dyDescent="0.25">
      <c r="A2439" t="s">
        <v>8299</v>
      </c>
      <c r="B2439" t="s">
        <v>8300</v>
      </c>
      <c r="C2439" t="s">
        <v>15</v>
      </c>
      <c r="D2439" t="s">
        <v>3340</v>
      </c>
      <c r="E2439" t="s">
        <v>623</v>
      </c>
      <c r="F2439" t="s">
        <v>7517</v>
      </c>
      <c r="G2439" t="s">
        <v>8301</v>
      </c>
      <c r="H2439" t="str">
        <f>HYPERLINK("https://baanknet.com/view-property/233094/6FB1E45B2E3398E27C6BC38CABAF6288D580FF11FC99943FA95DA49120470BB0", "https://baanknet.com/view-property/233094/6FB1E45B2E3398E27C6BC38CABAF6288D580FF11FC99943FA95DA49120470BB0")</f>
        <v>https://baanknet.com/view-property/233094/6FB1E45B2E3398E27C6BC38CABAF6288D580FF11FC99943FA95DA49120470BB0</v>
      </c>
      <c r="I2439" t="str">
        <f>HYPERLINK("https://baanknet.com/view-property/233094/6FB1E45B2E3398E27C6BC38CABAF6288D580FF11FC99943FA95DA49120470BB0", "Open")</f>
        <v>Open</v>
      </c>
      <c r="J2439" t="s">
        <v>3803</v>
      </c>
      <c r="L2439">
        <v>1140000</v>
      </c>
      <c r="M2439">
        <v>114000</v>
      </c>
    </row>
    <row r="2440" spans="1:13" x14ac:dyDescent="0.25">
      <c r="A2440" t="s">
        <v>8302</v>
      </c>
      <c r="B2440" t="s">
        <v>8303</v>
      </c>
      <c r="C2440" t="s">
        <v>15</v>
      </c>
      <c r="D2440" t="s">
        <v>8304</v>
      </c>
      <c r="E2440" t="s">
        <v>623</v>
      </c>
      <c r="F2440" t="s">
        <v>7517</v>
      </c>
      <c r="G2440" t="s">
        <v>8305</v>
      </c>
      <c r="H2440" t="str">
        <f>HYPERLINK("https://baanknet.com/view-property/282127/428B5BFF35014E16ECEB63D9462B9665D3C2A243925523BC7B78AAD78E447EAC", "https://baanknet.com/view-property/282127/428B5BFF35014E16ECEB63D9462B9665D3C2A243925523BC7B78AAD78E447EAC")</f>
        <v>https://baanknet.com/view-property/282127/428B5BFF35014E16ECEB63D9462B9665D3C2A243925523BC7B78AAD78E447EAC</v>
      </c>
      <c r="I2440" t="str">
        <f>HYPERLINK("https://baanknet.com/view-property/282127/428B5BFF35014E16ECEB63D9462B9665D3C2A243925523BC7B78AAD78E447EAC", "Open")</f>
        <v>Open</v>
      </c>
      <c r="J2440" t="s">
        <v>3803</v>
      </c>
      <c r="L2440">
        <v>7958000</v>
      </c>
      <c r="M2440">
        <v>795800</v>
      </c>
    </row>
    <row r="2441" spans="1:13" x14ac:dyDescent="0.25">
      <c r="A2441" t="s">
        <v>8306</v>
      </c>
      <c r="B2441" t="s">
        <v>8307</v>
      </c>
      <c r="C2441" t="s">
        <v>15</v>
      </c>
      <c r="D2441" t="s">
        <v>5829</v>
      </c>
      <c r="E2441" t="s">
        <v>623</v>
      </c>
      <c r="F2441" t="s">
        <v>7521</v>
      </c>
      <c r="G2441" t="s">
        <v>8308</v>
      </c>
      <c r="H2441" t="str">
        <f>HYPERLINK("https://baanknet.com/view-property/240714/089F51B64185C05A4542D3A9DA0AD8F6643D788D7DAA273103DD96A1FFA536F9", "https://baanknet.com/view-property/240714/089F51B64185C05A4542D3A9DA0AD8F6643D788D7DAA273103DD96A1FFA536F9")</f>
        <v>https://baanknet.com/view-property/240714/089F51B64185C05A4542D3A9DA0AD8F6643D788D7DAA273103DD96A1FFA536F9</v>
      </c>
      <c r="I2441" t="str">
        <f>HYPERLINK("https://baanknet.com/view-property/240714/089F51B64185C05A4542D3A9DA0AD8F6643D788D7DAA273103DD96A1FFA536F9", "Open")</f>
        <v>Open</v>
      </c>
      <c r="J2441" t="s">
        <v>3803</v>
      </c>
      <c r="L2441">
        <v>2300000</v>
      </c>
      <c r="M2441">
        <v>230000</v>
      </c>
    </row>
    <row r="2442" spans="1:13" x14ac:dyDescent="0.25">
      <c r="A2442" t="s">
        <v>8309</v>
      </c>
      <c r="B2442" t="s">
        <v>8310</v>
      </c>
      <c r="C2442" t="s">
        <v>15</v>
      </c>
      <c r="D2442" t="s">
        <v>5829</v>
      </c>
      <c r="E2442" t="s">
        <v>623</v>
      </c>
      <c r="F2442" t="s">
        <v>7521</v>
      </c>
      <c r="G2442" t="s">
        <v>8311</v>
      </c>
      <c r="H2442" t="str">
        <f>HYPERLINK("https://baanknet.com/view-property/240692/A9481176D2040CB4B042E7607B1F59342419AC37ED9DE4F33C7973A7653926C1", "https://baanknet.com/view-property/240692/A9481176D2040CB4B042E7607B1F59342419AC37ED9DE4F33C7973A7653926C1")</f>
        <v>https://baanknet.com/view-property/240692/A9481176D2040CB4B042E7607B1F59342419AC37ED9DE4F33C7973A7653926C1</v>
      </c>
      <c r="I2442" t="str">
        <f>HYPERLINK("https://baanknet.com/view-property/240692/A9481176D2040CB4B042E7607B1F59342419AC37ED9DE4F33C7973A7653926C1", "Open")</f>
        <v>Open</v>
      </c>
      <c r="J2442" t="s">
        <v>3803</v>
      </c>
      <c r="L2442">
        <v>5200000</v>
      </c>
      <c r="M2442">
        <v>520000</v>
      </c>
    </row>
    <row r="2443" spans="1:13" x14ac:dyDescent="0.25">
      <c r="A2443" t="s">
        <v>8312</v>
      </c>
      <c r="B2443" t="s">
        <v>8313</v>
      </c>
      <c r="C2443" t="s">
        <v>15</v>
      </c>
      <c r="D2443" t="s">
        <v>1007</v>
      </c>
      <c r="E2443" t="s">
        <v>623</v>
      </c>
      <c r="F2443" t="s">
        <v>7521</v>
      </c>
      <c r="G2443" t="s">
        <v>8314</v>
      </c>
      <c r="H2443" t="str">
        <f>HYPERLINK("https://baanknet.com/view-property/240630/13968421550EF213C12B47162CE29DF68DAD54D88BB17F09A9551F0E718120CC", "https://baanknet.com/view-property/240630/13968421550EF213C12B47162CE29DF68DAD54D88BB17F09A9551F0E718120CC")</f>
        <v>https://baanknet.com/view-property/240630/13968421550EF213C12B47162CE29DF68DAD54D88BB17F09A9551F0E718120CC</v>
      </c>
      <c r="I2443" t="str">
        <f>HYPERLINK("https://baanknet.com/view-property/240630/13968421550EF213C12B47162CE29DF68DAD54D88BB17F09A9551F0E718120CC", "Open")</f>
        <v>Open</v>
      </c>
      <c r="J2443" t="s">
        <v>3803</v>
      </c>
      <c r="L2443">
        <v>8855000</v>
      </c>
      <c r="M2443">
        <v>885500</v>
      </c>
    </row>
    <row r="2444" spans="1:13" x14ac:dyDescent="0.25">
      <c r="A2444" t="s">
        <v>8315</v>
      </c>
      <c r="B2444" t="s">
        <v>8316</v>
      </c>
      <c r="C2444" t="s">
        <v>15</v>
      </c>
      <c r="D2444" t="s">
        <v>758</v>
      </c>
      <c r="E2444" t="s">
        <v>623</v>
      </c>
      <c r="F2444" t="s">
        <v>7521</v>
      </c>
      <c r="G2444" t="s">
        <v>8317</v>
      </c>
      <c r="H2444" t="str">
        <f>HYPERLINK("https://baanknet.com/view-property/240608/AFA84C69A7EADAD351324B386D4B0AABA9F5D1056431615EFA6CC4CA08016D37", "https://baanknet.com/view-property/240608/AFA84C69A7EADAD351324B386D4B0AABA9F5D1056431615EFA6CC4CA08016D37")</f>
        <v>https://baanknet.com/view-property/240608/AFA84C69A7EADAD351324B386D4B0AABA9F5D1056431615EFA6CC4CA08016D37</v>
      </c>
      <c r="I2444" t="str">
        <f>HYPERLINK("https://baanknet.com/view-property/240608/AFA84C69A7EADAD351324B386D4B0AABA9F5D1056431615EFA6CC4CA08016D37", "Open")</f>
        <v>Open</v>
      </c>
      <c r="J2444" t="s">
        <v>3803</v>
      </c>
      <c r="L2444">
        <v>3900000</v>
      </c>
      <c r="M2444">
        <v>390000</v>
      </c>
    </row>
    <row r="2445" spans="1:13" x14ac:dyDescent="0.25">
      <c r="A2445" t="s">
        <v>8318</v>
      </c>
      <c r="B2445" t="s">
        <v>8319</v>
      </c>
      <c r="C2445" t="s">
        <v>15</v>
      </c>
      <c r="D2445" t="s">
        <v>758</v>
      </c>
      <c r="E2445" t="s">
        <v>623</v>
      </c>
      <c r="F2445" t="s">
        <v>7521</v>
      </c>
      <c r="G2445" t="s">
        <v>8320</v>
      </c>
      <c r="H2445" t="str">
        <f>HYPERLINK("https://baanknet.com/view-property/240621/9A17AFB3DFB112DEA7D3E605514A57D78B50F91DB874518A7173F51785C9D91C", "https://baanknet.com/view-property/240621/9A17AFB3DFB112DEA7D3E605514A57D78B50F91DB874518A7173F51785C9D91C")</f>
        <v>https://baanknet.com/view-property/240621/9A17AFB3DFB112DEA7D3E605514A57D78B50F91DB874518A7173F51785C9D91C</v>
      </c>
      <c r="I2445" t="str">
        <f>HYPERLINK("https://baanknet.com/view-property/240621/9A17AFB3DFB112DEA7D3E605514A57D78B50F91DB874518A7173F51785C9D91C", "Open")</f>
        <v>Open</v>
      </c>
      <c r="J2445" t="s">
        <v>3803</v>
      </c>
      <c r="L2445">
        <v>1050000</v>
      </c>
      <c r="M2445">
        <v>105000</v>
      </c>
    </row>
    <row r="2446" spans="1:13" x14ac:dyDescent="0.25">
      <c r="A2446" t="s">
        <v>8321</v>
      </c>
      <c r="B2446" t="s">
        <v>8322</v>
      </c>
      <c r="C2446" t="s">
        <v>15</v>
      </c>
      <c r="D2446" t="s">
        <v>1366</v>
      </c>
      <c r="E2446" t="s">
        <v>623</v>
      </c>
      <c r="F2446" t="s">
        <v>7521</v>
      </c>
      <c r="G2446" t="s">
        <v>8323</v>
      </c>
      <c r="H2446" t="str">
        <f>HYPERLINK("https://baanknet.com/view-property/276779/36226C930C6495F4ADD18ABEDFC30B5AE172FBC46A5F400284995C1E05996C8F", "https://baanknet.com/view-property/276779/36226C930C6495F4ADD18ABEDFC30B5AE172FBC46A5F400284995C1E05996C8F")</f>
        <v>https://baanknet.com/view-property/276779/36226C930C6495F4ADD18ABEDFC30B5AE172FBC46A5F400284995C1E05996C8F</v>
      </c>
      <c r="I2446" t="str">
        <f>HYPERLINK("https://baanknet.com/view-property/276779/36226C930C6495F4ADD18ABEDFC30B5AE172FBC46A5F400284995C1E05996C8F", "Open")</f>
        <v>Open</v>
      </c>
      <c r="J2446" t="s">
        <v>3803</v>
      </c>
      <c r="L2446">
        <v>3200000</v>
      </c>
      <c r="M2446">
        <v>320000</v>
      </c>
    </row>
    <row r="2447" spans="1:13" x14ac:dyDescent="0.25">
      <c r="A2447" t="s">
        <v>8324</v>
      </c>
      <c r="B2447" t="s">
        <v>8325</v>
      </c>
      <c r="C2447" t="s">
        <v>15</v>
      </c>
      <c r="D2447" t="s">
        <v>2167</v>
      </c>
      <c r="E2447" t="s">
        <v>623</v>
      </c>
      <c r="F2447" t="s">
        <v>7521</v>
      </c>
      <c r="G2447" t="s">
        <v>8326</v>
      </c>
      <c r="H2447" t="str">
        <f>HYPERLINK("https://baanknet.com/view-property/269971/EA05349B9150460D7151D4861A1544D541036A14DD63538C29DAEEA0C5C2FAC3", "https://baanknet.com/view-property/269971/EA05349B9150460D7151D4861A1544D541036A14DD63538C29DAEEA0C5C2FAC3")</f>
        <v>https://baanknet.com/view-property/269971/EA05349B9150460D7151D4861A1544D541036A14DD63538C29DAEEA0C5C2FAC3</v>
      </c>
      <c r="I2447" t="str">
        <f>HYPERLINK("https://baanknet.com/view-property/269971/EA05349B9150460D7151D4861A1544D541036A14DD63538C29DAEEA0C5C2FAC3", "Open")</f>
        <v>Open</v>
      </c>
      <c r="J2447" t="s">
        <v>3803</v>
      </c>
      <c r="L2447">
        <v>1100000</v>
      </c>
      <c r="M2447">
        <v>110000</v>
      </c>
    </row>
    <row r="2448" spans="1:13" x14ac:dyDescent="0.25">
      <c r="A2448" t="s">
        <v>8327</v>
      </c>
      <c r="B2448" t="s">
        <v>8328</v>
      </c>
      <c r="C2448" t="s">
        <v>144</v>
      </c>
      <c r="D2448" t="s">
        <v>32</v>
      </c>
      <c r="E2448" t="s">
        <v>623</v>
      </c>
      <c r="F2448" t="s">
        <v>7521</v>
      </c>
      <c r="G2448" t="s">
        <v>8329</v>
      </c>
      <c r="H2448" t="str">
        <f>HYPERLINK("https://baanknet.com/view-property/283809/A9600E78BEDDA4821B97C6F9484801102C421BE0ADDAC4C512408C15B4D9CF83", "https://baanknet.com/view-property/283809/A9600E78BEDDA4821B97C6F9484801102C421BE0ADDAC4C512408C15B4D9CF83")</f>
        <v>https://baanknet.com/view-property/283809/A9600E78BEDDA4821B97C6F9484801102C421BE0ADDAC4C512408C15B4D9CF83</v>
      </c>
      <c r="I2448" t="str">
        <f>HYPERLINK("https://baanknet.com/view-property/283809/A9600E78BEDDA4821B97C6F9484801102C421BE0ADDAC4C512408C15B4D9CF83", "Open")</f>
        <v>Open</v>
      </c>
      <c r="J2448" t="s">
        <v>3803</v>
      </c>
      <c r="L2448">
        <v>18819000</v>
      </c>
      <c r="M2448">
        <v>1881900</v>
      </c>
    </row>
    <row r="2449" spans="1:13" x14ac:dyDescent="0.25">
      <c r="A2449" t="s">
        <v>8330</v>
      </c>
      <c r="B2449" t="s">
        <v>8331</v>
      </c>
      <c r="C2449" t="s">
        <v>15</v>
      </c>
      <c r="D2449" t="s">
        <v>2167</v>
      </c>
      <c r="E2449" t="s">
        <v>623</v>
      </c>
      <c r="F2449" t="s">
        <v>7521</v>
      </c>
      <c r="G2449" t="s">
        <v>8332</v>
      </c>
      <c r="H2449" t="str">
        <f>HYPERLINK("https://baanknet.com/view-property/269960/9B27EB9B0C2DD32966B4AA824C9B090346945C907FB5941CCA2BC23724B216C9", "https://baanknet.com/view-property/269960/9B27EB9B0C2DD32966B4AA824C9B090346945C907FB5941CCA2BC23724B216C9")</f>
        <v>https://baanknet.com/view-property/269960/9B27EB9B0C2DD32966B4AA824C9B090346945C907FB5941CCA2BC23724B216C9</v>
      </c>
      <c r="I2449" t="str">
        <f>HYPERLINK("https://baanknet.com/view-property/269960/9B27EB9B0C2DD32966B4AA824C9B090346945C907FB5941CCA2BC23724B216C9", "Open")</f>
        <v>Open</v>
      </c>
      <c r="J2449" t="s">
        <v>3803</v>
      </c>
      <c r="L2449">
        <v>3400000</v>
      </c>
      <c r="M2449">
        <v>340000</v>
      </c>
    </row>
    <row r="2450" spans="1:13" x14ac:dyDescent="0.25">
      <c r="A2450" t="s">
        <v>8333</v>
      </c>
      <c r="B2450" t="s">
        <v>8334</v>
      </c>
      <c r="C2450" t="s">
        <v>15</v>
      </c>
      <c r="D2450" t="s">
        <v>1366</v>
      </c>
      <c r="E2450" t="s">
        <v>623</v>
      </c>
      <c r="F2450" t="s">
        <v>7521</v>
      </c>
      <c r="G2450" t="s">
        <v>8335</v>
      </c>
      <c r="H2450" t="str">
        <f>HYPERLINK("https://baanknet.com/view-property/263622/EC70F9796C45EB16808E8F911F0457B194BA06F267435B0C9D09A1D7100C71BE", "https://baanknet.com/view-property/263622/EC70F9796C45EB16808E8F911F0457B194BA06F267435B0C9D09A1D7100C71BE")</f>
        <v>https://baanknet.com/view-property/263622/EC70F9796C45EB16808E8F911F0457B194BA06F267435B0C9D09A1D7100C71BE</v>
      </c>
      <c r="I2450" t="str">
        <f>HYPERLINK("https://baanknet.com/view-property/263622/EC70F9796C45EB16808E8F911F0457B194BA06F267435B0C9D09A1D7100C71BE", "Open")</f>
        <v>Open</v>
      </c>
      <c r="J2450" t="s">
        <v>3803</v>
      </c>
      <c r="L2450">
        <v>5550000</v>
      </c>
      <c r="M2450">
        <v>555000</v>
      </c>
    </row>
    <row r="2451" spans="1:13" x14ac:dyDescent="0.25">
      <c r="A2451" t="s">
        <v>8336</v>
      </c>
      <c r="B2451" t="s">
        <v>8337</v>
      </c>
      <c r="C2451" t="s">
        <v>15</v>
      </c>
      <c r="D2451" t="s">
        <v>813</v>
      </c>
      <c r="E2451" t="s">
        <v>623</v>
      </c>
      <c r="F2451" t="s">
        <v>7521</v>
      </c>
      <c r="G2451" t="s">
        <v>8338</v>
      </c>
      <c r="H2451" t="str">
        <f>HYPERLINK("https://baanknet.com/view-property/279521/5F6BC6092CDAE121E8BBB415360A1C99C2A74B49904ECF756471B9D67BFCB726", "https://baanknet.com/view-property/279521/5F6BC6092CDAE121E8BBB415360A1C99C2A74B49904ECF756471B9D67BFCB726")</f>
        <v>https://baanknet.com/view-property/279521/5F6BC6092CDAE121E8BBB415360A1C99C2A74B49904ECF756471B9D67BFCB726</v>
      </c>
      <c r="I2451" t="str">
        <f>HYPERLINK("https://baanknet.com/view-property/279521/5F6BC6092CDAE121E8BBB415360A1C99C2A74B49904ECF756471B9D67BFCB726", "Open")</f>
        <v>Open</v>
      </c>
      <c r="J2451" t="s">
        <v>3803</v>
      </c>
      <c r="L2451">
        <v>3120000</v>
      </c>
      <c r="M2451">
        <v>312000</v>
      </c>
    </row>
    <row r="2452" spans="1:13" x14ac:dyDescent="0.25">
      <c r="A2452" t="s">
        <v>8339</v>
      </c>
      <c r="B2452" t="s">
        <v>8340</v>
      </c>
      <c r="C2452" t="s">
        <v>15</v>
      </c>
      <c r="D2452" t="s">
        <v>8341</v>
      </c>
      <c r="E2452" t="s">
        <v>623</v>
      </c>
      <c r="F2452" t="s">
        <v>7521</v>
      </c>
      <c r="G2452" t="s">
        <v>8342</v>
      </c>
      <c r="H2452" t="str">
        <f>HYPERLINK("https://baanknet.com/view-property/265704/F7EB80D01A9DC866F7415AFA287A228280BC835B18E66C1B336B3CEA30EEB0D6", "https://baanknet.com/view-property/265704/F7EB80D01A9DC866F7415AFA287A228280BC835B18E66C1B336B3CEA30EEB0D6")</f>
        <v>https://baanknet.com/view-property/265704/F7EB80D01A9DC866F7415AFA287A228280BC835B18E66C1B336B3CEA30EEB0D6</v>
      </c>
      <c r="I2452" t="str">
        <f>HYPERLINK("https://baanknet.com/view-property/265704/F7EB80D01A9DC866F7415AFA287A228280BC835B18E66C1B336B3CEA30EEB0D6", "Open")</f>
        <v>Open</v>
      </c>
      <c r="J2452" t="s">
        <v>3803</v>
      </c>
      <c r="L2452">
        <v>1542000</v>
      </c>
      <c r="M2452">
        <v>154200</v>
      </c>
    </row>
    <row r="2453" spans="1:13" x14ac:dyDescent="0.25">
      <c r="A2453" t="s">
        <v>8343</v>
      </c>
      <c r="B2453" t="s">
        <v>8344</v>
      </c>
      <c r="C2453" t="s">
        <v>15</v>
      </c>
      <c r="D2453" t="s">
        <v>8345</v>
      </c>
      <c r="E2453" t="s">
        <v>623</v>
      </c>
      <c r="F2453" t="s">
        <v>7521</v>
      </c>
      <c r="G2453" t="s">
        <v>8346</v>
      </c>
      <c r="H2453" t="str">
        <f>HYPERLINK("https://baanknet.com/view-property/216801/E4A88533719BCF6AB9BA83A0927122CDD864DCBEE6BCCB7A366F3CFDD2631605", "https://baanknet.com/view-property/216801/E4A88533719BCF6AB9BA83A0927122CDD864DCBEE6BCCB7A366F3CFDD2631605")</f>
        <v>https://baanknet.com/view-property/216801/E4A88533719BCF6AB9BA83A0927122CDD864DCBEE6BCCB7A366F3CFDD2631605</v>
      </c>
      <c r="I2453" t="str">
        <f>HYPERLINK("https://baanknet.com/view-property/216801/E4A88533719BCF6AB9BA83A0927122CDD864DCBEE6BCCB7A366F3CFDD2631605", "Open")</f>
        <v>Open</v>
      </c>
      <c r="J2453" t="s">
        <v>3803</v>
      </c>
      <c r="L2453">
        <v>3200000</v>
      </c>
      <c r="M2453">
        <v>320000</v>
      </c>
    </row>
    <row r="2454" spans="1:13" x14ac:dyDescent="0.25">
      <c r="A2454" t="s">
        <v>8347</v>
      </c>
      <c r="B2454" t="s">
        <v>8348</v>
      </c>
      <c r="C2454" t="s">
        <v>15</v>
      </c>
      <c r="D2454" t="s">
        <v>8345</v>
      </c>
      <c r="E2454" t="s">
        <v>623</v>
      </c>
      <c r="F2454" t="s">
        <v>7521</v>
      </c>
      <c r="G2454" t="s">
        <v>8349</v>
      </c>
      <c r="H2454" t="str">
        <f>HYPERLINK("https://baanknet.com/view-property/216808/3402C0A16131595DAAF8EB42D9449E6971D002F811A81D91459D32B247B9D01E", "https://baanknet.com/view-property/216808/3402C0A16131595DAAF8EB42D9449E6971D002F811A81D91459D32B247B9D01E")</f>
        <v>https://baanknet.com/view-property/216808/3402C0A16131595DAAF8EB42D9449E6971D002F811A81D91459D32B247B9D01E</v>
      </c>
      <c r="I2454" t="str">
        <f>HYPERLINK("https://baanknet.com/view-property/216808/3402C0A16131595DAAF8EB42D9449E6971D002F811A81D91459D32B247B9D01E", "Open")</f>
        <v>Open</v>
      </c>
      <c r="J2454" t="s">
        <v>3803</v>
      </c>
      <c r="L2454">
        <v>1800000</v>
      </c>
      <c r="M2454">
        <v>180000</v>
      </c>
    </row>
    <row r="2455" spans="1:13" x14ac:dyDescent="0.25">
      <c r="A2455" t="s">
        <v>8350</v>
      </c>
      <c r="B2455" t="s">
        <v>8351</v>
      </c>
      <c r="C2455" t="s">
        <v>525</v>
      </c>
      <c r="D2455" t="s">
        <v>533</v>
      </c>
      <c r="E2455" t="s">
        <v>623</v>
      </c>
      <c r="F2455" t="s">
        <v>7521</v>
      </c>
      <c r="G2455" t="s">
        <v>8352</v>
      </c>
      <c r="H2455" t="str">
        <f>HYPERLINK("https://baanknet.com/view-property/252663/A7921F5335F61689F0AE3578097741D29EE32C386368F7BC99331436AB378718", "https://baanknet.com/view-property/252663/A7921F5335F61689F0AE3578097741D29EE32C386368F7BC99331436AB378718")</f>
        <v>https://baanknet.com/view-property/252663/A7921F5335F61689F0AE3578097741D29EE32C386368F7BC99331436AB378718</v>
      </c>
      <c r="I2455" t="str">
        <f>HYPERLINK("https://baanknet.com/view-property/252663/A7921F5335F61689F0AE3578097741D29EE32C386368F7BC99331436AB378718", "Open")</f>
        <v>Open</v>
      </c>
      <c r="J2455" t="s">
        <v>3803</v>
      </c>
      <c r="L2455">
        <v>15470000</v>
      </c>
      <c r="M2455">
        <v>1547000</v>
      </c>
    </row>
    <row r="2456" spans="1:13" x14ac:dyDescent="0.25">
      <c r="A2456" t="s">
        <v>8353</v>
      </c>
      <c r="B2456" t="s">
        <v>8354</v>
      </c>
      <c r="C2456" t="s">
        <v>332</v>
      </c>
      <c r="D2456" t="s">
        <v>4553</v>
      </c>
      <c r="E2456" t="s">
        <v>623</v>
      </c>
      <c r="F2456" t="s">
        <v>8355</v>
      </c>
      <c r="G2456" t="s">
        <v>8356</v>
      </c>
      <c r="H2456" t="str">
        <f>HYPERLINK("https://baanknet.com/view-property/284754/7559C0C8B916A815B13EC7747D4FE91D9E537F599E505E6C9287C4771A886C93", "https://baanknet.com/view-property/284754/7559C0C8B916A815B13EC7747D4FE91D9E537F599E505E6C9287C4771A886C93")</f>
        <v>https://baanknet.com/view-property/284754/7559C0C8B916A815B13EC7747D4FE91D9E537F599E505E6C9287C4771A886C93</v>
      </c>
      <c r="I2456" t="str">
        <f>HYPERLINK("https://baanknet.com/view-property/284754/7559C0C8B916A815B13EC7747D4FE91D9E537F599E505E6C9287C4771A886C93", "Open")</f>
        <v>Open</v>
      </c>
      <c r="J2456" t="s">
        <v>3803</v>
      </c>
      <c r="L2456">
        <v>6552000</v>
      </c>
      <c r="M2456">
        <v>655200</v>
      </c>
    </row>
    <row r="2457" spans="1:13" x14ac:dyDescent="0.25">
      <c r="A2457" t="s">
        <v>8357</v>
      </c>
      <c r="B2457" t="s">
        <v>8358</v>
      </c>
      <c r="C2457" t="s">
        <v>332</v>
      </c>
      <c r="D2457" t="s">
        <v>7205</v>
      </c>
      <c r="E2457" t="s">
        <v>623</v>
      </c>
      <c r="F2457" t="s">
        <v>8355</v>
      </c>
      <c r="G2457" t="s">
        <v>8359</v>
      </c>
      <c r="H2457" t="str">
        <f>HYPERLINK("https://baanknet.com/view-property/284785/CF29CF67FAC9BBFBD27D89E834519D85131E7B012D8322D58E98094B0DAD8155", "https://baanknet.com/view-property/284785/CF29CF67FAC9BBFBD27D89E834519D85131E7B012D8322D58E98094B0DAD8155")</f>
        <v>https://baanknet.com/view-property/284785/CF29CF67FAC9BBFBD27D89E834519D85131E7B012D8322D58E98094B0DAD8155</v>
      </c>
      <c r="I2457" t="str">
        <f>HYPERLINK("https://baanknet.com/view-property/284785/CF29CF67FAC9BBFBD27D89E834519D85131E7B012D8322D58E98094B0DAD8155", "Open")</f>
        <v>Open</v>
      </c>
      <c r="J2457" t="s">
        <v>3803</v>
      </c>
      <c r="L2457">
        <v>7676000</v>
      </c>
      <c r="M2457">
        <v>767600</v>
      </c>
    </row>
    <row r="2458" spans="1:13" x14ac:dyDescent="0.25">
      <c r="A2458" t="s">
        <v>8360</v>
      </c>
      <c r="B2458" t="s">
        <v>8361</v>
      </c>
      <c r="C2458" t="s">
        <v>332</v>
      </c>
      <c r="D2458" t="s">
        <v>8362</v>
      </c>
      <c r="E2458" t="s">
        <v>623</v>
      </c>
      <c r="F2458" t="s">
        <v>8355</v>
      </c>
      <c r="G2458" t="s">
        <v>8363</v>
      </c>
      <c r="H2458" t="str">
        <f>HYPERLINK("https://baanknet.com/view-property/36200/15516A350C26E7DF22DC5B196AC0D2CFE6B06115613D6A4958CFCB9CE6DCAF1D", "https://baanknet.com/view-property/36200/15516A350C26E7DF22DC5B196AC0D2CFE6B06115613D6A4958CFCB9CE6DCAF1D")</f>
        <v>https://baanknet.com/view-property/36200/15516A350C26E7DF22DC5B196AC0D2CFE6B06115613D6A4958CFCB9CE6DCAF1D</v>
      </c>
      <c r="I2458" t="str">
        <f>HYPERLINK("https://baanknet.com/view-property/36200/15516A350C26E7DF22DC5B196AC0D2CFE6B06115613D6A4958CFCB9CE6DCAF1D", "Open")</f>
        <v>Open</v>
      </c>
      <c r="J2458" t="s">
        <v>3803</v>
      </c>
      <c r="L2458">
        <v>2700000</v>
      </c>
      <c r="M2458">
        <v>270000</v>
      </c>
    </row>
    <row r="2459" spans="1:13" x14ac:dyDescent="0.25">
      <c r="A2459" t="s">
        <v>8364</v>
      </c>
      <c r="B2459" t="s">
        <v>8365</v>
      </c>
      <c r="C2459" t="s">
        <v>332</v>
      </c>
      <c r="D2459" t="s">
        <v>2185</v>
      </c>
      <c r="E2459" t="s">
        <v>623</v>
      </c>
      <c r="F2459" t="s">
        <v>8355</v>
      </c>
      <c r="G2459" t="s">
        <v>8366</v>
      </c>
      <c r="H2459" t="str">
        <f>HYPERLINK("https://baanknet.com/view-property/231276/3EC4D04A4EAA3249580369167ACFA935B23F08CB00E502F59E74DB50C1515945", "https://baanknet.com/view-property/231276/3EC4D04A4EAA3249580369167ACFA935B23F08CB00E502F59E74DB50C1515945")</f>
        <v>https://baanknet.com/view-property/231276/3EC4D04A4EAA3249580369167ACFA935B23F08CB00E502F59E74DB50C1515945</v>
      </c>
      <c r="I2459" t="str">
        <f>HYPERLINK("https://baanknet.com/view-property/231276/3EC4D04A4EAA3249580369167ACFA935B23F08CB00E502F59E74DB50C1515945", "Open")</f>
        <v>Open</v>
      </c>
      <c r="J2459" t="s">
        <v>3803</v>
      </c>
      <c r="L2459">
        <v>13500000</v>
      </c>
      <c r="M2459">
        <v>1350000</v>
      </c>
    </row>
    <row r="2460" spans="1:13" x14ac:dyDescent="0.25">
      <c r="A2460" t="s">
        <v>8367</v>
      </c>
      <c r="B2460" t="s">
        <v>8368</v>
      </c>
      <c r="C2460" t="s">
        <v>144</v>
      </c>
      <c r="D2460" t="s">
        <v>8369</v>
      </c>
      <c r="E2460" t="s">
        <v>623</v>
      </c>
      <c r="F2460" t="s">
        <v>8355</v>
      </c>
      <c r="G2460" t="s">
        <v>8370</v>
      </c>
      <c r="H2460" t="str">
        <f>HYPERLINK("https://baanknet.com/view-property/270594/421E3500C29A9FB9A024A45F95E25A433EF880B584034D7D2A2D50BFB7F13FBD", "https://baanknet.com/view-property/270594/421E3500C29A9FB9A024A45F95E25A433EF880B584034D7D2A2D50BFB7F13FBD")</f>
        <v>https://baanknet.com/view-property/270594/421E3500C29A9FB9A024A45F95E25A433EF880B584034D7D2A2D50BFB7F13FBD</v>
      </c>
      <c r="I2460" t="str">
        <f>HYPERLINK("https://baanknet.com/view-property/270594/421E3500C29A9FB9A024A45F95E25A433EF880B584034D7D2A2D50BFB7F13FBD", "Open")</f>
        <v>Open</v>
      </c>
      <c r="J2460" t="s">
        <v>3803</v>
      </c>
      <c r="L2460">
        <v>6162000</v>
      </c>
      <c r="M2460">
        <v>616200</v>
      </c>
    </row>
    <row r="2461" spans="1:13" x14ac:dyDescent="0.25">
      <c r="A2461" t="s">
        <v>8371</v>
      </c>
      <c r="B2461" t="s">
        <v>8372</v>
      </c>
      <c r="C2461" t="s">
        <v>144</v>
      </c>
      <c r="D2461" t="s">
        <v>3607</v>
      </c>
      <c r="E2461" t="s">
        <v>623</v>
      </c>
      <c r="F2461" t="s">
        <v>8355</v>
      </c>
      <c r="G2461" t="s">
        <v>8373</v>
      </c>
      <c r="H2461" t="str">
        <f>HYPERLINK("https://baanknet.com/view-property/260759/74F977283387F0BB62AB0915F6A63520C57522C8A728CE1A38C66E9EFAB208F5", "https://baanknet.com/view-property/260759/74F977283387F0BB62AB0915F6A63520C57522C8A728CE1A38C66E9EFAB208F5")</f>
        <v>https://baanknet.com/view-property/260759/74F977283387F0BB62AB0915F6A63520C57522C8A728CE1A38C66E9EFAB208F5</v>
      </c>
      <c r="I2461" t="str">
        <f>HYPERLINK("https://baanknet.com/view-property/260759/74F977283387F0BB62AB0915F6A63520C57522C8A728CE1A38C66E9EFAB208F5", "Open")</f>
        <v>Open</v>
      </c>
      <c r="J2461" t="s">
        <v>3803</v>
      </c>
      <c r="L2461">
        <v>1346800</v>
      </c>
      <c r="M2461">
        <v>134680</v>
      </c>
    </row>
    <row r="2462" spans="1:13" x14ac:dyDescent="0.25">
      <c r="A2462" t="s">
        <v>8374</v>
      </c>
      <c r="B2462" t="s">
        <v>8375</v>
      </c>
      <c r="C2462" t="s">
        <v>144</v>
      </c>
      <c r="D2462" t="s">
        <v>673</v>
      </c>
      <c r="E2462" t="s">
        <v>623</v>
      </c>
      <c r="F2462" t="s">
        <v>8355</v>
      </c>
      <c r="G2462" t="s">
        <v>8376</v>
      </c>
      <c r="H2462" t="str">
        <f>HYPERLINK("https://baanknet.com/view-property/226764/A8446953EDC01BCA91C30F1C1A21B1F72546161C8C6523BAE88F178A015028B4", "https://baanknet.com/view-property/226764/A8446953EDC01BCA91C30F1C1A21B1F72546161C8C6523BAE88F178A015028B4")</f>
        <v>https://baanknet.com/view-property/226764/A8446953EDC01BCA91C30F1C1A21B1F72546161C8C6523BAE88F178A015028B4</v>
      </c>
      <c r="I2462" t="str">
        <f>HYPERLINK("https://baanknet.com/view-property/226764/A8446953EDC01BCA91C30F1C1A21B1F72546161C8C6523BAE88F178A015028B4", "Open")</f>
        <v>Open</v>
      </c>
      <c r="J2462" t="s">
        <v>3803</v>
      </c>
      <c r="L2462">
        <v>1519000</v>
      </c>
      <c r="M2462">
        <v>151900</v>
      </c>
    </row>
    <row r="2463" spans="1:13" x14ac:dyDescent="0.25">
      <c r="A2463" t="s">
        <v>8377</v>
      </c>
      <c r="B2463" t="s">
        <v>8378</v>
      </c>
      <c r="C2463" t="s">
        <v>144</v>
      </c>
      <c r="D2463" t="s">
        <v>8379</v>
      </c>
      <c r="E2463" t="s">
        <v>623</v>
      </c>
      <c r="F2463" t="s">
        <v>8355</v>
      </c>
      <c r="G2463" t="s">
        <v>8380</v>
      </c>
      <c r="H2463" t="str">
        <f>HYPERLINK("https://baanknet.com/view-property/206328/53461295CBE25AD1A0B97400E0B5851D2CEBC66E8536D6E91C35B6E4D414078A", "https://baanknet.com/view-property/206328/53461295CBE25AD1A0B97400E0B5851D2CEBC66E8536D6E91C35B6E4D414078A")</f>
        <v>https://baanknet.com/view-property/206328/53461295CBE25AD1A0B97400E0B5851D2CEBC66E8536D6E91C35B6E4D414078A</v>
      </c>
      <c r="I2463" t="str">
        <f>HYPERLINK("https://baanknet.com/view-property/206328/53461295CBE25AD1A0B97400E0B5851D2CEBC66E8536D6E91C35B6E4D414078A", "Open")</f>
        <v>Open</v>
      </c>
      <c r="J2463" t="s">
        <v>3803</v>
      </c>
      <c r="L2463">
        <v>1468800</v>
      </c>
      <c r="M2463">
        <v>146880</v>
      </c>
    </row>
    <row r="2464" spans="1:13" x14ac:dyDescent="0.25">
      <c r="A2464" t="s">
        <v>8381</v>
      </c>
      <c r="B2464" t="s">
        <v>8382</v>
      </c>
      <c r="C2464" t="s">
        <v>83</v>
      </c>
      <c r="D2464" t="s">
        <v>8383</v>
      </c>
      <c r="E2464" t="s">
        <v>623</v>
      </c>
      <c r="F2464" t="s">
        <v>8384</v>
      </c>
      <c r="G2464" t="s">
        <v>8385</v>
      </c>
      <c r="H2464" t="str">
        <f>HYPERLINK("https://baanknet.com/view-property/285056/F682930536B4DD4D706783BB61B0776248484F8331B9463C42F2138584AB2243", "https://baanknet.com/view-property/285056/F682930536B4DD4D706783BB61B0776248484F8331B9463C42F2138584AB2243")</f>
        <v>https://baanknet.com/view-property/285056/F682930536B4DD4D706783BB61B0776248484F8331B9463C42F2138584AB2243</v>
      </c>
      <c r="I2464" t="str">
        <f>HYPERLINK("https://baanknet.com/view-property/285056/F682930536B4DD4D706783BB61B0776248484F8331B9463C42F2138584AB2243", "Open")</f>
        <v>Open</v>
      </c>
      <c r="J2464" t="s">
        <v>3803</v>
      </c>
      <c r="L2464">
        <v>7100000</v>
      </c>
      <c r="M2464">
        <v>710000</v>
      </c>
    </row>
    <row r="2465" spans="1:13" x14ac:dyDescent="0.25">
      <c r="A2465" t="s">
        <v>8386</v>
      </c>
      <c r="B2465" t="s">
        <v>8387</v>
      </c>
      <c r="C2465" t="s">
        <v>15</v>
      </c>
      <c r="D2465" t="s">
        <v>2802</v>
      </c>
      <c r="E2465" t="s">
        <v>623</v>
      </c>
      <c r="F2465" t="s">
        <v>8384</v>
      </c>
      <c r="G2465" t="s">
        <v>8388</v>
      </c>
      <c r="H2465" t="str">
        <f>HYPERLINK("https://baanknet.com/view-property/262039/0FB6B408FB5A6A78F1B6FEE7555D5AB28FAC4F65BD680AE2A418212DBD83E9CC", "https://baanknet.com/view-property/262039/0FB6B408FB5A6A78F1B6FEE7555D5AB28FAC4F65BD680AE2A418212DBD83E9CC")</f>
        <v>https://baanknet.com/view-property/262039/0FB6B408FB5A6A78F1B6FEE7555D5AB28FAC4F65BD680AE2A418212DBD83E9CC</v>
      </c>
      <c r="I2465" t="str">
        <f>HYPERLINK("https://baanknet.com/view-property/262039/0FB6B408FB5A6A78F1B6FEE7555D5AB28FAC4F65BD680AE2A418212DBD83E9CC", "Open")</f>
        <v>Open</v>
      </c>
      <c r="J2465" t="s">
        <v>3803</v>
      </c>
      <c r="L2465">
        <v>2059000</v>
      </c>
      <c r="M2465">
        <v>205900</v>
      </c>
    </row>
    <row r="2466" spans="1:13" x14ac:dyDescent="0.25">
      <c r="A2466" t="s">
        <v>8389</v>
      </c>
      <c r="B2466" t="s">
        <v>8390</v>
      </c>
      <c r="C2466" t="s">
        <v>332</v>
      </c>
      <c r="D2466" t="s">
        <v>2341</v>
      </c>
      <c r="E2466" t="s">
        <v>623</v>
      </c>
      <c r="F2466" t="s">
        <v>8384</v>
      </c>
      <c r="G2466" t="s">
        <v>8391</v>
      </c>
      <c r="H2466" t="str">
        <f>HYPERLINK("https://baanknet.com/view-property/231664/24A3D7D7EC9941B2429ABF2A2F4210E49163E23FCD5B901AFB98ED27E50CDE00", "https://baanknet.com/view-property/231664/24A3D7D7EC9941B2429ABF2A2F4210E49163E23FCD5B901AFB98ED27E50CDE00")</f>
        <v>https://baanknet.com/view-property/231664/24A3D7D7EC9941B2429ABF2A2F4210E49163E23FCD5B901AFB98ED27E50CDE00</v>
      </c>
      <c r="I2466" t="str">
        <f>HYPERLINK("https://baanknet.com/view-property/231664/24A3D7D7EC9941B2429ABF2A2F4210E49163E23FCD5B901AFB98ED27E50CDE00", "Open")</f>
        <v>Open</v>
      </c>
      <c r="J2466" t="s">
        <v>3803</v>
      </c>
      <c r="L2466">
        <v>5082000</v>
      </c>
      <c r="M2466">
        <v>508200</v>
      </c>
    </row>
    <row r="2467" spans="1:13" x14ac:dyDescent="0.25">
      <c r="A2467" t="s">
        <v>8392</v>
      </c>
      <c r="B2467" t="s">
        <v>8393</v>
      </c>
      <c r="C2467" t="s">
        <v>121</v>
      </c>
      <c r="D2467" t="s">
        <v>8394</v>
      </c>
      <c r="E2467" t="s">
        <v>623</v>
      </c>
      <c r="F2467" t="s">
        <v>8384</v>
      </c>
      <c r="G2467" t="s">
        <v>8395</v>
      </c>
      <c r="H2467" t="str">
        <f>HYPERLINK("https://baanknet.com/view-property/276413/7761C53FADA374603FD2273662A2440EE63149F34A3B80751976D46546BA54C8", "https://baanknet.com/view-property/276413/7761C53FADA374603FD2273662A2440EE63149F34A3B80751976D46546BA54C8")</f>
        <v>https://baanknet.com/view-property/276413/7761C53FADA374603FD2273662A2440EE63149F34A3B80751976D46546BA54C8</v>
      </c>
      <c r="I2467" t="str">
        <f>HYPERLINK("https://baanknet.com/view-property/276413/7761C53FADA374603FD2273662A2440EE63149F34A3B80751976D46546BA54C8", "Open")</f>
        <v>Open</v>
      </c>
      <c r="J2467" t="s">
        <v>3803</v>
      </c>
      <c r="L2467">
        <v>4200000</v>
      </c>
      <c r="M2467">
        <v>420000</v>
      </c>
    </row>
    <row r="2468" spans="1:13" x14ac:dyDescent="0.25">
      <c r="A2468" t="s">
        <v>8396</v>
      </c>
      <c r="B2468" t="s">
        <v>8397</v>
      </c>
      <c r="C2468" t="s">
        <v>121</v>
      </c>
      <c r="D2468" t="s">
        <v>5171</v>
      </c>
      <c r="E2468" t="s">
        <v>623</v>
      </c>
      <c r="F2468" t="s">
        <v>8384</v>
      </c>
      <c r="G2468" t="s">
        <v>8398</v>
      </c>
      <c r="H2468" t="str">
        <f>HYPERLINK("https://baanknet.com/view-property/276421/D57ABCAB457479B855BADFC7246163A0608A4A35F5BCD45D8F4477678C362E48", "https://baanknet.com/view-property/276421/D57ABCAB457479B855BADFC7246163A0608A4A35F5BCD45D8F4477678C362E48")</f>
        <v>https://baanknet.com/view-property/276421/D57ABCAB457479B855BADFC7246163A0608A4A35F5BCD45D8F4477678C362E48</v>
      </c>
      <c r="I2468" t="str">
        <f>HYPERLINK("https://baanknet.com/view-property/276421/D57ABCAB457479B855BADFC7246163A0608A4A35F5BCD45D8F4477678C362E48", "Open")</f>
        <v>Open</v>
      </c>
      <c r="J2468" t="s">
        <v>3803</v>
      </c>
      <c r="L2468">
        <v>7100000</v>
      </c>
      <c r="M2468">
        <v>710000</v>
      </c>
    </row>
    <row r="2469" spans="1:13" x14ac:dyDescent="0.25">
      <c r="A2469" t="s">
        <v>8399</v>
      </c>
      <c r="B2469" t="s">
        <v>8400</v>
      </c>
      <c r="C2469" t="s">
        <v>121</v>
      </c>
      <c r="D2469" t="s">
        <v>5171</v>
      </c>
      <c r="E2469" t="s">
        <v>623</v>
      </c>
      <c r="F2469" t="s">
        <v>8384</v>
      </c>
      <c r="G2469" t="s">
        <v>8401</v>
      </c>
      <c r="H2469" t="str">
        <f>HYPERLINK("https://baanknet.com/view-property/276434/1648CFE51470856BDE5525E356DCAA10BC67B755CB5DF75E2B8190CEBEFE36C2", "https://baanknet.com/view-property/276434/1648CFE51470856BDE5525E356DCAA10BC67B755CB5DF75E2B8190CEBEFE36C2")</f>
        <v>https://baanknet.com/view-property/276434/1648CFE51470856BDE5525E356DCAA10BC67B755CB5DF75E2B8190CEBEFE36C2</v>
      </c>
      <c r="I2469" t="str">
        <f>HYPERLINK("https://baanknet.com/view-property/276434/1648CFE51470856BDE5525E356DCAA10BC67B755CB5DF75E2B8190CEBEFE36C2", "Open")</f>
        <v>Open</v>
      </c>
      <c r="J2469" t="s">
        <v>3803</v>
      </c>
      <c r="L2469">
        <v>9000000</v>
      </c>
      <c r="M2469">
        <v>900000</v>
      </c>
    </row>
    <row r="2470" spans="1:13" x14ac:dyDescent="0.25">
      <c r="A2470" t="s">
        <v>8402</v>
      </c>
      <c r="B2470" t="s">
        <v>8403</v>
      </c>
      <c r="C2470" t="s">
        <v>121</v>
      </c>
      <c r="D2470" t="s">
        <v>8394</v>
      </c>
      <c r="E2470" t="s">
        <v>623</v>
      </c>
      <c r="F2470" t="s">
        <v>8384</v>
      </c>
      <c r="G2470" t="s">
        <v>8404</v>
      </c>
      <c r="H2470" t="str">
        <f>HYPERLINK("https://baanknet.com/view-property/276473/52775908FCB09DE33184B9363DF5E7523EF6B788995DE46CDC843CADFF1FBB19", "https://baanknet.com/view-property/276473/52775908FCB09DE33184B9363DF5E7523EF6B788995DE46CDC843CADFF1FBB19")</f>
        <v>https://baanknet.com/view-property/276473/52775908FCB09DE33184B9363DF5E7523EF6B788995DE46CDC843CADFF1FBB19</v>
      </c>
      <c r="I2470" t="str">
        <f>HYPERLINK("https://baanknet.com/view-property/276473/52775908FCB09DE33184B9363DF5E7523EF6B788995DE46CDC843CADFF1FBB19", "Open")</f>
        <v>Open</v>
      </c>
      <c r="J2470" t="s">
        <v>3803</v>
      </c>
      <c r="L2470">
        <v>10600000</v>
      </c>
      <c r="M2470">
        <v>1060000</v>
      </c>
    </row>
    <row r="2471" spans="1:13" x14ac:dyDescent="0.25">
      <c r="A2471" t="s">
        <v>8405</v>
      </c>
      <c r="B2471" t="s">
        <v>8406</v>
      </c>
      <c r="C2471" t="s">
        <v>121</v>
      </c>
      <c r="D2471" t="s">
        <v>8407</v>
      </c>
      <c r="E2471" t="s">
        <v>623</v>
      </c>
      <c r="F2471" t="s">
        <v>8384</v>
      </c>
      <c r="G2471" t="s">
        <v>8408</v>
      </c>
      <c r="H2471" t="str">
        <f>HYPERLINK("https://baanknet.com/view-property/276479/1D736838E2002F8953B9E4701FB304CFFE6A525D992796E820990D1C3B10C7F4", "https://baanknet.com/view-property/276479/1D736838E2002F8953B9E4701FB304CFFE6A525D992796E820990D1C3B10C7F4")</f>
        <v>https://baanknet.com/view-property/276479/1D736838E2002F8953B9E4701FB304CFFE6A525D992796E820990D1C3B10C7F4</v>
      </c>
      <c r="I2471" t="str">
        <f>HYPERLINK("https://baanknet.com/view-property/276479/1D736838E2002F8953B9E4701FB304CFFE6A525D992796E820990D1C3B10C7F4", "Open")</f>
        <v>Open</v>
      </c>
      <c r="J2471" t="s">
        <v>3803</v>
      </c>
      <c r="L2471">
        <v>46000000</v>
      </c>
      <c r="M2471">
        <v>4600000</v>
      </c>
    </row>
    <row r="2472" spans="1:13" x14ac:dyDescent="0.25">
      <c r="A2472" t="s">
        <v>8409</v>
      </c>
      <c r="B2472" t="s">
        <v>8410</v>
      </c>
      <c r="C2472" t="s">
        <v>121</v>
      </c>
      <c r="D2472" t="s">
        <v>8407</v>
      </c>
      <c r="E2472" t="s">
        <v>623</v>
      </c>
      <c r="F2472" t="s">
        <v>8384</v>
      </c>
      <c r="G2472" t="s">
        <v>8411</v>
      </c>
      <c r="H2472" t="str">
        <f>HYPERLINK("https://baanknet.com/view-property/276481/D6F32770458B9D7E7AD5379A8D398541CF1622C85091ABE1697561EB31C9084E", "https://baanknet.com/view-property/276481/D6F32770458B9D7E7AD5379A8D398541CF1622C85091ABE1697561EB31C9084E")</f>
        <v>https://baanknet.com/view-property/276481/D6F32770458B9D7E7AD5379A8D398541CF1622C85091ABE1697561EB31C9084E</v>
      </c>
      <c r="I2472" t="str">
        <f>HYPERLINK("https://baanknet.com/view-property/276481/D6F32770458B9D7E7AD5379A8D398541CF1622C85091ABE1697561EB31C9084E", "Open")</f>
        <v>Open</v>
      </c>
      <c r="J2472" t="s">
        <v>3803</v>
      </c>
      <c r="L2472">
        <v>46000000</v>
      </c>
      <c r="M2472">
        <v>4600000</v>
      </c>
    </row>
    <row r="2473" spans="1:13" x14ac:dyDescent="0.25">
      <c r="A2473" t="s">
        <v>8412</v>
      </c>
      <c r="B2473" t="s">
        <v>8413</v>
      </c>
      <c r="C2473" t="s">
        <v>121</v>
      </c>
      <c r="D2473" t="s">
        <v>8394</v>
      </c>
      <c r="E2473" t="s">
        <v>623</v>
      </c>
      <c r="F2473" t="s">
        <v>8384</v>
      </c>
      <c r="G2473" t="s">
        <v>8414</v>
      </c>
      <c r="H2473" t="str">
        <f>HYPERLINK("https://baanknet.com/view-property/276515/08BD65E91FC7DE9864EBE10332B77F9CCF0B7972366FA30BEF229FBC10627DF0", "https://baanknet.com/view-property/276515/08BD65E91FC7DE9864EBE10332B77F9CCF0B7972366FA30BEF229FBC10627DF0")</f>
        <v>https://baanknet.com/view-property/276515/08BD65E91FC7DE9864EBE10332B77F9CCF0B7972366FA30BEF229FBC10627DF0</v>
      </c>
      <c r="I2473" t="str">
        <f>HYPERLINK("https://baanknet.com/view-property/276515/08BD65E91FC7DE9864EBE10332B77F9CCF0B7972366FA30BEF229FBC10627DF0", "Open")</f>
        <v>Open</v>
      </c>
      <c r="J2473" t="s">
        <v>3803</v>
      </c>
      <c r="L2473">
        <v>100500000</v>
      </c>
      <c r="M2473">
        <v>10050000</v>
      </c>
    </row>
    <row r="2474" spans="1:13" x14ac:dyDescent="0.25">
      <c r="A2474" t="s">
        <v>8415</v>
      </c>
      <c r="B2474" t="s">
        <v>8416</v>
      </c>
      <c r="C2474" t="s">
        <v>121</v>
      </c>
      <c r="D2474" t="s">
        <v>5171</v>
      </c>
      <c r="E2474" t="s">
        <v>623</v>
      </c>
      <c r="F2474" t="s">
        <v>8384</v>
      </c>
      <c r="G2474" t="s">
        <v>8417</v>
      </c>
      <c r="H2474" t="str">
        <f>HYPERLINK("https://baanknet.com/view-property/276572/0D2A99F4417153E4548F09D5C275F13D3A2A639D55ED0F2A119875CF93B60BCE", "https://baanknet.com/view-property/276572/0D2A99F4417153E4548F09D5C275F13D3A2A639D55ED0F2A119875CF93B60BCE")</f>
        <v>https://baanknet.com/view-property/276572/0D2A99F4417153E4548F09D5C275F13D3A2A639D55ED0F2A119875CF93B60BCE</v>
      </c>
      <c r="I2474" t="str">
        <f>HYPERLINK("https://baanknet.com/view-property/276572/0D2A99F4417153E4548F09D5C275F13D3A2A639D55ED0F2A119875CF93B60BCE", "Open")</f>
        <v>Open</v>
      </c>
      <c r="J2474" t="s">
        <v>3803</v>
      </c>
      <c r="L2474">
        <v>4100000</v>
      </c>
      <c r="M2474">
        <v>410000</v>
      </c>
    </row>
    <row r="2475" spans="1:13" x14ac:dyDescent="0.25">
      <c r="A2475" t="s">
        <v>8418</v>
      </c>
      <c r="B2475" t="s">
        <v>8419</v>
      </c>
      <c r="C2475" t="s">
        <v>121</v>
      </c>
      <c r="D2475" t="s">
        <v>5171</v>
      </c>
      <c r="E2475" t="s">
        <v>623</v>
      </c>
      <c r="F2475" t="s">
        <v>8384</v>
      </c>
      <c r="G2475" t="s">
        <v>8420</v>
      </c>
      <c r="H2475" t="str">
        <f>HYPERLINK("https://baanknet.com/view-property/276590/8272DE2B379F2E89D1DBFBD6ADF8E8546C72468013B736BAC5C4E4BA0C38EDC4", "https://baanknet.com/view-property/276590/8272DE2B379F2E89D1DBFBD6ADF8E8546C72468013B736BAC5C4E4BA0C38EDC4")</f>
        <v>https://baanknet.com/view-property/276590/8272DE2B379F2E89D1DBFBD6ADF8E8546C72468013B736BAC5C4E4BA0C38EDC4</v>
      </c>
      <c r="I2475" t="str">
        <f>HYPERLINK("https://baanknet.com/view-property/276590/8272DE2B379F2E89D1DBFBD6ADF8E8546C72468013B736BAC5C4E4BA0C38EDC4", "Open")</f>
        <v>Open</v>
      </c>
      <c r="J2475" t="s">
        <v>3803</v>
      </c>
      <c r="L2475">
        <v>4100000</v>
      </c>
      <c r="M2475">
        <v>410000</v>
      </c>
    </row>
    <row r="2476" spans="1:13" x14ac:dyDescent="0.25">
      <c r="A2476" t="s">
        <v>8421</v>
      </c>
      <c r="B2476" t="s">
        <v>8422</v>
      </c>
      <c r="C2476" t="s">
        <v>121</v>
      </c>
      <c r="D2476" t="s">
        <v>5171</v>
      </c>
      <c r="E2476" t="s">
        <v>623</v>
      </c>
      <c r="F2476" t="s">
        <v>8384</v>
      </c>
      <c r="G2476" t="s">
        <v>8423</v>
      </c>
      <c r="H2476" t="str">
        <f>HYPERLINK("https://baanknet.com/view-property/276489/EA45EE9A3F10C568B8C36D144914F01346267B58DE420C7E1A18D419202C8445", "https://baanknet.com/view-property/276489/EA45EE9A3F10C568B8C36D144914F01346267B58DE420C7E1A18D419202C8445")</f>
        <v>https://baanknet.com/view-property/276489/EA45EE9A3F10C568B8C36D144914F01346267B58DE420C7E1A18D419202C8445</v>
      </c>
      <c r="I2476" t="str">
        <f>HYPERLINK("https://baanknet.com/view-property/276489/EA45EE9A3F10C568B8C36D144914F01346267B58DE420C7E1A18D419202C8445", "Open")</f>
        <v>Open</v>
      </c>
      <c r="J2476" t="s">
        <v>3803</v>
      </c>
      <c r="L2476">
        <v>5700000</v>
      </c>
      <c r="M2476">
        <v>570000</v>
      </c>
    </row>
    <row r="2477" spans="1:13" x14ac:dyDescent="0.25">
      <c r="A2477" t="s">
        <v>8424</v>
      </c>
      <c r="B2477" t="s">
        <v>8425</v>
      </c>
      <c r="C2477" t="s">
        <v>121</v>
      </c>
      <c r="D2477" t="s">
        <v>5171</v>
      </c>
      <c r="E2477" t="s">
        <v>623</v>
      </c>
      <c r="F2477" t="s">
        <v>8384</v>
      </c>
      <c r="G2477" t="s">
        <v>8426</v>
      </c>
      <c r="H2477" t="str">
        <f>HYPERLINK("https://baanknet.com/view-property/276559/6729E39C4594FED51EF4279B2762172ED3C5067AA3CEDA51520D20F0AA9AF633", "https://baanknet.com/view-property/276559/6729E39C4594FED51EF4279B2762172ED3C5067AA3CEDA51520D20F0AA9AF633")</f>
        <v>https://baanknet.com/view-property/276559/6729E39C4594FED51EF4279B2762172ED3C5067AA3CEDA51520D20F0AA9AF633</v>
      </c>
      <c r="I2477" t="str">
        <f>HYPERLINK("https://baanknet.com/view-property/276559/6729E39C4594FED51EF4279B2762172ED3C5067AA3CEDA51520D20F0AA9AF633", "Open")</f>
        <v>Open</v>
      </c>
      <c r="J2477" t="s">
        <v>3803</v>
      </c>
      <c r="L2477">
        <v>72800000</v>
      </c>
      <c r="M2477">
        <v>7280000</v>
      </c>
    </row>
    <row r="2478" spans="1:13" x14ac:dyDescent="0.25">
      <c r="A2478" t="s">
        <v>8427</v>
      </c>
      <c r="B2478" t="s">
        <v>8428</v>
      </c>
      <c r="C2478" t="s">
        <v>121</v>
      </c>
      <c r="D2478" t="s">
        <v>5171</v>
      </c>
      <c r="E2478" t="s">
        <v>623</v>
      </c>
      <c r="F2478" t="s">
        <v>8384</v>
      </c>
      <c r="G2478" t="s">
        <v>8429</v>
      </c>
      <c r="H2478" t="str">
        <f>HYPERLINK("https://baanknet.com/view-property/277262/E4B2D3F470EC72BA4FBD2E87E08E6DBE9AD075C655B64A6FA274B29B66ADE5ED", "https://baanknet.com/view-property/277262/E4B2D3F470EC72BA4FBD2E87E08E6DBE9AD075C655B64A6FA274B29B66ADE5ED")</f>
        <v>https://baanknet.com/view-property/277262/E4B2D3F470EC72BA4FBD2E87E08E6DBE9AD075C655B64A6FA274B29B66ADE5ED</v>
      </c>
      <c r="I2478" t="str">
        <f>HYPERLINK("https://baanknet.com/view-property/277262/E4B2D3F470EC72BA4FBD2E87E08E6DBE9AD075C655B64A6FA274B29B66ADE5ED", "Open")</f>
        <v>Open</v>
      </c>
      <c r="J2478" t="s">
        <v>3803</v>
      </c>
      <c r="L2478">
        <v>15700000</v>
      </c>
      <c r="M2478">
        <v>1570000</v>
      </c>
    </row>
    <row r="2479" spans="1:13" x14ac:dyDescent="0.25">
      <c r="A2479" t="s">
        <v>8430</v>
      </c>
      <c r="B2479" t="s">
        <v>8431</v>
      </c>
      <c r="C2479" t="s">
        <v>121</v>
      </c>
      <c r="D2479" t="s">
        <v>157</v>
      </c>
      <c r="E2479" t="s">
        <v>623</v>
      </c>
      <c r="F2479" t="s">
        <v>8384</v>
      </c>
      <c r="G2479" t="s">
        <v>8432</v>
      </c>
      <c r="H2479" t="str">
        <f>HYPERLINK("https://baanknet.com/view-property/276311/150B13BE06B730666C8FA2138E7D21FBB119BD83A3489CEFBA51A7F6007971A1", "https://baanknet.com/view-property/276311/150B13BE06B730666C8FA2138E7D21FBB119BD83A3489CEFBA51A7F6007971A1")</f>
        <v>https://baanknet.com/view-property/276311/150B13BE06B730666C8FA2138E7D21FBB119BD83A3489CEFBA51A7F6007971A1</v>
      </c>
      <c r="I2479" t="str">
        <f>HYPERLINK("https://baanknet.com/view-property/276311/150B13BE06B730666C8FA2138E7D21FBB119BD83A3489CEFBA51A7F6007971A1", "Open")</f>
        <v>Open</v>
      </c>
      <c r="J2479" t="s">
        <v>3803</v>
      </c>
      <c r="L2479">
        <v>18300000</v>
      </c>
      <c r="M2479">
        <v>1830000</v>
      </c>
    </row>
    <row r="2480" spans="1:13" x14ac:dyDescent="0.25">
      <c r="A2480" t="s">
        <v>8433</v>
      </c>
      <c r="B2480" t="s">
        <v>8434</v>
      </c>
      <c r="C2480" t="s">
        <v>332</v>
      </c>
      <c r="D2480" t="s">
        <v>32</v>
      </c>
      <c r="E2480" t="s">
        <v>623</v>
      </c>
      <c r="F2480" t="s">
        <v>8384</v>
      </c>
      <c r="G2480" t="s">
        <v>8435</v>
      </c>
      <c r="H2480" t="str">
        <f>HYPERLINK("https://baanknet.com/view-property/283819/5E06EC2E0D0C92315B9182E28F1074F511DF43AF325D0FE0DEC5FCED14DAB283", "https://baanknet.com/view-property/283819/5E06EC2E0D0C92315B9182E28F1074F511DF43AF325D0FE0DEC5FCED14DAB283")</f>
        <v>https://baanknet.com/view-property/283819/5E06EC2E0D0C92315B9182E28F1074F511DF43AF325D0FE0DEC5FCED14DAB283</v>
      </c>
      <c r="I2480" t="str">
        <f>HYPERLINK("https://baanknet.com/view-property/283819/5E06EC2E0D0C92315B9182E28F1074F511DF43AF325D0FE0DEC5FCED14DAB283", "Open")</f>
        <v>Open</v>
      </c>
      <c r="J2480" t="s">
        <v>3803</v>
      </c>
      <c r="L2480">
        <v>4923200</v>
      </c>
      <c r="M2480">
        <v>492320</v>
      </c>
    </row>
    <row r="2481" spans="1:13" x14ac:dyDescent="0.25">
      <c r="A2481" t="s">
        <v>8436</v>
      </c>
      <c r="B2481" t="s">
        <v>8437</v>
      </c>
      <c r="C2481" t="s">
        <v>571</v>
      </c>
      <c r="D2481" t="s">
        <v>8438</v>
      </c>
      <c r="E2481" t="s">
        <v>623</v>
      </c>
      <c r="F2481" t="s">
        <v>7577</v>
      </c>
      <c r="G2481" t="s">
        <v>8439</v>
      </c>
      <c r="H2481" t="str">
        <f>HYPERLINK("https://baanknet.com/view-property/285106/8870ADA1DEF9665D9AD552635A88C1B798C7BA5F3D4B52CFD2ACDA6DEE891808", "https://baanknet.com/view-property/285106/8870ADA1DEF9665D9AD552635A88C1B798C7BA5F3D4B52CFD2ACDA6DEE891808")</f>
        <v>https://baanknet.com/view-property/285106/8870ADA1DEF9665D9AD552635A88C1B798C7BA5F3D4B52CFD2ACDA6DEE891808</v>
      </c>
      <c r="I2481" t="str">
        <f>HYPERLINK("https://baanknet.com/view-property/285106/8870ADA1DEF9665D9AD552635A88C1B798C7BA5F3D4B52CFD2ACDA6DEE891808", "Open")</f>
        <v>Open</v>
      </c>
      <c r="J2481" t="s">
        <v>3803</v>
      </c>
      <c r="L2481">
        <v>6900000</v>
      </c>
      <c r="M2481">
        <v>690000</v>
      </c>
    </row>
    <row r="2482" spans="1:13" x14ac:dyDescent="0.25">
      <c r="A2482" t="s">
        <v>8440</v>
      </c>
      <c r="B2482" t="s">
        <v>8441</v>
      </c>
      <c r="C2482" t="s">
        <v>332</v>
      </c>
      <c r="D2482" t="s">
        <v>127</v>
      </c>
      <c r="E2482" t="s">
        <v>623</v>
      </c>
      <c r="F2482" t="s">
        <v>7577</v>
      </c>
      <c r="G2482" t="s">
        <v>8442</v>
      </c>
      <c r="H2482" t="str">
        <f>HYPERLINK("https://baanknet.com/view-property/284412/F8C447B72FFB3053D68E2E702F96CFD9C58EA5874B0690718DD1C15AD47314F1", "https://baanknet.com/view-property/284412/F8C447B72FFB3053D68E2E702F96CFD9C58EA5874B0690718DD1C15AD47314F1")</f>
        <v>https://baanknet.com/view-property/284412/F8C447B72FFB3053D68E2E702F96CFD9C58EA5874B0690718DD1C15AD47314F1</v>
      </c>
      <c r="I2482" t="str">
        <f>HYPERLINK("https://baanknet.com/view-property/284412/F8C447B72FFB3053D68E2E702F96CFD9C58EA5874B0690718DD1C15AD47314F1", "Open")</f>
        <v>Open</v>
      </c>
      <c r="J2482" t="s">
        <v>3803</v>
      </c>
      <c r="L2482">
        <v>6300000</v>
      </c>
      <c r="M2482">
        <v>630000</v>
      </c>
    </row>
    <row r="2483" spans="1:13" x14ac:dyDescent="0.25">
      <c r="A2483" t="s">
        <v>8443</v>
      </c>
      <c r="B2483" t="s">
        <v>8444</v>
      </c>
      <c r="C2483" t="s">
        <v>332</v>
      </c>
      <c r="D2483" t="s">
        <v>309</v>
      </c>
      <c r="E2483" t="s">
        <v>623</v>
      </c>
      <c r="F2483" t="s">
        <v>7577</v>
      </c>
      <c r="G2483" t="s">
        <v>8445</v>
      </c>
      <c r="H2483" t="str">
        <f>HYPERLINK("https://baanknet.com/view-property/284394/535EA947E07CEA53252256E296DC89B2FF22AF4514F84D3683770E36459A7FC3", "https://baanknet.com/view-property/284394/535EA947E07CEA53252256E296DC89B2FF22AF4514F84D3683770E36459A7FC3")</f>
        <v>https://baanknet.com/view-property/284394/535EA947E07CEA53252256E296DC89B2FF22AF4514F84D3683770E36459A7FC3</v>
      </c>
      <c r="I2483" t="str">
        <f>HYPERLINK("https://baanknet.com/view-property/284394/535EA947E07CEA53252256E296DC89B2FF22AF4514F84D3683770E36459A7FC3", "Open")</f>
        <v>Open</v>
      </c>
      <c r="J2483" t="s">
        <v>3803</v>
      </c>
      <c r="L2483">
        <v>1780000</v>
      </c>
      <c r="M2483">
        <v>178000</v>
      </c>
    </row>
    <row r="2484" spans="1:13" x14ac:dyDescent="0.25">
      <c r="A2484" t="s">
        <v>8446</v>
      </c>
      <c r="B2484" t="s">
        <v>8447</v>
      </c>
      <c r="C2484" t="s">
        <v>332</v>
      </c>
      <c r="D2484" t="s">
        <v>518</v>
      </c>
      <c r="E2484" t="s">
        <v>623</v>
      </c>
      <c r="F2484" t="s">
        <v>7577</v>
      </c>
      <c r="G2484" t="s">
        <v>8448</v>
      </c>
      <c r="H2484" t="str">
        <f>HYPERLINK("https://baanknet.com/view-property/284614/AFF48C39773E1C040506880118DA7D70C6B1F70AD258ADC661CD9AA781A50BDC", "https://baanknet.com/view-property/284614/AFF48C39773E1C040506880118DA7D70C6B1F70AD258ADC661CD9AA781A50BDC")</f>
        <v>https://baanknet.com/view-property/284614/AFF48C39773E1C040506880118DA7D70C6B1F70AD258ADC661CD9AA781A50BDC</v>
      </c>
      <c r="I2484" t="str">
        <f>HYPERLINK("https://baanknet.com/view-property/284614/AFF48C39773E1C040506880118DA7D70C6B1F70AD258ADC661CD9AA781A50BDC", "Open")</f>
        <v>Open</v>
      </c>
      <c r="J2484" t="s">
        <v>3803</v>
      </c>
      <c r="L2484">
        <v>3100000</v>
      </c>
      <c r="M2484">
        <v>310000</v>
      </c>
    </row>
    <row r="2485" spans="1:13" x14ac:dyDescent="0.25">
      <c r="A2485" t="s">
        <v>8449</v>
      </c>
      <c r="B2485" t="s">
        <v>8450</v>
      </c>
      <c r="C2485" t="s">
        <v>332</v>
      </c>
      <c r="D2485" t="s">
        <v>127</v>
      </c>
      <c r="E2485" t="s">
        <v>623</v>
      </c>
      <c r="F2485" t="s">
        <v>7577</v>
      </c>
      <c r="G2485" t="s">
        <v>8451</v>
      </c>
      <c r="H2485" t="str">
        <f>HYPERLINK("https://baanknet.com/view-property/284402/81AAAB522A0B8690A2A44EC1A9A1FC267515056B2C5822D062EF36E7337B0BD3", "https://baanknet.com/view-property/284402/81AAAB522A0B8690A2A44EC1A9A1FC267515056B2C5822D062EF36E7337B0BD3")</f>
        <v>https://baanknet.com/view-property/284402/81AAAB522A0B8690A2A44EC1A9A1FC267515056B2C5822D062EF36E7337B0BD3</v>
      </c>
      <c r="I2485" t="str">
        <f>HYPERLINK("https://baanknet.com/view-property/284402/81AAAB522A0B8690A2A44EC1A9A1FC267515056B2C5822D062EF36E7337B0BD3", "Open")</f>
        <v>Open</v>
      </c>
      <c r="J2485" t="s">
        <v>3803</v>
      </c>
      <c r="L2485">
        <v>1700000</v>
      </c>
      <c r="M2485">
        <v>170000</v>
      </c>
    </row>
    <row r="2486" spans="1:13" x14ac:dyDescent="0.25">
      <c r="A2486" t="s">
        <v>8452</v>
      </c>
      <c r="B2486" t="s">
        <v>8453</v>
      </c>
      <c r="C2486" t="s">
        <v>332</v>
      </c>
      <c r="D2486" t="s">
        <v>8454</v>
      </c>
      <c r="E2486" t="s">
        <v>623</v>
      </c>
      <c r="F2486" t="s">
        <v>7577</v>
      </c>
      <c r="G2486" t="s">
        <v>8455</v>
      </c>
      <c r="H2486" t="str">
        <f>HYPERLINK("https://baanknet.com/view-property/285446/A64B84D3E57F6CC653E32748AC3960C840B439FD34E3E80D97EB931EFD7E027F", "https://baanknet.com/view-property/285446/A64B84D3E57F6CC653E32748AC3960C840B439FD34E3E80D97EB931EFD7E027F")</f>
        <v>https://baanknet.com/view-property/285446/A64B84D3E57F6CC653E32748AC3960C840B439FD34E3E80D97EB931EFD7E027F</v>
      </c>
      <c r="I2486" t="str">
        <f>HYPERLINK("https://baanknet.com/view-property/285446/A64B84D3E57F6CC653E32748AC3960C840B439FD34E3E80D97EB931EFD7E027F", "Open")</f>
        <v>Open</v>
      </c>
      <c r="J2486" t="s">
        <v>3803</v>
      </c>
      <c r="L2486">
        <v>37000000</v>
      </c>
      <c r="M2486">
        <v>3700000</v>
      </c>
    </row>
    <row r="2487" spans="1:13" x14ac:dyDescent="0.25">
      <c r="A2487" t="s">
        <v>8456</v>
      </c>
      <c r="B2487" t="s">
        <v>8457</v>
      </c>
      <c r="C2487" t="s">
        <v>332</v>
      </c>
      <c r="D2487" t="s">
        <v>8458</v>
      </c>
      <c r="E2487" t="s">
        <v>623</v>
      </c>
      <c r="F2487" t="s">
        <v>7577</v>
      </c>
      <c r="G2487" t="s">
        <v>8459</v>
      </c>
      <c r="H2487" t="str">
        <f>HYPERLINK("https://baanknet.com/view-property/282536/13931DF1624016B2B4728FF61FCB02196D966487E5DE4D6DDFA4A990AF0924B4", "https://baanknet.com/view-property/282536/13931DF1624016B2B4728FF61FCB02196D966487E5DE4D6DDFA4A990AF0924B4")</f>
        <v>https://baanknet.com/view-property/282536/13931DF1624016B2B4728FF61FCB02196D966487E5DE4D6DDFA4A990AF0924B4</v>
      </c>
      <c r="I2487" t="str">
        <f>HYPERLINK("https://baanknet.com/view-property/282536/13931DF1624016B2B4728FF61FCB02196D966487E5DE4D6DDFA4A990AF0924B4", "Open")</f>
        <v>Open</v>
      </c>
      <c r="J2487" t="s">
        <v>3803</v>
      </c>
      <c r="L2487">
        <v>2550000</v>
      </c>
      <c r="M2487">
        <v>255000</v>
      </c>
    </row>
    <row r="2488" spans="1:13" x14ac:dyDescent="0.25">
      <c r="A2488" t="s">
        <v>8460</v>
      </c>
      <c r="B2488" t="s">
        <v>8461</v>
      </c>
      <c r="C2488" t="s">
        <v>332</v>
      </c>
      <c r="D2488" t="s">
        <v>8462</v>
      </c>
      <c r="E2488" t="s">
        <v>623</v>
      </c>
      <c r="F2488" t="s">
        <v>7577</v>
      </c>
      <c r="G2488" t="s">
        <v>8463</v>
      </c>
      <c r="H2488" t="str">
        <f>HYPERLINK("https://baanknet.com/view-property/282524/4D05F1B56ADEADC6E5929000021C1F8141960810B0946CC6CD2FF0D00D7276BC", "https://baanknet.com/view-property/282524/4D05F1B56ADEADC6E5929000021C1F8141960810B0946CC6CD2FF0D00D7276BC")</f>
        <v>https://baanknet.com/view-property/282524/4D05F1B56ADEADC6E5929000021C1F8141960810B0946CC6CD2FF0D00D7276BC</v>
      </c>
      <c r="I2488" t="str">
        <f>HYPERLINK("https://baanknet.com/view-property/282524/4D05F1B56ADEADC6E5929000021C1F8141960810B0946CC6CD2FF0D00D7276BC", "Open")</f>
        <v>Open</v>
      </c>
      <c r="J2488" t="s">
        <v>3803</v>
      </c>
      <c r="L2488">
        <v>4134000</v>
      </c>
      <c r="M2488">
        <v>413400</v>
      </c>
    </row>
    <row r="2489" spans="1:13" x14ac:dyDescent="0.25">
      <c r="A2489" t="s">
        <v>8464</v>
      </c>
      <c r="B2489" t="s">
        <v>8465</v>
      </c>
      <c r="C2489" t="s">
        <v>332</v>
      </c>
      <c r="D2489" t="s">
        <v>8466</v>
      </c>
      <c r="E2489" t="s">
        <v>623</v>
      </c>
      <c r="F2489" t="s">
        <v>7577</v>
      </c>
      <c r="G2489" t="s">
        <v>8467</v>
      </c>
      <c r="H2489" t="str">
        <f>HYPERLINK("https://baanknet.com/view-property/286081/F95C732644E6E08AC9E7A677839EF0C1171141CBE93CF5C6F3D087947E9D6036", "https://baanknet.com/view-property/286081/F95C732644E6E08AC9E7A677839EF0C1171141CBE93CF5C6F3D087947E9D6036")</f>
        <v>https://baanknet.com/view-property/286081/F95C732644E6E08AC9E7A677839EF0C1171141CBE93CF5C6F3D087947E9D6036</v>
      </c>
      <c r="I2489" t="str">
        <f>HYPERLINK("https://baanknet.com/view-property/286081/F95C732644E6E08AC9E7A677839EF0C1171141CBE93CF5C6F3D087947E9D6036", "Open")</f>
        <v>Open</v>
      </c>
      <c r="J2489" t="s">
        <v>3803</v>
      </c>
      <c r="L2489">
        <v>2039000</v>
      </c>
      <c r="M2489">
        <v>203900</v>
      </c>
    </row>
    <row r="2490" spans="1:13" x14ac:dyDescent="0.25">
      <c r="A2490" t="s">
        <v>8468</v>
      </c>
      <c r="B2490" t="s">
        <v>8469</v>
      </c>
      <c r="C2490" t="s">
        <v>332</v>
      </c>
      <c r="D2490" t="s">
        <v>8470</v>
      </c>
      <c r="E2490" t="s">
        <v>623</v>
      </c>
      <c r="F2490" t="s">
        <v>7577</v>
      </c>
      <c r="G2490" t="s">
        <v>8471</v>
      </c>
      <c r="H2490" t="str">
        <f>HYPERLINK("https://baanknet.com/view-property/242471/289B26968636DF5A9AC7F8E3027A96BAB720A4042A0C3FA91B4AFE5F46E78B9A", "https://baanknet.com/view-property/242471/289B26968636DF5A9AC7F8E3027A96BAB720A4042A0C3FA91B4AFE5F46E78B9A")</f>
        <v>https://baanknet.com/view-property/242471/289B26968636DF5A9AC7F8E3027A96BAB720A4042A0C3FA91B4AFE5F46E78B9A</v>
      </c>
      <c r="I2490" t="str">
        <f>HYPERLINK("https://baanknet.com/view-property/242471/289B26968636DF5A9AC7F8E3027A96BAB720A4042A0C3FA91B4AFE5F46E78B9A", "Open")</f>
        <v>Open</v>
      </c>
      <c r="J2490" t="s">
        <v>3803</v>
      </c>
      <c r="L2490">
        <v>1360000</v>
      </c>
      <c r="M2490">
        <v>136000</v>
      </c>
    </row>
    <row r="2491" spans="1:13" x14ac:dyDescent="0.25">
      <c r="A2491" t="s">
        <v>8472</v>
      </c>
      <c r="B2491" t="s">
        <v>8473</v>
      </c>
      <c r="C2491" t="s">
        <v>332</v>
      </c>
      <c r="D2491" t="s">
        <v>2798</v>
      </c>
      <c r="E2491" t="s">
        <v>623</v>
      </c>
      <c r="F2491" t="s">
        <v>7577</v>
      </c>
      <c r="G2491" t="s">
        <v>8474</v>
      </c>
      <c r="H2491" t="str">
        <f>HYPERLINK("https://baanknet.com/view-property/53169/BF9B96A23E66BFB3FE97D7E7C5FE002CC93FE8891E169B849CB5575647CEFDF9", "https://baanknet.com/view-property/53169/BF9B96A23E66BFB3FE97D7E7C5FE002CC93FE8891E169B849CB5575647CEFDF9")</f>
        <v>https://baanknet.com/view-property/53169/BF9B96A23E66BFB3FE97D7E7C5FE002CC93FE8891E169B849CB5575647CEFDF9</v>
      </c>
      <c r="I2491" t="str">
        <f>HYPERLINK("https://baanknet.com/view-property/53169/BF9B96A23E66BFB3FE97D7E7C5FE002CC93FE8891E169B849CB5575647CEFDF9", "Open")</f>
        <v>Open</v>
      </c>
      <c r="J2491" t="s">
        <v>3803</v>
      </c>
      <c r="L2491">
        <v>12800000</v>
      </c>
      <c r="M2491">
        <v>1280000</v>
      </c>
    </row>
    <row r="2492" spans="1:13" x14ac:dyDescent="0.25">
      <c r="A2492" t="s">
        <v>8475</v>
      </c>
      <c r="B2492" t="s">
        <v>8476</v>
      </c>
      <c r="C2492" t="s">
        <v>332</v>
      </c>
      <c r="D2492" t="s">
        <v>2798</v>
      </c>
      <c r="E2492" t="s">
        <v>623</v>
      </c>
      <c r="F2492" t="s">
        <v>7577</v>
      </c>
      <c r="G2492" t="s">
        <v>8477</v>
      </c>
      <c r="H2492" t="str">
        <f>HYPERLINK("https://baanknet.com/view-property/262378/933B97814973C518FFC269CA1ECE708C4C0720649D3C62DD3A2A1FA3B7E0034C", "https://baanknet.com/view-property/262378/933B97814973C518FFC269CA1ECE708C4C0720649D3C62DD3A2A1FA3B7E0034C")</f>
        <v>https://baanknet.com/view-property/262378/933B97814973C518FFC269CA1ECE708C4C0720649D3C62DD3A2A1FA3B7E0034C</v>
      </c>
      <c r="I2492" t="str">
        <f>HYPERLINK("https://baanknet.com/view-property/262378/933B97814973C518FFC269CA1ECE708C4C0720649D3C62DD3A2A1FA3B7E0034C", "Open")</f>
        <v>Open</v>
      </c>
      <c r="J2492" t="s">
        <v>3803</v>
      </c>
      <c r="L2492">
        <v>4078000</v>
      </c>
      <c r="M2492">
        <v>407800</v>
      </c>
    </row>
    <row r="2493" spans="1:13" x14ac:dyDescent="0.25">
      <c r="A2493" t="s">
        <v>8478</v>
      </c>
      <c r="B2493" t="s">
        <v>8479</v>
      </c>
      <c r="C2493" t="s">
        <v>332</v>
      </c>
      <c r="D2493" t="s">
        <v>149</v>
      </c>
      <c r="E2493" t="s">
        <v>623</v>
      </c>
      <c r="F2493" t="s">
        <v>7577</v>
      </c>
      <c r="G2493" t="s">
        <v>8480</v>
      </c>
      <c r="H2493" t="str">
        <f>HYPERLINK("https://baanknet.com/view-property/232756/9C187CFB1091B350B97C1D6BD0EDCF9922D0C96E147ECA2BADB57EAC5BD27ED5", "https://baanknet.com/view-property/232756/9C187CFB1091B350B97C1D6BD0EDCF9922D0C96E147ECA2BADB57EAC5BD27ED5")</f>
        <v>https://baanknet.com/view-property/232756/9C187CFB1091B350B97C1D6BD0EDCF9922D0C96E147ECA2BADB57EAC5BD27ED5</v>
      </c>
      <c r="I2493" t="str">
        <f>HYPERLINK("https://baanknet.com/view-property/232756/9C187CFB1091B350B97C1D6BD0EDCF9922D0C96E147ECA2BADB57EAC5BD27ED5", "Open")</f>
        <v>Open</v>
      </c>
      <c r="J2493" t="s">
        <v>3803</v>
      </c>
      <c r="L2493">
        <v>3188000</v>
      </c>
      <c r="M2493">
        <v>318800</v>
      </c>
    </row>
    <row r="2494" spans="1:13" x14ac:dyDescent="0.25">
      <c r="A2494" t="s">
        <v>8481</v>
      </c>
      <c r="B2494" t="s">
        <v>8482</v>
      </c>
      <c r="C2494" t="s">
        <v>332</v>
      </c>
      <c r="D2494" t="s">
        <v>2984</v>
      </c>
      <c r="E2494" t="s">
        <v>623</v>
      </c>
      <c r="F2494" t="s">
        <v>7577</v>
      </c>
      <c r="G2494" t="s">
        <v>8483</v>
      </c>
      <c r="H2494" t="str">
        <f>HYPERLINK("https://baanknet.com/view-property/54984/D1EB357C7E9D1A636F385777B1C1EABAE0D11486411CD0F85936B4BDB8D71586", "https://baanknet.com/view-property/54984/D1EB357C7E9D1A636F385777B1C1EABAE0D11486411CD0F85936B4BDB8D71586")</f>
        <v>https://baanknet.com/view-property/54984/D1EB357C7E9D1A636F385777B1C1EABAE0D11486411CD0F85936B4BDB8D71586</v>
      </c>
      <c r="I2494" t="str">
        <f>HYPERLINK("https://baanknet.com/view-property/54984/D1EB357C7E9D1A636F385777B1C1EABAE0D11486411CD0F85936B4BDB8D71586", "Open")</f>
        <v>Open</v>
      </c>
      <c r="J2494" t="s">
        <v>3803</v>
      </c>
      <c r="L2494">
        <v>2630000</v>
      </c>
      <c r="M2494">
        <v>263000</v>
      </c>
    </row>
    <row r="2495" spans="1:13" x14ac:dyDescent="0.25">
      <c r="A2495" t="s">
        <v>8484</v>
      </c>
      <c r="B2495" t="s">
        <v>8485</v>
      </c>
      <c r="C2495" t="s">
        <v>332</v>
      </c>
      <c r="D2495" t="s">
        <v>157</v>
      </c>
      <c r="E2495" t="s">
        <v>623</v>
      </c>
      <c r="F2495" t="s">
        <v>7577</v>
      </c>
      <c r="G2495" t="s">
        <v>8486</v>
      </c>
      <c r="H2495" t="str">
        <f>HYPERLINK("https://baanknet.com/view-property/248003/FD310BAC7C5D2768F4F3752AACCAC02A420D8E3E6807C7463AFB12F6C585EF2B", "https://baanknet.com/view-property/248003/FD310BAC7C5D2768F4F3752AACCAC02A420D8E3E6807C7463AFB12F6C585EF2B")</f>
        <v>https://baanknet.com/view-property/248003/FD310BAC7C5D2768F4F3752AACCAC02A420D8E3E6807C7463AFB12F6C585EF2B</v>
      </c>
      <c r="I2495" t="str">
        <f>HYPERLINK("https://baanknet.com/view-property/248003/FD310BAC7C5D2768F4F3752AACCAC02A420D8E3E6807C7463AFB12F6C585EF2B", "Open")</f>
        <v>Open</v>
      </c>
      <c r="J2495" t="s">
        <v>3803</v>
      </c>
      <c r="L2495">
        <v>1710000</v>
      </c>
      <c r="M2495">
        <v>171000</v>
      </c>
    </row>
    <row r="2496" spans="1:13" x14ac:dyDescent="0.25">
      <c r="A2496" t="s">
        <v>8487</v>
      </c>
      <c r="B2496" t="s">
        <v>8488</v>
      </c>
      <c r="C2496" t="s">
        <v>332</v>
      </c>
      <c r="D2496" t="s">
        <v>157</v>
      </c>
      <c r="E2496" t="s">
        <v>623</v>
      </c>
      <c r="F2496" t="s">
        <v>7577</v>
      </c>
      <c r="G2496" t="s">
        <v>8489</v>
      </c>
      <c r="H2496" t="str">
        <f>HYPERLINK("https://baanknet.com/view-property/248008/C27DC38F24927B5358FB69B907993111FBA4D0823FB097C9F925E9DCEBFFD392", "https://baanknet.com/view-property/248008/C27DC38F24927B5358FB69B907993111FBA4D0823FB097C9F925E9DCEBFFD392")</f>
        <v>https://baanknet.com/view-property/248008/C27DC38F24927B5358FB69B907993111FBA4D0823FB097C9F925E9DCEBFFD392</v>
      </c>
      <c r="I2496" t="str">
        <f>HYPERLINK("https://baanknet.com/view-property/248008/C27DC38F24927B5358FB69B907993111FBA4D0823FB097C9F925E9DCEBFFD392", "Open")</f>
        <v>Open</v>
      </c>
      <c r="J2496" t="s">
        <v>3803</v>
      </c>
      <c r="L2496">
        <v>1575000</v>
      </c>
      <c r="M2496">
        <v>157500</v>
      </c>
    </row>
    <row r="2497" spans="1:13" x14ac:dyDescent="0.25">
      <c r="A2497" t="s">
        <v>8490</v>
      </c>
      <c r="B2497" t="s">
        <v>8491</v>
      </c>
      <c r="C2497" t="s">
        <v>332</v>
      </c>
      <c r="D2497" t="s">
        <v>8492</v>
      </c>
      <c r="E2497" t="s">
        <v>623</v>
      </c>
      <c r="F2497" t="s">
        <v>7577</v>
      </c>
      <c r="G2497" t="s">
        <v>8493</v>
      </c>
      <c r="H2497" t="str">
        <f>HYPERLINK("https://baanknet.com/view-property/265566/80D274C7CDF65BCB19EA8170274A1B664212DC1F69193552552113F26C6076C2", "https://baanknet.com/view-property/265566/80D274C7CDF65BCB19EA8170274A1B664212DC1F69193552552113F26C6076C2")</f>
        <v>https://baanknet.com/view-property/265566/80D274C7CDF65BCB19EA8170274A1B664212DC1F69193552552113F26C6076C2</v>
      </c>
      <c r="I2497" t="str">
        <f>HYPERLINK("https://baanknet.com/view-property/265566/80D274C7CDF65BCB19EA8170274A1B664212DC1F69193552552113F26C6076C2", "Open")</f>
        <v>Open</v>
      </c>
      <c r="J2497" t="s">
        <v>3803</v>
      </c>
      <c r="L2497">
        <v>1220000</v>
      </c>
      <c r="M2497">
        <v>122000</v>
      </c>
    </row>
    <row r="2498" spans="1:13" x14ac:dyDescent="0.25">
      <c r="A2498" t="s">
        <v>8494</v>
      </c>
      <c r="B2498" t="s">
        <v>8495</v>
      </c>
      <c r="C2498" t="s">
        <v>332</v>
      </c>
      <c r="D2498" t="s">
        <v>179</v>
      </c>
      <c r="E2498" t="s">
        <v>623</v>
      </c>
      <c r="F2498" t="s">
        <v>7577</v>
      </c>
      <c r="G2498" t="s">
        <v>8496</v>
      </c>
      <c r="H2498" t="str">
        <f>HYPERLINK("https://baanknet.com/view-property/106628/74DBD253B8B76C31F03EDB90971BA173164F77E7CC49F66D581AA44D151C4EA3", "https://baanknet.com/view-property/106628/74DBD253B8B76C31F03EDB90971BA173164F77E7CC49F66D581AA44D151C4EA3")</f>
        <v>https://baanknet.com/view-property/106628/74DBD253B8B76C31F03EDB90971BA173164F77E7CC49F66D581AA44D151C4EA3</v>
      </c>
      <c r="I2498" t="str">
        <f>HYPERLINK("https://baanknet.com/view-property/106628/74DBD253B8B76C31F03EDB90971BA173164F77E7CC49F66D581AA44D151C4EA3", "Open")</f>
        <v>Open</v>
      </c>
      <c r="J2498" t="s">
        <v>3803</v>
      </c>
      <c r="L2498">
        <v>2800000</v>
      </c>
      <c r="M2498">
        <v>280000</v>
      </c>
    </row>
    <row r="2499" spans="1:13" x14ac:dyDescent="0.25">
      <c r="A2499" t="s">
        <v>8497</v>
      </c>
      <c r="B2499" t="s">
        <v>8498</v>
      </c>
      <c r="C2499" t="s">
        <v>332</v>
      </c>
      <c r="D2499" t="s">
        <v>2446</v>
      </c>
      <c r="E2499" t="s">
        <v>623</v>
      </c>
      <c r="F2499" t="s">
        <v>7577</v>
      </c>
      <c r="G2499" t="s">
        <v>8499</v>
      </c>
      <c r="H2499" t="str">
        <f>HYPERLINK("https://baanknet.com/view-property/253909/4068DFEAD7A004B530C738B21269C3F11E9E2BF2FE185665278E7203C3A26535", "https://baanknet.com/view-property/253909/4068DFEAD7A004B530C738B21269C3F11E9E2BF2FE185665278E7203C3A26535")</f>
        <v>https://baanknet.com/view-property/253909/4068DFEAD7A004B530C738B21269C3F11E9E2BF2FE185665278E7203C3A26535</v>
      </c>
      <c r="I2499" t="str">
        <f>HYPERLINK("https://baanknet.com/view-property/253909/4068DFEAD7A004B530C738B21269C3F11E9E2BF2FE185665278E7203C3A26535", "Open")</f>
        <v>Open</v>
      </c>
      <c r="J2499" t="s">
        <v>3803</v>
      </c>
      <c r="L2499">
        <v>6894000</v>
      </c>
      <c r="M2499">
        <v>689400</v>
      </c>
    </row>
    <row r="2500" spans="1:13" x14ac:dyDescent="0.25">
      <c r="A2500" t="s">
        <v>8500</v>
      </c>
      <c r="B2500" t="s">
        <v>8501</v>
      </c>
      <c r="C2500" t="s">
        <v>332</v>
      </c>
      <c r="D2500" t="s">
        <v>2093</v>
      </c>
      <c r="E2500" t="s">
        <v>623</v>
      </c>
      <c r="F2500" t="s">
        <v>7577</v>
      </c>
      <c r="G2500" t="s">
        <v>8502</v>
      </c>
      <c r="H2500" t="str">
        <f>HYPERLINK("https://baanknet.com/view-property/259486/4A2F8C18DEBD6BA048172AA909855894439095C792183F1BCA290B34BD64CC22", "https://baanknet.com/view-property/259486/4A2F8C18DEBD6BA048172AA909855894439095C792183F1BCA290B34BD64CC22")</f>
        <v>https://baanknet.com/view-property/259486/4A2F8C18DEBD6BA048172AA909855894439095C792183F1BCA290B34BD64CC22</v>
      </c>
      <c r="I2500" t="str">
        <f>HYPERLINK("https://baanknet.com/view-property/259486/4A2F8C18DEBD6BA048172AA909855894439095C792183F1BCA290B34BD64CC22", "Open")</f>
        <v>Open</v>
      </c>
      <c r="J2500" t="s">
        <v>3803</v>
      </c>
      <c r="L2500">
        <v>3646000</v>
      </c>
      <c r="M2500">
        <v>364600</v>
      </c>
    </row>
    <row r="2501" spans="1:13" x14ac:dyDescent="0.25">
      <c r="A2501" t="s">
        <v>8503</v>
      </c>
      <c r="B2501" t="s">
        <v>8504</v>
      </c>
      <c r="C2501" t="s">
        <v>332</v>
      </c>
      <c r="D2501" t="s">
        <v>8505</v>
      </c>
      <c r="E2501" t="s">
        <v>623</v>
      </c>
      <c r="F2501" t="s">
        <v>7577</v>
      </c>
      <c r="G2501" t="s">
        <v>8506</v>
      </c>
      <c r="H2501" t="str">
        <f>HYPERLINK("https://baanknet.com/view-property/25206/E619C2BFB0CA5445169A7EF43D1CFD8790CB8FC769CF6A710B2FE62539712772", "https://baanknet.com/view-property/25206/E619C2BFB0CA5445169A7EF43D1CFD8790CB8FC769CF6A710B2FE62539712772")</f>
        <v>https://baanknet.com/view-property/25206/E619C2BFB0CA5445169A7EF43D1CFD8790CB8FC769CF6A710B2FE62539712772</v>
      </c>
      <c r="I2501" t="str">
        <f>HYPERLINK("https://baanknet.com/view-property/25206/E619C2BFB0CA5445169A7EF43D1CFD8790CB8FC769CF6A710B2FE62539712772", "Open")</f>
        <v>Open</v>
      </c>
      <c r="J2501" t="s">
        <v>3803</v>
      </c>
      <c r="L2501">
        <v>2292000</v>
      </c>
      <c r="M2501">
        <v>229200</v>
      </c>
    </row>
    <row r="2502" spans="1:13" x14ac:dyDescent="0.25">
      <c r="A2502" t="s">
        <v>8507</v>
      </c>
      <c r="B2502" t="s">
        <v>8508</v>
      </c>
      <c r="C2502" t="s">
        <v>332</v>
      </c>
      <c r="D2502" t="s">
        <v>149</v>
      </c>
      <c r="E2502" t="s">
        <v>623</v>
      </c>
      <c r="F2502" t="s">
        <v>7577</v>
      </c>
      <c r="G2502" t="s">
        <v>8509</v>
      </c>
      <c r="H2502" t="str">
        <f>HYPERLINK("https://baanknet.com/view-property/232708/15D81E34E7AFD72053E9594F64C0881690DA91E2595772C75C5A67B34D954D2D", "https://baanknet.com/view-property/232708/15D81E34E7AFD72053E9594F64C0881690DA91E2595772C75C5A67B34D954D2D")</f>
        <v>https://baanknet.com/view-property/232708/15D81E34E7AFD72053E9594F64C0881690DA91E2595772C75C5A67B34D954D2D</v>
      </c>
      <c r="I2502" t="str">
        <f>HYPERLINK("https://baanknet.com/view-property/232708/15D81E34E7AFD72053E9594F64C0881690DA91E2595772C75C5A67B34D954D2D", "Open")</f>
        <v>Open</v>
      </c>
      <c r="J2502" t="s">
        <v>3803</v>
      </c>
      <c r="L2502">
        <v>944000</v>
      </c>
      <c r="M2502">
        <v>94400</v>
      </c>
    </row>
    <row r="2503" spans="1:13" x14ac:dyDescent="0.25">
      <c r="A2503" t="s">
        <v>8510</v>
      </c>
      <c r="B2503" t="s">
        <v>8511</v>
      </c>
      <c r="C2503" t="s">
        <v>332</v>
      </c>
      <c r="D2503" t="s">
        <v>1692</v>
      </c>
      <c r="E2503" t="s">
        <v>623</v>
      </c>
      <c r="F2503" t="s">
        <v>7577</v>
      </c>
      <c r="G2503" t="s">
        <v>8512</v>
      </c>
      <c r="H2503" t="str">
        <f>HYPERLINK("https://baanknet.com/view-property/266706/EF81FB837A38EB9790DD5A2348E1F14102C2D2082C7EAE7FEF408274F19E4712", "https://baanknet.com/view-property/266706/EF81FB837A38EB9790DD5A2348E1F14102C2D2082C7EAE7FEF408274F19E4712")</f>
        <v>https://baanknet.com/view-property/266706/EF81FB837A38EB9790DD5A2348E1F14102C2D2082C7EAE7FEF408274F19E4712</v>
      </c>
      <c r="I2503" t="str">
        <f>HYPERLINK("https://baanknet.com/view-property/266706/EF81FB837A38EB9790DD5A2348E1F14102C2D2082C7EAE7FEF408274F19E4712", "Open")</f>
        <v>Open</v>
      </c>
      <c r="J2503" t="s">
        <v>3803</v>
      </c>
      <c r="L2503">
        <v>1937000</v>
      </c>
      <c r="M2503">
        <v>193700</v>
      </c>
    </row>
    <row r="2504" spans="1:13" x14ac:dyDescent="0.25">
      <c r="A2504" t="s">
        <v>8513</v>
      </c>
      <c r="B2504" t="s">
        <v>8514</v>
      </c>
      <c r="C2504" t="s">
        <v>332</v>
      </c>
      <c r="D2504" t="s">
        <v>2866</v>
      </c>
      <c r="E2504" t="s">
        <v>623</v>
      </c>
      <c r="F2504" t="s">
        <v>7577</v>
      </c>
      <c r="G2504" t="s">
        <v>8515</v>
      </c>
      <c r="H2504" t="str">
        <f>HYPERLINK("https://baanknet.com/view-property/230636/1A4FCEADBD24750A2B02F7A071A3250BF40CDF975807BD901F3376BEDCC65718", "https://baanknet.com/view-property/230636/1A4FCEADBD24750A2B02F7A071A3250BF40CDF975807BD901F3376BEDCC65718")</f>
        <v>https://baanknet.com/view-property/230636/1A4FCEADBD24750A2B02F7A071A3250BF40CDF975807BD901F3376BEDCC65718</v>
      </c>
      <c r="I2504" t="str">
        <f>HYPERLINK("https://baanknet.com/view-property/230636/1A4FCEADBD24750A2B02F7A071A3250BF40CDF975807BD901F3376BEDCC65718", "Open")</f>
        <v>Open</v>
      </c>
      <c r="J2504" t="s">
        <v>3803</v>
      </c>
      <c r="L2504">
        <v>2934000</v>
      </c>
      <c r="M2504">
        <v>293400</v>
      </c>
    </row>
    <row r="2505" spans="1:13" x14ac:dyDescent="0.25">
      <c r="A2505" t="s">
        <v>8516</v>
      </c>
      <c r="B2505" t="s">
        <v>8517</v>
      </c>
      <c r="C2505" t="s">
        <v>332</v>
      </c>
      <c r="D2505" t="s">
        <v>1712</v>
      </c>
      <c r="E2505" t="s">
        <v>623</v>
      </c>
      <c r="F2505" t="s">
        <v>7577</v>
      </c>
      <c r="G2505" t="s">
        <v>8518</v>
      </c>
      <c r="H2505" t="str">
        <f>HYPERLINK("https://baanknet.com/view-property/259918/92DFEB53BF263CF1DCB93D6781D53DEFDE041F81CB4D88450324418E61DF637B", "https://baanknet.com/view-property/259918/92DFEB53BF263CF1DCB93D6781D53DEFDE041F81CB4D88450324418E61DF637B")</f>
        <v>https://baanknet.com/view-property/259918/92DFEB53BF263CF1DCB93D6781D53DEFDE041F81CB4D88450324418E61DF637B</v>
      </c>
      <c r="I2505" t="str">
        <f>HYPERLINK("https://baanknet.com/view-property/259918/92DFEB53BF263CF1DCB93D6781D53DEFDE041F81CB4D88450324418E61DF637B", "Open")</f>
        <v>Open</v>
      </c>
      <c r="J2505" t="s">
        <v>3803</v>
      </c>
      <c r="L2505">
        <v>2619000</v>
      </c>
      <c r="M2505">
        <v>261900</v>
      </c>
    </row>
    <row r="2506" spans="1:13" x14ac:dyDescent="0.25">
      <c r="A2506" t="s">
        <v>8519</v>
      </c>
      <c r="B2506" t="s">
        <v>8520</v>
      </c>
      <c r="C2506" t="s">
        <v>332</v>
      </c>
      <c r="D2506" t="s">
        <v>1702</v>
      </c>
      <c r="E2506" t="s">
        <v>623</v>
      </c>
      <c r="F2506" t="s">
        <v>7577</v>
      </c>
      <c r="G2506" t="s">
        <v>8521</v>
      </c>
      <c r="H2506" t="str">
        <f>HYPERLINK("https://baanknet.com/view-property/206814/06BB5F153E63C72BD44BC2759EE45408C5AE43F330319E20992760AAC68F8D51", "https://baanknet.com/view-property/206814/06BB5F153E63C72BD44BC2759EE45408C5AE43F330319E20992760AAC68F8D51")</f>
        <v>https://baanknet.com/view-property/206814/06BB5F153E63C72BD44BC2759EE45408C5AE43F330319E20992760AAC68F8D51</v>
      </c>
      <c r="I2506" t="str">
        <f>HYPERLINK("https://baanknet.com/view-property/206814/06BB5F153E63C72BD44BC2759EE45408C5AE43F330319E20992760AAC68F8D51", "Open")</f>
        <v>Open</v>
      </c>
      <c r="J2506" t="s">
        <v>3803</v>
      </c>
      <c r="L2506">
        <v>3749000</v>
      </c>
      <c r="M2506">
        <v>374900</v>
      </c>
    </row>
    <row r="2507" spans="1:13" x14ac:dyDescent="0.25">
      <c r="A2507" t="s">
        <v>8522</v>
      </c>
      <c r="B2507" t="s">
        <v>8523</v>
      </c>
      <c r="C2507" t="s">
        <v>332</v>
      </c>
      <c r="D2507" t="s">
        <v>2124</v>
      </c>
      <c r="E2507" t="s">
        <v>623</v>
      </c>
      <c r="F2507" t="s">
        <v>7577</v>
      </c>
      <c r="G2507" t="s">
        <v>8524</v>
      </c>
      <c r="H2507" t="str">
        <f>HYPERLINK("https://baanknet.com/view-property/230581/C0D36F69DCD882142458DCE5D0B9F6ED5678A7B437C0BCA842EBE0D1F50C808E", "https://baanknet.com/view-property/230581/C0D36F69DCD882142458DCE5D0B9F6ED5678A7B437C0BCA842EBE0D1F50C808E")</f>
        <v>https://baanknet.com/view-property/230581/C0D36F69DCD882142458DCE5D0B9F6ED5678A7B437C0BCA842EBE0D1F50C808E</v>
      </c>
      <c r="I2507" t="str">
        <f>HYPERLINK("https://baanknet.com/view-property/230581/C0D36F69DCD882142458DCE5D0B9F6ED5678A7B437C0BCA842EBE0D1F50C808E", "Open")</f>
        <v>Open</v>
      </c>
      <c r="J2507" t="s">
        <v>3803</v>
      </c>
      <c r="L2507">
        <v>2394000</v>
      </c>
      <c r="M2507">
        <v>239400</v>
      </c>
    </row>
    <row r="2508" spans="1:13" x14ac:dyDescent="0.25">
      <c r="A2508" t="s">
        <v>8525</v>
      </c>
      <c r="B2508" t="s">
        <v>8526</v>
      </c>
      <c r="C2508" t="s">
        <v>332</v>
      </c>
      <c r="D2508" t="s">
        <v>2883</v>
      </c>
      <c r="E2508" t="s">
        <v>623</v>
      </c>
      <c r="F2508" t="s">
        <v>7577</v>
      </c>
      <c r="G2508" t="s">
        <v>8527</v>
      </c>
      <c r="H2508" t="str">
        <f>HYPERLINK("https://baanknet.com/view-property/231707/B0EF0B5AC21174EB084EBEDE251C538919723B6B949C2EBFAD3D7254CDB958C3", "https://baanknet.com/view-property/231707/B0EF0B5AC21174EB084EBEDE251C538919723B6B949C2EBFAD3D7254CDB958C3")</f>
        <v>https://baanknet.com/view-property/231707/B0EF0B5AC21174EB084EBEDE251C538919723B6B949C2EBFAD3D7254CDB958C3</v>
      </c>
      <c r="I2508" t="str">
        <f>HYPERLINK("https://baanknet.com/view-property/231707/B0EF0B5AC21174EB084EBEDE251C538919723B6B949C2EBFAD3D7254CDB958C3", "Open")</f>
        <v>Open</v>
      </c>
      <c r="J2508" t="s">
        <v>3803</v>
      </c>
      <c r="L2508">
        <v>4500000</v>
      </c>
      <c r="M2508">
        <v>450000</v>
      </c>
    </row>
    <row r="2509" spans="1:13" x14ac:dyDescent="0.25">
      <c r="A2509" t="s">
        <v>8528</v>
      </c>
      <c r="B2509" t="s">
        <v>8529</v>
      </c>
      <c r="C2509" t="s">
        <v>332</v>
      </c>
      <c r="D2509" t="s">
        <v>1823</v>
      </c>
      <c r="E2509" t="s">
        <v>623</v>
      </c>
      <c r="F2509" t="s">
        <v>7577</v>
      </c>
      <c r="G2509" t="s">
        <v>8530</v>
      </c>
      <c r="H2509" t="str">
        <f>HYPERLINK("https://baanknet.com/view-property/214078/7DEE32E415A488881DB2378ACBF7E7A7760E6525BA2989975DB10929CE2E6B97", "https://baanknet.com/view-property/214078/7DEE32E415A488881DB2378ACBF7E7A7760E6525BA2989975DB10929CE2E6B97")</f>
        <v>https://baanknet.com/view-property/214078/7DEE32E415A488881DB2378ACBF7E7A7760E6525BA2989975DB10929CE2E6B97</v>
      </c>
      <c r="I2509" t="str">
        <f>HYPERLINK("https://baanknet.com/view-property/214078/7DEE32E415A488881DB2378ACBF7E7A7760E6525BA2989975DB10929CE2E6B97", "Open")</f>
        <v>Open</v>
      </c>
      <c r="J2509" t="s">
        <v>3803</v>
      </c>
      <c r="L2509">
        <v>2002000</v>
      </c>
      <c r="M2509">
        <v>200200</v>
      </c>
    </row>
    <row r="2510" spans="1:13" x14ac:dyDescent="0.25">
      <c r="A2510" t="s">
        <v>8531</v>
      </c>
      <c r="B2510" t="s">
        <v>8532</v>
      </c>
      <c r="C2510" t="s">
        <v>332</v>
      </c>
      <c r="D2510" t="s">
        <v>157</v>
      </c>
      <c r="E2510" t="s">
        <v>623</v>
      </c>
      <c r="F2510" t="s">
        <v>7577</v>
      </c>
      <c r="G2510" t="s">
        <v>8533</v>
      </c>
      <c r="H2510" t="str">
        <f>HYPERLINK("https://baanknet.com/view-property/254087/C0BF28AD45085C16E60AE8A7F7EB9040AD8B77516417211E0983E40085716899", "https://baanknet.com/view-property/254087/C0BF28AD45085C16E60AE8A7F7EB9040AD8B77516417211E0983E40085716899")</f>
        <v>https://baanknet.com/view-property/254087/C0BF28AD45085C16E60AE8A7F7EB9040AD8B77516417211E0983E40085716899</v>
      </c>
      <c r="I2510" t="str">
        <f>HYPERLINK("https://baanknet.com/view-property/254087/C0BF28AD45085C16E60AE8A7F7EB9040AD8B77516417211E0983E40085716899", "Open")</f>
        <v>Open</v>
      </c>
      <c r="J2510" t="s">
        <v>3803</v>
      </c>
      <c r="L2510">
        <v>2800000</v>
      </c>
      <c r="M2510">
        <v>280000</v>
      </c>
    </row>
    <row r="2511" spans="1:13" x14ac:dyDescent="0.25">
      <c r="A2511" t="s">
        <v>8534</v>
      </c>
      <c r="B2511" t="s">
        <v>8535</v>
      </c>
      <c r="C2511" t="s">
        <v>332</v>
      </c>
      <c r="D2511" t="s">
        <v>8492</v>
      </c>
      <c r="E2511" t="s">
        <v>623</v>
      </c>
      <c r="F2511" t="s">
        <v>7577</v>
      </c>
      <c r="G2511" t="s">
        <v>8536</v>
      </c>
      <c r="H2511" t="str">
        <f>HYPERLINK("https://baanknet.com/view-property/185567/7F68FFA7ADF141384CF2000C2243F870C8B91D0416EA67C1BB5B82C30AECC898", "https://baanknet.com/view-property/185567/7F68FFA7ADF141384CF2000C2243F870C8B91D0416EA67C1BB5B82C30AECC898")</f>
        <v>https://baanknet.com/view-property/185567/7F68FFA7ADF141384CF2000C2243F870C8B91D0416EA67C1BB5B82C30AECC898</v>
      </c>
      <c r="I2511" t="str">
        <f>HYPERLINK("https://baanknet.com/view-property/185567/7F68FFA7ADF141384CF2000C2243F870C8B91D0416EA67C1BB5B82C30AECC898", "Open")</f>
        <v>Open</v>
      </c>
      <c r="J2511" t="s">
        <v>3803</v>
      </c>
      <c r="L2511">
        <v>2332000</v>
      </c>
      <c r="M2511">
        <v>233200</v>
      </c>
    </row>
    <row r="2512" spans="1:13" x14ac:dyDescent="0.25">
      <c r="A2512" t="s">
        <v>8537</v>
      </c>
      <c r="B2512" t="s">
        <v>8538</v>
      </c>
      <c r="C2512" t="s">
        <v>332</v>
      </c>
      <c r="D2512" t="s">
        <v>2425</v>
      </c>
      <c r="E2512" t="s">
        <v>623</v>
      </c>
      <c r="F2512" t="s">
        <v>7577</v>
      </c>
      <c r="G2512" t="s">
        <v>8539</v>
      </c>
      <c r="H2512" t="str">
        <f>HYPERLINK("https://baanknet.com/view-property/276811/EDE84A7391766390CAD9A1BE9164570F6724ADB97466F08AB8FFEF97ED732AA1", "https://baanknet.com/view-property/276811/EDE84A7391766390CAD9A1BE9164570F6724ADB97466F08AB8FFEF97ED732AA1")</f>
        <v>https://baanknet.com/view-property/276811/EDE84A7391766390CAD9A1BE9164570F6724ADB97466F08AB8FFEF97ED732AA1</v>
      </c>
      <c r="I2512" t="str">
        <f>HYPERLINK("https://baanknet.com/view-property/276811/EDE84A7391766390CAD9A1BE9164570F6724ADB97466F08AB8FFEF97ED732AA1", "Open")</f>
        <v>Open</v>
      </c>
      <c r="J2512" t="s">
        <v>3803</v>
      </c>
      <c r="L2512">
        <v>4200000</v>
      </c>
      <c r="M2512">
        <v>420000</v>
      </c>
    </row>
    <row r="2513" spans="1:13" x14ac:dyDescent="0.25">
      <c r="A2513" t="s">
        <v>8540</v>
      </c>
      <c r="B2513" t="s">
        <v>8541</v>
      </c>
      <c r="C2513" t="s">
        <v>332</v>
      </c>
      <c r="D2513" t="s">
        <v>3050</v>
      </c>
      <c r="E2513" t="s">
        <v>623</v>
      </c>
      <c r="F2513" t="s">
        <v>7577</v>
      </c>
      <c r="G2513" t="s">
        <v>8542</v>
      </c>
      <c r="H2513" t="str">
        <f>HYPERLINK("https://baanknet.com/view-property/66774/6A31357EF7F902F8769C53240AF9921EA87F370F7A598C307353BDFC4394F771", "https://baanknet.com/view-property/66774/6A31357EF7F902F8769C53240AF9921EA87F370F7A598C307353BDFC4394F771")</f>
        <v>https://baanknet.com/view-property/66774/6A31357EF7F902F8769C53240AF9921EA87F370F7A598C307353BDFC4394F771</v>
      </c>
      <c r="I2513" t="str">
        <f>HYPERLINK("https://baanknet.com/view-property/66774/6A31357EF7F902F8769C53240AF9921EA87F370F7A598C307353BDFC4394F771", "Open")</f>
        <v>Open</v>
      </c>
      <c r="J2513" t="s">
        <v>3803</v>
      </c>
      <c r="L2513">
        <v>1041000</v>
      </c>
      <c r="M2513">
        <v>104100</v>
      </c>
    </row>
    <row r="2514" spans="1:13" x14ac:dyDescent="0.25">
      <c r="A2514" t="s">
        <v>8543</v>
      </c>
      <c r="B2514" t="s">
        <v>8544</v>
      </c>
      <c r="C2514" t="s">
        <v>332</v>
      </c>
      <c r="D2514" t="s">
        <v>853</v>
      </c>
      <c r="E2514" t="s">
        <v>623</v>
      </c>
      <c r="F2514" t="s">
        <v>7577</v>
      </c>
      <c r="G2514" t="s">
        <v>8545</v>
      </c>
      <c r="H2514" t="str">
        <f>HYPERLINK("https://baanknet.com/view-property/268439/DF952A7585178EED5A3D2649F9C44E47869F0F0ABE4D1D62A09A40CCA94563F9", "https://baanknet.com/view-property/268439/DF952A7585178EED5A3D2649F9C44E47869F0F0ABE4D1D62A09A40CCA94563F9")</f>
        <v>https://baanknet.com/view-property/268439/DF952A7585178EED5A3D2649F9C44E47869F0F0ABE4D1D62A09A40CCA94563F9</v>
      </c>
      <c r="I2514" t="str">
        <f>HYPERLINK("https://baanknet.com/view-property/268439/DF952A7585178EED5A3D2649F9C44E47869F0F0ABE4D1D62A09A40CCA94563F9", "Open")</f>
        <v>Open</v>
      </c>
      <c r="J2514" t="s">
        <v>3803</v>
      </c>
      <c r="L2514">
        <v>3400000</v>
      </c>
      <c r="M2514">
        <v>340000</v>
      </c>
    </row>
    <row r="2515" spans="1:13" x14ac:dyDescent="0.25">
      <c r="A2515" t="s">
        <v>8546</v>
      </c>
      <c r="B2515" t="s">
        <v>8547</v>
      </c>
      <c r="C2515" t="s">
        <v>332</v>
      </c>
      <c r="D2515" t="s">
        <v>1310</v>
      </c>
      <c r="E2515" t="s">
        <v>623</v>
      </c>
      <c r="F2515" t="s">
        <v>7577</v>
      </c>
      <c r="G2515" t="s">
        <v>8548</v>
      </c>
      <c r="H2515" t="str">
        <f>HYPERLINK("https://baanknet.com/view-property/260048/E0FF2381D34C35192D7E0C0B02B17D47EFA32283E69E6BAF20BF7569A4F99E37", "https://baanknet.com/view-property/260048/E0FF2381D34C35192D7E0C0B02B17D47EFA32283E69E6BAF20BF7569A4F99E37")</f>
        <v>https://baanknet.com/view-property/260048/E0FF2381D34C35192D7E0C0B02B17D47EFA32283E69E6BAF20BF7569A4F99E37</v>
      </c>
      <c r="I2515" t="str">
        <f>HYPERLINK("https://baanknet.com/view-property/260048/E0FF2381D34C35192D7E0C0B02B17D47EFA32283E69E6BAF20BF7569A4F99E37", "Open")</f>
        <v>Open</v>
      </c>
      <c r="J2515" t="s">
        <v>3803</v>
      </c>
      <c r="L2515">
        <v>14100000</v>
      </c>
      <c r="M2515">
        <v>1410000</v>
      </c>
    </row>
    <row r="2516" spans="1:13" x14ac:dyDescent="0.25">
      <c r="A2516" t="s">
        <v>8549</v>
      </c>
      <c r="B2516" t="s">
        <v>8550</v>
      </c>
      <c r="C2516" t="s">
        <v>332</v>
      </c>
      <c r="D2516" t="s">
        <v>1310</v>
      </c>
      <c r="E2516" t="s">
        <v>623</v>
      </c>
      <c r="F2516" t="s">
        <v>7577</v>
      </c>
      <c r="G2516" t="s">
        <v>8551</v>
      </c>
      <c r="H2516" t="str">
        <f>HYPERLINK("https://baanknet.com/view-property/216784/51967181068EA6EE6019E5C3CB944CCF4E19EBA37598D474C992EC8C86442900", "https://baanknet.com/view-property/216784/51967181068EA6EE6019E5C3CB944CCF4E19EBA37598D474C992EC8C86442900")</f>
        <v>https://baanknet.com/view-property/216784/51967181068EA6EE6019E5C3CB944CCF4E19EBA37598D474C992EC8C86442900</v>
      </c>
      <c r="I2516" t="str">
        <f>HYPERLINK("https://baanknet.com/view-property/216784/51967181068EA6EE6019E5C3CB944CCF4E19EBA37598D474C992EC8C86442900", "Open")</f>
        <v>Open</v>
      </c>
      <c r="J2516" t="s">
        <v>3803</v>
      </c>
      <c r="L2516">
        <v>23000000</v>
      </c>
      <c r="M2516">
        <v>2300000</v>
      </c>
    </row>
    <row r="2517" spans="1:13" x14ac:dyDescent="0.25">
      <c r="A2517" t="s">
        <v>8552</v>
      </c>
      <c r="B2517" t="s">
        <v>8553</v>
      </c>
      <c r="C2517" t="s">
        <v>589</v>
      </c>
      <c r="D2517" t="s">
        <v>304</v>
      </c>
      <c r="E2517" t="s">
        <v>623</v>
      </c>
      <c r="F2517" t="s">
        <v>7577</v>
      </c>
      <c r="G2517" t="s">
        <v>8554</v>
      </c>
      <c r="H2517" t="str">
        <f>HYPERLINK("https://baanknet.com/view-property/254595/32CC491317C3DBD814E95C20544314775DF6CADA224F04D5F4E0A60FE3E66326", "https://baanknet.com/view-property/254595/32CC491317C3DBD814E95C20544314775DF6CADA224F04D5F4E0A60FE3E66326")</f>
        <v>https://baanknet.com/view-property/254595/32CC491317C3DBD814E95C20544314775DF6CADA224F04D5F4E0A60FE3E66326</v>
      </c>
      <c r="I2517" t="str">
        <f>HYPERLINK("https://baanknet.com/view-property/254595/32CC491317C3DBD814E95C20544314775DF6CADA224F04D5F4E0A60FE3E66326", "Open")</f>
        <v>Open</v>
      </c>
      <c r="J2517" t="s">
        <v>3803</v>
      </c>
      <c r="L2517">
        <v>2730000</v>
      </c>
      <c r="M2517">
        <v>273000</v>
      </c>
    </row>
    <row r="2518" spans="1:13" x14ac:dyDescent="0.25">
      <c r="A2518" t="s">
        <v>8555</v>
      </c>
      <c r="B2518" t="s">
        <v>8556</v>
      </c>
      <c r="C2518" t="s">
        <v>387</v>
      </c>
      <c r="D2518" t="s">
        <v>1246</v>
      </c>
      <c r="E2518" t="s">
        <v>623</v>
      </c>
      <c r="F2518" t="s">
        <v>7577</v>
      </c>
      <c r="G2518" t="s">
        <v>8557</v>
      </c>
      <c r="H2518" t="str">
        <f>HYPERLINK("https://baanknet.com/view-property/237150/1318D7E2E05CEFE7DF226F728F2552B4F1B274A4646CF0A25658EEFACE415A46", "https://baanknet.com/view-property/237150/1318D7E2E05CEFE7DF226F728F2552B4F1B274A4646CF0A25658EEFACE415A46")</f>
        <v>https://baanknet.com/view-property/237150/1318D7E2E05CEFE7DF226F728F2552B4F1B274A4646CF0A25658EEFACE415A46</v>
      </c>
      <c r="I2518" t="str">
        <f>HYPERLINK("https://baanknet.com/view-property/237150/1318D7E2E05CEFE7DF226F728F2552B4F1B274A4646CF0A25658EEFACE415A46", "Open")</f>
        <v>Open</v>
      </c>
      <c r="J2518" t="s">
        <v>3803</v>
      </c>
      <c r="L2518">
        <v>6200000</v>
      </c>
      <c r="M2518">
        <v>620000</v>
      </c>
    </row>
    <row r="2519" spans="1:13" x14ac:dyDescent="0.25">
      <c r="A2519" t="s">
        <v>8558</v>
      </c>
      <c r="B2519" t="s">
        <v>8559</v>
      </c>
      <c r="C2519" t="s">
        <v>387</v>
      </c>
      <c r="D2519" t="s">
        <v>1488</v>
      </c>
      <c r="E2519" t="s">
        <v>623</v>
      </c>
      <c r="F2519" t="s">
        <v>7577</v>
      </c>
      <c r="G2519" t="s">
        <v>8560</v>
      </c>
      <c r="H2519" t="str">
        <f>HYPERLINK("https://baanknet.com/view-property/282308/406BFBA02155A40E91B1AAAFBF3D0EC9EF785BA9824E17B200BAF51310A1C446", "https://baanknet.com/view-property/282308/406BFBA02155A40E91B1AAAFBF3D0EC9EF785BA9824E17B200BAF51310A1C446")</f>
        <v>https://baanknet.com/view-property/282308/406BFBA02155A40E91B1AAAFBF3D0EC9EF785BA9824E17B200BAF51310A1C446</v>
      </c>
      <c r="I2519" t="str">
        <f>HYPERLINK("https://baanknet.com/view-property/282308/406BFBA02155A40E91B1AAAFBF3D0EC9EF785BA9824E17B200BAF51310A1C446", "Open")</f>
        <v>Open</v>
      </c>
      <c r="J2519" t="s">
        <v>3803</v>
      </c>
      <c r="L2519">
        <v>1170000</v>
      </c>
      <c r="M2519">
        <v>117000</v>
      </c>
    </row>
    <row r="2520" spans="1:13" x14ac:dyDescent="0.25">
      <c r="A2520" t="s">
        <v>8561</v>
      </c>
      <c r="B2520" t="s">
        <v>8562</v>
      </c>
      <c r="C2520" t="s">
        <v>387</v>
      </c>
      <c r="D2520" t="s">
        <v>1488</v>
      </c>
      <c r="E2520" t="s">
        <v>623</v>
      </c>
      <c r="F2520" t="s">
        <v>7577</v>
      </c>
      <c r="G2520" t="s">
        <v>8563</v>
      </c>
      <c r="H2520" t="str">
        <f>HYPERLINK("https://baanknet.com/view-property/280761/57F2C66D063B2D4E649296D38918738F93CC35E5246CE92B5561A646638AD491", "https://baanknet.com/view-property/280761/57F2C66D063B2D4E649296D38918738F93CC35E5246CE92B5561A646638AD491")</f>
        <v>https://baanknet.com/view-property/280761/57F2C66D063B2D4E649296D38918738F93CC35E5246CE92B5561A646638AD491</v>
      </c>
      <c r="I2520" t="str">
        <f>HYPERLINK("https://baanknet.com/view-property/280761/57F2C66D063B2D4E649296D38918738F93CC35E5246CE92B5561A646638AD491", "Open")</f>
        <v>Open</v>
      </c>
      <c r="J2520" t="s">
        <v>3803</v>
      </c>
      <c r="L2520">
        <v>3355000</v>
      </c>
      <c r="M2520">
        <v>335500</v>
      </c>
    </row>
    <row r="2521" spans="1:13" x14ac:dyDescent="0.25">
      <c r="A2521" t="s">
        <v>8564</v>
      </c>
      <c r="B2521" t="s">
        <v>8565</v>
      </c>
      <c r="C2521" t="s">
        <v>121</v>
      </c>
      <c r="D2521" t="s">
        <v>5829</v>
      </c>
      <c r="E2521" t="s">
        <v>623</v>
      </c>
      <c r="F2521" t="s">
        <v>7577</v>
      </c>
      <c r="G2521" t="s">
        <v>8566</v>
      </c>
      <c r="H2521" t="str">
        <f>HYPERLINK("https://baanknet.com/view-property/171658/0A218F1A32D3E9DB0EABBD7071A9209909D70FBD9AB374115AE2FF3C911E5C6B", "https://baanknet.com/view-property/171658/0A218F1A32D3E9DB0EABBD7071A9209909D70FBD9AB374115AE2FF3C911E5C6B")</f>
        <v>https://baanknet.com/view-property/171658/0A218F1A32D3E9DB0EABBD7071A9209909D70FBD9AB374115AE2FF3C911E5C6B</v>
      </c>
      <c r="I2521" t="str">
        <f>HYPERLINK("https://baanknet.com/view-property/171658/0A218F1A32D3E9DB0EABBD7071A9209909D70FBD9AB374115AE2FF3C911E5C6B", "Open")</f>
        <v>Open</v>
      </c>
      <c r="J2521" t="s">
        <v>3803</v>
      </c>
      <c r="L2521">
        <v>5250000</v>
      </c>
      <c r="M2521">
        <v>525000</v>
      </c>
    </row>
    <row r="2522" spans="1:13" x14ac:dyDescent="0.25">
      <c r="A2522" t="s">
        <v>8567</v>
      </c>
      <c r="B2522" t="s">
        <v>8568</v>
      </c>
      <c r="C2522" t="s">
        <v>121</v>
      </c>
      <c r="D2522" t="s">
        <v>1366</v>
      </c>
      <c r="E2522" t="s">
        <v>623</v>
      </c>
      <c r="F2522" t="s">
        <v>7577</v>
      </c>
      <c r="G2522" t="s">
        <v>8569</v>
      </c>
      <c r="H2522" t="str">
        <f>HYPERLINK("https://baanknet.com/view-property/171714/052D3C79818D436F43B517202031F33074EBE9F1697480646FE2FE2105D810DD", "https://baanknet.com/view-property/171714/052D3C79818D436F43B517202031F33074EBE9F1697480646FE2FE2105D810DD")</f>
        <v>https://baanknet.com/view-property/171714/052D3C79818D436F43B517202031F33074EBE9F1697480646FE2FE2105D810DD</v>
      </c>
      <c r="I2522" t="str">
        <f>HYPERLINK("https://baanknet.com/view-property/171714/052D3C79818D436F43B517202031F33074EBE9F1697480646FE2FE2105D810DD", "Open")</f>
        <v>Open</v>
      </c>
      <c r="J2522" t="s">
        <v>3803</v>
      </c>
      <c r="L2522">
        <v>6400000</v>
      </c>
      <c r="M2522">
        <v>640000</v>
      </c>
    </row>
    <row r="2523" spans="1:13" x14ac:dyDescent="0.25">
      <c r="A2523" t="s">
        <v>8570</v>
      </c>
      <c r="B2523" t="s">
        <v>8571</v>
      </c>
      <c r="C2523" t="s">
        <v>121</v>
      </c>
      <c r="D2523" t="s">
        <v>1366</v>
      </c>
      <c r="E2523" t="s">
        <v>623</v>
      </c>
      <c r="F2523" t="s">
        <v>7577</v>
      </c>
      <c r="G2523" t="s">
        <v>8572</v>
      </c>
      <c r="H2523" t="str">
        <f>HYPERLINK("https://baanknet.com/view-property/173571/AC4F2EE2BB4488052D5E270217DE5665E5DF3C652AC4F4136C66A47C18FCDF8D", "https://baanknet.com/view-property/173571/AC4F2EE2BB4488052D5E270217DE5665E5DF3C652AC4F4136C66A47C18FCDF8D")</f>
        <v>https://baanknet.com/view-property/173571/AC4F2EE2BB4488052D5E270217DE5665E5DF3C652AC4F4136C66A47C18FCDF8D</v>
      </c>
      <c r="I2523" t="str">
        <f>HYPERLINK("https://baanknet.com/view-property/173571/AC4F2EE2BB4488052D5E270217DE5665E5DF3C652AC4F4136C66A47C18FCDF8D", "Open")</f>
        <v>Open</v>
      </c>
      <c r="J2523" t="s">
        <v>3803</v>
      </c>
      <c r="L2523">
        <v>6500000</v>
      </c>
      <c r="M2523">
        <v>650000</v>
      </c>
    </row>
    <row r="2524" spans="1:13" x14ac:dyDescent="0.25">
      <c r="A2524" t="s">
        <v>8573</v>
      </c>
      <c r="B2524" t="s">
        <v>8574</v>
      </c>
      <c r="C2524" t="s">
        <v>121</v>
      </c>
      <c r="D2524" t="s">
        <v>1366</v>
      </c>
      <c r="E2524" t="s">
        <v>623</v>
      </c>
      <c r="F2524" t="s">
        <v>7577</v>
      </c>
      <c r="G2524" t="s">
        <v>8575</v>
      </c>
      <c r="H2524" t="str">
        <f>HYPERLINK("https://baanknet.com/view-property/171642/6555F93D7C7F2561D99341359A4739B3DE27FF70B25BCEEBAA475290271E7DDF", "https://baanknet.com/view-property/171642/6555F93D7C7F2561D99341359A4739B3DE27FF70B25BCEEBAA475290271E7DDF")</f>
        <v>https://baanknet.com/view-property/171642/6555F93D7C7F2561D99341359A4739B3DE27FF70B25BCEEBAA475290271E7DDF</v>
      </c>
      <c r="I2524" t="str">
        <f>HYPERLINK("https://baanknet.com/view-property/171642/6555F93D7C7F2561D99341359A4739B3DE27FF70B25BCEEBAA475290271E7DDF", "Open")</f>
        <v>Open</v>
      </c>
      <c r="J2524" t="s">
        <v>3803</v>
      </c>
      <c r="L2524">
        <v>3800000</v>
      </c>
      <c r="M2524">
        <v>380000</v>
      </c>
    </row>
    <row r="2525" spans="1:13" x14ac:dyDescent="0.25">
      <c r="A2525" t="s">
        <v>8576</v>
      </c>
      <c r="B2525" t="s">
        <v>8577</v>
      </c>
      <c r="C2525" t="s">
        <v>589</v>
      </c>
      <c r="D2525" t="s">
        <v>1007</v>
      </c>
      <c r="E2525" t="s">
        <v>623</v>
      </c>
      <c r="F2525" t="s">
        <v>7577</v>
      </c>
      <c r="G2525" t="s">
        <v>8578</v>
      </c>
      <c r="H2525" t="str">
        <f>HYPERLINK("https://baanknet.com/view-property/222817/57627C5C270C3BF7EBB50CACA9D6D7FA195D29FFF8773A1448C9C1E5E9D186EB", "https://baanknet.com/view-property/222817/57627C5C270C3BF7EBB50CACA9D6D7FA195D29FFF8773A1448C9C1E5E9D186EB")</f>
        <v>https://baanknet.com/view-property/222817/57627C5C270C3BF7EBB50CACA9D6D7FA195D29FFF8773A1448C9C1E5E9D186EB</v>
      </c>
      <c r="I2525" t="str">
        <f>HYPERLINK("https://baanknet.com/view-property/222817/57627C5C270C3BF7EBB50CACA9D6D7FA195D29FFF8773A1448C9C1E5E9D186EB", "Open")</f>
        <v>Open</v>
      </c>
      <c r="J2525" t="s">
        <v>3803</v>
      </c>
      <c r="L2525">
        <v>2640000</v>
      </c>
      <c r="M2525">
        <v>264000</v>
      </c>
    </row>
    <row r="2526" spans="1:13" x14ac:dyDescent="0.25">
      <c r="A2526" t="s">
        <v>8579</v>
      </c>
      <c r="B2526" t="s">
        <v>8580</v>
      </c>
      <c r="C2526" t="s">
        <v>589</v>
      </c>
      <c r="D2526" t="s">
        <v>3460</v>
      </c>
      <c r="E2526" t="s">
        <v>623</v>
      </c>
      <c r="F2526" t="s">
        <v>7577</v>
      </c>
      <c r="G2526" t="s">
        <v>8581</v>
      </c>
      <c r="H2526" t="str">
        <f>HYPERLINK("https://baanknet.com/view-property/279073/A53DF9FA64ECEBD0AD055350D016C9DFEBC21F572ACFFEB2108B8062CA2D1516", "https://baanknet.com/view-property/279073/A53DF9FA64ECEBD0AD055350D016C9DFEBC21F572ACFFEB2108B8062CA2D1516")</f>
        <v>https://baanknet.com/view-property/279073/A53DF9FA64ECEBD0AD055350D016C9DFEBC21F572ACFFEB2108B8062CA2D1516</v>
      </c>
      <c r="I2526" t="str">
        <f>HYPERLINK("https://baanknet.com/view-property/279073/A53DF9FA64ECEBD0AD055350D016C9DFEBC21F572ACFFEB2108B8062CA2D1516", "Open")</f>
        <v>Open</v>
      </c>
      <c r="J2526" t="s">
        <v>3803</v>
      </c>
      <c r="L2526">
        <v>1154500</v>
      </c>
      <c r="M2526">
        <v>115450</v>
      </c>
    </row>
    <row r="2527" spans="1:13" x14ac:dyDescent="0.25">
      <c r="A2527" t="s">
        <v>8582</v>
      </c>
      <c r="B2527" t="s">
        <v>8583</v>
      </c>
      <c r="C2527" t="s">
        <v>121</v>
      </c>
      <c r="D2527" t="s">
        <v>8584</v>
      </c>
      <c r="E2527" t="s">
        <v>623</v>
      </c>
      <c r="F2527" t="s">
        <v>7577</v>
      </c>
      <c r="G2527" t="s">
        <v>8585</v>
      </c>
      <c r="H2527" t="str">
        <f>HYPERLINK("https://baanknet.com/view-property/232017/3479D4510D6A6C2651EE913D6E4FD39C34FB38B2518CFB2D5A564419D840E14B", "https://baanknet.com/view-property/232017/3479D4510D6A6C2651EE913D6E4FD39C34FB38B2518CFB2D5A564419D840E14B")</f>
        <v>https://baanknet.com/view-property/232017/3479D4510D6A6C2651EE913D6E4FD39C34FB38B2518CFB2D5A564419D840E14B</v>
      </c>
      <c r="I2527" t="str">
        <f>HYPERLINK("https://baanknet.com/view-property/232017/3479D4510D6A6C2651EE913D6E4FD39C34FB38B2518CFB2D5A564419D840E14B", "Open")</f>
        <v>Open</v>
      </c>
      <c r="J2527" t="s">
        <v>3803</v>
      </c>
      <c r="L2527">
        <v>35470000</v>
      </c>
      <c r="M2527">
        <v>3547000</v>
      </c>
    </row>
    <row r="2528" spans="1:13" x14ac:dyDescent="0.25">
      <c r="A2528" t="s">
        <v>8586</v>
      </c>
      <c r="B2528" t="s">
        <v>8587</v>
      </c>
      <c r="C2528" t="s">
        <v>589</v>
      </c>
      <c r="D2528" t="s">
        <v>1581</v>
      </c>
      <c r="E2528" t="s">
        <v>623</v>
      </c>
      <c r="F2528" t="s">
        <v>624</v>
      </c>
      <c r="G2528" t="s">
        <v>8588</v>
      </c>
      <c r="H2528" t="str">
        <f>HYPERLINK("https://baanknet.com/view-property/261224/7E99A626F63FC5482A08D834FDA9414A7DE8DB08F047F10ADF5C4A6D5C89FB02", "https://baanknet.com/view-property/261224/7E99A626F63FC5482A08D834FDA9414A7DE8DB08F047F10ADF5C4A6D5C89FB02")</f>
        <v>https://baanknet.com/view-property/261224/7E99A626F63FC5482A08D834FDA9414A7DE8DB08F047F10ADF5C4A6D5C89FB02</v>
      </c>
      <c r="I2528" t="str">
        <f>HYPERLINK("https://baanknet.com/view-property/261224/7E99A626F63FC5482A08D834FDA9414A7DE8DB08F047F10ADF5C4A6D5C89FB02", "Open")</f>
        <v>Open</v>
      </c>
      <c r="J2528" t="s">
        <v>3803</v>
      </c>
      <c r="L2528">
        <v>4000000</v>
      </c>
      <c r="M2528">
        <v>400000</v>
      </c>
    </row>
    <row r="2529" spans="1:13" x14ac:dyDescent="0.25">
      <c r="A2529" t="s">
        <v>8589</v>
      </c>
      <c r="B2529" t="s">
        <v>8590</v>
      </c>
      <c r="C2529" t="s">
        <v>589</v>
      </c>
      <c r="D2529" t="s">
        <v>1936</v>
      </c>
      <c r="E2529" t="s">
        <v>623</v>
      </c>
      <c r="F2529" t="s">
        <v>624</v>
      </c>
      <c r="G2529" t="s">
        <v>8591</v>
      </c>
      <c r="H2529" t="str">
        <f>HYPERLINK("https://baanknet.com/view-property/232449/538F5C719D0350F980B98FE4FCBC35605DF42DD630378D5B0E8A5F2BD5F2B35C", "https://baanknet.com/view-property/232449/538F5C719D0350F980B98FE4FCBC35605DF42DD630378D5B0E8A5F2BD5F2B35C")</f>
        <v>https://baanknet.com/view-property/232449/538F5C719D0350F980B98FE4FCBC35605DF42DD630378D5B0E8A5F2BD5F2B35C</v>
      </c>
      <c r="I2529" t="str">
        <f>HYPERLINK("https://baanknet.com/view-property/232449/538F5C719D0350F980B98FE4FCBC35605DF42DD630378D5B0E8A5F2BD5F2B35C", "Open")</f>
        <v>Open</v>
      </c>
      <c r="J2529" t="s">
        <v>3803</v>
      </c>
      <c r="L2529">
        <v>7025000</v>
      </c>
      <c r="M2529">
        <v>703000</v>
      </c>
    </row>
    <row r="2530" spans="1:13" x14ac:dyDescent="0.25">
      <c r="A2530" t="s">
        <v>8592</v>
      </c>
      <c r="B2530" t="s">
        <v>8593</v>
      </c>
      <c r="C2530" t="s">
        <v>589</v>
      </c>
      <c r="D2530" t="s">
        <v>388</v>
      </c>
      <c r="E2530" t="s">
        <v>623</v>
      </c>
      <c r="F2530" t="s">
        <v>624</v>
      </c>
      <c r="G2530" t="s">
        <v>8594</v>
      </c>
      <c r="H2530" t="str">
        <f>HYPERLINK("https://baanknet.com/view-property/234307/E2D158B9167DDA68042ECD4131AAEC7A0EEFB1639A395461CDC0E0FF5F8A7F99", "https://baanknet.com/view-property/234307/E2D158B9167DDA68042ECD4131AAEC7A0EEFB1639A395461CDC0E0FF5F8A7F99")</f>
        <v>https://baanknet.com/view-property/234307/E2D158B9167DDA68042ECD4131AAEC7A0EEFB1639A395461CDC0E0FF5F8A7F99</v>
      </c>
      <c r="I2530" t="str">
        <f>HYPERLINK("https://baanknet.com/view-property/234307/E2D158B9167DDA68042ECD4131AAEC7A0EEFB1639A395461CDC0E0FF5F8A7F99", "Open")</f>
        <v>Open</v>
      </c>
      <c r="J2530" t="s">
        <v>3803</v>
      </c>
      <c r="L2530">
        <v>1070000</v>
      </c>
      <c r="M2530">
        <v>107000</v>
      </c>
    </row>
    <row r="2531" spans="1:13" x14ac:dyDescent="0.25">
      <c r="A2531" t="s">
        <v>8595</v>
      </c>
      <c r="B2531" t="s">
        <v>8596</v>
      </c>
      <c r="C2531" t="s">
        <v>589</v>
      </c>
      <c r="D2531" t="s">
        <v>388</v>
      </c>
      <c r="E2531" t="s">
        <v>623</v>
      </c>
      <c r="F2531" t="s">
        <v>624</v>
      </c>
      <c r="G2531" t="s">
        <v>8597</v>
      </c>
      <c r="H2531" t="str">
        <f>HYPERLINK("https://baanknet.com/view-property/212259/B70720606C1661EE1E43EF3D03C4FEA8DB0D340BB0398E603E3C9B5C7A2B18F4", "https://baanknet.com/view-property/212259/B70720606C1661EE1E43EF3D03C4FEA8DB0D340BB0398E603E3C9B5C7A2B18F4")</f>
        <v>https://baanknet.com/view-property/212259/B70720606C1661EE1E43EF3D03C4FEA8DB0D340BB0398E603E3C9B5C7A2B18F4</v>
      </c>
      <c r="I2531" t="str">
        <f>HYPERLINK("https://baanknet.com/view-property/212259/B70720606C1661EE1E43EF3D03C4FEA8DB0D340BB0398E603E3C9B5C7A2B18F4", "Open")</f>
        <v>Open</v>
      </c>
      <c r="J2531" t="s">
        <v>3803</v>
      </c>
      <c r="L2531">
        <v>2870000</v>
      </c>
      <c r="M2531">
        <v>287000</v>
      </c>
    </row>
    <row r="2532" spans="1:13" x14ac:dyDescent="0.25">
      <c r="A2532" t="s">
        <v>8598</v>
      </c>
      <c r="B2532" t="s">
        <v>8599</v>
      </c>
      <c r="C2532" t="s">
        <v>589</v>
      </c>
      <c r="D2532" t="s">
        <v>1488</v>
      </c>
      <c r="E2532" t="s">
        <v>623</v>
      </c>
      <c r="F2532" t="s">
        <v>624</v>
      </c>
      <c r="G2532" t="s">
        <v>8600</v>
      </c>
      <c r="H2532" t="str">
        <f>HYPERLINK("https://baanknet.com/view-property/285126/457D83C349F380564F17B6A13EEBC55F3783E899C991F92D16B2F567ABD70006", "https://baanknet.com/view-property/285126/457D83C349F380564F17B6A13EEBC55F3783E899C991F92D16B2F567ABD70006")</f>
        <v>https://baanknet.com/view-property/285126/457D83C349F380564F17B6A13EEBC55F3783E899C991F92D16B2F567ABD70006</v>
      </c>
      <c r="I2532" t="str">
        <f>HYPERLINK("https://baanknet.com/view-property/285126/457D83C349F380564F17B6A13EEBC55F3783E899C991F92D16B2F567ABD70006", "Open")</f>
        <v>Open</v>
      </c>
      <c r="J2532" t="s">
        <v>3803</v>
      </c>
      <c r="L2532">
        <v>3520000</v>
      </c>
      <c r="M2532">
        <v>352000</v>
      </c>
    </row>
    <row r="2533" spans="1:13" x14ac:dyDescent="0.25">
      <c r="A2533" t="s">
        <v>8601</v>
      </c>
      <c r="B2533" t="s">
        <v>8602</v>
      </c>
      <c r="C2533" t="s">
        <v>589</v>
      </c>
      <c r="D2533" t="s">
        <v>518</v>
      </c>
      <c r="E2533" t="s">
        <v>623</v>
      </c>
      <c r="F2533" t="s">
        <v>624</v>
      </c>
      <c r="G2533" t="s">
        <v>8603</v>
      </c>
      <c r="H2533" t="str">
        <f>HYPERLINK("https://baanknet.com/view-property/252057/63806CA4D34EF9EDFEBC0F6FEA4FD09B06BBC3DFB71BDBBE39D1E79AA1BA1D82", "https://baanknet.com/view-property/252057/63806CA4D34EF9EDFEBC0F6FEA4FD09B06BBC3DFB71BDBBE39D1E79AA1BA1D82")</f>
        <v>https://baanknet.com/view-property/252057/63806CA4D34EF9EDFEBC0F6FEA4FD09B06BBC3DFB71BDBBE39D1E79AA1BA1D82</v>
      </c>
      <c r="I2533" t="str">
        <f>HYPERLINK("https://baanknet.com/view-property/252057/63806CA4D34EF9EDFEBC0F6FEA4FD09B06BBC3DFB71BDBBE39D1E79AA1BA1D82", "Open")</f>
        <v>Open</v>
      </c>
      <c r="J2533" t="s">
        <v>3803</v>
      </c>
      <c r="L2533">
        <v>14400000</v>
      </c>
      <c r="M2533">
        <v>1440000</v>
      </c>
    </row>
    <row r="2534" spans="1:13" x14ac:dyDescent="0.25">
      <c r="A2534" t="s">
        <v>8604</v>
      </c>
      <c r="B2534" t="s">
        <v>8605</v>
      </c>
      <c r="C2534" t="s">
        <v>589</v>
      </c>
      <c r="D2534" t="s">
        <v>5552</v>
      </c>
      <c r="E2534" t="s">
        <v>623</v>
      </c>
      <c r="F2534" t="s">
        <v>624</v>
      </c>
      <c r="G2534" t="s">
        <v>8606</v>
      </c>
      <c r="H2534" t="str">
        <f>HYPERLINK("https://baanknet.com/view-property/232460/6C23B8B4C5A8D93DE8A51D4F075A059B7662427A60F676E807147EF230EDC4A2", "https://baanknet.com/view-property/232460/6C23B8B4C5A8D93DE8A51D4F075A059B7662427A60F676E807147EF230EDC4A2")</f>
        <v>https://baanknet.com/view-property/232460/6C23B8B4C5A8D93DE8A51D4F075A059B7662427A60F676E807147EF230EDC4A2</v>
      </c>
      <c r="I2534" t="str">
        <f>HYPERLINK("https://baanknet.com/view-property/232460/6C23B8B4C5A8D93DE8A51D4F075A059B7662427A60F676E807147EF230EDC4A2", "Open")</f>
        <v>Open</v>
      </c>
      <c r="J2534" t="s">
        <v>3803</v>
      </c>
      <c r="L2534">
        <v>558000</v>
      </c>
      <c r="M2534">
        <v>55800</v>
      </c>
    </row>
    <row r="2535" spans="1:13" x14ac:dyDescent="0.25">
      <c r="A2535" t="s">
        <v>8607</v>
      </c>
      <c r="B2535" t="s">
        <v>8608</v>
      </c>
      <c r="C2535" t="s">
        <v>589</v>
      </c>
      <c r="D2535" t="s">
        <v>8609</v>
      </c>
      <c r="E2535" t="s">
        <v>623</v>
      </c>
      <c r="F2535" t="s">
        <v>624</v>
      </c>
      <c r="G2535" t="s">
        <v>8610</v>
      </c>
      <c r="H2535" t="str">
        <f>HYPERLINK("https://baanknet.com/view-property/282708/0F2054597D930FDD22C36C118FA8174BC8689097134E291F41618685F42DA744", "https://baanknet.com/view-property/282708/0F2054597D930FDD22C36C118FA8174BC8689097134E291F41618685F42DA744")</f>
        <v>https://baanknet.com/view-property/282708/0F2054597D930FDD22C36C118FA8174BC8689097134E291F41618685F42DA744</v>
      </c>
      <c r="I2535" t="str">
        <f>HYPERLINK("https://baanknet.com/view-property/282708/0F2054597D930FDD22C36C118FA8174BC8689097134E291F41618685F42DA744", "Open")</f>
        <v>Open</v>
      </c>
      <c r="J2535" t="s">
        <v>3803</v>
      </c>
      <c r="L2535">
        <v>24500000</v>
      </c>
      <c r="M2535">
        <v>2450000</v>
      </c>
    </row>
    <row r="2536" spans="1:13" x14ac:dyDescent="0.25">
      <c r="A2536" t="s">
        <v>8611</v>
      </c>
      <c r="B2536" t="s">
        <v>8612</v>
      </c>
      <c r="C2536" t="s">
        <v>589</v>
      </c>
      <c r="D2536" t="s">
        <v>6304</v>
      </c>
      <c r="E2536" t="s">
        <v>623</v>
      </c>
      <c r="F2536" t="s">
        <v>624</v>
      </c>
      <c r="G2536" t="s">
        <v>8613</v>
      </c>
      <c r="H2536" t="str">
        <f>HYPERLINK("https://baanknet.com/view-property/283477/DA4B5B7313FE146E8B1C897D78833E9C0066D6A38A86E48941E68D619435C641", "https://baanknet.com/view-property/283477/DA4B5B7313FE146E8B1C897D78833E9C0066D6A38A86E48941E68D619435C641")</f>
        <v>https://baanknet.com/view-property/283477/DA4B5B7313FE146E8B1C897D78833E9C0066D6A38A86E48941E68D619435C641</v>
      </c>
      <c r="I2536" t="str">
        <f>HYPERLINK("https://baanknet.com/view-property/283477/DA4B5B7313FE146E8B1C897D78833E9C0066D6A38A86E48941E68D619435C641", "Open")</f>
        <v>Open</v>
      </c>
      <c r="J2536" t="s">
        <v>3803</v>
      </c>
      <c r="L2536">
        <v>685000</v>
      </c>
      <c r="M2536">
        <v>68500</v>
      </c>
    </row>
    <row r="2537" spans="1:13" x14ac:dyDescent="0.25">
      <c r="A2537" t="s">
        <v>8614</v>
      </c>
      <c r="B2537" t="s">
        <v>8615</v>
      </c>
      <c r="C2537" t="s">
        <v>589</v>
      </c>
      <c r="D2537" t="s">
        <v>8609</v>
      </c>
      <c r="E2537" t="s">
        <v>623</v>
      </c>
      <c r="F2537" t="s">
        <v>624</v>
      </c>
      <c r="G2537" t="s">
        <v>8616</v>
      </c>
      <c r="H2537" t="str">
        <f>HYPERLINK("https://baanknet.com/view-property/247622/F6C9BB1667AD6E599E8E24DCAEFB4C48080B20EA728A3F729DB86F03ADCE2732", "https://baanknet.com/view-property/247622/F6C9BB1667AD6E599E8E24DCAEFB4C48080B20EA728A3F729DB86F03ADCE2732")</f>
        <v>https://baanknet.com/view-property/247622/F6C9BB1667AD6E599E8E24DCAEFB4C48080B20EA728A3F729DB86F03ADCE2732</v>
      </c>
      <c r="I2537" t="str">
        <f>HYPERLINK("https://baanknet.com/view-property/247622/F6C9BB1667AD6E599E8E24DCAEFB4C48080B20EA728A3F729DB86F03ADCE2732", "Open")</f>
        <v>Open</v>
      </c>
      <c r="J2537" t="s">
        <v>3803</v>
      </c>
      <c r="L2537">
        <v>1380000</v>
      </c>
      <c r="M2537">
        <v>138000</v>
      </c>
    </row>
    <row r="2538" spans="1:13" x14ac:dyDescent="0.25">
      <c r="A2538" t="s">
        <v>8617</v>
      </c>
      <c r="B2538" t="s">
        <v>8618</v>
      </c>
      <c r="C2538" t="s">
        <v>589</v>
      </c>
      <c r="D2538" t="s">
        <v>5552</v>
      </c>
      <c r="E2538" t="s">
        <v>623</v>
      </c>
      <c r="F2538" t="s">
        <v>624</v>
      </c>
      <c r="G2538" t="s">
        <v>8619</v>
      </c>
      <c r="H2538" t="str">
        <f>HYPERLINK("https://baanknet.com/view-property/190301/7CA0299274B13674CB9EE622CD9B5FBBC04D1CCC3C856D1722304347E403B432", "https://baanknet.com/view-property/190301/7CA0299274B13674CB9EE622CD9B5FBBC04D1CCC3C856D1722304347E403B432")</f>
        <v>https://baanknet.com/view-property/190301/7CA0299274B13674CB9EE622CD9B5FBBC04D1CCC3C856D1722304347E403B432</v>
      </c>
      <c r="I2538" t="str">
        <f>HYPERLINK("https://baanknet.com/view-property/190301/7CA0299274B13674CB9EE622CD9B5FBBC04D1CCC3C856D1722304347E403B432", "Open")</f>
        <v>Open</v>
      </c>
      <c r="J2538" t="s">
        <v>3803</v>
      </c>
      <c r="L2538">
        <v>558000</v>
      </c>
      <c r="M2538">
        <v>55800</v>
      </c>
    </row>
    <row r="2539" spans="1:13" x14ac:dyDescent="0.25">
      <c r="A2539" t="s">
        <v>8620</v>
      </c>
      <c r="B2539" t="s">
        <v>8621</v>
      </c>
      <c r="C2539" t="s">
        <v>589</v>
      </c>
      <c r="D2539" t="s">
        <v>5552</v>
      </c>
      <c r="E2539" t="s">
        <v>623</v>
      </c>
      <c r="F2539" t="s">
        <v>624</v>
      </c>
      <c r="G2539" t="s">
        <v>8622</v>
      </c>
      <c r="H2539" t="str">
        <f>HYPERLINK("https://baanknet.com/view-property/190313/6DD185D2E9AC370C8A40932AE4BCF7A0E03CBA8141316775BEFF3AA093233F79", "https://baanknet.com/view-property/190313/6DD185D2E9AC370C8A40932AE4BCF7A0E03CBA8141316775BEFF3AA093233F79")</f>
        <v>https://baanknet.com/view-property/190313/6DD185D2E9AC370C8A40932AE4BCF7A0E03CBA8141316775BEFF3AA093233F79</v>
      </c>
      <c r="I2539" t="str">
        <f>HYPERLINK("https://baanknet.com/view-property/190313/6DD185D2E9AC370C8A40932AE4BCF7A0E03CBA8141316775BEFF3AA093233F79", "Open")</f>
        <v>Open</v>
      </c>
      <c r="J2539" t="s">
        <v>3803</v>
      </c>
      <c r="L2539">
        <v>558000</v>
      </c>
      <c r="M2539">
        <v>55800</v>
      </c>
    </row>
    <row r="2540" spans="1:13" x14ac:dyDescent="0.25">
      <c r="A2540" t="s">
        <v>8623</v>
      </c>
      <c r="B2540" t="s">
        <v>8624</v>
      </c>
      <c r="C2540" t="s">
        <v>589</v>
      </c>
      <c r="D2540" t="s">
        <v>5552</v>
      </c>
      <c r="E2540" t="s">
        <v>623</v>
      </c>
      <c r="F2540" t="s">
        <v>624</v>
      </c>
      <c r="G2540" t="s">
        <v>8625</v>
      </c>
      <c r="H2540" t="str">
        <f>HYPERLINK("https://baanknet.com/view-property/190319/F0F422AC3AACAAE8283A8B29C1AC81CE4C180057A8E6E3EE07A17B615EF295F6", "https://baanknet.com/view-property/190319/F0F422AC3AACAAE8283A8B29C1AC81CE4C180057A8E6E3EE07A17B615EF295F6")</f>
        <v>https://baanknet.com/view-property/190319/F0F422AC3AACAAE8283A8B29C1AC81CE4C180057A8E6E3EE07A17B615EF295F6</v>
      </c>
      <c r="I2540" t="str">
        <f>HYPERLINK("https://baanknet.com/view-property/190319/F0F422AC3AACAAE8283A8B29C1AC81CE4C180057A8E6E3EE07A17B615EF295F6", "Open")</f>
        <v>Open</v>
      </c>
      <c r="J2540" t="s">
        <v>3803</v>
      </c>
      <c r="L2540">
        <v>558000</v>
      </c>
      <c r="M2540">
        <v>55800</v>
      </c>
    </row>
    <row r="2541" spans="1:13" x14ac:dyDescent="0.25">
      <c r="A2541" t="s">
        <v>8626</v>
      </c>
      <c r="B2541" t="s">
        <v>8627</v>
      </c>
      <c r="C2541" t="s">
        <v>589</v>
      </c>
      <c r="D2541" t="s">
        <v>595</v>
      </c>
      <c r="E2541" t="s">
        <v>623</v>
      </c>
      <c r="F2541" t="s">
        <v>624</v>
      </c>
      <c r="G2541" t="s">
        <v>8628</v>
      </c>
      <c r="H2541" t="str">
        <f>HYPERLINK("https://baanknet.com/view-property/190415/4642723B428D7DD6FB131E5BD0C30B3E736F0528EF074EE2A1D4B27EA27EBF4B", "https://baanknet.com/view-property/190415/4642723B428D7DD6FB131E5BD0C30B3E736F0528EF074EE2A1D4B27EA27EBF4B")</f>
        <v>https://baanknet.com/view-property/190415/4642723B428D7DD6FB131E5BD0C30B3E736F0528EF074EE2A1D4B27EA27EBF4B</v>
      </c>
      <c r="I2541" t="str">
        <f>HYPERLINK("https://baanknet.com/view-property/190415/4642723B428D7DD6FB131E5BD0C30B3E736F0528EF074EE2A1D4B27EA27EBF4B", "Open")</f>
        <v>Open</v>
      </c>
      <c r="J2541" t="s">
        <v>3803</v>
      </c>
      <c r="L2541">
        <v>846000</v>
      </c>
      <c r="M2541">
        <v>84600</v>
      </c>
    </row>
    <row r="2542" spans="1:13" x14ac:dyDescent="0.25">
      <c r="A2542" t="s">
        <v>8629</v>
      </c>
      <c r="B2542" t="s">
        <v>8630</v>
      </c>
      <c r="C2542" t="s">
        <v>589</v>
      </c>
      <c r="D2542" t="s">
        <v>595</v>
      </c>
      <c r="E2542" t="s">
        <v>623</v>
      </c>
      <c r="F2542" t="s">
        <v>624</v>
      </c>
      <c r="G2542" t="s">
        <v>8631</v>
      </c>
      <c r="H2542" t="str">
        <f>HYPERLINK("https://baanknet.com/view-property/190428/DF4CD1A4837F38D7C2283898F67614EBCE2A6CBE8537A07DBC78F522D15B8BEB", "https://baanknet.com/view-property/190428/DF4CD1A4837F38D7C2283898F67614EBCE2A6CBE8537A07DBC78F522D15B8BEB")</f>
        <v>https://baanknet.com/view-property/190428/DF4CD1A4837F38D7C2283898F67614EBCE2A6CBE8537A07DBC78F522D15B8BEB</v>
      </c>
      <c r="I2542" t="str">
        <f>HYPERLINK("https://baanknet.com/view-property/190428/DF4CD1A4837F38D7C2283898F67614EBCE2A6CBE8537A07DBC78F522D15B8BEB", "Open")</f>
        <v>Open</v>
      </c>
      <c r="J2542" t="s">
        <v>3803</v>
      </c>
      <c r="L2542">
        <v>846000</v>
      </c>
      <c r="M2542">
        <v>84600</v>
      </c>
    </row>
    <row r="2543" spans="1:13" x14ac:dyDescent="0.25">
      <c r="A2543" t="s">
        <v>8632</v>
      </c>
      <c r="B2543" t="s">
        <v>8633</v>
      </c>
      <c r="C2543" t="s">
        <v>589</v>
      </c>
      <c r="D2543" t="s">
        <v>113</v>
      </c>
      <c r="E2543" t="s">
        <v>623</v>
      </c>
      <c r="F2543" t="s">
        <v>624</v>
      </c>
      <c r="G2543" t="s">
        <v>8634</v>
      </c>
      <c r="H2543" t="str">
        <f>HYPERLINK("https://baanknet.com/view-property/280905/AE73EEEC728E49A281584CCB1CF228C5F5A116A4EB9D550161CAFF5EEA057A05", "https://baanknet.com/view-property/280905/AE73EEEC728E49A281584CCB1CF228C5F5A116A4EB9D550161CAFF5EEA057A05")</f>
        <v>https://baanknet.com/view-property/280905/AE73EEEC728E49A281584CCB1CF228C5F5A116A4EB9D550161CAFF5EEA057A05</v>
      </c>
      <c r="I2543" t="str">
        <f>HYPERLINK("https://baanknet.com/view-property/280905/AE73EEEC728E49A281584CCB1CF228C5F5A116A4EB9D550161CAFF5EEA057A05", "Open")</f>
        <v>Open</v>
      </c>
      <c r="J2543" t="s">
        <v>3803</v>
      </c>
      <c r="L2543">
        <v>17838000</v>
      </c>
      <c r="M2543">
        <v>1783800</v>
      </c>
    </row>
    <row r="2544" spans="1:13" x14ac:dyDescent="0.25">
      <c r="A2544" t="s">
        <v>8635</v>
      </c>
      <c r="B2544" t="s">
        <v>8636</v>
      </c>
      <c r="C2544" t="s">
        <v>589</v>
      </c>
      <c r="D2544" t="s">
        <v>595</v>
      </c>
      <c r="E2544" t="s">
        <v>623</v>
      </c>
      <c r="F2544" t="s">
        <v>624</v>
      </c>
      <c r="G2544" t="s">
        <v>8637</v>
      </c>
      <c r="H2544" t="str">
        <f>HYPERLINK("https://baanknet.com/view-property/190432/14A214E81C5CD813968635DF53E5F9E789AAA5180BB765C033A8E7AF14D14686", "https://baanknet.com/view-property/190432/14A214E81C5CD813968635DF53E5F9E789AAA5180BB765C033A8E7AF14D14686")</f>
        <v>https://baanknet.com/view-property/190432/14A214E81C5CD813968635DF53E5F9E789AAA5180BB765C033A8E7AF14D14686</v>
      </c>
      <c r="I2544" t="str">
        <f>HYPERLINK("https://baanknet.com/view-property/190432/14A214E81C5CD813968635DF53E5F9E789AAA5180BB765C033A8E7AF14D14686", "Open")</f>
        <v>Open</v>
      </c>
      <c r="J2544" t="s">
        <v>3803</v>
      </c>
      <c r="L2544">
        <v>1220000</v>
      </c>
      <c r="M2544">
        <v>122000</v>
      </c>
    </row>
    <row r="2545" spans="1:13" x14ac:dyDescent="0.25">
      <c r="A2545" t="s">
        <v>8638</v>
      </c>
      <c r="B2545" t="s">
        <v>8639</v>
      </c>
      <c r="C2545" t="s">
        <v>589</v>
      </c>
      <c r="D2545" t="s">
        <v>8640</v>
      </c>
      <c r="E2545" t="s">
        <v>623</v>
      </c>
      <c r="F2545" t="s">
        <v>624</v>
      </c>
      <c r="G2545" t="s">
        <v>8641</v>
      </c>
      <c r="H2545" t="str">
        <f>HYPERLINK("https://baanknet.com/view-property/170651/AA5797B1A7AB3034C130C748D77DFB74F9C4E69C960F703527DC649C9778B591", "https://baanknet.com/view-property/170651/AA5797B1A7AB3034C130C748D77DFB74F9C4E69C960F703527DC649C9778B591")</f>
        <v>https://baanknet.com/view-property/170651/AA5797B1A7AB3034C130C748D77DFB74F9C4E69C960F703527DC649C9778B591</v>
      </c>
      <c r="I2545" t="str">
        <f>HYPERLINK("https://baanknet.com/view-property/170651/AA5797B1A7AB3034C130C748D77DFB74F9C4E69C960F703527DC649C9778B591", "Open")</f>
        <v>Open</v>
      </c>
      <c r="J2545" t="s">
        <v>3803</v>
      </c>
      <c r="L2545">
        <v>4125000</v>
      </c>
      <c r="M2545">
        <v>412500</v>
      </c>
    </row>
    <row r="2546" spans="1:13" x14ac:dyDescent="0.25">
      <c r="A2546" t="s">
        <v>8642</v>
      </c>
      <c r="B2546" t="s">
        <v>8643</v>
      </c>
      <c r="C2546" t="s">
        <v>589</v>
      </c>
      <c r="D2546" t="s">
        <v>8644</v>
      </c>
      <c r="E2546" t="s">
        <v>623</v>
      </c>
      <c r="F2546" t="s">
        <v>624</v>
      </c>
      <c r="G2546" t="s">
        <v>8645</v>
      </c>
      <c r="H2546" t="str">
        <f>HYPERLINK("https://baanknet.com/view-property/225069/A1CE2533904D806C5235D9BDC32FF3A6D4C2CBCED7AC41CFB193924AAE50DCA7", "https://baanknet.com/view-property/225069/A1CE2533904D806C5235D9BDC32FF3A6D4C2CBCED7AC41CFB193924AAE50DCA7")</f>
        <v>https://baanknet.com/view-property/225069/A1CE2533904D806C5235D9BDC32FF3A6D4C2CBCED7AC41CFB193924AAE50DCA7</v>
      </c>
      <c r="I2546" t="str">
        <f>HYPERLINK("https://baanknet.com/view-property/225069/A1CE2533904D806C5235D9BDC32FF3A6D4C2CBCED7AC41CFB193924AAE50DCA7", "Open")</f>
        <v>Open</v>
      </c>
      <c r="J2546" t="s">
        <v>3803</v>
      </c>
      <c r="L2546">
        <v>2075000</v>
      </c>
      <c r="M2546">
        <v>207500</v>
      </c>
    </row>
    <row r="2547" spans="1:13" x14ac:dyDescent="0.25">
      <c r="A2547" t="s">
        <v>8646</v>
      </c>
      <c r="B2547" t="s">
        <v>8647</v>
      </c>
      <c r="C2547" t="s">
        <v>589</v>
      </c>
      <c r="D2547" t="s">
        <v>8609</v>
      </c>
      <c r="E2547" t="s">
        <v>623</v>
      </c>
      <c r="F2547" t="s">
        <v>624</v>
      </c>
      <c r="G2547" t="s">
        <v>8648</v>
      </c>
      <c r="H2547" t="str">
        <f>HYPERLINK("https://baanknet.com/view-property/246727/7537AD22E994D4229A9492EBC5CA8CA51A6C04BD9FEF1C9485B21B95E039F131", "https://baanknet.com/view-property/246727/7537AD22E994D4229A9492EBC5CA8CA51A6C04BD9FEF1C9485B21B95E039F131")</f>
        <v>https://baanknet.com/view-property/246727/7537AD22E994D4229A9492EBC5CA8CA51A6C04BD9FEF1C9485B21B95E039F131</v>
      </c>
      <c r="I2547" t="str">
        <f>HYPERLINK("https://baanknet.com/view-property/246727/7537AD22E994D4229A9492EBC5CA8CA51A6C04BD9FEF1C9485B21B95E039F131", "Open")</f>
        <v>Open</v>
      </c>
      <c r="J2547" t="s">
        <v>3803</v>
      </c>
      <c r="L2547">
        <v>1400000</v>
      </c>
      <c r="M2547">
        <v>140000</v>
      </c>
    </row>
    <row r="2548" spans="1:13" x14ac:dyDescent="0.25">
      <c r="A2548" t="s">
        <v>8649</v>
      </c>
      <c r="B2548" t="s">
        <v>8650</v>
      </c>
      <c r="C2548" t="s">
        <v>589</v>
      </c>
      <c r="D2548" t="s">
        <v>8644</v>
      </c>
      <c r="E2548" t="s">
        <v>623</v>
      </c>
      <c r="F2548" t="s">
        <v>624</v>
      </c>
      <c r="G2548" t="s">
        <v>8651</v>
      </c>
      <c r="H2548" t="str">
        <f>HYPERLINK("https://baanknet.com/view-property/253032/016459D918B57D3208917E6D9626948A755FDDE753265742E13BA47BDF26F815", "https://baanknet.com/view-property/253032/016459D918B57D3208917E6D9626948A755FDDE753265742E13BA47BDF26F815")</f>
        <v>https://baanknet.com/view-property/253032/016459D918B57D3208917E6D9626948A755FDDE753265742E13BA47BDF26F815</v>
      </c>
      <c r="I2548" t="str">
        <f>HYPERLINK("https://baanknet.com/view-property/253032/016459D918B57D3208917E6D9626948A755FDDE753265742E13BA47BDF26F815", "Open")</f>
        <v>Open</v>
      </c>
      <c r="J2548" t="s">
        <v>3803</v>
      </c>
      <c r="L2548">
        <v>800000</v>
      </c>
      <c r="M2548">
        <v>80000</v>
      </c>
    </row>
    <row r="2549" spans="1:13" x14ac:dyDescent="0.25">
      <c r="A2549" t="s">
        <v>8652</v>
      </c>
      <c r="B2549" t="s">
        <v>8653</v>
      </c>
      <c r="C2549" t="s">
        <v>589</v>
      </c>
      <c r="D2549" t="s">
        <v>32</v>
      </c>
      <c r="E2549" t="s">
        <v>623</v>
      </c>
      <c r="F2549" t="s">
        <v>624</v>
      </c>
      <c r="G2549" t="s">
        <v>8654</v>
      </c>
      <c r="H2549" t="str">
        <f>HYPERLINK("https://baanknet.com/view-property/285399/57F698A745724D171181F0827CEECEB4873802365D3FC0FD7354B863550DA1FB", "https://baanknet.com/view-property/285399/57F698A745724D171181F0827CEECEB4873802365D3FC0FD7354B863550DA1FB")</f>
        <v>https://baanknet.com/view-property/285399/57F698A745724D171181F0827CEECEB4873802365D3FC0FD7354B863550DA1FB</v>
      </c>
      <c r="I2549" t="str">
        <f>HYPERLINK("https://baanknet.com/view-property/285399/57F698A745724D171181F0827CEECEB4873802365D3FC0FD7354B863550DA1FB", "Open")</f>
        <v>Open</v>
      </c>
      <c r="J2549" t="s">
        <v>3803</v>
      </c>
      <c r="L2549">
        <v>5937000</v>
      </c>
      <c r="M2549">
        <v>593700</v>
      </c>
    </row>
    <row r="2550" spans="1:13" x14ac:dyDescent="0.25">
      <c r="A2550" t="s">
        <v>8655</v>
      </c>
      <c r="B2550" t="s">
        <v>8656</v>
      </c>
      <c r="C2550" t="s">
        <v>589</v>
      </c>
      <c r="D2550" t="s">
        <v>32</v>
      </c>
      <c r="E2550" t="s">
        <v>623</v>
      </c>
      <c r="F2550" t="s">
        <v>624</v>
      </c>
      <c r="G2550" t="s">
        <v>8657</v>
      </c>
      <c r="H2550" t="str">
        <f>HYPERLINK("https://baanknet.com/view-property/285400/3EFD77669BBA9BAB3C81A479274E734C60CCE14CD26CEE82CEB879272F4553D6", "https://baanknet.com/view-property/285400/3EFD77669BBA9BAB3C81A479274E734C60CCE14CD26CEE82CEB879272F4553D6")</f>
        <v>https://baanknet.com/view-property/285400/3EFD77669BBA9BAB3C81A479274E734C60CCE14CD26CEE82CEB879272F4553D6</v>
      </c>
      <c r="I2550" t="str">
        <f>HYPERLINK("https://baanknet.com/view-property/285400/3EFD77669BBA9BAB3C81A479274E734C60CCE14CD26CEE82CEB879272F4553D6", "Open")</f>
        <v>Open</v>
      </c>
      <c r="J2550" t="s">
        <v>3803</v>
      </c>
      <c r="L2550">
        <v>5787000</v>
      </c>
      <c r="M2550">
        <v>578700</v>
      </c>
    </row>
    <row r="2551" spans="1:13" x14ac:dyDescent="0.25">
      <c r="A2551" t="s">
        <v>8658</v>
      </c>
      <c r="B2551" t="s">
        <v>8659</v>
      </c>
      <c r="C2551" t="s">
        <v>589</v>
      </c>
      <c r="D2551" t="s">
        <v>32</v>
      </c>
      <c r="E2551" t="s">
        <v>623</v>
      </c>
      <c r="F2551" t="s">
        <v>624</v>
      </c>
      <c r="G2551" t="s">
        <v>8660</v>
      </c>
      <c r="H2551" t="str">
        <f>HYPERLINK("https://baanknet.com/view-property/285402/1489ECDC5558D7A642F1FE27320392CB9DA13DE76E3EDED34DCBCF131CA50467", "https://baanknet.com/view-property/285402/1489ECDC5558D7A642F1FE27320392CB9DA13DE76E3EDED34DCBCF131CA50467")</f>
        <v>https://baanknet.com/view-property/285402/1489ECDC5558D7A642F1FE27320392CB9DA13DE76E3EDED34DCBCF131CA50467</v>
      </c>
      <c r="I2551" t="str">
        <f>HYPERLINK("https://baanknet.com/view-property/285402/1489ECDC5558D7A642F1FE27320392CB9DA13DE76E3EDED34DCBCF131CA50467", "Open")</f>
        <v>Open</v>
      </c>
      <c r="J2551" t="s">
        <v>3803</v>
      </c>
      <c r="L2551">
        <v>8062000</v>
      </c>
      <c r="M2551">
        <v>806200</v>
      </c>
    </row>
    <row r="2552" spans="1:13" x14ac:dyDescent="0.25">
      <c r="A2552" t="s">
        <v>8661</v>
      </c>
      <c r="B2552" t="s">
        <v>8662</v>
      </c>
      <c r="C2552" t="s">
        <v>589</v>
      </c>
      <c r="D2552" t="s">
        <v>32</v>
      </c>
      <c r="E2552" t="s">
        <v>623</v>
      </c>
      <c r="F2552" t="s">
        <v>624</v>
      </c>
      <c r="G2552" t="s">
        <v>8663</v>
      </c>
      <c r="H2552" t="str">
        <f>HYPERLINK("https://baanknet.com/view-property/285404/86F9221A0704AA40E8E19FE2BF525C2DA1DEC1A64D44261571B2BA50EB0C9665", "https://baanknet.com/view-property/285404/86F9221A0704AA40E8E19FE2BF525C2DA1DEC1A64D44261571B2BA50EB0C9665")</f>
        <v>https://baanknet.com/view-property/285404/86F9221A0704AA40E8E19FE2BF525C2DA1DEC1A64D44261571B2BA50EB0C9665</v>
      </c>
      <c r="I2552" t="str">
        <f>HYPERLINK("https://baanknet.com/view-property/285404/86F9221A0704AA40E8E19FE2BF525C2DA1DEC1A64D44261571B2BA50EB0C9665", "Open")</f>
        <v>Open</v>
      </c>
      <c r="J2552" t="s">
        <v>3803</v>
      </c>
      <c r="L2552">
        <v>9385000</v>
      </c>
      <c r="M2552">
        <v>938500</v>
      </c>
    </row>
    <row r="2553" spans="1:13" x14ac:dyDescent="0.25">
      <c r="A2553" t="s">
        <v>8664</v>
      </c>
      <c r="B2553" t="s">
        <v>8665</v>
      </c>
      <c r="C2553" t="s">
        <v>589</v>
      </c>
      <c r="D2553" t="s">
        <v>4997</v>
      </c>
      <c r="E2553" t="s">
        <v>623</v>
      </c>
      <c r="F2553" t="s">
        <v>624</v>
      </c>
      <c r="G2553" t="s">
        <v>8666</v>
      </c>
      <c r="H2553" t="str">
        <f>HYPERLINK("https://baanknet.com/view-property/228459/28D3047881A5A59755643DCA6D4906FE5CA9DF935C797EA8409DD405343D60A1", "https://baanknet.com/view-property/228459/28D3047881A5A59755643DCA6D4906FE5CA9DF935C797EA8409DD405343D60A1")</f>
        <v>https://baanknet.com/view-property/228459/28D3047881A5A59755643DCA6D4906FE5CA9DF935C797EA8409DD405343D60A1</v>
      </c>
      <c r="I2553" t="str">
        <f>HYPERLINK("https://baanknet.com/view-property/228459/28D3047881A5A59755643DCA6D4906FE5CA9DF935C797EA8409DD405343D60A1", "Open")</f>
        <v>Open</v>
      </c>
      <c r="J2553" t="s">
        <v>3803</v>
      </c>
      <c r="L2553">
        <v>2799000</v>
      </c>
      <c r="M2553">
        <v>279900</v>
      </c>
    </row>
    <row r="2554" spans="1:13" x14ac:dyDescent="0.25">
      <c r="A2554" t="s">
        <v>8667</v>
      </c>
      <c r="B2554" t="s">
        <v>8668</v>
      </c>
      <c r="C2554" t="s">
        <v>589</v>
      </c>
      <c r="D2554" t="s">
        <v>32</v>
      </c>
      <c r="E2554" t="s">
        <v>623</v>
      </c>
      <c r="F2554" t="s">
        <v>624</v>
      </c>
      <c r="G2554" t="s">
        <v>8669</v>
      </c>
      <c r="H2554" t="str">
        <f>HYPERLINK("https://baanknet.com/view-property/223189/416BCCCFBE5F4EF24ECF3A2565AE0AB1D7096F1309FFA1FDEB1B912D6915CC95", "https://baanknet.com/view-property/223189/416BCCCFBE5F4EF24ECF3A2565AE0AB1D7096F1309FFA1FDEB1B912D6915CC95")</f>
        <v>https://baanknet.com/view-property/223189/416BCCCFBE5F4EF24ECF3A2565AE0AB1D7096F1309FFA1FDEB1B912D6915CC95</v>
      </c>
      <c r="I2554" t="str">
        <f>HYPERLINK("https://baanknet.com/view-property/223189/416BCCCFBE5F4EF24ECF3A2565AE0AB1D7096F1309FFA1FDEB1B912D6915CC95", "Open")</f>
        <v>Open</v>
      </c>
      <c r="J2554" t="s">
        <v>3803</v>
      </c>
      <c r="L2554">
        <v>5640000</v>
      </c>
      <c r="M2554">
        <v>564000</v>
      </c>
    </row>
    <row r="2555" spans="1:13" x14ac:dyDescent="0.25">
      <c r="A2555" t="s">
        <v>8670</v>
      </c>
      <c r="B2555" t="s">
        <v>8671</v>
      </c>
      <c r="C2555" t="s">
        <v>589</v>
      </c>
      <c r="D2555" t="s">
        <v>32</v>
      </c>
      <c r="E2555" t="s">
        <v>623</v>
      </c>
      <c r="F2555" t="s">
        <v>624</v>
      </c>
      <c r="G2555" t="s">
        <v>8672</v>
      </c>
      <c r="H2555" t="str">
        <f>HYPERLINK("https://baanknet.com/view-property/285408/6F00D4CD4B3C1E0AFFFBB24251A77E8DCDC5F15B197BC596B57AE54522320368", "https://baanknet.com/view-property/285408/6F00D4CD4B3C1E0AFFFBB24251A77E8DCDC5F15B197BC596B57AE54522320368")</f>
        <v>https://baanknet.com/view-property/285408/6F00D4CD4B3C1E0AFFFBB24251A77E8DCDC5F15B197BC596B57AE54522320368</v>
      </c>
      <c r="I2555" t="str">
        <f>HYPERLINK("https://baanknet.com/view-property/285408/6F00D4CD4B3C1E0AFFFBB24251A77E8DCDC5F15B197BC596B57AE54522320368", "Open")</f>
        <v>Open</v>
      </c>
      <c r="J2555" t="s">
        <v>3803</v>
      </c>
      <c r="L2555">
        <v>2823000</v>
      </c>
      <c r="M2555">
        <v>282300</v>
      </c>
    </row>
    <row r="2556" spans="1:13" x14ac:dyDescent="0.25">
      <c r="A2556" t="s">
        <v>8673</v>
      </c>
      <c r="B2556" t="s">
        <v>8674</v>
      </c>
      <c r="C2556" t="s">
        <v>589</v>
      </c>
      <c r="D2556" t="s">
        <v>32</v>
      </c>
      <c r="E2556" t="s">
        <v>623</v>
      </c>
      <c r="F2556" t="s">
        <v>624</v>
      </c>
      <c r="G2556" t="s">
        <v>8675</v>
      </c>
      <c r="H2556" t="str">
        <f>HYPERLINK("https://baanknet.com/view-property/230931/65FD6694FCA2F6D768E98BC9127D3AE9EDAC86A84A46F0A1167347968022043C", "https://baanknet.com/view-property/230931/65FD6694FCA2F6D768E98BC9127D3AE9EDAC86A84A46F0A1167347968022043C")</f>
        <v>https://baanknet.com/view-property/230931/65FD6694FCA2F6D768E98BC9127D3AE9EDAC86A84A46F0A1167347968022043C</v>
      </c>
      <c r="I2556" t="str">
        <f>HYPERLINK("https://baanknet.com/view-property/230931/65FD6694FCA2F6D768E98BC9127D3AE9EDAC86A84A46F0A1167347968022043C", "Open")</f>
        <v>Open</v>
      </c>
      <c r="J2556" t="s">
        <v>3803</v>
      </c>
      <c r="L2556">
        <v>8243000</v>
      </c>
      <c r="M2556">
        <v>824300</v>
      </c>
    </row>
    <row r="2557" spans="1:13" x14ac:dyDescent="0.25">
      <c r="A2557" t="s">
        <v>8676</v>
      </c>
      <c r="B2557" t="s">
        <v>8677</v>
      </c>
      <c r="C2557" t="s">
        <v>589</v>
      </c>
      <c r="D2557" t="s">
        <v>1190</v>
      </c>
      <c r="E2557" t="s">
        <v>623</v>
      </c>
      <c r="F2557" t="s">
        <v>624</v>
      </c>
      <c r="G2557" t="s">
        <v>8678</v>
      </c>
      <c r="H2557" t="str">
        <f>HYPERLINK("https://baanknet.com/view-property/285395/D6EF019084AFEEF0A8F093FE26975A08CBBB8A24D72A8E27A8FB1A31989B0D12", "https://baanknet.com/view-property/285395/D6EF019084AFEEF0A8F093FE26975A08CBBB8A24D72A8E27A8FB1A31989B0D12")</f>
        <v>https://baanknet.com/view-property/285395/D6EF019084AFEEF0A8F093FE26975A08CBBB8A24D72A8E27A8FB1A31989B0D12</v>
      </c>
      <c r="I2557" t="str">
        <f>HYPERLINK("https://baanknet.com/view-property/285395/D6EF019084AFEEF0A8F093FE26975A08CBBB8A24D72A8E27A8FB1A31989B0D12", "Open")</f>
        <v>Open</v>
      </c>
      <c r="J2557" t="s">
        <v>3803</v>
      </c>
      <c r="L2557">
        <v>3193000</v>
      </c>
      <c r="M2557">
        <v>319300</v>
      </c>
    </row>
    <row r="2558" spans="1:13" x14ac:dyDescent="0.25">
      <c r="A2558" t="s">
        <v>8679</v>
      </c>
      <c r="B2558" t="s">
        <v>8680</v>
      </c>
      <c r="C2558" t="s">
        <v>589</v>
      </c>
      <c r="D2558" t="s">
        <v>32</v>
      </c>
      <c r="E2558" t="s">
        <v>623</v>
      </c>
      <c r="F2558" t="s">
        <v>624</v>
      </c>
      <c r="G2558" t="s">
        <v>8681</v>
      </c>
      <c r="H2558" t="str">
        <f>HYPERLINK("https://baanknet.com/view-property/285401/2A0A0E1439D9306B8B39F1504517EA356A291D77AF383537E20CE86759B4337C", "https://baanknet.com/view-property/285401/2A0A0E1439D9306B8B39F1504517EA356A291D77AF383537E20CE86759B4337C")</f>
        <v>https://baanknet.com/view-property/285401/2A0A0E1439D9306B8B39F1504517EA356A291D77AF383537E20CE86759B4337C</v>
      </c>
      <c r="I2558" t="str">
        <f>HYPERLINK("https://baanknet.com/view-property/285401/2A0A0E1439D9306B8B39F1504517EA356A291D77AF383537E20CE86759B4337C", "Open")</f>
        <v>Open</v>
      </c>
      <c r="J2558" t="s">
        <v>20</v>
      </c>
      <c r="K2558" t="s">
        <v>21</v>
      </c>
      <c r="L2558">
        <v>7363000</v>
      </c>
      <c r="M2558">
        <v>736300</v>
      </c>
    </row>
    <row r="2559" spans="1:13" x14ac:dyDescent="0.25">
      <c r="A2559" t="s">
        <v>8682</v>
      </c>
      <c r="B2559" t="s">
        <v>8683</v>
      </c>
      <c r="C2559" t="s">
        <v>589</v>
      </c>
      <c r="D2559" t="s">
        <v>5937</v>
      </c>
      <c r="E2559" t="s">
        <v>623</v>
      </c>
      <c r="F2559" t="s">
        <v>624</v>
      </c>
      <c r="G2559" t="s">
        <v>8684</v>
      </c>
      <c r="H2559" t="str">
        <f>HYPERLINK("https://baanknet.com/view-property/282737/D0ADE9423AE7246032B8DF44DC5043E174AC62D6A9A85ED02612BDC170BC3C29", "https://baanknet.com/view-property/282737/D0ADE9423AE7246032B8DF44DC5043E174AC62D6A9A85ED02612BDC170BC3C29")</f>
        <v>https://baanknet.com/view-property/282737/D0ADE9423AE7246032B8DF44DC5043E174AC62D6A9A85ED02612BDC170BC3C29</v>
      </c>
      <c r="I2559" t="str">
        <f>HYPERLINK("https://baanknet.com/view-property/282737/D0ADE9423AE7246032B8DF44DC5043E174AC62D6A9A85ED02612BDC170BC3C29", "Open")</f>
        <v>Open</v>
      </c>
      <c r="J2559" t="s">
        <v>3803</v>
      </c>
      <c r="L2559">
        <v>13691000</v>
      </c>
      <c r="M2559">
        <v>1369100</v>
      </c>
    </row>
    <row r="2560" spans="1:13" x14ac:dyDescent="0.25">
      <c r="A2560" t="s">
        <v>8685</v>
      </c>
      <c r="B2560" t="s">
        <v>8686</v>
      </c>
      <c r="C2560" t="s">
        <v>589</v>
      </c>
      <c r="D2560" t="s">
        <v>8687</v>
      </c>
      <c r="E2560" t="s">
        <v>623</v>
      </c>
      <c r="F2560" t="s">
        <v>624</v>
      </c>
      <c r="G2560" t="s">
        <v>8688</v>
      </c>
      <c r="H2560" t="str">
        <f>HYPERLINK("https://baanknet.com/view-property/282560/9C7786E3C87286942AF7573A623AC25F9CB8AA8895CC4C4F091EB5840439F221", "https://baanknet.com/view-property/282560/9C7786E3C87286942AF7573A623AC25F9CB8AA8895CC4C4F091EB5840439F221")</f>
        <v>https://baanknet.com/view-property/282560/9C7786E3C87286942AF7573A623AC25F9CB8AA8895CC4C4F091EB5840439F221</v>
      </c>
      <c r="I2560" t="str">
        <f>HYPERLINK("https://baanknet.com/view-property/282560/9C7786E3C87286942AF7573A623AC25F9CB8AA8895CC4C4F091EB5840439F221", "Open")</f>
        <v>Open</v>
      </c>
      <c r="J2560" t="s">
        <v>3803</v>
      </c>
      <c r="L2560">
        <v>10935000</v>
      </c>
      <c r="M2560">
        <v>1093500</v>
      </c>
    </row>
    <row r="2561" spans="1:13" x14ac:dyDescent="0.25">
      <c r="A2561" t="s">
        <v>8689</v>
      </c>
      <c r="B2561" t="s">
        <v>8690</v>
      </c>
      <c r="C2561" t="s">
        <v>589</v>
      </c>
      <c r="D2561" t="s">
        <v>1229</v>
      </c>
      <c r="E2561" t="s">
        <v>623</v>
      </c>
      <c r="F2561" t="s">
        <v>624</v>
      </c>
      <c r="G2561" t="s">
        <v>8691</v>
      </c>
      <c r="H2561" t="str">
        <f>HYPERLINK("https://baanknet.com/view-property/264094/99264CD60B7F8A887D564E4D1047AC0C1C04D9B9C303E3DA124A908BF9DB2226", "https://baanknet.com/view-property/264094/99264CD60B7F8A887D564E4D1047AC0C1C04D9B9C303E3DA124A908BF9DB2226")</f>
        <v>https://baanknet.com/view-property/264094/99264CD60B7F8A887D564E4D1047AC0C1C04D9B9C303E3DA124A908BF9DB2226</v>
      </c>
      <c r="I2561" t="str">
        <f>HYPERLINK("https://baanknet.com/view-property/264094/99264CD60B7F8A887D564E4D1047AC0C1C04D9B9C303E3DA124A908BF9DB2226", "Open")</f>
        <v>Open</v>
      </c>
      <c r="J2561" t="s">
        <v>3803</v>
      </c>
      <c r="L2561">
        <v>18979000</v>
      </c>
      <c r="M2561">
        <v>1897900</v>
      </c>
    </row>
    <row r="2562" spans="1:13" x14ac:dyDescent="0.25">
      <c r="A2562" t="s">
        <v>8692</v>
      </c>
      <c r="B2562" t="s">
        <v>8693</v>
      </c>
      <c r="C2562" t="s">
        <v>589</v>
      </c>
      <c r="D2562" t="s">
        <v>6304</v>
      </c>
      <c r="E2562" t="s">
        <v>623</v>
      </c>
      <c r="F2562" t="s">
        <v>624</v>
      </c>
      <c r="G2562" t="s">
        <v>8694</v>
      </c>
      <c r="H2562" t="str">
        <f>HYPERLINK("https://baanknet.com/view-property/250891/5AE5C3F7E217C5AF647F7B47D740EC913D3DAFB1CE4C1BD6C4AD01EC60E303F4", "https://baanknet.com/view-property/250891/5AE5C3F7E217C5AF647F7B47D740EC913D3DAFB1CE4C1BD6C4AD01EC60E303F4")</f>
        <v>https://baanknet.com/view-property/250891/5AE5C3F7E217C5AF647F7B47D740EC913D3DAFB1CE4C1BD6C4AD01EC60E303F4</v>
      </c>
      <c r="I2562" t="str">
        <f>HYPERLINK("https://baanknet.com/view-property/250891/5AE5C3F7E217C5AF647F7B47D740EC913D3DAFB1CE4C1BD6C4AD01EC60E303F4", "Open")</f>
        <v>Open</v>
      </c>
      <c r="J2562" t="s">
        <v>3803</v>
      </c>
      <c r="L2562">
        <v>4594000</v>
      </c>
      <c r="M2562">
        <v>459400</v>
      </c>
    </row>
    <row r="2563" spans="1:13" x14ac:dyDescent="0.25">
      <c r="A2563" t="s">
        <v>8695</v>
      </c>
      <c r="B2563" t="s">
        <v>8696</v>
      </c>
      <c r="C2563" t="s">
        <v>589</v>
      </c>
      <c r="D2563" t="s">
        <v>6304</v>
      </c>
      <c r="E2563" t="s">
        <v>623</v>
      </c>
      <c r="F2563" t="s">
        <v>624</v>
      </c>
      <c r="G2563" t="s">
        <v>8697</v>
      </c>
      <c r="H2563" t="str">
        <f>HYPERLINK("https://baanknet.com/view-property/235489/417CBB705271E7BFAAB96C07F700DC1402F2A8209D24E762EFE40B8946D23535", "https://baanknet.com/view-property/235489/417CBB705271E7BFAAB96C07F700DC1402F2A8209D24E762EFE40B8946D23535")</f>
        <v>https://baanknet.com/view-property/235489/417CBB705271E7BFAAB96C07F700DC1402F2A8209D24E762EFE40B8946D23535</v>
      </c>
      <c r="I2563" t="str">
        <f>HYPERLINK("https://baanknet.com/view-property/235489/417CBB705271E7BFAAB96C07F700DC1402F2A8209D24E762EFE40B8946D23535", "Open")</f>
        <v>Open</v>
      </c>
      <c r="J2563" t="s">
        <v>3803</v>
      </c>
      <c r="L2563">
        <v>890000</v>
      </c>
      <c r="M2563">
        <v>89000</v>
      </c>
    </row>
    <row r="2564" spans="1:13" x14ac:dyDescent="0.25">
      <c r="A2564" t="s">
        <v>8698</v>
      </c>
      <c r="B2564" t="s">
        <v>8699</v>
      </c>
      <c r="C2564" t="s">
        <v>589</v>
      </c>
      <c r="D2564" t="s">
        <v>6304</v>
      </c>
      <c r="E2564" t="s">
        <v>623</v>
      </c>
      <c r="F2564" t="s">
        <v>624</v>
      </c>
      <c r="G2564" t="s">
        <v>8700</v>
      </c>
      <c r="H2564" t="str">
        <f>HYPERLINK("https://baanknet.com/view-property/244212/06F236B17B22328475667252EFD8827BA5CBE69B71B39AD81D10E7A9D368BC8A", "https://baanknet.com/view-property/244212/06F236B17B22328475667252EFD8827BA5CBE69B71B39AD81D10E7A9D368BC8A")</f>
        <v>https://baanknet.com/view-property/244212/06F236B17B22328475667252EFD8827BA5CBE69B71B39AD81D10E7A9D368BC8A</v>
      </c>
      <c r="I2564" t="str">
        <f>HYPERLINK("https://baanknet.com/view-property/244212/06F236B17B22328475667252EFD8827BA5CBE69B71B39AD81D10E7A9D368BC8A", "Open")</f>
        <v>Open</v>
      </c>
      <c r="J2564" t="s">
        <v>3803</v>
      </c>
      <c r="L2564">
        <v>2047000</v>
      </c>
      <c r="M2564">
        <v>204700</v>
      </c>
    </row>
    <row r="2565" spans="1:13" x14ac:dyDescent="0.25">
      <c r="A2565" t="s">
        <v>8701</v>
      </c>
      <c r="B2565" t="s">
        <v>8702</v>
      </c>
      <c r="C2565" t="s">
        <v>589</v>
      </c>
      <c r="D2565" t="s">
        <v>8703</v>
      </c>
      <c r="E2565" t="s">
        <v>623</v>
      </c>
      <c r="F2565" t="s">
        <v>624</v>
      </c>
      <c r="G2565" t="s">
        <v>8704</v>
      </c>
      <c r="H2565" t="str">
        <f>HYPERLINK("https://baanknet.com/view-property/262473/CF67933B7D137930756E05135D3A6EA2363443C72404195D682BD7A3CD693333", "https://baanknet.com/view-property/262473/CF67933B7D137930756E05135D3A6EA2363443C72404195D682BD7A3CD693333")</f>
        <v>https://baanknet.com/view-property/262473/CF67933B7D137930756E05135D3A6EA2363443C72404195D682BD7A3CD693333</v>
      </c>
      <c r="I2565" t="str">
        <f>HYPERLINK("https://baanknet.com/view-property/262473/CF67933B7D137930756E05135D3A6EA2363443C72404195D682BD7A3CD693333", "Open")</f>
        <v>Open</v>
      </c>
      <c r="J2565" t="s">
        <v>3803</v>
      </c>
      <c r="L2565">
        <v>1549000</v>
      </c>
      <c r="M2565">
        <v>154900</v>
      </c>
    </row>
    <row r="2566" spans="1:13" x14ac:dyDescent="0.25">
      <c r="A2566" t="s">
        <v>8705</v>
      </c>
      <c r="B2566" t="s">
        <v>8706</v>
      </c>
      <c r="C2566" t="s">
        <v>589</v>
      </c>
      <c r="D2566" t="s">
        <v>6304</v>
      </c>
      <c r="E2566" t="s">
        <v>623</v>
      </c>
      <c r="F2566" t="s">
        <v>624</v>
      </c>
      <c r="G2566" t="s">
        <v>8707</v>
      </c>
      <c r="H2566" t="str">
        <f>HYPERLINK("https://baanknet.com/view-property/250888/FC43B470E8806E85B38325127AD808F8798B8D8B9E2AB7CD228AF9CA344D60D0", "https://baanknet.com/view-property/250888/FC43B470E8806E85B38325127AD808F8798B8D8B9E2AB7CD228AF9CA344D60D0")</f>
        <v>https://baanknet.com/view-property/250888/FC43B470E8806E85B38325127AD808F8798B8D8B9E2AB7CD228AF9CA344D60D0</v>
      </c>
      <c r="I2566" t="str">
        <f>HYPERLINK("https://baanknet.com/view-property/250888/FC43B470E8806E85B38325127AD808F8798B8D8B9E2AB7CD228AF9CA344D60D0", "Open")</f>
        <v>Open</v>
      </c>
      <c r="J2566" t="s">
        <v>3803</v>
      </c>
      <c r="L2566">
        <v>2089000</v>
      </c>
      <c r="M2566">
        <v>208900</v>
      </c>
    </row>
    <row r="2567" spans="1:13" x14ac:dyDescent="0.25">
      <c r="A2567" t="s">
        <v>8708</v>
      </c>
      <c r="B2567" t="s">
        <v>8709</v>
      </c>
      <c r="C2567" t="s">
        <v>589</v>
      </c>
      <c r="D2567" t="s">
        <v>8710</v>
      </c>
      <c r="E2567" t="s">
        <v>623</v>
      </c>
      <c r="F2567" t="s">
        <v>624</v>
      </c>
      <c r="G2567" t="s">
        <v>8711</v>
      </c>
      <c r="H2567" t="str">
        <f>HYPERLINK("https://baanknet.com/view-property/201155/F8095042104268DADA3372A7A4849B3C4B40E1DA08DC20C654957DD13349046B", "https://baanknet.com/view-property/201155/F8095042104268DADA3372A7A4849B3C4B40E1DA08DC20C654957DD13349046B")</f>
        <v>https://baanknet.com/view-property/201155/F8095042104268DADA3372A7A4849B3C4B40E1DA08DC20C654957DD13349046B</v>
      </c>
      <c r="I2567" t="str">
        <f>HYPERLINK("https://baanknet.com/view-property/201155/F8095042104268DADA3372A7A4849B3C4B40E1DA08DC20C654957DD13349046B", "Open")</f>
        <v>Open</v>
      </c>
      <c r="J2567" t="s">
        <v>3803</v>
      </c>
      <c r="L2567">
        <v>3748000</v>
      </c>
      <c r="M2567">
        <v>374800</v>
      </c>
    </row>
    <row r="2568" spans="1:13" x14ac:dyDescent="0.25">
      <c r="A2568" t="s">
        <v>8712</v>
      </c>
      <c r="B2568" t="s">
        <v>8713</v>
      </c>
      <c r="C2568" t="s">
        <v>589</v>
      </c>
      <c r="D2568" t="s">
        <v>8714</v>
      </c>
      <c r="E2568" t="s">
        <v>623</v>
      </c>
      <c r="F2568" t="s">
        <v>624</v>
      </c>
      <c r="G2568" t="s">
        <v>8715</v>
      </c>
      <c r="H2568" t="str">
        <f>HYPERLINK("https://baanknet.com/view-property/286008/4756A615434CF981C23C2F2CAF006709D2C0429D57FABC4195530C43169E7E4F", "https://baanknet.com/view-property/286008/4756A615434CF981C23C2F2CAF006709D2C0429D57FABC4195530C43169E7E4F")</f>
        <v>https://baanknet.com/view-property/286008/4756A615434CF981C23C2F2CAF006709D2C0429D57FABC4195530C43169E7E4F</v>
      </c>
      <c r="I2568" t="str">
        <f>HYPERLINK("https://baanknet.com/view-property/286008/4756A615434CF981C23C2F2CAF006709D2C0429D57FABC4195530C43169E7E4F", "Open")</f>
        <v>Open</v>
      </c>
      <c r="J2568" t="s">
        <v>3803</v>
      </c>
      <c r="L2568">
        <v>4433000</v>
      </c>
      <c r="M2568">
        <v>443300</v>
      </c>
    </row>
    <row r="2569" spans="1:13" x14ac:dyDescent="0.25">
      <c r="A2569" t="s">
        <v>8716</v>
      </c>
      <c r="B2569" t="s">
        <v>8717</v>
      </c>
      <c r="C2569" t="s">
        <v>589</v>
      </c>
      <c r="D2569" t="s">
        <v>5365</v>
      </c>
      <c r="E2569" t="s">
        <v>623</v>
      </c>
      <c r="F2569" t="s">
        <v>624</v>
      </c>
      <c r="G2569" t="s">
        <v>8718</v>
      </c>
      <c r="H2569" t="str">
        <f>HYPERLINK("https://baanknet.com/view-property/285931/01E3226F0153F5A981B0F2BFF0F0E9F3EF082948F54CB3042D98ED671CA74CEB", "https://baanknet.com/view-property/285931/01E3226F0153F5A981B0F2BFF0F0E9F3EF082948F54CB3042D98ED671CA74CEB")</f>
        <v>https://baanknet.com/view-property/285931/01E3226F0153F5A981B0F2BFF0F0E9F3EF082948F54CB3042D98ED671CA74CEB</v>
      </c>
      <c r="I2569" t="str">
        <f>HYPERLINK("https://baanknet.com/view-property/285931/01E3226F0153F5A981B0F2BFF0F0E9F3EF082948F54CB3042D98ED671CA74CEB", "Open")</f>
        <v>Open</v>
      </c>
      <c r="J2569" t="s">
        <v>3803</v>
      </c>
      <c r="L2569">
        <v>840000</v>
      </c>
      <c r="M2569">
        <v>84000</v>
      </c>
    </row>
    <row r="2570" spans="1:13" x14ac:dyDescent="0.25">
      <c r="A2570" t="s">
        <v>8719</v>
      </c>
      <c r="B2570" t="s">
        <v>8720</v>
      </c>
      <c r="C2570" t="s">
        <v>589</v>
      </c>
      <c r="D2570" t="s">
        <v>8721</v>
      </c>
      <c r="E2570" t="s">
        <v>623</v>
      </c>
      <c r="F2570" t="s">
        <v>624</v>
      </c>
      <c r="G2570" t="s">
        <v>8722</v>
      </c>
      <c r="H2570" t="str">
        <f>HYPERLINK("https://baanknet.com/view-property/276653/6BDD44467A1843F696906A2190FEB1CC19E29D812AB0B491327ED7A973D32177", "https://baanknet.com/view-property/276653/6BDD44467A1843F696906A2190FEB1CC19E29D812AB0B491327ED7A973D32177")</f>
        <v>https://baanknet.com/view-property/276653/6BDD44467A1843F696906A2190FEB1CC19E29D812AB0B491327ED7A973D32177</v>
      </c>
      <c r="I2570" t="str">
        <f>HYPERLINK("https://baanknet.com/view-property/276653/6BDD44467A1843F696906A2190FEB1CC19E29D812AB0B491327ED7A973D32177", "Open")</f>
        <v>Open</v>
      </c>
      <c r="J2570" t="s">
        <v>3803</v>
      </c>
      <c r="L2570">
        <v>1400000</v>
      </c>
      <c r="M2570">
        <v>140000</v>
      </c>
    </row>
    <row r="2571" spans="1:13" x14ac:dyDescent="0.25">
      <c r="A2571" t="s">
        <v>8723</v>
      </c>
      <c r="B2571" t="s">
        <v>8724</v>
      </c>
      <c r="C2571" t="s">
        <v>589</v>
      </c>
      <c r="D2571" t="s">
        <v>1896</v>
      </c>
      <c r="E2571" t="s">
        <v>623</v>
      </c>
      <c r="F2571" t="s">
        <v>624</v>
      </c>
      <c r="G2571" t="s">
        <v>8725</v>
      </c>
      <c r="H2571" t="str">
        <f>HYPERLINK("https://baanknet.com/view-property/286057/748855E1DD2C54BECD924D8D159721A5700639100EE5C0E55D03F21015ED6D35", "https://baanknet.com/view-property/286057/748855E1DD2C54BECD924D8D159721A5700639100EE5C0E55D03F21015ED6D35")</f>
        <v>https://baanknet.com/view-property/286057/748855E1DD2C54BECD924D8D159721A5700639100EE5C0E55D03F21015ED6D35</v>
      </c>
      <c r="I2571" t="str">
        <f>HYPERLINK("https://baanknet.com/view-property/286057/748855E1DD2C54BECD924D8D159721A5700639100EE5C0E55D03F21015ED6D35", "Open")</f>
        <v>Open</v>
      </c>
      <c r="J2571" t="s">
        <v>3803</v>
      </c>
      <c r="L2571">
        <v>9900000</v>
      </c>
      <c r="M2571">
        <v>990000</v>
      </c>
    </row>
    <row r="2572" spans="1:13" x14ac:dyDescent="0.25">
      <c r="A2572" t="s">
        <v>8726</v>
      </c>
      <c r="B2572" t="s">
        <v>8727</v>
      </c>
      <c r="C2572" t="s">
        <v>589</v>
      </c>
      <c r="D2572" t="s">
        <v>5365</v>
      </c>
      <c r="E2572" t="s">
        <v>623</v>
      </c>
      <c r="F2572" t="s">
        <v>624</v>
      </c>
      <c r="G2572" t="s">
        <v>8728</v>
      </c>
      <c r="H2572" t="str">
        <f>HYPERLINK("https://baanknet.com/view-property/285932/68F4AA15AB3AC327F14BC45DF4D953F45DBA9AA941F64C720AC2EE07DF921A7A", "https://baanknet.com/view-property/285932/68F4AA15AB3AC327F14BC45DF4D953F45DBA9AA941F64C720AC2EE07DF921A7A")</f>
        <v>https://baanknet.com/view-property/285932/68F4AA15AB3AC327F14BC45DF4D953F45DBA9AA941F64C720AC2EE07DF921A7A</v>
      </c>
      <c r="I2572" t="str">
        <f>HYPERLINK("https://baanknet.com/view-property/285932/68F4AA15AB3AC327F14BC45DF4D953F45DBA9AA941F64C720AC2EE07DF921A7A", "Open")</f>
        <v>Open</v>
      </c>
      <c r="J2572" t="s">
        <v>3803</v>
      </c>
      <c r="L2572">
        <v>1960000</v>
      </c>
      <c r="M2572">
        <v>196000</v>
      </c>
    </row>
    <row r="2573" spans="1:13" x14ac:dyDescent="0.25">
      <c r="A2573" t="s">
        <v>8729</v>
      </c>
      <c r="B2573" t="s">
        <v>8730</v>
      </c>
      <c r="C2573" t="s">
        <v>589</v>
      </c>
      <c r="D2573" t="s">
        <v>5365</v>
      </c>
      <c r="E2573" t="s">
        <v>623</v>
      </c>
      <c r="F2573" t="s">
        <v>624</v>
      </c>
      <c r="G2573" t="s">
        <v>8731</v>
      </c>
      <c r="H2573" t="str">
        <f>HYPERLINK("https://baanknet.com/view-property/285934/F143248BA31B4C663F0D5B0A63436923308B66024A5AB2992E9D85913D2432D2", "https://baanknet.com/view-property/285934/F143248BA31B4C663F0D5B0A63436923308B66024A5AB2992E9D85913D2432D2")</f>
        <v>https://baanknet.com/view-property/285934/F143248BA31B4C663F0D5B0A63436923308B66024A5AB2992E9D85913D2432D2</v>
      </c>
      <c r="I2573" t="str">
        <f>HYPERLINK("https://baanknet.com/view-property/285934/F143248BA31B4C663F0D5B0A63436923308B66024A5AB2992E9D85913D2432D2", "Open")</f>
        <v>Open</v>
      </c>
      <c r="J2573" t="s">
        <v>3803</v>
      </c>
      <c r="L2573">
        <v>2242000</v>
      </c>
      <c r="M2573">
        <v>224200</v>
      </c>
    </row>
    <row r="2574" spans="1:13" x14ac:dyDescent="0.25">
      <c r="A2574" t="s">
        <v>8732</v>
      </c>
      <c r="B2574" t="s">
        <v>8733</v>
      </c>
      <c r="C2574" t="s">
        <v>589</v>
      </c>
      <c r="D2574" t="s">
        <v>8734</v>
      </c>
      <c r="E2574" t="s">
        <v>623</v>
      </c>
      <c r="F2574" t="s">
        <v>624</v>
      </c>
      <c r="G2574" t="s">
        <v>8735</v>
      </c>
      <c r="H2574" t="str">
        <f>HYPERLINK("https://baanknet.com/view-property/285936/D1B66A9441CC450EBB0522093C25B6AC020F6AFD82D1B36F278EC80DA47FF539", "https://baanknet.com/view-property/285936/D1B66A9441CC450EBB0522093C25B6AC020F6AFD82D1B36F278EC80DA47FF539")</f>
        <v>https://baanknet.com/view-property/285936/D1B66A9441CC450EBB0522093C25B6AC020F6AFD82D1B36F278EC80DA47FF539</v>
      </c>
      <c r="I2574" t="str">
        <f>HYPERLINK("https://baanknet.com/view-property/285936/D1B66A9441CC450EBB0522093C25B6AC020F6AFD82D1B36F278EC80DA47FF539", "Open")</f>
        <v>Open</v>
      </c>
      <c r="J2574" t="s">
        <v>3803</v>
      </c>
      <c r="L2574">
        <v>1454000</v>
      </c>
      <c r="M2574">
        <v>145400</v>
      </c>
    </row>
    <row r="2575" spans="1:13" x14ac:dyDescent="0.25">
      <c r="A2575" t="s">
        <v>8736</v>
      </c>
      <c r="B2575" t="s">
        <v>8737</v>
      </c>
      <c r="C2575" t="s">
        <v>589</v>
      </c>
      <c r="D2575" t="s">
        <v>4057</v>
      </c>
      <c r="E2575" t="s">
        <v>623</v>
      </c>
      <c r="F2575" t="s">
        <v>624</v>
      </c>
      <c r="G2575" t="s">
        <v>8738</v>
      </c>
      <c r="H2575" t="str">
        <f>HYPERLINK("https://baanknet.com/view-property/283350/1E399756C4D4F14FC27459F511ED5219DA394E7D11125B8695D03AC4EF8D46E0", "https://baanknet.com/view-property/283350/1E399756C4D4F14FC27459F511ED5219DA394E7D11125B8695D03AC4EF8D46E0")</f>
        <v>https://baanknet.com/view-property/283350/1E399756C4D4F14FC27459F511ED5219DA394E7D11125B8695D03AC4EF8D46E0</v>
      </c>
      <c r="I2575" t="str">
        <f>HYPERLINK("https://baanknet.com/view-property/283350/1E399756C4D4F14FC27459F511ED5219DA394E7D11125B8695D03AC4EF8D46E0", "Open")</f>
        <v>Open</v>
      </c>
      <c r="J2575" t="s">
        <v>3803</v>
      </c>
      <c r="L2575">
        <v>1360000</v>
      </c>
      <c r="M2575">
        <v>136000</v>
      </c>
    </row>
    <row r="2576" spans="1:13" x14ac:dyDescent="0.25">
      <c r="A2576" t="s">
        <v>8739</v>
      </c>
      <c r="B2576" t="s">
        <v>8740</v>
      </c>
      <c r="C2576" t="s">
        <v>589</v>
      </c>
      <c r="D2576" t="s">
        <v>4471</v>
      </c>
      <c r="E2576" t="s">
        <v>623</v>
      </c>
      <c r="F2576" t="s">
        <v>624</v>
      </c>
      <c r="G2576" t="s">
        <v>8741</v>
      </c>
      <c r="H2576" t="str">
        <f>HYPERLINK("https://baanknet.com/view-property/283329/691F596667E97AA92E8471848C220721DD8A7CD827D731B244406BA62C789384", "https://baanknet.com/view-property/283329/691F596667E97AA92E8471848C220721DD8A7CD827D731B244406BA62C789384")</f>
        <v>https://baanknet.com/view-property/283329/691F596667E97AA92E8471848C220721DD8A7CD827D731B244406BA62C789384</v>
      </c>
      <c r="I2576" t="str">
        <f>HYPERLINK("https://baanknet.com/view-property/283329/691F596667E97AA92E8471848C220721DD8A7CD827D731B244406BA62C789384", "Open")</f>
        <v>Open</v>
      </c>
      <c r="J2576" t="s">
        <v>3803</v>
      </c>
      <c r="L2576">
        <v>1904000</v>
      </c>
      <c r="M2576">
        <v>190400</v>
      </c>
    </row>
    <row r="2577" spans="1:13" x14ac:dyDescent="0.25">
      <c r="A2577" t="s">
        <v>8742</v>
      </c>
      <c r="B2577" t="s">
        <v>8743</v>
      </c>
      <c r="C2577" t="s">
        <v>589</v>
      </c>
      <c r="D2577" t="s">
        <v>4471</v>
      </c>
      <c r="E2577" t="s">
        <v>623</v>
      </c>
      <c r="F2577" t="s">
        <v>624</v>
      </c>
      <c r="G2577" t="s">
        <v>8744</v>
      </c>
      <c r="H2577" t="str">
        <f>HYPERLINK("https://baanknet.com/view-property/283344/FC082848F25211C9E97151A5BD136C6A41967886A533135BB4ADD62E64D0E2C2", "https://baanknet.com/view-property/283344/FC082848F25211C9E97151A5BD136C6A41967886A533135BB4ADD62E64D0E2C2")</f>
        <v>https://baanknet.com/view-property/283344/FC082848F25211C9E97151A5BD136C6A41967886A533135BB4ADD62E64D0E2C2</v>
      </c>
      <c r="I2577" t="str">
        <f>HYPERLINK("https://baanknet.com/view-property/283344/FC082848F25211C9E97151A5BD136C6A41967886A533135BB4ADD62E64D0E2C2", "Open")</f>
        <v>Open</v>
      </c>
      <c r="J2577" t="s">
        <v>3803</v>
      </c>
      <c r="L2577">
        <v>1367000</v>
      </c>
      <c r="M2577">
        <v>136700</v>
      </c>
    </row>
    <row r="2578" spans="1:13" x14ac:dyDescent="0.25">
      <c r="A2578" t="s">
        <v>8745</v>
      </c>
      <c r="B2578" t="s">
        <v>8746</v>
      </c>
      <c r="C2578" t="s">
        <v>589</v>
      </c>
      <c r="D2578" t="s">
        <v>8747</v>
      </c>
      <c r="E2578" t="s">
        <v>623</v>
      </c>
      <c r="F2578" t="s">
        <v>624</v>
      </c>
      <c r="G2578" t="s">
        <v>8748</v>
      </c>
      <c r="H2578" t="str">
        <f>HYPERLINK("https://baanknet.com/view-property/285933/F39E1C8341690B2DDA513D1572CBB15439C5DF6B60A4233206C195F17348AA43", "https://baanknet.com/view-property/285933/F39E1C8341690B2DDA513D1572CBB15439C5DF6B60A4233206C195F17348AA43")</f>
        <v>https://baanknet.com/view-property/285933/F39E1C8341690B2DDA513D1572CBB15439C5DF6B60A4233206C195F17348AA43</v>
      </c>
      <c r="I2578" t="str">
        <f>HYPERLINK("https://baanknet.com/view-property/285933/F39E1C8341690B2DDA513D1572CBB15439C5DF6B60A4233206C195F17348AA43", "Open")</f>
        <v>Open</v>
      </c>
      <c r="J2578" t="s">
        <v>3803</v>
      </c>
      <c r="L2578">
        <v>1280000</v>
      </c>
      <c r="M2578">
        <v>128000</v>
      </c>
    </row>
    <row r="2579" spans="1:13" x14ac:dyDescent="0.25">
      <c r="A2579" t="s">
        <v>8749</v>
      </c>
      <c r="B2579" t="s">
        <v>8750</v>
      </c>
      <c r="C2579" t="s">
        <v>589</v>
      </c>
      <c r="D2579" t="s">
        <v>2477</v>
      </c>
      <c r="E2579" t="s">
        <v>623</v>
      </c>
      <c r="F2579" t="s">
        <v>624</v>
      </c>
      <c r="G2579" t="s">
        <v>8751</v>
      </c>
      <c r="H2579" t="str">
        <f>HYPERLINK("https://baanknet.com/view-property/286138/F113E3AE7259BFA72B004A0592F612706034579E046AB814EC6D916C55B0B9E3", "https://baanknet.com/view-property/286138/F113E3AE7259BFA72B004A0592F612706034579E046AB814EC6D916C55B0B9E3")</f>
        <v>https://baanknet.com/view-property/286138/F113E3AE7259BFA72B004A0592F612706034579E046AB814EC6D916C55B0B9E3</v>
      </c>
      <c r="I2579" t="str">
        <f>HYPERLINK("https://baanknet.com/view-property/286138/F113E3AE7259BFA72B004A0592F612706034579E046AB814EC6D916C55B0B9E3", "Open")</f>
        <v>Open</v>
      </c>
      <c r="J2579" t="s">
        <v>3803</v>
      </c>
      <c r="L2579">
        <v>67300000</v>
      </c>
      <c r="M2579">
        <v>6730000</v>
      </c>
    </row>
    <row r="2580" spans="1:13" x14ac:dyDescent="0.25">
      <c r="A2580" t="s">
        <v>8752</v>
      </c>
      <c r="B2580" t="s">
        <v>8753</v>
      </c>
      <c r="C2580" t="s">
        <v>589</v>
      </c>
      <c r="D2580" t="s">
        <v>2477</v>
      </c>
      <c r="E2580" t="s">
        <v>623</v>
      </c>
      <c r="F2580" t="s">
        <v>624</v>
      </c>
      <c r="G2580" t="s">
        <v>8754</v>
      </c>
      <c r="H2580" t="str">
        <f>HYPERLINK("https://baanknet.com/view-property/286135/E1062C288DE9ECAB66655255EA594250955DF52E100B168A074201B0674D6458", "https://baanknet.com/view-property/286135/E1062C288DE9ECAB66655255EA594250955DF52E100B168A074201B0674D6458")</f>
        <v>https://baanknet.com/view-property/286135/E1062C288DE9ECAB66655255EA594250955DF52E100B168A074201B0674D6458</v>
      </c>
      <c r="I2580" t="str">
        <f>HYPERLINK("https://baanknet.com/view-property/286135/E1062C288DE9ECAB66655255EA594250955DF52E100B168A074201B0674D6458", "Open")</f>
        <v>Open</v>
      </c>
      <c r="J2580" t="s">
        <v>3803</v>
      </c>
      <c r="L2580">
        <v>67300000</v>
      </c>
      <c r="M2580">
        <v>6730000</v>
      </c>
    </row>
    <row r="2581" spans="1:13" x14ac:dyDescent="0.25">
      <c r="A2581" t="s">
        <v>8755</v>
      </c>
      <c r="B2581" t="s">
        <v>8756</v>
      </c>
      <c r="C2581" t="s">
        <v>589</v>
      </c>
      <c r="D2581" t="s">
        <v>2477</v>
      </c>
      <c r="E2581" t="s">
        <v>623</v>
      </c>
      <c r="F2581" t="s">
        <v>624</v>
      </c>
      <c r="G2581" t="s">
        <v>8757</v>
      </c>
      <c r="H2581" t="str">
        <f>HYPERLINK("https://baanknet.com/view-property/286124/50914CCD03AADD1E998C354CD3C71041A3A3AD96EE1CAD5F2E2F41D3705D8A2E", "https://baanknet.com/view-property/286124/50914CCD03AADD1E998C354CD3C71041A3A3AD96EE1CAD5F2E2F41D3705D8A2E")</f>
        <v>https://baanknet.com/view-property/286124/50914CCD03AADD1E998C354CD3C71041A3A3AD96EE1CAD5F2E2F41D3705D8A2E</v>
      </c>
      <c r="I2581" t="str">
        <f>HYPERLINK("https://baanknet.com/view-property/286124/50914CCD03AADD1E998C354CD3C71041A3A3AD96EE1CAD5F2E2F41D3705D8A2E", "Open")</f>
        <v>Open</v>
      </c>
      <c r="J2581" t="s">
        <v>3803</v>
      </c>
      <c r="L2581">
        <v>96500000</v>
      </c>
      <c r="M2581">
        <v>9650000</v>
      </c>
    </row>
    <row r="2582" spans="1:13" x14ac:dyDescent="0.25">
      <c r="A2582" t="s">
        <v>8758</v>
      </c>
      <c r="B2582" t="s">
        <v>8759</v>
      </c>
      <c r="C2582" t="s">
        <v>589</v>
      </c>
      <c r="D2582" t="s">
        <v>2477</v>
      </c>
      <c r="E2582" t="s">
        <v>623</v>
      </c>
      <c r="F2582" t="s">
        <v>624</v>
      </c>
      <c r="G2582" t="s">
        <v>8760</v>
      </c>
      <c r="H2582" t="str">
        <f>HYPERLINK("https://baanknet.com/view-property/286112/E9486FBB50BAE8CDEBE37A363797CAABBEABB2E555C454D3FBA1143C08D903FB", "https://baanknet.com/view-property/286112/E9486FBB50BAE8CDEBE37A363797CAABBEABB2E555C454D3FBA1143C08D903FB")</f>
        <v>https://baanknet.com/view-property/286112/E9486FBB50BAE8CDEBE37A363797CAABBEABB2E555C454D3FBA1143C08D903FB</v>
      </c>
      <c r="I2582" t="str">
        <f>HYPERLINK("https://baanknet.com/view-property/286112/E9486FBB50BAE8CDEBE37A363797CAABBEABB2E555C454D3FBA1143C08D903FB", "Open")</f>
        <v>Open</v>
      </c>
      <c r="J2582" t="s">
        <v>3803</v>
      </c>
      <c r="L2582">
        <v>121800000</v>
      </c>
      <c r="M2582">
        <v>12180000</v>
      </c>
    </row>
    <row r="2583" spans="1:13" x14ac:dyDescent="0.25">
      <c r="A2583" t="s">
        <v>8761</v>
      </c>
      <c r="B2583" t="s">
        <v>8762</v>
      </c>
      <c r="C2583" t="s">
        <v>589</v>
      </c>
      <c r="D2583" t="s">
        <v>2477</v>
      </c>
      <c r="E2583" t="s">
        <v>623</v>
      </c>
      <c r="F2583" t="s">
        <v>624</v>
      </c>
      <c r="G2583" t="s">
        <v>8763</v>
      </c>
      <c r="H2583" t="str">
        <f>HYPERLINK("https://baanknet.com/view-property/286097/5EA255E20E15D811D5E134130923F9979463163C87DACACA64C658DB5AD5C378", "https://baanknet.com/view-property/286097/5EA255E20E15D811D5E134130923F9979463163C87DACACA64C658DB5AD5C378")</f>
        <v>https://baanknet.com/view-property/286097/5EA255E20E15D811D5E134130923F9979463163C87DACACA64C658DB5AD5C378</v>
      </c>
      <c r="I2583" t="str">
        <f>HYPERLINK("https://baanknet.com/view-property/286097/5EA255E20E15D811D5E134130923F9979463163C87DACACA64C658DB5AD5C378", "Open")</f>
        <v>Open</v>
      </c>
      <c r="J2583" t="s">
        <v>3803</v>
      </c>
      <c r="L2583">
        <v>118300000</v>
      </c>
      <c r="M2583">
        <v>11830000</v>
      </c>
    </row>
    <row r="2584" spans="1:13" x14ac:dyDescent="0.25">
      <c r="A2584" t="s">
        <v>8764</v>
      </c>
      <c r="B2584" t="s">
        <v>8765</v>
      </c>
      <c r="C2584" t="s">
        <v>589</v>
      </c>
      <c r="D2584" t="s">
        <v>2477</v>
      </c>
      <c r="E2584" t="s">
        <v>623</v>
      </c>
      <c r="F2584" t="s">
        <v>624</v>
      </c>
      <c r="G2584" t="s">
        <v>8766</v>
      </c>
      <c r="H2584" t="str">
        <f>HYPERLINK("https://baanknet.com/view-property/286089/C89156685C6DBD831A7B6EFFC2CCF1D2454B891323E0107B9BE6FD53F6F192F2", "https://baanknet.com/view-property/286089/C89156685C6DBD831A7B6EFFC2CCF1D2454B891323E0107B9BE6FD53F6F192F2")</f>
        <v>https://baanknet.com/view-property/286089/C89156685C6DBD831A7B6EFFC2CCF1D2454B891323E0107B9BE6FD53F6F192F2</v>
      </c>
      <c r="I2584" t="str">
        <f>HYPERLINK("https://baanknet.com/view-property/286089/C89156685C6DBD831A7B6EFFC2CCF1D2454B891323E0107B9BE6FD53F6F192F2", "Open")</f>
        <v>Open</v>
      </c>
      <c r="J2584" t="s">
        <v>3803</v>
      </c>
      <c r="L2584">
        <v>81600000</v>
      </c>
      <c r="M2584">
        <v>8160000</v>
      </c>
    </row>
    <row r="2585" spans="1:13" x14ac:dyDescent="0.25">
      <c r="A2585" t="s">
        <v>8767</v>
      </c>
      <c r="B2585" t="s">
        <v>8768</v>
      </c>
      <c r="C2585" t="s">
        <v>589</v>
      </c>
      <c r="D2585" t="s">
        <v>8769</v>
      </c>
      <c r="E2585" t="s">
        <v>623</v>
      </c>
      <c r="F2585" t="s">
        <v>624</v>
      </c>
      <c r="G2585" t="s">
        <v>8770</v>
      </c>
      <c r="H2585" t="str">
        <f>HYPERLINK("https://baanknet.com/view-property/277420/285F09215A2A42ED22CCBC6EEB470C5440BDCE91504C808252D435B628DF11C0", "https://baanknet.com/view-property/277420/285F09215A2A42ED22CCBC6EEB470C5440BDCE91504C808252D435B628DF11C0")</f>
        <v>https://baanknet.com/view-property/277420/285F09215A2A42ED22CCBC6EEB470C5440BDCE91504C808252D435B628DF11C0</v>
      </c>
      <c r="I2585" t="str">
        <f>HYPERLINK("https://baanknet.com/view-property/277420/285F09215A2A42ED22CCBC6EEB470C5440BDCE91504C808252D435B628DF11C0", "Open")</f>
        <v>Open</v>
      </c>
      <c r="J2585" t="s">
        <v>3803</v>
      </c>
      <c r="L2585">
        <v>4984000</v>
      </c>
      <c r="M2585">
        <v>498400</v>
      </c>
    </row>
    <row r="2586" spans="1:13" x14ac:dyDescent="0.25">
      <c r="A2586" t="s">
        <v>8771</v>
      </c>
      <c r="B2586" t="s">
        <v>8772</v>
      </c>
      <c r="C2586" t="s">
        <v>589</v>
      </c>
      <c r="D2586" t="s">
        <v>3165</v>
      </c>
      <c r="E2586" t="s">
        <v>623</v>
      </c>
      <c r="F2586" t="s">
        <v>624</v>
      </c>
      <c r="G2586" t="s">
        <v>8773</v>
      </c>
      <c r="H2586" t="str">
        <f>HYPERLINK("https://baanknet.com/view-property/277469/BAB21090AF991019A5377F5CAA375CB858157081E87A515F5A8A089968F18BDB", "https://baanknet.com/view-property/277469/BAB21090AF991019A5377F5CAA375CB858157081E87A515F5A8A089968F18BDB")</f>
        <v>https://baanknet.com/view-property/277469/BAB21090AF991019A5377F5CAA375CB858157081E87A515F5A8A089968F18BDB</v>
      </c>
      <c r="I2586" t="str">
        <f>HYPERLINK("https://baanknet.com/view-property/277469/BAB21090AF991019A5377F5CAA375CB858157081E87A515F5A8A089968F18BDB", "Open")</f>
        <v>Open</v>
      </c>
      <c r="J2586" t="s">
        <v>3803</v>
      </c>
      <c r="L2586">
        <v>1500000</v>
      </c>
      <c r="M2586">
        <v>150000</v>
      </c>
    </row>
    <row r="2587" spans="1:13" x14ac:dyDescent="0.25">
      <c r="A2587" t="s">
        <v>8774</v>
      </c>
      <c r="B2587" t="s">
        <v>8775</v>
      </c>
      <c r="C2587" t="s">
        <v>589</v>
      </c>
      <c r="D2587" t="s">
        <v>8776</v>
      </c>
      <c r="E2587" t="s">
        <v>623</v>
      </c>
      <c r="F2587" t="s">
        <v>624</v>
      </c>
      <c r="G2587" t="s">
        <v>8777</v>
      </c>
      <c r="H2587" t="str">
        <f>HYPERLINK("https://baanknet.com/view-property/183440/E691C562973B1104EE4C2A0ABBABE1BC692C20C9ADFA2512B754D75C8619E6EA", "https://baanknet.com/view-property/183440/E691C562973B1104EE4C2A0ABBABE1BC692C20C9ADFA2512B754D75C8619E6EA")</f>
        <v>https://baanknet.com/view-property/183440/E691C562973B1104EE4C2A0ABBABE1BC692C20C9ADFA2512B754D75C8619E6EA</v>
      </c>
      <c r="I2587" t="str">
        <f>HYPERLINK("https://baanknet.com/view-property/183440/E691C562973B1104EE4C2A0ABBABE1BC692C20C9ADFA2512B754D75C8619E6EA", "Open")</f>
        <v>Open</v>
      </c>
      <c r="J2587" t="s">
        <v>3803</v>
      </c>
      <c r="L2587">
        <v>45970000</v>
      </c>
      <c r="M2587">
        <v>4597000</v>
      </c>
    </row>
    <row r="2588" spans="1:13" x14ac:dyDescent="0.25">
      <c r="A2588" t="s">
        <v>8778</v>
      </c>
      <c r="B2588" t="s">
        <v>8779</v>
      </c>
      <c r="C2588" t="s">
        <v>589</v>
      </c>
      <c r="D2588" t="s">
        <v>8780</v>
      </c>
      <c r="E2588" t="s">
        <v>623</v>
      </c>
      <c r="F2588" t="s">
        <v>624</v>
      </c>
      <c r="G2588" t="s">
        <v>8781</v>
      </c>
      <c r="H2588" t="str">
        <f>HYPERLINK("https://baanknet.com/view-property/285322/4864E5B4F489B8F88CFA6A966C00F5B4C4C9630761B7CE8B8E50E3A3ACBE2022", "https://baanknet.com/view-property/285322/4864E5B4F489B8F88CFA6A966C00F5B4C4C9630761B7CE8B8E50E3A3ACBE2022")</f>
        <v>https://baanknet.com/view-property/285322/4864E5B4F489B8F88CFA6A966C00F5B4C4C9630761B7CE8B8E50E3A3ACBE2022</v>
      </c>
      <c r="I2588" t="str">
        <f>HYPERLINK("https://baanknet.com/view-property/285322/4864E5B4F489B8F88CFA6A966C00F5B4C4C9630761B7CE8B8E50E3A3ACBE2022", "Open")</f>
        <v>Open</v>
      </c>
      <c r="J2588" t="s">
        <v>3803</v>
      </c>
      <c r="L2588">
        <v>13500000</v>
      </c>
      <c r="M2588">
        <v>1350000</v>
      </c>
    </row>
    <row r="2589" spans="1:13" x14ac:dyDescent="0.25">
      <c r="A2589" t="s">
        <v>8782</v>
      </c>
      <c r="B2589" t="s">
        <v>8783</v>
      </c>
      <c r="C2589" t="s">
        <v>589</v>
      </c>
      <c r="D2589" t="s">
        <v>4542</v>
      </c>
      <c r="E2589" t="s">
        <v>623</v>
      </c>
      <c r="F2589" t="s">
        <v>624</v>
      </c>
      <c r="G2589" t="s">
        <v>8784</v>
      </c>
      <c r="H2589" t="str">
        <f>HYPERLINK("https://baanknet.com/view-property/221490/4EEB0600C8C44A1C858147F749DBA937610E7030FA7B503F8DD783C5D5D7E160", "https://baanknet.com/view-property/221490/4EEB0600C8C44A1C858147F749DBA937610E7030FA7B503F8DD783C5D5D7E160")</f>
        <v>https://baanknet.com/view-property/221490/4EEB0600C8C44A1C858147F749DBA937610E7030FA7B503F8DD783C5D5D7E160</v>
      </c>
      <c r="I2589" t="str">
        <f>HYPERLINK("https://baanknet.com/view-property/221490/4EEB0600C8C44A1C858147F749DBA937610E7030FA7B503F8DD783C5D5D7E160", "Open")</f>
        <v>Open</v>
      </c>
      <c r="J2589" t="s">
        <v>3803</v>
      </c>
      <c r="L2589">
        <v>3012000</v>
      </c>
      <c r="M2589">
        <v>301200</v>
      </c>
    </row>
    <row r="2590" spans="1:13" x14ac:dyDescent="0.25">
      <c r="A2590" t="s">
        <v>8785</v>
      </c>
      <c r="B2590" t="s">
        <v>8786</v>
      </c>
      <c r="C2590" t="s">
        <v>589</v>
      </c>
      <c r="D2590" t="s">
        <v>76</v>
      </c>
      <c r="E2590" t="s">
        <v>623</v>
      </c>
      <c r="F2590" t="s">
        <v>624</v>
      </c>
      <c r="G2590" t="s">
        <v>8787</v>
      </c>
      <c r="H2590" t="str">
        <f>HYPERLINK("https://baanknet.com/view-property/286427/4BE5C80C4EC5371A7D6624CD67472FC2C38E6AE152229E3B2A1BFD02DDA49DD5", "https://baanknet.com/view-property/286427/4BE5C80C4EC5371A7D6624CD67472FC2C38E6AE152229E3B2A1BFD02DDA49DD5")</f>
        <v>https://baanknet.com/view-property/286427/4BE5C80C4EC5371A7D6624CD67472FC2C38E6AE152229E3B2A1BFD02DDA49DD5</v>
      </c>
      <c r="I2590" t="str">
        <f>HYPERLINK("https://baanknet.com/view-property/286427/4BE5C80C4EC5371A7D6624CD67472FC2C38E6AE152229E3B2A1BFD02DDA49DD5", "Open")</f>
        <v>Open</v>
      </c>
      <c r="J2590" t="s">
        <v>3803</v>
      </c>
      <c r="L2590">
        <v>4155000</v>
      </c>
      <c r="M2590">
        <v>415500</v>
      </c>
    </row>
    <row r="2591" spans="1:13" x14ac:dyDescent="0.25">
      <c r="A2591" t="s">
        <v>8788</v>
      </c>
      <c r="B2591" t="s">
        <v>8789</v>
      </c>
      <c r="C2591" t="s">
        <v>589</v>
      </c>
      <c r="D2591" t="s">
        <v>8790</v>
      </c>
      <c r="E2591" t="s">
        <v>623</v>
      </c>
      <c r="F2591" t="s">
        <v>624</v>
      </c>
      <c r="G2591" t="s">
        <v>8791</v>
      </c>
      <c r="H2591" t="str">
        <f>HYPERLINK("https://baanknet.com/view-property/286352/FB7D42BFB3FB6EF62AC991795B9578423DD36738991273E9EF464BD7EC521AA8", "https://baanknet.com/view-property/286352/FB7D42BFB3FB6EF62AC991795B9578423DD36738991273E9EF464BD7EC521AA8")</f>
        <v>https://baanknet.com/view-property/286352/FB7D42BFB3FB6EF62AC991795B9578423DD36738991273E9EF464BD7EC521AA8</v>
      </c>
      <c r="I2591" t="str">
        <f>HYPERLINK("https://baanknet.com/view-property/286352/FB7D42BFB3FB6EF62AC991795B9578423DD36738991273E9EF464BD7EC521AA8", "Open")</f>
        <v>Open</v>
      </c>
      <c r="J2591" t="s">
        <v>3803</v>
      </c>
      <c r="L2591">
        <v>3439000</v>
      </c>
      <c r="M2591">
        <v>343900</v>
      </c>
    </row>
    <row r="2592" spans="1:13" x14ac:dyDescent="0.25">
      <c r="A2592" t="s">
        <v>8792</v>
      </c>
      <c r="B2592" t="s">
        <v>8793</v>
      </c>
      <c r="C2592" t="s">
        <v>589</v>
      </c>
      <c r="D2592" t="s">
        <v>8794</v>
      </c>
      <c r="E2592" t="s">
        <v>623</v>
      </c>
      <c r="F2592" t="s">
        <v>624</v>
      </c>
      <c r="G2592" t="s">
        <v>8795</v>
      </c>
      <c r="H2592" t="str">
        <f>HYPERLINK("https://baanknet.com/view-property/273771/C51E094DEB0D173B47A75BDCE037D65511BA6B30B9DE5525E87641CF1ED34A79", "https://baanknet.com/view-property/273771/C51E094DEB0D173B47A75BDCE037D65511BA6B30B9DE5525E87641CF1ED34A79")</f>
        <v>https://baanknet.com/view-property/273771/C51E094DEB0D173B47A75BDCE037D65511BA6B30B9DE5525E87641CF1ED34A79</v>
      </c>
      <c r="I2592" t="str">
        <f>HYPERLINK("https://baanknet.com/view-property/273771/C51E094DEB0D173B47A75BDCE037D65511BA6B30B9DE5525E87641CF1ED34A79", "Open")</f>
        <v>Open</v>
      </c>
      <c r="J2592" t="s">
        <v>3803</v>
      </c>
      <c r="L2592">
        <v>9048000</v>
      </c>
      <c r="M2592">
        <v>904800</v>
      </c>
    </row>
    <row r="2593" spans="1:13" x14ac:dyDescent="0.25">
      <c r="A2593" t="s">
        <v>8796</v>
      </c>
      <c r="B2593" t="s">
        <v>8797</v>
      </c>
      <c r="C2593" t="s">
        <v>589</v>
      </c>
      <c r="D2593" t="s">
        <v>8798</v>
      </c>
      <c r="E2593" t="s">
        <v>623</v>
      </c>
      <c r="F2593" t="s">
        <v>624</v>
      </c>
      <c r="G2593" t="s">
        <v>8799</v>
      </c>
      <c r="H2593" t="str">
        <f>HYPERLINK("https://baanknet.com/view-property/285242/F9ADDF651DE9871A8D6839E52D00ADF65B4101B09B920654C4777CC453986653", "https://baanknet.com/view-property/285242/F9ADDF651DE9871A8D6839E52D00ADF65B4101B09B920654C4777CC453986653")</f>
        <v>https://baanknet.com/view-property/285242/F9ADDF651DE9871A8D6839E52D00ADF65B4101B09B920654C4777CC453986653</v>
      </c>
      <c r="I2593" t="str">
        <f>HYPERLINK("https://baanknet.com/view-property/285242/F9ADDF651DE9871A8D6839E52D00ADF65B4101B09B920654C4777CC453986653", "Open")</f>
        <v>Open</v>
      </c>
      <c r="J2593" t="s">
        <v>3803</v>
      </c>
      <c r="L2593">
        <v>2300000</v>
      </c>
      <c r="M2593">
        <v>230000</v>
      </c>
    </row>
    <row r="2594" spans="1:13" x14ac:dyDescent="0.25">
      <c r="A2594" t="s">
        <v>8800</v>
      </c>
      <c r="B2594" t="s">
        <v>8801</v>
      </c>
      <c r="C2594" t="s">
        <v>589</v>
      </c>
      <c r="D2594" t="s">
        <v>4587</v>
      </c>
      <c r="E2594" t="s">
        <v>623</v>
      </c>
      <c r="F2594" t="s">
        <v>624</v>
      </c>
      <c r="G2594" t="s">
        <v>8802</v>
      </c>
      <c r="H2594" t="str">
        <f>HYPERLINK("https://baanknet.com/view-property/266027/3281E698B1EE844C1C88F7A24C96F74F86517CB8635E5B3EFBADAE8D5E61E7B1", "https://baanknet.com/view-property/266027/3281E698B1EE844C1C88F7A24C96F74F86517CB8635E5B3EFBADAE8D5E61E7B1")</f>
        <v>https://baanknet.com/view-property/266027/3281E698B1EE844C1C88F7A24C96F74F86517CB8635E5B3EFBADAE8D5E61E7B1</v>
      </c>
      <c r="I2594" t="str">
        <f>HYPERLINK("https://baanknet.com/view-property/266027/3281E698B1EE844C1C88F7A24C96F74F86517CB8635E5B3EFBADAE8D5E61E7B1", "Open")</f>
        <v>Open</v>
      </c>
      <c r="J2594" t="s">
        <v>3803</v>
      </c>
      <c r="L2594">
        <v>3471000</v>
      </c>
      <c r="M2594">
        <v>347100</v>
      </c>
    </row>
    <row r="2595" spans="1:13" x14ac:dyDescent="0.25">
      <c r="A2595" t="s">
        <v>8803</v>
      </c>
      <c r="B2595" t="s">
        <v>8804</v>
      </c>
      <c r="C2595" t="s">
        <v>589</v>
      </c>
      <c r="D2595" t="s">
        <v>8805</v>
      </c>
      <c r="E2595" t="s">
        <v>623</v>
      </c>
      <c r="F2595" t="s">
        <v>624</v>
      </c>
      <c r="G2595" t="s">
        <v>8806</v>
      </c>
      <c r="H2595" t="str">
        <f>HYPERLINK("https://baanknet.com/view-property/286241/D99EDFF1A39EB58032DFCC7C021B371BC16E41E679CBE5DA5D7BE81D2BAC40D7", "https://baanknet.com/view-property/286241/D99EDFF1A39EB58032DFCC7C021B371BC16E41E679CBE5DA5D7BE81D2BAC40D7")</f>
        <v>https://baanknet.com/view-property/286241/D99EDFF1A39EB58032DFCC7C021B371BC16E41E679CBE5DA5D7BE81D2BAC40D7</v>
      </c>
      <c r="I2595" t="str">
        <f>HYPERLINK("https://baanknet.com/view-property/286241/D99EDFF1A39EB58032DFCC7C021B371BC16E41E679CBE5DA5D7BE81D2BAC40D7", "Open")</f>
        <v>Open</v>
      </c>
      <c r="J2595" t="s">
        <v>3803</v>
      </c>
      <c r="L2595">
        <v>1910000</v>
      </c>
      <c r="M2595">
        <v>191000</v>
      </c>
    </row>
    <row r="2596" spans="1:13" x14ac:dyDescent="0.25">
      <c r="A2596" t="s">
        <v>8807</v>
      </c>
      <c r="B2596" t="s">
        <v>8808</v>
      </c>
      <c r="C2596" t="s">
        <v>589</v>
      </c>
      <c r="D2596" t="s">
        <v>3460</v>
      </c>
      <c r="E2596" t="s">
        <v>623</v>
      </c>
      <c r="F2596" t="s">
        <v>624</v>
      </c>
      <c r="G2596" t="s">
        <v>8809</v>
      </c>
      <c r="H2596" t="str">
        <f>HYPERLINK("https://baanknet.com/view-property/256698/603664392F9D476676FCFCA1C172AAFC6223C2960A0CF1CA97089A0C12DCC460", "https://baanknet.com/view-property/256698/603664392F9D476676FCFCA1C172AAFC6223C2960A0CF1CA97089A0C12DCC460")</f>
        <v>https://baanknet.com/view-property/256698/603664392F9D476676FCFCA1C172AAFC6223C2960A0CF1CA97089A0C12DCC460</v>
      </c>
      <c r="I2596" t="str">
        <f>HYPERLINK("https://baanknet.com/view-property/256698/603664392F9D476676FCFCA1C172AAFC6223C2960A0CF1CA97089A0C12DCC460", "Open")</f>
        <v>Open</v>
      </c>
      <c r="J2596" t="s">
        <v>3803</v>
      </c>
      <c r="L2596">
        <v>1210000</v>
      </c>
      <c r="M2596">
        <v>121000</v>
      </c>
    </row>
    <row r="2597" spans="1:13" x14ac:dyDescent="0.25">
      <c r="A2597" t="s">
        <v>8810</v>
      </c>
      <c r="B2597" t="s">
        <v>8811</v>
      </c>
      <c r="C2597" t="s">
        <v>589</v>
      </c>
      <c r="D2597" t="s">
        <v>3460</v>
      </c>
      <c r="E2597" t="s">
        <v>623</v>
      </c>
      <c r="F2597" t="s">
        <v>624</v>
      </c>
      <c r="G2597" t="s">
        <v>8812</v>
      </c>
      <c r="H2597" t="str">
        <f>HYPERLINK("https://baanknet.com/view-property/274366/E96A0119C80D1456BA51F8E0A4BE1B490F1AF6E89E2E13FC7DAE9FB08C0A067C", "https://baanknet.com/view-property/274366/E96A0119C80D1456BA51F8E0A4BE1B490F1AF6E89E2E13FC7DAE9FB08C0A067C")</f>
        <v>https://baanknet.com/view-property/274366/E96A0119C80D1456BA51F8E0A4BE1B490F1AF6E89E2E13FC7DAE9FB08C0A067C</v>
      </c>
      <c r="I2597" t="str">
        <f>HYPERLINK("https://baanknet.com/view-property/274366/E96A0119C80D1456BA51F8E0A4BE1B490F1AF6E89E2E13FC7DAE9FB08C0A067C", "Open")</f>
        <v>Open</v>
      </c>
      <c r="J2597" t="s">
        <v>3803</v>
      </c>
      <c r="L2597">
        <v>3485000</v>
      </c>
      <c r="M2597">
        <v>348500</v>
      </c>
    </row>
    <row r="2598" spans="1:13" x14ac:dyDescent="0.25">
      <c r="A2598" t="s">
        <v>8813</v>
      </c>
      <c r="B2598" t="s">
        <v>8814</v>
      </c>
      <c r="C2598" t="s">
        <v>589</v>
      </c>
      <c r="D2598" t="s">
        <v>8815</v>
      </c>
      <c r="E2598" t="s">
        <v>623</v>
      </c>
      <c r="F2598" t="s">
        <v>624</v>
      </c>
      <c r="G2598" t="s">
        <v>8816</v>
      </c>
      <c r="H2598" t="str">
        <f>HYPERLINK("https://baanknet.com/view-property/42644/4BAA1171025928175A1B22CE884BB034C9AD39B0D4BDF2AF500C4A8F8C48298D", "https://baanknet.com/view-property/42644/4BAA1171025928175A1B22CE884BB034C9AD39B0D4BDF2AF500C4A8F8C48298D")</f>
        <v>https://baanknet.com/view-property/42644/4BAA1171025928175A1B22CE884BB034C9AD39B0D4BDF2AF500C4A8F8C48298D</v>
      </c>
      <c r="I2598" t="str">
        <f>HYPERLINK("https://baanknet.com/view-property/42644/4BAA1171025928175A1B22CE884BB034C9AD39B0D4BDF2AF500C4A8F8C48298D", "Open")</f>
        <v>Open</v>
      </c>
      <c r="J2598" t="s">
        <v>3803</v>
      </c>
      <c r="L2598">
        <v>2726000</v>
      </c>
      <c r="M2598">
        <v>272600</v>
      </c>
    </row>
    <row r="2599" spans="1:13" x14ac:dyDescent="0.25">
      <c r="A2599" t="s">
        <v>8817</v>
      </c>
      <c r="B2599" t="s">
        <v>8818</v>
      </c>
      <c r="C2599" t="s">
        <v>589</v>
      </c>
      <c r="D2599" t="s">
        <v>309</v>
      </c>
      <c r="E2599" t="s">
        <v>623</v>
      </c>
      <c r="F2599" t="s">
        <v>624</v>
      </c>
      <c r="G2599" t="s">
        <v>8819</v>
      </c>
      <c r="H2599" t="str">
        <f>HYPERLINK("https://baanknet.com/view-property/285531/A33FD295556AE392F296A6AFE6C17D3BB3A5EEC68FEECDBDDC0AC497BD15FFA5", "https://baanknet.com/view-property/285531/A33FD295556AE392F296A6AFE6C17D3BB3A5EEC68FEECDBDDC0AC497BD15FFA5")</f>
        <v>https://baanknet.com/view-property/285531/A33FD295556AE392F296A6AFE6C17D3BB3A5EEC68FEECDBDDC0AC497BD15FFA5</v>
      </c>
      <c r="I2599" t="str">
        <f>HYPERLINK("https://baanknet.com/view-property/285531/A33FD295556AE392F296A6AFE6C17D3BB3A5EEC68FEECDBDDC0AC497BD15FFA5", "Open")</f>
        <v>Open</v>
      </c>
      <c r="J2599" t="s">
        <v>3803</v>
      </c>
      <c r="L2599">
        <v>3995000</v>
      </c>
      <c r="M2599">
        <v>399500</v>
      </c>
    </row>
    <row r="2600" spans="1:13" x14ac:dyDescent="0.25">
      <c r="A2600" t="s">
        <v>8820</v>
      </c>
      <c r="B2600" t="s">
        <v>8821</v>
      </c>
      <c r="C2600" t="s">
        <v>589</v>
      </c>
      <c r="D2600" t="s">
        <v>127</v>
      </c>
      <c r="E2600" t="s">
        <v>623</v>
      </c>
      <c r="F2600" t="s">
        <v>624</v>
      </c>
      <c r="G2600" t="s">
        <v>8822</v>
      </c>
      <c r="H2600" t="str">
        <f>HYPERLINK("https://baanknet.com/view-property/285528/D4293A7C68276A4DCC3BF46A3152D8AE63F03EDDAB7D08DF7ECAB849779AC1A4", "https://baanknet.com/view-property/285528/D4293A7C68276A4DCC3BF46A3152D8AE63F03EDDAB7D08DF7ECAB849779AC1A4")</f>
        <v>https://baanknet.com/view-property/285528/D4293A7C68276A4DCC3BF46A3152D8AE63F03EDDAB7D08DF7ECAB849779AC1A4</v>
      </c>
      <c r="I2600" t="str">
        <f>HYPERLINK("https://baanknet.com/view-property/285528/D4293A7C68276A4DCC3BF46A3152D8AE63F03EDDAB7D08DF7ECAB849779AC1A4", "Open")</f>
        <v>Open</v>
      </c>
      <c r="J2600" t="s">
        <v>3803</v>
      </c>
      <c r="L2600">
        <v>2430000</v>
      </c>
      <c r="M2600">
        <v>243000</v>
      </c>
    </row>
    <row r="2601" spans="1:13" x14ac:dyDescent="0.25">
      <c r="A2601" t="s">
        <v>8823</v>
      </c>
      <c r="B2601" t="s">
        <v>8824</v>
      </c>
      <c r="C2601" t="s">
        <v>589</v>
      </c>
      <c r="D2601" t="s">
        <v>8825</v>
      </c>
      <c r="E2601" t="s">
        <v>623</v>
      </c>
      <c r="F2601" t="s">
        <v>624</v>
      </c>
      <c r="G2601" t="s">
        <v>8826</v>
      </c>
      <c r="H2601" t="str">
        <f>HYPERLINK("https://baanknet.com/view-property/212490/580176AADC01F8D5CC2562FE0F9E02165DE409F20929693FA3A9AA2FBA19A41E", "https://baanknet.com/view-property/212490/580176AADC01F8D5CC2562FE0F9E02165DE409F20929693FA3A9AA2FBA19A41E")</f>
        <v>https://baanknet.com/view-property/212490/580176AADC01F8D5CC2562FE0F9E02165DE409F20929693FA3A9AA2FBA19A41E</v>
      </c>
      <c r="I2601" t="str">
        <f>HYPERLINK("https://baanknet.com/view-property/212490/580176AADC01F8D5CC2562FE0F9E02165DE409F20929693FA3A9AA2FBA19A41E", "Open")</f>
        <v>Open</v>
      </c>
      <c r="J2601" t="s">
        <v>3803</v>
      </c>
      <c r="L2601">
        <v>1819000</v>
      </c>
      <c r="M2601">
        <v>181900</v>
      </c>
    </row>
    <row r="2602" spans="1:13" x14ac:dyDescent="0.25">
      <c r="A2602" t="s">
        <v>8827</v>
      </c>
      <c r="B2602" t="s">
        <v>8828</v>
      </c>
      <c r="C2602" t="s">
        <v>589</v>
      </c>
      <c r="D2602" t="s">
        <v>8829</v>
      </c>
      <c r="E2602" t="s">
        <v>623</v>
      </c>
      <c r="F2602" t="s">
        <v>624</v>
      </c>
      <c r="G2602" t="s">
        <v>8830</v>
      </c>
      <c r="H2602" t="str">
        <f>HYPERLINK("https://baanknet.com/view-property/284883/BDCE6BF9172231BA9B71E196AAE1C8529A10D0EE5F38C0423E615108A37FCCAF", "https://baanknet.com/view-property/284883/BDCE6BF9172231BA9B71E196AAE1C8529A10D0EE5F38C0423E615108A37FCCAF")</f>
        <v>https://baanknet.com/view-property/284883/BDCE6BF9172231BA9B71E196AAE1C8529A10D0EE5F38C0423E615108A37FCCAF</v>
      </c>
      <c r="I2602" t="str">
        <f>HYPERLINK("https://baanknet.com/view-property/284883/BDCE6BF9172231BA9B71E196AAE1C8529A10D0EE5F38C0423E615108A37FCCAF", "Open")</f>
        <v>Open</v>
      </c>
      <c r="J2602" t="s">
        <v>3803</v>
      </c>
      <c r="L2602">
        <v>2806000</v>
      </c>
      <c r="M2602">
        <v>280600</v>
      </c>
    </row>
    <row r="2603" spans="1:13" x14ac:dyDescent="0.25">
      <c r="A2603" t="s">
        <v>8831</v>
      </c>
      <c r="B2603" t="s">
        <v>8832</v>
      </c>
      <c r="C2603" t="s">
        <v>589</v>
      </c>
      <c r="D2603" t="s">
        <v>8829</v>
      </c>
      <c r="E2603" t="s">
        <v>623</v>
      </c>
      <c r="F2603" t="s">
        <v>624</v>
      </c>
      <c r="G2603" t="s">
        <v>8833</v>
      </c>
      <c r="H2603" t="str">
        <f>HYPERLINK("https://baanknet.com/view-property/262715/824382F928AB823986E9AB16991D2FD713265AE6F047F805FCDF44038C87FC39", "https://baanknet.com/view-property/262715/824382F928AB823986E9AB16991D2FD713265AE6F047F805FCDF44038C87FC39")</f>
        <v>https://baanknet.com/view-property/262715/824382F928AB823986E9AB16991D2FD713265AE6F047F805FCDF44038C87FC39</v>
      </c>
      <c r="I2603" t="str">
        <f>HYPERLINK("https://baanknet.com/view-property/262715/824382F928AB823986E9AB16991D2FD713265AE6F047F805FCDF44038C87FC39", "Open")</f>
        <v>Open</v>
      </c>
      <c r="J2603" t="s">
        <v>3803</v>
      </c>
      <c r="L2603">
        <v>1619000</v>
      </c>
      <c r="M2603">
        <v>161900</v>
      </c>
    </row>
    <row r="2604" spans="1:13" x14ac:dyDescent="0.25">
      <c r="A2604" t="s">
        <v>8834</v>
      </c>
      <c r="B2604" t="s">
        <v>8835</v>
      </c>
      <c r="C2604" t="s">
        <v>589</v>
      </c>
      <c r="D2604" t="s">
        <v>4615</v>
      </c>
      <c r="E2604" t="s">
        <v>623</v>
      </c>
      <c r="F2604" t="s">
        <v>624</v>
      </c>
      <c r="G2604" t="s">
        <v>8836</v>
      </c>
      <c r="H2604" t="str">
        <f>HYPERLINK("https://baanknet.com/view-property/272496/625ED1BCC8420119CFF0AC7B57D86D02DB25B418EBC614F0082101CAA5AAAA24", "https://baanknet.com/view-property/272496/625ED1BCC8420119CFF0AC7B57D86D02DB25B418EBC614F0082101CAA5AAAA24")</f>
        <v>https://baanknet.com/view-property/272496/625ED1BCC8420119CFF0AC7B57D86D02DB25B418EBC614F0082101CAA5AAAA24</v>
      </c>
      <c r="I2604" t="str">
        <f>HYPERLINK("https://baanknet.com/view-property/272496/625ED1BCC8420119CFF0AC7B57D86D02DB25B418EBC614F0082101CAA5AAAA24", "Open")</f>
        <v>Open</v>
      </c>
      <c r="J2604" t="s">
        <v>3803</v>
      </c>
      <c r="L2604">
        <v>5600000</v>
      </c>
      <c r="M2604">
        <v>560000</v>
      </c>
    </row>
    <row r="2605" spans="1:13" x14ac:dyDescent="0.25">
      <c r="A2605" t="s">
        <v>8837</v>
      </c>
      <c r="B2605" t="s">
        <v>8838</v>
      </c>
      <c r="C2605" t="s">
        <v>589</v>
      </c>
      <c r="D2605" t="s">
        <v>8839</v>
      </c>
      <c r="E2605" t="s">
        <v>623</v>
      </c>
      <c r="F2605" t="s">
        <v>624</v>
      </c>
      <c r="G2605" t="s">
        <v>8840</v>
      </c>
      <c r="H2605" t="str">
        <f>HYPERLINK("https://baanknet.com/view-property/279308/29FEA711ECC6C9DCCDF8B805CE5F0114719FDAEB3674DD46E664F5ED5131C8D2", "https://baanknet.com/view-property/279308/29FEA711ECC6C9DCCDF8B805CE5F0114719FDAEB3674DD46E664F5ED5131C8D2")</f>
        <v>https://baanknet.com/view-property/279308/29FEA711ECC6C9DCCDF8B805CE5F0114719FDAEB3674DD46E664F5ED5131C8D2</v>
      </c>
      <c r="I2605" t="str">
        <f>HYPERLINK("https://baanknet.com/view-property/279308/29FEA711ECC6C9DCCDF8B805CE5F0114719FDAEB3674DD46E664F5ED5131C8D2", "Open")</f>
        <v>Open</v>
      </c>
      <c r="J2605" t="s">
        <v>3803</v>
      </c>
      <c r="L2605">
        <v>6968000</v>
      </c>
      <c r="M2605">
        <v>696800</v>
      </c>
    </row>
    <row r="2606" spans="1:13" x14ac:dyDescent="0.25">
      <c r="A2606" t="s">
        <v>8841</v>
      </c>
      <c r="B2606" t="s">
        <v>8842</v>
      </c>
      <c r="C2606" t="s">
        <v>589</v>
      </c>
      <c r="D2606" t="s">
        <v>8843</v>
      </c>
      <c r="E2606" t="s">
        <v>623</v>
      </c>
      <c r="F2606" t="s">
        <v>624</v>
      </c>
      <c r="G2606" t="s">
        <v>8844</v>
      </c>
      <c r="H2606" t="str">
        <f>HYPERLINK("https://baanknet.com/view-property/280519/75027457AA8869DAB829745B6D78D5A14C25BCA591E825E7C9425BA4FB117E58", "https://baanknet.com/view-property/280519/75027457AA8869DAB829745B6D78D5A14C25BCA591E825E7C9425BA4FB117E58")</f>
        <v>https://baanknet.com/view-property/280519/75027457AA8869DAB829745B6D78D5A14C25BCA591E825E7C9425BA4FB117E58</v>
      </c>
      <c r="I2606" t="str">
        <f>HYPERLINK("https://baanknet.com/view-property/280519/75027457AA8869DAB829745B6D78D5A14C25BCA591E825E7C9425BA4FB117E58", "Open")</f>
        <v>Open</v>
      </c>
      <c r="J2606" t="s">
        <v>3803</v>
      </c>
      <c r="L2606">
        <v>4898000</v>
      </c>
      <c r="M2606">
        <v>490000</v>
      </c>
    </row>
    <row r="2607" spans="1:13" x14ac:dyDescent="0.25">
      <c r="A2607" t="s">
        <v>8845</v>
      </c>
      <c r="B2607" t="s">
        <v>8846</v>
      </c>
      <c r="C2607" t="s">
        <v>589</v>
      </c>
      <c r="D2607" t="s">
        <v>533</v>
      </c>
      <c r="E2607" t="s">
        <v>623</v>
      </c>
      <c r="F2607" t="s">
        <v>624</v>
      </c>
      <c r="G2607" t="s">
        <v>8847</v>
      </c>
      <c r="H2607" t="str">
        <f>HYPERLINK("https://baanknet.com/view-property/246103/FC3F60750237F73F6E23A456D5067ED2717E5F88D9832F71090617D2E966DDAE", "https://baanknet.com/view-property/246103/FC3F60750237F73F6E23A456D5067ED2717E5F88D9832F71090617D2E966DDAE")</f>
        <v>https://baanknet.com/view-property/246103/FC3F60750237F73F6E23A456D5067ED2717E5F88D9832F71090617D2E966DDAE</v>
      </c>
      <c r="I2607" t="str">
        <f>HYPERLINK("https://baanknet.com/view-property/246103/FC3F60750237F73F6E23A456D5067ED2717E5F88D9832F71090617D2E966DDAE", "Open")</f>
        <v>Open</v>
      </c>
      <c r="J2607" t="s">
        <v>3803</v>
      </c>
      <c r="L2607">
        <v>2002000</v>
      </c>
      <c r="M2607">
        <v>200200</v>
      </c>
    </row>
    <row r="2608" spans="1:13" x14ac:dyDescent="0.25">
      <c r="A2608" t="s">
        <v>8848</v>
      </c>
      <c r="B2608" t="s">
        <v>8849</v>
      </c>
      <c r="C2608" t="s">
        <v>589</v>
      </c>
      <c r="D2608" t="s">
        <v>533</v>
      </c>
      <c r="E2608" t="s">
        <v>623</v>
      </c>
      <c r="F2608" t="s">
        <v>624</v>
      </c>
      <c r="G2608" t="s">
        <v>8850</v>
      </c>
      <c r="H2608" t="str">
        <f>HYPERLINK("https://baanknet.com/view-property/257038/73018CC7A58A16B63C45327DD87219FDA65EDA23B6C75176BAA9018F6671BA1A", "https://baanknet.com/view-property/257038/73018CC7A58A16B63C45327DD87219FDA65EDA23B6C75176BAA9018F6671BA1A")</f>
        <v>https://baanknet.com/view-property/257038/73018CC7A58A16B63C45327DD87219FDA65EDA23B6C75176BAA9018F6671BA1A</v>
      </c>
      <c r="I2608" t="str">
        <f>HYPERLINK("https://baanknet.com/view-property/257038/73018CC7A58A16B63C45327DD87219FDA65EDA23B6C75176BAA9018F6671BA1A", "Open")</f>
        <v>Open</v>
      </c>
      <c r="J2608" t="s">
        <v>3803</v>
      </c>
      <c r="L2608">
        <v>1895000</v>
      </c>
      <c r="M2608">
        <v>189500</v>
      </c>
    </row>
    <row r="2609" spans="1:13" x14ac:dyDescent="0.25">
      <c r="A2609" t="s">
        <v>8851</v>
      </c>
      <c r="B2609" t="s">
        <v>8852</v>
      </c>
      <c r="C2609" t="s">
        <v>589</v>
      </c>
      <c r="D2609" t="s">
        <v>8853</v>
      </c>
      <c r="E2609" t="s">
        <v>623</v>
      </c>
      <c r="F2609" t="s">
        <v>624</v>
      </c>
      <c r="G2609" t="s">
        <v>8854</v>
      </c>
      <c r="H2609" t="str">
        <f>HYPERLINK("https://baanknet.com/view-property/247035/B69591C453337962D3C3116F90BAB92502DCBEC2B2670C9F57B0EB54C8DB8804", "https://baanknet.com/view-property/247035/B69591C453337962D3C3116F90BAB92502DCBEC2B2670C9F57B0EB54C8DB8804")</f>
        <v>https://baanknet.com/view-property/247035/B69591C453337962D3C3116F90BAB92502DCBEC2B2670C9F57B0EB54C8DB8804</v>
      </c>
      <c r="I2609" t="str">
        <f>HYPERLINK("https://baanknet.com/view-property/247035/B69591C453337962D3C3116F90BAB92502DCBEC2B2670C9F57B0EB54C8DB8804", "Open")</f>
        <v>Open</v>
      </c>
      <c r="J2609" t="s">
        <v>3803</v>
      </c>
      <c r="L2609">
        <v>2150000</v>
      </c>
      <c r="M2609">
        <v>215000</v>
      </c>
    </row>
    <row r="2610" spans="1:13" x14ac:dyDescent="0.25">
      <c r="A2610" t="s">
        <v>8855</v>
      </c>
      <c r="B2610" t="s">
        <v>8856</v>
      </c>
      <c r="C2610" t="s">
        <v>589</v>
      </c>
      <c r="D2610" t="s">
        <v>8857</v>
      </c>
      <c r="E2610" t="s">
        <v>623</v>
      </c>
      <c r="F2610" t="s">
        <v>624</v>
      </c>
      <c r="G2610" t="s">
        <v>8858</v>
      </c>
      <c r="H2610" t="str">
        <f>HYPERLINK("https://baanknet.com/view-property/188224/1C0CC136B7E2D6D7E7622A145A0E8DA84B6ADD1707AA5AEEE64246E856443958", "https://baanknet.com/view-property/188224/1C0CC136B7E2D6D7E7622A145A0E8DA84B6ADD1707AA5AEEE64246E856443958")</f>
        <v>https://baanknet.com/view-property/188224/1C0CC136B7E2D6D7E7622A145A0E8DA84B6ADD1707AA5AEEE64246E856443958</v>
      </c>
      <c r="I2610" t="str">
        <f>HYPERLINK("https://baanknet.com/view-property/188224/1C0CC136B7E2D6D7E7622A145A0E8DA84B6ADD1707AA5AEEE64246E856443958", "Open")</f>
        <v>Open</v>
      </c>
      <c r="J2610" t="s">
        <v>3803</v>
      </c>
      <c r="L2610">
        <v>1600000</v>
      </c>
      <c r="M2610">
        <v>160000</v>
      </c>
    </row>
    <row r="2611" spans="1:13" x14ac:dyDescent="0.25">
      <c r="A2611" t="s">
        <v>8859</v>
      </c>
      <c r="B2611" t="s">
        <v>8860</v>
      </c>
      <c r="C2611" t="s">
        <v>589</v>
      </c>
      <c r="D2611" t="s">
        <v>8861</v>
      </c>
      <c r="E2611" t="s">
        <v>623</v>
      </c>
      <c r="F2611" t="s">
        <v>624</v>
      </c>
      <c r="G2611" t="s">
        <v>8862</v>
      </c>
      <c r="H2611" t="str">
        <f>HYPERLINK("https://baanknet.com/view-property/222764/9628D790058646F5C5EDA76B876F0808321E462831CC28643386B73476C6999D", "https://baanknet.com/view-property/222764/9628D790058646F5C5EDA76B876F0808321E462831CC28643386B73476C6999D")</f>
        <v>https://baanknet.com/view-property/222764/9628D790058646F5C5EDA76B876F0808321E462831CC28643386B73476C6999D</v>
      </c>
      <c r="I2611" t="str">
        <f>HYPERLINK("https://baanknet.com/view-property/222764/9628D790058646F5C5EDA76B876F0808321E462831CC28643386B73476C6999D", "Open")</f>
        <v>Open</v>
      </c>
      <c r="J2611" t="s">
        <v>3803</v>
      </c>
      <c r="L2611">
        <v>1177000</v>
      </c>
      <c r="M2611">
        <v>118000</v>
      </c>
    </row>
    <row r="2612" spans="1:13" x14ac:dyDescent="0.25">
      <c r="A2612" t="s">
        <v>8863</v>
      </c>
      <c r="B2612" t="s">
        <v>8864</v>
      </c>
      <c r="C2612" t="s">
        <v>589</v>
      </c>
      <c r="D2612" t="s">
        <v>1602</v>
      </c>
      <c r="E2612" t="s">
        <v>623</v>
      </c>
      <c r="F2612" t="s">
        <v>624</v>
      </c>
      <c r="G2612" t="s">
        <v>8865</v>
      </c>
      <c r="H2612" t="str">
        <f>HYPERLINK("https://baanknet.com/view-property/260391/415A418E56AE8E5361FD2C853032EC5A870C94F50F781F025A05C292A9A1B28D", "https://baanknet.com/view-property/260391/415A418E56AE8E5361FD2C853032EC5A870C94F50F781F025A05C292A9A1B28D")</f>
        <v>https://baanknet.com/view-property/260391/415A418E56AE8E5361FD2C853032EC5A870C94F50F781F025A05C292A9A1B28D</v>
      </c>
      <c r="I2612" t="str">
        <f>HYPERLINK("https://baanknet.com/view-property/260391/415A418E56AE8E5361FD2C853032EC5A870C94F50F781F025A05C292A9A1B28D", "Open")</f>
        <v>Open</v>
      </c>
      <c r="J2612" t="s">
        <v>3803</v>
      </c>
      <c r="L2612">
        <v>4485000</v>
      </c>
      <c r="M2612">
        <v>448500</v>
      </c>
    </row>
    <row r="2613" spans="1:13" x14ac:dyDescent="0.25">
      <c r="A2613" t="s">
        <v>8866</v>
      </c>
      <c r="B2613" t="s">
        <v>8867</v>
      </c>
      <c r="C2613" t="s">
        <v>589</v>
      </c>
      <c r="D2613" t="s">
        <v>1602</v>
      </c>
      <c r="E2613" t="s">
        <v>623</v>
      </c>
      <c r="F2613" t="s">
        <v>624</v>
      </c>
      <c r="G2613" t="s">
        <v>8868</v>
      </c>
      <c r="H2613" t="str">
        <f>HYPERLINK("https://baanknet.com/view-property/260394/3B860FEE1DF45F8AFC61A66BB302F7C4AA1C9E0B34ED3583C844F8AF5F3C5527", "https://baanknet.com/view-property/260394/3B860FEE1DF45F8AFC61A66BB302F7C4AA1C9E0B34ED3583C844F8AF5F3C5527")</f>
        <v>https://baanknet.com/view-property/260394/3B860FEE1DF45F8AFC61A66BB302F7C4AA1C9E0B34ED3583C844F8AF5F3C5527</v>
      </c>
      <c r="I2613" t="str">
        <f>HYPERLINK("https://baanknet.com/view-property/260394/3B860FEE1DF45F8AFC61A66BB302F7C4AA1C9E0B34ED3583C844F8AF5F3C5527", "Open")</f>
        <v>Open</v>
      </c>
      <c r="J2613" t="s">
        <v>3803</v>
      </c>
      <c r="L2613">
        <v>6855000</v>
      </c>
      <c r="M2613">
        <v>685500</v>
      </c>
    </row>
    <row r="2614" spans="1:13" x14ac:dyDescent="0.25">
      <c r="A2614" t="s">
        <v>8869</v>
      </c>
      <c r="B2614" t="s">
        <v>8870</v>
      </c>
      <c r="C2614" t="s">
        <v>589</v>
      </c>
      <c r="D2614" t="s">
        <v>1348</v>
      </c>
      <c r="E2614" t="s">
        <v>623</v>
      </c>
      <c r="F2614" t="s">
        <v>624</v>
      </c>
      <c r="G2614" t="s">
        <v>8871</v>
      </c>
      <c r="H2614" t="str">
        <f>HYPERLINK("https://baanknet.com/view-property/125292/40FA9758C2D1B3FFB5D990140BC7625AE53BBB2E03127A5E7E15FE4660EDA813", "https://baanknet.com/view-property/125292/40FA9758C2D1B3FFB5D990140BC7625AE53BBB2E03127A5E7E15FE4660EDA813")</f>
        <v>https://baanknet.com/view-property/125292/40FA9758C2D1B3FFB5D990140BC7625AE53BBB2E03127A5E7E15FE4660EDA813</v>
      </c>
      <c r="I2614" t="str">
        <f>HYPERLINK("https://baanknet.com/view-property/125292/40FA9758C2D1B3FFB5D990140BC7625AE53BBB2E03127A5E7E15FE4660EDA813", "Open")</f>
        <v>Open</v>
      </c>
      <c r="J2614" t="s">
        <v>3803</v>
      </c>
      <c r="L2614">
        <v>1456000</v>
      </c>
      <c r="M2614">
        <v>145600</v>
      </c>
    </row>
    <row r="2615" spans="1:13" x14ac:dyDescent="0.25">
      <c r="A2615" t="s">
        <v>8872</v>
      </c>
      <c r="B2615" t="s">
        <v>8873</v>
      </c>
      <c r="C2615" t="s">
        <v>589</v>
      </c>
      <c r="D2615" t="s">
        <v>1348</v>
      </c>
      <c r="E2615" t="s">
        <v>623</v>
      </c>
      <c r="F2615" t="s">
        <v>624</v>
      </c>
      <c r="G2615" t="s">
        <v>8874</v>
      </c>
      <c r="H2615" t="str">
        <f>HYPERLINK("https://baanknet.com/view-property/125293/FF85834EFA09A0717A5B035607E2117F9168AB04C7DE7BDBB78A748722546AD0", "https://baanknet.com/view-property/125293/FF85834EFA09A0717A5B035607E2117F9168AB04C7DE7BDBB78A748722546AD0")</f>
        <v>https://baanknet.com/view-property/125293/FF85834EFA09A0717A5B035607E2117F9168AB04C7DE7BDBB78A748722546AD0</v>
      </c>
      <c r="I2615" t="str">
        <f>HYPERLINK("https://baanknet.com/view-property/125293/FF85834EFA09A0717A5B035607E2117F9168AB04C7DE7BDBB78A748722546AD0", "Open")</f>
        <v>Open</v>
      </c>
      <c r="J2615" t="s">
        <v>3803</v>
      </c>
      <c r="L2615">
        <v>1060000</v>
      </c>
      <c r="M2615">
        <v>106000</v>
      </c>
    </row>
    <row r="2616" spans="1:13" x14ac:dyDescent="0.25">
      <c r="A2616" t="s">
        <v>8875</v>
      </c>
      <c r="B2616" t="s">
        <v>8876</v>
      </c>
      <c r="C2616" t="s">
        <v>589</v>
      </c>
      <c r="D2616" t="s">
        <v>5365</v>
      </c>
      <c r="E2616" t="s">
        <v>623</v>
      </c>
      <c r="F2616" t="s">
        <v>624</v>
      </c>
      <c r="G2616" t="s">
        <v>8877</v>
      </c>
      <c r="H2616" t="str">
        <f>HYPERLINK("https://baanknet.com/view-property/201614/BBA9E3FF8ECF9DF2795B8E212463BE6BC9C1F9E3F33FD90E66432986E135CDDC", "https://baanknet.com/view-property/201614/BBA9E3FF8ECF9DF2795B8E212463BE6BC9C1F9E3F33FD90E66432986E135CDDC")</f>
        <v>https://baanknet.com/view-property/201614/BBA9E3FF8ECF9DF2795B8E212463BE6BC9C1F9E3F33FD90E66432986E135CDDC</v>
      </c>
      <c r="I2616" t="str">
        <f>HYPERLINK("https://baanknet.com/view-property/201614/BBA9E3FF8ECF9DF2795B8E212463BE6BC9C1F9E3F33FD90E66432986E135CDDC", "Open")</f>
        <v>Open</v>
      </c>
      <c r="J2616" t="s">
        <v>3803</v>
      </c>
      <c r="L2616">
        <v>970000</v>
      </c>
      <c r="M2616">
        <v>97000</v>
      </c>
    </row>
    <row r="2617" spans="1:13" x14ac:dyDescent="0.25">
      <c r="A2617" t="s">
        <v>8878</v>
      </c>
      <c r="B2617" t="s">
        <v>8879</v>
      </c>
      <c r="C2617" t="s">
        <v>589</v>
      </c>
      <c r="D2617" t="s">
        <v>5365</v>
      </c>
      <c r="E2617" t="s">
        <v>623</v>
      </c>
      <c r="F2617" t="s">
        <v>624</v>
      </c>
      <c r="G2617" t="s">
        <v>8880</v>
      </c>
      <c r="H2617" t="str">
        <f>HYPERLINK("https://baanknet.com/view-property/254185/F48C707E3CF93F0809E2B4964404FB86FC5E83BD6BBF02714C71784EB8A9991A", "https://baanknet.com/view-property/254185/F48C707E3CF93F0809E2B4964404FB86FC5E83BD6BBF02714C71784EB8A9991A")</f>
        <v>https://baanknet.com/view-property/254185/F48C707E3CF93F0809E2B4964404FB86FC5E83BD6BBF02714C71784EB8A9991A</v>
      </c>
      <c r="I2617" t="str">
        <f>HYPERLINK("https://baanknet.com/view-property/254185/F48C707E3CF93F0809E2B4964404FB86FC5E83BD6BBF02714C71784EB8A9991A", "Open")</f>
        <v>Open</v>
      </c>
      <c r="J2617" t="s">
        <v>3803</v>
      </c>
      <c r="L2617">
        <v>1000000</v>
      </c>
      <c r="M2617">
        <v>100000</v>
      </c>
    </row>
    <row r="2618" spans="1:13" x14ac:dyDescent="0.25">
      <c r="A2618" t="s">
        <v>8881</v>
      </c>
      <c r="B2618" t="s">
        <v>8882</v>
      </c>
      <c r="C2618" t="s">
        <v>589</v>
      </c>
      <c r="D2618" t="s">
        <v>5365</v>
      </c>
      <c r="E2618" t="s">
        <v>623</v>
      </c>
      <c r="F2618" t="s">
        <v>624</v>
      </c>
      <c r="G2618" t="s">
        <v>8883</v>
      </c>
      <c r="H2618" t="str">
        <f>HYPERLINK("https://baanknet.com/view-property/261862/5AE8125699190A41CC1DE9F930E8FC6C8E891539CB7CFCD677C513E1ADFF80F1", "https://baanknet.com/view-property/261862/5AE8125699190A41CC1DE9F930E8FC6C8E891539CB7CFCD677C513E1ADFF80F1")</f>
        <v>https://baanknet.com/view-property/261862/5AE8125699190A41CC1DE9F930E8FC6C8E891539CB7CFCD677C513E1ADFF80F1</v>
      </c>
      <c r="I2618" t="str">
        <f>HYPERLINK("https://baanknet.com/view-property/261862/5AE8125699190A41CC1DE9F930E8FC6C8E891539CB7CFCD677C513E1ADFF80F1", "Open")</f>
        <v>Open</v>
      </c>
      <c r="J2618" t="s">
        <v>3803</v>
      </c>
      <c r="L2618">
        <v>1677000</v>
      </c>
      <c r="M2618">
        <v>167700</v>
      </c>
    </row>
    <row r="2619" spans="1:13" x14ac:dyDescent="0.25">
      <c r="A2619" t="s">
        <v>8884</v>
      </c>
      <c r="B2619" t="s">
        <v>8885</v>
      </c>
      <c r="C2619" t="s">
        <v>589</v>
      </c>
      <c r="D2619" t="s">
        <v>8886</v>
      </c>
      <c r="E2619" t="s">
        <v>623</v>
      </c>
      <c r="F2619" t="s">
        <v>624</v>
      </c>
      <c r="G2619" t="s">
        <v>8887</v>
      </c>
      <c r="H2619" t="str">
        <f>HYPERLINK("https://baanknet.com/view-property/201574/7B2AE995B0E2464E0472AD861775958160E538C6596659DA1DFD079F55A71F2D", "https://baanknet.com/view-property/201574/7B2AE995B0E2464E0472AD861775958160E538C6596659DA1DFD079F55A71F2D")</f>
        <v>https://baanknet.com/view-property/201574/7B2AE995B0E2464E0472AD861775958160E538C6596659DA1DFD079F55A71F2D</v>
      </c>
      <c r="I2619" t="str">
        <f>HYPERLINK("https://baanknet.com/view-property/201574/7B2AE995B0E2464E0472AD861775958160E538C6596659DA1DFD079F55A71F2D", "Open")</f>
        <v>Open</v>
      </c>
      <c r="J2619" t="s">
        <v>3803</v>
      </c>
      <c r="L2619">
        <v>2430000</v>
      </c>
      <c r="M2619">
        <v>243000</v>
      </c>
    </row>
    <row r="2620" spans="1:13" x14ac:dyDescent="0.25">
      <c r="A2620" t="s">
        <v>8888</v>
      </c>
      <c r="B2620" t="s">
        <v>8889</v>
      </c>
      <c r="C2620" t="s">
        <v>589</v>
      </c>
      <c r="D2620" t="s">
        <v>8886</v>
      </c>
      <c r="E2620" t="s">
        <v>623</v>
      </c>
      <c r="F2620" t="s">
        <v>624</v>
      </c>
      <c r="G2620" t="s">
        <v>8890</v>
      </c>
      <c r="H2620" t="str">
        <f>HYPERLINK("https://baanknet.com/view-property/211419/FEE032594A52963E0CADCE22315075E7826B4FCC482EA3F679B1B904011F9424", "https://baanknet.com/view-property/211419/FEE032594A52963E0CADCE22315075E7826B4FCC482EA3F679B1B904011F9424")</f>
        <v>https://baanknet.com/view-property/211419/FEE032594A52963E0CADCE22315075E7826B4FCC482EA3F679B1B904011F9424</v>
      </c>
      <c r="I2620" t="str">
        <f>HYPERLINK("https://baanknet.com/view-property/211419/FEE032594A52963E0CADCE22315075E7826B4FCC482EA3F679B1B904011F9424", "Open")</f>
        <v>Open</v>
      </c>
      <c r="J2620" t="s">
        <v>3803</v>
      </c>
      <c r="L2620">
        <v>2430000</v>
      </c>
      <c r="M2620">
        <v>243000</v>
      </c>
    </row>
    <row r="2621" spans="1:13" x14ac:dyDescent="0.25">
      <c r="A2621" t="s">
        <v>8891</v>
      </c>
      <c r="B2621" t="s">
        <v>8892</v>
      </c>
      <c r="C2621" t="s">
        <v>589</v>
      </c>
      <c r="D2621" t="s">
        <v>1520</v>
      </c>
      <c r="E2621" t="s">
        <v>623</v>
      </c>
      <c r="F2621" t="s">
        <v>624</v>
      </c>
      <c r="G2621" t="s">
        <v>8893</v>
      </c>
      <c r="H2621" t="str">
        <f>HYPERLINK("https://baanknet.com/view-property/277132/C7938FD3B3C5583E14C545C693E11C39CF5E542CB38B0C25EA8DEF45F02F2EB3", "https://baanknet.com/view-property/277132/C7938FD3B3C5583E14C545C693E11C39CF5E542CB38B0C25EA8DEF45F02F2EB3")</f>
        <v>https://baanknet.com/view-property/277132/C7938FD3B3C5583E14C545C693E11C39CF5E542CB38B0C25EA8DEF45F02F2EB3</v>
      </c>
      <c r="I2621" t="str">
        <f>HYPERLINK("https://baanknet.com/view-property/277132/C7938FD3B3C5583E14C545C693E11C39CF5E542CB38B0C25EA8DEF45F02F2EB3", "Open")</f>
        <v>Open</v>
      </c>
      <c r="J2621" t="s">
        <v>3803</v>
      </c>
      <c r="L2621">
        <v>913000</v>
      </c>
      <c r="M2621">
        <v>91300</v>
      </c>
    </row>
    <row r="2622" spans="1:13" x14ac:dyDescent="0.25">
      <c r="A2622" t="s">
        <v>8894</v>
      </c>
      <c r="B2622" t="s">
        <v>8895</v>
      </c>
      <c r="C2622" t="s">
        <v>589</v>
      </c>
      <c r="D2622" t="s">
        <v>8896</v>
      </c>
      <c r="E2622" t="s">
        <v>623</v>
      </c>
      <c r="F2622" t="s">
        <v>624</v>
      </c>
      <c r="G2622" t="s">
        <v>8897</v>
      </c>
      <c r="H2622" t="str">
        <f>HYPERLINK("https://baanknet.com/view-property/277180/48FD2D342F285004B0E91893AD29290DC3004B3F778D08D2E2D9476FDB366DC9", "https://baanknet.com/view-property/277180/48FD2D342F285004B0E91893AD29290DC3004B3F778D08D2E2D9476FDB366DC9")</f>
        <v>https://baanknet.com/view-property/277180/48FD2D342F285004B0E91893AD29290DC3004B3F778D08D2E2D9476FDB366DC9</v>
      </c>
      <c r="I2622" t="str">
        <f>HYPERLINK("https://baanknet.com/view-property/277180/48FD2D342F285004B0E91893AD29290DC3004B3F778D08D2E2D9476FDB366DC9", "Open")</f>
        <v>Open</v>
      </c>
      <c r="J2622" t="s">
        <v>3803</v>
      </c>
      <c r="L2622">
        <v>785000</v>
      </c>
      <c r="M2622">
        <v>78500</v>
      </c>
    </row>
    <row r="2623" spans="1:13" x14ac:dyDescent="0.25">
      <c r="A2623" t="s">
        <v>8898</v>
      </c>
      <c r="B2623" t="s">
        <v>8899</v>
      </c>
      <c r="C2623" t="s">
        <v>589</v>
      </c>
      <c r="D2623" t="s">
        <v>8896</v>
      </c>
      <c r="E2623" t="s">
        <v>623</v>
      </c>
      <c r="F2623" t="s">
        <v>624</v>
      </c>
      <c r="G2623" t="s">
        <v>8900</v>
      </c>
      <c r="H2623" t="str">
        <f>HYPERLINK("https://baanknet.com/view-property/277174/1E99D95B9F83135671361E4BA6CCE7D694B7DC0D9E277AE82CEC807B0D5AF74F", "https://baanknet.com/view-property/277174/1E99D95B9F83135671361E4BA6CCE7D694B7DC0D9E277AE82CEC807B0D5AF74F")</f>
        <v>https://baanknet.com/view-property/277174/1E99D95B9F83135671361E4BA6CCE7D694B7DC0D9E277AE82CEC807B0D5AF74F</v>
      </c>
      <c r="I2623" t="str">
        <f>HYPERLINK("https://baanknet.com/view-property/277174/1E99D95B9F83135671361E4BA6CCE7D694B7DC0D9E277AE82CEC807B0D5AF74F", "Open")</f>
        <v>Open</v>
      </c>
      <c r="J2623" t="s">
        <v>3803</v>
      </c>
      <c r="L2623">
        <v>785000</v>
      </c>
      <c r="M2623">
        <v>78500</v>
      </c>
    </row>
    <row r="2624" spans="1:13" x14ac:dyDescent="0.25">
      <c r="A2624" t="s">
        <v>8901</v>
      </c>
      <c r="B2624" t="s">
        <v>8902</v>
      </c>
      <c r="C2624" t="s">
        <v>589</v>
      </c>
      <c r="D2624" t="s">
        <v>68</v>
      </c>
      <c r="E2624" t="s">
        <v>623</v>
      </c>
      <c r="F2624" t="s">
        <v>624</v>
      </c>
      <c r="G2624" t="s">
        <v>8903</v>
      </c>
      <c r="H2624" t="str">
        <f>HYPERLINK("https://baanknet.com/view-property/222050/A0F32CD46B8ED92D2ECC59F1F76AD6C0B2B56C77AE9906225A6C288DC3AFBDB4", "https://baanknet.com/view-property/222050/A0F32CD46B8ED92D2ECC59F1F76AD6C0B2B56C77AE9906225A6C288DC3AFBDB4")</f>
        <v>https://baanknet.com/view-property/222050/A0F32CD46B8ED92D2ECC59F1F76AD6C0B2B56C77AE9906225A6C288DC3AFBDB4</v>
      </c>
      <c r="I2624" t="str">
        <f>HYPERLINK("https://baanknet.com/view-property/222050/A0F32CD46B8ED92D2ECC59F1F76AD6C0B2B56C77AE9906225A6C288DC3AFBDB4", "Open")</f>
        <v>Open</v>
      </c>
      <c r="J2624" t="s">
        <v>3803</v>
      </c>
      <c r="L2624">
        <v>2400000</v>
      </c>
      <c r="M2624">
        <v>240000</v>
      </c>
    </row>
    <row r="2625" spans="1:13" x14ac:dyDescent="0.25">
      <c r="A2625" t="s">
        <v>8904</v>
      </c>
      <c r="B2625" t="s">
        <v>8905</v>
      </c>
      <c r="C2625" t="s">
        <v>589</v>
      </c>
      <c r="D2625" t="s">
        <v>8906</v>
      </c>
      <c r="E2625" t="s">
        <v>623</v>
      </c>
      <c r="F2625" t="s">
        <v>624</v>
      </c>
      <c r="G2625" t="s">
        <v>8907</v>
      </c>
      <c r="H2625" t="str">
        <f>HYPERLINK("https://baanknet.com/view-property/267882/AA9B06A089E8EFA4AA668ADAABCB2700A672DB6BDF2EDB063C8DBF8364DB2314", "https://baanknet.com/view-property/267882/AA9B06A089E8EFA4AA668ADAABCB2700A672DB6BDF2EDB063C8DBF8364DB2314")</f>
        <v>https://baanknet.com/view-property/267882/AA9B06A089E8EFA4AA668ADAABCB2700A672DB6BDF2EDB063C8DBF8364DB2314</v>
      </c>
      <c r="I2625" t="str">
        <f>HYPERLINK("https://baanknet.com/view-property/267882/AA9B06A089E8EFA4AA668ADAABCB2700A672DB6BDF2EDB063C8DBF8364DB2314", "Open")</f>
        <v>Open</v>
      </c>
      <c r="J2625" t="s">
        <v>3803</v>
      </c>
      <c r="L2625">
        <v>1651000</v>
      </c>
      <c r="M2625">
        <v>165100</v>
      </c>
    </row>
    <row r="2626" spans="1:13" x14ac:dyDescent="0.25">
      <c r="A2626" t="s">
        <v>8908</v>
      </c>
      <c r="B2626" t="s">
        <v>8909</v>
      </c>
      <c r="C2626" t="s">
        <v>589</v>
      </c>
      <c r="D2626" t="s">
        <v>4679</v>
      </c>
      <c r="E2626" t="s">
        <v>623</v>
      </c>
      <c r="F2626" t="s">
        <v>624</v>
      </c>
      <c r="G2626" t="s">
        <v>8910</v>
      </c>
      <c r="H2626" t="str">
        <f>HYPERLINK("https://baanknet.com/view-property/248584/D05ABCCB785B8D6D79BB6B830510114BAA61D3A011E6DF307AC7F381004BD61A", "https://baanknet.com/view-property/248584/D05ABCCB785B8D6D79BB6B830510114BAA61D3A011E6DF307AC7F381004BD61A")</f>
        <v>https://baanknet.com/view-property/248584/D05ABCCB785B8D6D79BB6B830510114BAA61D3A011E6DF307AC7F381004BD61A</v>
      </c>
      <c r="I2626" t="str">
        <f>HYPERLINK("https://baanknet.com/view-property/248584/D05ABCCB785B8D6D79BB6B830510114BAA61D3A011E6DF307AC7F381004BD61A", "Open")</f>
        <v>Open</v>
      </c>
      <c r="J2626" t="s">
        <v>3803</v>
      </c>
      <c r="L2626">
        <v>9789000</v>
      </c>
      <c r="M2626">
        <v>978900</v>
      </c>
    </row>
    <row r="2627" spans="1:13" x14ac:dyDescent="0.25">
      <c r="A2627" t="s">
        <v>8911</v>
      </c>
      <c r="B2627" t="s">
        <v>8912</v>
      </c>
      <c r="C2627" t="s">
        <v>589</v>
      </c>
      <c r="D2627" t="s">
        <v>8913</v>
      </c>
      <c r="E2627" t="s">
        <v>623</v>
      </c>
      <c r="F2627" t="s">
        <v>624</v>
      </c>
      <c r="G2627" t="s">
        <v>8914</v>
      </c>
      <c r="H2627" t="str">
        <f>HYPERLINK("https://baanknet.com/view-property/238214/B9EB35EDAB086F7A9766A50556BB8BAC30B60B8F9BB9AAAFC6811777B1EB1B98", "https://baanknet.com/view-property/238214/B9EB35EDAB086F7A9766A50556BB8BAC30B60B8F9BB9AAAFC6811777B1EB1B98")</f>
        <v>https://baanknet.com/view-property/238214/B9EB35EDAB086F7A9766A50556BB8BAC30B60B8F9BB9AAAFC6811777B1EB1B98</v>
      </c>
      <c r="I2627" t="str">
        <f>HYPERLINK("https://baanknet.com/view-property/238214/B9EB35EDAB086F7A9766A50556BB8BAC30B60B8F9BB9AAAFC6811777B1EB1B98", "Open")</f>
        <v>Open</v>
      </c>
      <c r="J2627" t="s">
        <v>3803</v>
      </c>
      <c r="L2627">
        <v>11593000</v>
      </c>
      <c r="M2627">
        <v>1159300</v>
      </c>
    </row>
    <row r="2628" spans="1:13" x14ac:dyDescent="0.25">
      <c r="A2628" t="s">
        <v>8915</v>
      </c>
      <c r="B2628" t="s">
        <v>8916</v>
      </c>
      <c r="C2628" t="s">
        <v>589</v>
      </c>
      <c r="D2628" t="s">
        <v>8917</v>
      </c>
      <c r="E2628" t="s">
        <v>623</v>
      </c>
      <c r="F2628" t="s">
        <v>624</v>
      </c>
      <c r="G2628" t="s">
        <v>8918</v>
      </c>
      <c r="H2628" t="str">
        <f>HYPERLINK("https://baanknet.com/view-property/273598/DAF8B7CD1335BC181EE582AE2F44F813113B22A37B72A452F513AC6DD1ECA446", "https://baanknet.com/view-property/273598/DAF8B7CD1335BC181EE582AE2F44F813113B22A37B72A452F513AC6DD1ECA446")</f>
        <v>https://baanknet.com/view-property/273598/DAF8B7CD1335BC181EE582AE2F44F813113B22A37B72A452F513AC6DD1ECA446</v>
      </c>
      <c r="I2628" t="str">
        <f>HYPERLINK("https://baanknet.com/view-property/273598/DAF8B7CD1335BC181EE582AE2F44F813113B22A37B72A452F513AC6DD1ECA446", "Open")</f>
        <v>Open</v>
      </c>
      <c r="J2628" t="s">
        <v>3803</v>
      </c>
      <c r="L2628">
        <v>3203000</v>
      </c>
      <c r="M2628">
        <v>320300</v>
      </c>
    </row>
    <row r="2629" spans="1:13" x14ac:dyDescent="0.25">
      <c r="A2629" t="s">
        <v>8919</v>
      </c>
      <c r="B2629" t="s">
        <v>8920</v>
      </c>
      <c r="C2629" t="s">
        <v>589</v>
      </c>
      <c r="D2629" t="s">
        <v>8921</v>
      </c>
      <c r="E2629" t="s">
        <v>623</v>
      </c>
      <c r="F2629" t="s">
        <v>624</v>
      </c>
      <c r="G2629" t="s">
        <v>8922</v>
      </c>
      <c r="H2629" t="str">
        <f>HYPERLINK("https://baanknet.com/view-property/270885/098D53447ABFFA0AD199A4760C7A9DA5A2709DAA05F0A6D7D8AA0FC306F194E2", "https://baanknet.com/view-property/270885/098D53447ABFFA0AD199A4760C7A9DA5A2709DAA05F0A6D7D8AA0FC306F194E2")</f>
        <v>https://baanknet.com/view-property/270885/098D53447ABFFA0AD199A4760C7A9DA5A2709DAA05F0A6D7D8AA0FC306F194E2</v>
      </c>
      <c r="I2629" t="str">
        <f>HYPERLINK("https://baanknet.com/view-property/270885/098D53447ABFFA0AD199A4760C7A9DA5A2709DAA05F0A6D7D8AA0FC306F194E2", "Open")</f>
        <v>Open</v>
      </c>
      <c r="J2629" t="s">
        <v>3803</v>
      </c>
      <c r="L2629">
        <v>870000</v>
      </c>
      <c r="M2629">
        <v>87000</v>
      </c>
    </row>
    <row r="2630" spans="1:13" x14ac:dyDescent="0.25">
      <c r="A2630" t="s">
        <v>8923</v>
      </c>
      <c r="B2630" t="s">
        <v>8924</v>
      </c>
      <c r="C2630" t="s">
        <v>589</v>
      </c>
      <c r="D2630" t="s">
        <v>1520</v>
      </c>
      <c r="E2630" t="s">
        <v>623</v>
      </c>
      <c r="F2630" t="s">
        <v>624</v>
      </c>
      <c r="G2630" t="s">
        <v>8925</v>
      </c>
      <c r="H2630" t="str">
        <f>HYPERLINK("https://baanknet.com/view-property/273610/016D76FCB37CFC4695F6A7300E07E3DD660F229FB84AC1D80484CEDA2347A03E", "https://baanknet.com/view-property/273610/016D76FCB37CFC4695F6A7300E07E3DD660F229FB84AC1D80484CEDA2347A03E")</f>
        <v>https://baanknet.com/view-property/273610/016D76FCB37CFC4695F6A7300E07E3DD660F229FB84AC1D80484CEDA2347A03E</v>
      </c>
      <c r="I2630" t="str">
        <f>HYPERLINK("https://baanknet.com/view-property/273610/016D76FCB37CFC4695F6A7300E07E3DD660F229FB84AC1D80484CEDA2347A03E", "Open")</f>
        <v>Open</v>
      </c>
      <c r="J2630" t="s">
        <v>3803</v>
      </c>
      <c r="L2630">
        <v>1279000</v>
      </c>
      <c r="M2630">
        <v>127900</v>
      </c>
    </row>
    <row r="2631" spans="1:13" x14ac:dyDescent="0.25">
      <c r="A2631" t="s">
        <v>8926</v>
      </c>
      <c r="B2631" t="s">
        <v>8927</v>
      </c>
      <c r="C2631" t="s">
        <v>589</v>
      </c>
      <c r="D2631" t="s">
        <v>8928</v>
      </c>
      <c r="E2631" t="s">
        <v>623</v>
      </c>
      <c r="F2631" t="s">
        <v>624</v>
      </c>
      <c r="G2631" t="s">
        <v>8929</v>
      </c>
      <c r="H2631" t="str">
        <f>HYPERLINK("https://baanknet.com/view-property/272833/2F4C02218885C50EF27CAE38FC09365A5796F03B7FAC284C6500F96F2800880D", "https://baanknet.com/view-property/272833/2F4C02218885C50EF27CAE38FC09365A5796F03B7FAC284C6500F96F2800880D")</f>
        <v>https://baanknet.com/view-property/272833/2F4C02218885C50EF27CAE38FC09365A5796F03B7FAC284C6500F96F2800880D</v>
      </c>
      <c r="I2631" t="str">
        <f>HYPERLINK("https://baanknet.com/view-property/272833/2F4C02218885C50EF27CAE38FC09365A5796F03B7FAC284C6500F96F2800880D", "Open")</f>
        <v>Open</v>
      </c>
      <c r="J2631" t="s">
        <v>3803</v>
      </c>
      <c r="L2631">
        <v>6410000</v>
      </c>
      <c r="M2631">
        <v>641000</v>
      </c>
    </row>
    <row r="2632" spans="1:13" x14ac:dyDescent="0.25">
      <c r="A2632" t="s">
        <v>8930</v>
      </c>
      <c r="B2632" t="s">
        <v>8931</v>
      </c>
      <c r="C2632" t="s">
        <v>589</v>
      </c>
      <c r="D2632" t="s">
        <v>4078</v>
      </c>
      <c r="E2632" t="s">
        <v>623</v>
      </c>
      <c r="F2632" t="s">
        <v>624</v>
      </c>
      <c r="G2632" t="s">
        <v>8932</v>
      </c>
      <c r="H2632" t="str">
        <f>HYPERLINK("https://baanknet.com/view-property/233121/1F983785FEBBCA0212681EAF9508DC52D6E63526F9A2AFEA15F57C7AF2B8850A", "https://baanknet.com/view-property/233121/1F983785FEBBCA0212681EAF9508DC52D6E63526F9A2AFEA15F57C7AF2B8850A")</f>
        <v>https://baanknet.com/view-property/233121/1F983785FEBBCA0212681EAF9508DC52D6E63526F9A2AFEA15F57C7AF2B8850A</v>
      </c>
      <c r="I2632" t="str">
        <f>HYPERLINK("https://baanknet.com/view-property/233121/1F983785FEBBCA0212681EAF9508DC52D6E63526F9A2AFEA15F57C7AF2B8850A", "Open")</f>
        <v>Open</v>
      </c>
      <c r="J2632" t="s">
        <v>3803</v>
      </c>
      <c r="L2632">
        <v>12240000</v>
      </c>
      <c r="M2632">
        <v>1224000</v>
      </c>
    </row>
    <row r="2633" spans="1:13" x14ac:dyDescent="0.25">
      <c r="A2633" t="s">
        <v>8933</v>
      </c>
      <c r="B2633" t="s">
        <v>8934</v>
      </c>
      <c r="C2633" t="s">
        <v>589</v>
      </c>
      <c r="D2633" t="s">
        <v>8935</v>
      </c>
      <c r="E2633" t="s">
        <v>623</v>
      </c>
      <c r="F2633" t="s">
        <v>624</v>
      </c>
      <c r="G2633" t="s">
        <v>8936</v>
      </c>
      <c r="H2633" t="str">
        <f>HYPERLINK("https://baanknet.com/view-property/270059/BD927837E70D4CE8003999551100A331816FCBD84602DC43E45359EA3A491F17", "https://baanknet.com/view-property/270059/BD927837E70D4CE8003999551100A331816FCBD84602DC43E45359EA3A491F17")</f>
        <v>https://baanknet.com/view-property/270059/BD927837E70D4CE8003999551100A331816FCBD84602DC43E45359EA3A491F17</v>
      </c>
      <c r="I2633" t="str">
        <f>HYPERLINK("https://baanknet.com/view-property/270059/BD927837E70D4CE8003999551100A331816FCBD84602DC43E45359EA3A491F17", "Open")</f>
        <v>Open</v>
      </c>
      <c r="J2633" t="s">
        <v>3803</v>
      </c>
      <c r="L2633">
        <v>6800000</v>
      </c>
      <c r="M2633">
        <v>680000</v>
      </c>
    </row>
    <row r="2634" spans="1:13" x14ac:dyDescent="0.25">
      <c r="A2634" t="s">
        <v>8937</v>
      </c>
      <c r="B2634" t="s">
        <v>8938</v>
      </c>
      <c r="C2634" t="s">
        <v>589</v>
      </c>
      <c r="D2634" t="s">
        <v>4679</v>
      </c>
      <c r="E2634" t="s">
        <v>623</v>
      </c>
      <c r="F2634" t="s">
        <v>624</v>
      </c>
      <c r="G2634" t="s">
        <v>8939</v>
      </c>
      <c r="H2634" t="str">
        <f>HYPERLINK("https://baanknet.com/view-property/218998/30B57701F06E5F47A718DC06995DD454E8CA523A2B2314B6BB7A7F52BDF65F13", "https://baanknet.com/view-property/218998/30B57701F06E5F47A718DC06995DD454E8CA523A2B2314B6BB7A7F52BDF65F13")</f>
        <v>https://baanknet.com/view-property/218998/30B57701F06E5F47A718DC06995DD454E8CA523A2B2314B6BB7A7F52BDF65F13</v>
      </c>
      <c r="I2634" t="str">
        <f>HYPERLINK("https://baanknet.com/view-property/218998/30B57701F06E5F47A718DC06995DD454E8CA523A2B2314B6BB7A7F52BDF65F13", "Open")</f>
        <v>Open</v>
      </c>
      <c r="J2634" t="s">
        <v>3803</v>
      </c>
      <c r="L2634">
        <v>5900000</v>
      </c>
      <c r="M2634">
        <v>590000</v>
      </c>
    </row>
    <row r="2635" spans="1:13" x14ac:dyDescent="0.25">
      <c r="A2635" t="s">
        <v>8940</v>
      </c>
      <c r="B2635" t="s">
        <v>8941</v>
      </c>
      <c r="C2635" t="s">
        <v>589</v>
      </c>
      <c r="D2635" t="s">
        <v>8942</v>
      </c>
      <c r="E2635" t="s">
        <v>623</v>
      </c>
      <c r="F2635" t="s">
        <v>624</v>
      </c>
      <c r="G2635" t="s">
        <v>8943</v>
      </c>
      <c r="H2635" t="str">
        <f>HYPERLINK("https://baanknet.com/view-property/254271/957EC2F38F030204A744F5C5D8B12CF94D35A8D3629731691DF1766A2C938ED8", "https://baanknet.com/view-property/254271/957EC2F38F030204A744F5C5D8B12CF94D35A8D3629731691DF1766A2C938ED8")</f>
        <v>https://baanknet.com/view-property/254271/957EC2F38F030204A744F5C5D8B12CF94D35A8D3629731691DF1766A2C938ED8</v>
      </c>
      <c r="I2635" t="str">
        <f>HYPERLINK("https://baanknet.com/view-property/254271/957EC2F38F030204A744F5C5D8B12CF94D35A8D3629731691DF1766A2C938ED8", "Open")</f>
        <v>Open</v>
      </c>
      <c r="J2635" t="s">
        <v>3803</v>
      </c>
      <c r="L2635">
        <v>12450000</v>
      </c>
      <c r="M2635">
        <v>1245000</v>
      </c>
    </row>
    <row r="2636" spans="1:13" x14ac:dyDescent="0.25">
      <c r="A2636" t="s">
        <v>8944</v>
      </c>
      <c r="B2636" t="s">
        <v>8945</v>
      </c>
      <c r="C2636" t="s">
        <v>589</v>
      </c>
      <c r="D2636" t="s">
        <v>1488</v>
      </c>
      <c r="E2636" t="s">
        <v>623</v>
      </c>
      <c r="F2636" t="s">
        <v>624</v>
      </c>
      <c r="G2636" t="s">
        <v>8946</v>
      </c>
      <c r="H2636" t="str">
        <f>HYPERLINK("https://baanknet.com/view-property/273850/E9B434512D38D308F45B18666EF2C4D2E6FC36A96720D4D0542D1DD0185314F5", "https://baanknet.com/view-property/273850/E9B434512D38D308F45B18666EF2C4D2E6FC36A96720D4D0542D1DD0185314F5")</f>
        <v>https://baanknet.com/view-property/273850/E9B434512D38D308F45B18666EF2C4D2E6FC36A96720D4D0542D1DD0185314F5</v>
      </c>
      <c r="I2636" t="str">
        <f>HYPERLINK("https://baanknet.com/view-property/273850/E9B434512D38D308F45B18666EF2C4D2E6FC36A96720D4D0542D1DD0185314F5", "Open")</f>
        <v>Open</v>
      </c>
      <c r="J2636" t="s">
        <v>3803</v>
      </c>
      <c r="L2636">
        <v>7252000</v>
      </c>
      <c r="M2636">
        <v>725200</v>
      </c>
    </row>
    <row r="2637" spans="1:13" x14ac:dyDescent="0.25">
      <c r="A2637" t="s">
        <v>8947</v>
      </c>
      <c r="B2637" t="s">
        <v>8948</v>
      </c>
      <c r="C2637" t="s">
        <v>589</v>
      </c>
      <c r="D2637" t="s">
        <v>1488</v>
      </c>
      <c r="E2637" t="s">
        <v>623</v>
      </c>
      <c r="F2637" t="s">
        <v>624</v>
      </c>
      <c r="G2637" t="s">
        <v>8949</v>
      </c>
      <c r="H2637" t="str">
        <f>HYPERLINK("https://baanknet.com/view-property/273857/9FB9499FBF38D10F8B2CA91116AD2A522E1C2A4AFE022D686D0775EE0E75C05B", "https://baanknet.com/view-property/273857/9FB9499FBF38D10F8B2CA91116AD2A522E1C2A4AFE022D686D0775EE0E75C05B")</f>
        <v>https://baanknet.com/view-property/273857/9FB9499FBF38D10F8B2CA91116AD2A522E1C2A4AFE022D686D0775EE0E75C05B</v>
      </c>
      <c r="I2637" t="str">
        <f>HYPERLINK("https://baanknet.com/view-property/273857/9FB9499FBF38D10F8B2CA91116AD2A522E1C2A4AFE022D686D0775EE0E75C05B", "Open")</f>
        <v>Open</v>
      </c>
      <c r="J2637" t="s">
        <v>3803</v>
      </c>
      <c r="L2637">
        <v>5715000</v>
      </c>
      <c r="M2637">
        <v>571500</v>
      </c>
    </row>
    <row r="2638" spans="1:13" x14ac:dyDescent="0.25">
      <c r="A2638" t="s">
        <v>8950</v>
      </c>
      <c r="B2638" t="s">
        <v>8951</v>
      </c>
      <c r="C2638" t="s">
        <v>589</v>
      </c>
      <c r="D2638" t="s">
        <v>5206</v>
      </c>
      <c r="E2638" t="s">
        <v>623</v>
      </c>
      <c r="F2638" t="s">
        <v>624</v>
      </c>
      <c r="G2638" t="s">
        <v>8952</v>
      </c>
      <c r="H2638" t="str">
        <f>HYPERLINK("https://baanknet.com/view-property/252314/CA3400B18627FB413A2D68287A259DA1F87871D7A02D3C36E612853E43AD6444", "https://baanknet.com/view-property/252314/CA3400B18627FB413A2D68287A259DA1F87871D7A02D3C36E612853E43AD6444")</f>
        <v>https://baanknet.com/view-property/252314/CA3400B18627FB413A2D68287A259DA1F87871D7A02D3C36E612853E43AD6444</v>
      </c>
      <c r="I2638" t="str">
        <f>HYPERLINK("https://baanknet.com/view-property/252314/CA3400B18627FB413A2D68287A259DA1F87871D7A02D3C36E612853E43AD6444", "Open")</f>
        <v>Open</v>
      </c>
      <c r="J2638" t="s">
        <v>3803</v>
      </c>
      <c r="L2638">
        <v>1562000</v>
      </c>
      <c r="M2638">
        <v>156200</v>
      </c>
    </row>
    <row r="2639" spans="1:13" x14ac:dyDescent="0.25">
      <c r="A2639" t="s">
        <v>8953</v>
      </c>
      <c r="B2639" t="s">
        <v>8954</v>
      </c>
      <c r="C2639" t="s">
        <v>589</v>
      </c>
      <c r="D2639" t="s">
        <v>8955</v>
      </c>
      <c r="E2639" t="s">
        <v>623</v>
      </c>
      <c r="F2639" t="s">
        <v>624</v>
      </c>
      <c r="G2639" t="s">
        <v>8956</v>
      </c>
      <c r="H2639" t="str">
        <f>HYPERLINK("https://baanknet.com/view-property/215757/13BCFFE2ABF7B347694D9F5647E9F702FCD0C744583B701D1A4CD1F19735D49D", "https://baanknet.com/view-property/215757/13BCFFE2ABF7B347694D9F5647E9F702FCD0C744583B701D1A4CD1F19735D49D")</f>
        <v>https://baanknet.com/view-property/215757/13BCFFE2ABF7B347694D9F5647E9F702FCD0C744583B701D1A4CD1F19735D49D</v>
      </c>
      <c r="I2639" t="str">
        <f>HYPERLINK("https://baanknet.com/view-property/215757/13BCFFE2ABF7B347694D9F5647E9F702FCD0C744583B701D1A4CD1F19735D49D", "Open")</f>
        <v>Open</v>
      </c>
      <c r="J2639" t="s">
        <v>3803</v>
      </c>
      <c r="L2639">
        <v>2000000</v>
      </c>
      <c r="M2639">
        <v>200000</v>
      </c>
    </row>
    <row r="2640" spans="1:13" x14ac:dyDescent="0.25">
      <c r="A2640" t="s">
        <v>8957</v>
      </c>
      <c r="B2640" t="s">
        <v>8958</v>
      </c>
      <c r="C2640" t="s">
        <v>589</v>
      </c>
      <c r="D2640" t="s">
        <v>304</v>
      </c>
      <c r="E2640" t="s">
        <v>623</v>
      </c>
      <c r="F2640" t="s">
        <v>624</v>
      </c>
      <c r="G2640" t="s">
        <v>8959</v>
      </c>
      <c r="H2640" t="str">
        <f>HYPERLINK("https://baanknet.com/view-property/276170/3B4F992438B303E402B571569FDF15022ECE16F413517A130455FA94EFF5D195", "https://baanknet.com/view-property/276170/3B4F992438B303E402B571569FDF15022ECE16F413517A130455FA94EFF5D195")</f>
        <v>https://baanknet.com/view-property/276170/3B4F992438B303E402B571569FDF15022ECE16F413517A130455FA94EFF5D195</v>
      </c>
      <c r="I2640" t="str">
        <f>HYPERLINK("https://baanknet.com/view-property/276170/3B4F992438B303E402B571569FDF15022ECE16F413517A130455FA94EFF5D195", "Open")</f>
        <v>Open</v>
      </c>
      <c r="J2640" t="s">
        <v>3803</v>
      </c>
      <c r="L2640">
        <v>2332000</v>
      </c>
      <c r="M2640">
        <v>233200</v>
      </c>
    </row>
    <row r="2641" spans="1:13" x14ac:dyDescent="0.25">
      <c r="A2641" t="s">
        <v>8960</v>
      </c>
      <c r="B2641" t="s">
        <v>8961</v>
      </c>
      <c r="C2641" t="s">
        <v>589</v>
      </c>
      <c r="D2641" t="s">
        <v>304</v>
      </c>
      <c r="E2641" t="s">
        <v>623</v>
      </c>
      <c r="F2641" t="s">
        <v>624</v>
      </c>
      <c r="G2641" t="s">
        <v>8962</v>
      </c>
      <c r="H2641" t="str">
        <f>HYPERLINK("https://baanknet.com/view-property/254590/16A1292653A64C8EDBB28F363505E97A8A13BD791E75C0084ADC23D06FBA35D2", "https://baanknet.com/view-property/254590/16A1292653A64C8EDBB28F363505E97A8A13BD791E75C0084ADC23D06FBA35D2")</f>
        <v>https://baanknet.com/view-property/254590/16A1292653A64C8EDBB28F363505E97A8A13BD791E75C0084ADC23D06FBA35D2</v>
      </c>
      <c r="I2641" t="str">
        <f>HYPERLINK("https://baanknet.com/view-property/254590/16A1292653A64C8EDBB28F363505E97A8A13BD791E75C0084ADC23D06FBA35D2", "Open")</f>
        <v>Open</v>
      </c>
      <c r="J2641" t="s">
        <v>3803</v>
      </c>
      <c r="L2641">
        <v>2432000</v>
      </c>
      <c r="M2641">
        <v>243200</v>
      </c>
    </row>
    <row r="2642" spans="1:13" x14ac:dyDescent="0.25">
      <c r="A2642" t="s">
        <v>8963</v>
      </c>
      <c r="B2642" t="s">
        <v>8964</v>
      </c>
      <c r="C2642" t="s">
        <v>589</v>
      </c>
      <c r="D2642" t="s">
        <v>8965</v>
      </c>
      <c r="E2642" t="s">
        <v>623</v>
      </c>
      <c r="F2642" t="s">
        <v>624</v>
      </c>
      <c r="G2642" t="s">
        <v>8966</v>
      </c>
      <c r="H2642" t="str">
        <f>HYPERLINK("https://baanknet.com/view-property/277855/CF3B7087B06018278288423094B71F0A18BD29100450DA9228191E626E113551", "https://baanknet.com/view-property/277855/CF3B7087B06018278288423094B71F0A18BD29100450DA9228191E626E113551")</f>
        <v>https://baanknet.com/view-property/277855/CF3B7087B06018278288423094B71F0A18BD29100450DA9228191E626E113551</v>
      </c>
      <c r="I2642" t="str">
        <f>HYPERLINK("https://baanknet.com/view-property/277855/CF3B7087B06018278288423094B71F0A18BD29100450DA9228191E626E113551", "Open")</f>
        <v>Open</v>
      </c>
      <c r="J2642" t="s">
        <v>3803</v>
      </c>
      <c r="L2642">
        <v>4000000</v>
      </c>
      <c r="M2642">
        <v>400000</v>
      </c>
    </row>
    <row r="2643" spans="1:13" x14ac:dyDescent="0.25">
      <c r="A2643" t="s">
        <v>8967</v>
      </c>
      <c r="B2643" t="s">
        <v>8968</v>
      </c>
      <c r="C2643" t="s">
        <v>589</v>
      </c>
      <c r="D2643" t="s">
        <v>937</v>
      </c>
      <c r="E2643" t="s">
        <v>623</v>
      </c>
      <c r="F2643" t="s">
        <v>624</v>
      </c>
      <c r="G2643" t="s">
        <v>8969</v>
      </c>
      <c r="H2643" t="str">
        <f>HYPERLINK("https://baanknet.com/view-property/287031/4432D1C5EE0698AAD650AD6698749E758287AA5FC0C8F32BE269FEEC93DF649A", "https://baanknet.com/view-property/287031/4432D1C5EE0698AAD650AD6698749E758287AA5FC0C8F32BE269FEEC93DF649A")</f>
        <v>https://baanknet.com/view-property/287031/4432D1C5EE0698AAD650AD6698749E758287AA5FC0C8F32BE269FEEC93DF649A</v>
      </c>
      <c r="I2643" t="str">
        <f>HYPERLINK("https://baanknet.com/view-property/287031/4432D1C5EE0698AAD650AD6698749E758287AA5FC0C8F32BE269FEEC93DF649A", "Open")</f>
        <v>Open</v>
      </c>
      <c r="J2643" t="s">
        <v>3803</v>
      </c>
      <c r="L2643">
        <v>4471000</v>
      </c>
      <c r="M2643">
        <v>447100</v>
      </c>
    </row>
    <row r="2644" spans="1:13" x14ac:dyDescent="0.25">
      <c r="A2644" t="s">
        <v>8970</v>
      </c>
      <c r="B2644" t="s">
        <v>8971</v>
      </c>
      <c r="C2644" t="s">
        <v>589</v>
      </c>
      <c r="D2644" t="s">
        <v>3351</v>
      </c>
      <c r="E2644" t="s">
        <v>623</v>
      </c>
      <c r="F2644" t="s">
        <v>624</v>
      </c>
      <c r="G2644" t="s">
        <v>8972</v>
      </c>
      <c r="H2644" t="str">
        <f>HYPERLINK("https://baanknet.com/view-property/287026/0014F0335065B927AAD35B5DEF8CDA03D4C3815CFCCAB0B9E0E73E16C975E83A", "https://baanknet.com/view-property/287026/0014F0335065B927AAD35B5DEF8CDA03D4C3815CFCCAB0B9E0E73E16C975E83A")</f>
        <v>https://baanknet.com/view-property/287026/0014F0335065B927AAD35B5DEF8CDA03D4C3815CFCCAB0B9E0E73E16C975E83A</v>
      </c>
      <c r="I2644" t="str">
        <f>HYPERLINK("https://baanknet.com/view-property/287026/0014F0335065B927AAD35B5DEF8CDA03D4C3815CFCCAB0B9E0E73E16C975E83A", "Open")</f>
        <v>Open</v>
      </c>
      <c r="J2644" t="s">
        <v>3803</v>
      </c>
      <c r="L2644">
        <v>4800000</v>
      </c>
      <c r="M2644">
        <v>480000</v>
      </c>
    </row>
    <row r="2645" spans="1:13" x14ac:dyDescent="0.25">
      <c r="A2645" t="s">
        <v>8973</v>
      </c>
      <c r="B2645" t="s">
        <v>8974</v>
      </c>
      <c r="C2645" t="s">
        <v>589</v>
      </c>
      <c r="D2645" t="s">
        <v>8975</v>
      </c>
      <c r="E2645" t="s">
        <v>623</v>
      </c>
      <c r="F2645" t="s">
        <v>624</v>
      </c>
      <c r="G2645" t="s">
        <v>8976</v>
      </c>
      <c r="H2645" t="str">
        <f>HYPERLINK("https://baanknet.com/view-property/257365/5E86C2D5C76FFCBFDC08C618B3A751AB557C300F2404440E654623CE99B4D03A", "https://baanknet.com/view-property/257365/5E86C2D5C76FFCBFDC08C618B3A751AB557C300F2404440E654623CE99B4D03A")</f>
        <v>https://baanknet.com/view-property/257365/5E86C2D5C76FFCBFDC08C618B3A751AB557C300F2404440E654623CE99B4D03A</v>
      </c>
      <c r="I2645" t="str">
        <f>HYPERLINK("https://baanknet.com/view-property/257365/5E86C2D5C76FFCBFDC08C618B3A751AB557C300F2404440E654623CE99B4D03A", "Open")</f>
        <v>Open</v>
      </c>
      <c r="J2645" t="s">
        <v>3803</v>
      </c>
      <c r="L2645">
        <v>4365000</v>
      </c>
      <c r="M2645">
        <v>436500</v>
      </c>
    </row>
    <row r="2646" spans="1:13" x14ac:dyDescent="0.25">
      <c r="A2646" t="s">
        <v>8977</v>
      </c>
      <c r="B2646" t="s">
        <v>8978</v>
      </c>
      <c r="C2646" t="s">
        <v>589</v>
      </c>
      <c r="D2646" t="s">
        <v>8979</v>
      </c>
      <c r="E2646" t="s">
        <v>623</v>
      </c>
      <c r="F2646" t="s">
        <v>624</v>
      </c>
      <c r="G2646" t="s">
        <v>8980</v>
      </c>
      <c r="H2646" t="str">
        <f>HYPERLINK("https://baanknet.com/view-property/250263/893429C3A2042F6CB4C28BE042FB52119BF59AB433C611C2B4C89E4226A13305", "https://baanknet.com/view-property/250263/893429C3A2042F6CB4C28BE042FB52119BF59AB433C611C2B4C89E4226A13305")</f>
        <v>https://baanknet.com/view-property/250263/893429C3A2042F6CB4C28BE042FB52119BF59AB433C611C2B4C89E4226A13305</v>
      </c>
      <c r="I2646" t="str">
        <f>HYPERLINK("https://baanknet.com/view-property/250263/893429C3A2042F6CB4C28BE042FB52119BF59AB433C611C2B4C89E4226A13305", "Open")</f>
        <v>Open</v>
      </c>
      <c r="J2646" t="s">
        <v>3803</v>
      </c>
      <c r="L2646">
        <v>1460000</v>
      </c>
      <c r="M2646">
        <v>146000</v>
      </c>
    </row>
    <row r="2647" spans="1:13" x14ac:dyDescent="0.25">
      <c r="A2647" t="s">
        <v>8981</v>
      </c>
      <c r="B2647" t="s">
        <v>8982</v>
      </c>
      <c r="C2647" t="s">
        <v>589</v>
      </c>
      <c r="D2647" t="s">
        <v>8979</v>
      </c>
      <c r="E2647" t="s">
        <v>623</v>
      </c>
      <c r="F2647" t="s">
        <v>624</v>
      </c>
      <c r="G2647" t="s">
        <v>8983</v>
      </c>
      <c r="H2647" t="str">
        <f>HYPERLINK("https://baanknet.com/view-property/250254/153C1A9F11249C491E58A31799A8C11FB40228D44F9EBBB8C25E91048F2B53CF", "https://baanknet.com/view-property/250254/153C1A9F11249C491E58A31799A8C11FB40228D44F9EBBB8C25E91048F2B53CF")</f>
        <v>https://baanknet.com/view-property/250254/153C1A9F11249C491E58A31799A8C11FB40228D44F9EBBB8C25E91048F2B53CF</v>
      </c>
      <c r="I2647" t="str">
        <f>HYPERLINK("https://baanknet.com/view-property/250254/153C1A9F11249C491E58A31799A8C11FB40228D44F9EBBB8C25E91048F2B53CF", "Open")</f>
        <v>Open</v>
      </c>
      <c r="J2647" t="s">
        <v>3803</v>
      </c>
      <c r="L2647">
        <v>1701000</v>
      </c>
      <c r="M2647">
        <v>170100</v>
      </c>
    </row>
    <row r="2648" spans="1:13" x14ac:dyDescent="0.25">
      <c r="A2648" t="s">
        <v>8984</v>
      </c>
      <c r="B2648" t="s">
        <v>8985</v>
      </c>
      <c r="C2648" t="s">
        <v>589</v>
      </c>
      <c r="D2648" t="s">
        <v>8979</v>
      </c>
      <c r="E2648" t="s">
        <v>623</v>
      </c>
      <c r="F2648" t="s">
        <v>624</v>
      </c>
      <c r="G2648" t="s">
        <v>8986</v>
      </c>
      <c r="H2648" t="str">
        <f>HYPERLINK("https://baanknet.com/view-property/250236/16F3394B585D6B91F534531A8BFA3FE9AE738C33C608AF33A9C10B485A56BF89", "https://baanknet.com/view-property/250236/16F3394B585D6B91F534531A8BFA3FE9AE738C33C608AF33A9C10B485A56BF89")</f>
        <v>https://baanknet.com/view-property/250236/16F3394B585D6B91F534531A8BFA3FE9AE738C33C608AF33A9C10B485A56BF89</v>
      </c>
      <c r="I2648" t="str">
        <f>HYPERLINK("https://baanknet.com/view-property/250236/16F3394B585D6B91F534531A8BFA3FE9AE738C33C608AF33A9C10B485A56BF89", "Open")</f>
        <v>Open</v>
      </c>
      <c r="J2648" t="s">
        <v>3803</v>
      </c>
      <c r="L2648">
        <v>1620000</v>
      </c>
      <c r="M2648">
        <v>162000</v>
      </c>
    </row>
    <row r="2649" spans="1:13" x14ac:dyDescent="0.25">
      <c r="A2649" t="s">
        <v>8987</v>
      </c>
      <c r="B2649" t="s">
        <v>8988</v>
      </c>
      <c r="C2649" t="s">
        <v>589</v>
      </c>
      <c r="D2649" t="s">
        <v>8979</v>
      </c>
      <c r="E2649" t="s">
        <v>623</v>
      </c>
      <c r="F2649" t="s">
        <v>624</v>
      </c>
      <c r="G2649" t="s">
        <v>8989</v>
      </c>
      <c r="H2649" t="str">
        <f>HYPERLINK("https://baanknet.com/view-property/250223/C905E8E7618B0FBDF70B6191C13D7DF0FBBFD4C53E26D0967A2E1A81A886459C", "https://baanknet.com/view-property/250223/C905E8E7618B0FBDF70B6191C13D7DF0FBBFD4C53E26D0967A2E1A81A886459C")</f>
        <v>https://baanknet.com/view-property/250223/C905E8E7618B0FBDF70B6191C13D7DF0FBBFD4C53E26D0967A2E1A81A886459C</v>
      </c>
      <c r="I2649" t="str">
        <f>HYPERLINK("https://baanknet.com/view-property/250223/C905E8E7618B0FBDF70B6191C13D7DF0FBBFD4C53E26D0967A2E1A81A886459C", "Open")</f>
        <v>Open</v>
      </c>
      <c r="J2649" t="s">
        <v>3803</v>
      </c>
      <c r="L2649">
        <v>4455000</v>
      </c>
      <c r="M2649">
        <v>445500</v>
      </c>
    </row>
    <row r="2650" spans="1:13" x14ac:dyDescent="0.25">
      <c r="A2650" t="s">
        <v>8990</v>
      </c>
      <c r="B2650" t="s">
        <v>8991</v>
      </c>
      <c r="C2650" t="s">
        <v>589</v>
      </c>
      <c r="D2650" t="s">
        <v>8979</v>
      </c>
      <c r="E2650" t="s">
        <v>623</v>
      </c>
      <c r="F2650" t="s">
        <v>624</v>
      </c>
      <c r="G2650" t="s">
        <v>8992</v>
      </c>
      <c r="H2650" t="str">
        <f>HYPERLINK("https://baanknet.com/view-property/250199/7E32854787DCC523A3D6E7D1333675C8EBE9E47A0875633FF949F341EF450CE0", "https://baanknet.com/view-property/250199/7E32854787DCC523A3D6E7D1333675C8EBE9E47A0875633FF949F341EF450CE0")</f>
        <v>https://baanknet.com/view-property/250199/7E32854787DCC523A3D6E7D1333675C8EBE9E47A0875633FF949F341EF450CE0</v>
      </c>
      <c r="I2650" t="str">
        <f>HYPERLINK("https://baanknet.com/view-property/250199/7E32854787DCC523A3D6E7D1333675C8EBE9E47A0875633FF949F341EF450CE0", "Open")</f>
        <v>Open</v>
      </c>
      <c r="J2650" t="s">
        <v>3803</v>
      </c>
      <c r="L2650">
        <v>10210000</v>
      </c>
      <c r="M2650">
        <v>1021000</v>
      </c>
    </row>
    <row r="2651" spans="1:13" x14ac:dyDescent="0.25">
      <c r="A2651" t="s">
        <v>8993</v>
      </c>
      <c r="B2651" t="s">
        <v>8994</v>
      </c>
      <c r="C2651" t="s">
        <v>589</v>
      </c>
      <c r="D2651" t="s">
        <v>608</v>
      </c>
      <c r="E2651" t="s">
        <v>623</v>
      </c>
      <c r="F2651" t="s">
        <v>624</v>
      </c>
      <c r="G2651" t="s">
        <v>8995</v>
      </c>
      <c r="H2651" t="str">
        <f>HYPERLINK("https://baanknet.com/view-property/247280/D0452DB7F017A13E787DB3167265C8EEAEBDCDE42C64A35CA793BF9C14DD7344", "https://baanknet.com/view-property/247280/D0452DB7F017A13E787DB3167265C8EEAEBDCDE42C64A35CA793BF9C14DD7344")</f>
        <v>https://baanknet.com/view-property/247280/D0452DB7F017A13E787DB3167265C8EEAEBDCDE42C64A35CA793BF9C14DD7344</v>
      </c>
      <c r="I2651" t="str">
        <f>HYPERLINK("https://baanknet.com/view-property/247280/D0452DB7F017A13E787DB3167265C8EEAEBDCDE42C64A35CA793BF9C14DD7344", "Open")</f>
        <v>Open</v>
      </c>
      <c r="J2651" t="s">
        <v>3803</v>
      </c>
      <c r="L2651">
        <v>3800000</v>
      </c>
      <c r="M2651">
        <v>380000</v>
      </c>
    </row>
    <row r="2652" spans="1:13" x14ac:dyDescent="0.25">
      <c r="A2652" t="s">
        <v>8996</v>
      </c>
      <c r="B2652" t="s">
        <v>8997</v>
      </c>
      <c r="C2652" t="s">
        <v>589</v>
      </c>
      <c r="D2652" t="s">
        <v>8998</v>
      </c>
      <c r="E2652" t="s">
        <v>623</v>
      </c>
      <c r="F2652" t="s">
        <v>624</v>
      </c>
      <c r="G2652" t="s">
        <v>8999</v>
      </c>
      <c r="H2652" t="str">
        <f>HYPERLINK("https://baanknet.com/view-property/278698/A0CB5D2622A9C3DA7AF650A9C2DA579A7975624A8FD4A0A910FA8464241E2064", "https://baanknet.com/view-property/278698/A0CB5D2622A9C3DA7AF650A9C2DA579A7975624A8FD4A0A910FA8464241E2064")</f>
        <v>https://baanknet.com/view-property/278698/A0CB5D2622A9C3DA7AF650A9C2DA579A7975624A8FD4A0A910FA8464241E2064</v>
      </c>
      <c r="I2652" t="str">
        <f>HYPERLINK("https://baanknet.com/view-property/278698/A0CB5D2622A9C3DA7AF650A9C2DA579A7975624A8FD4A0A910FA8464241E2064", "Open")</f>
        <v>Open</v>
      </c>
      <c r="J2652" t="s">
        <v>3803</v>
      </c>
      <c r="L2652">
        <v>1619000</v>
      </c>
      <c r="M2652">
        <v>161900</v>
      </c>
    </row>
    <row r="2653" spans="1:13" x14ac:dyDescent="0.25">
      <c r="A2653" t="s">
        <v>9000</v>
      </c>
      <c r="B2653" t="s">
        <v>9001</v>
      </c>
      <c r="C2653" t="s">
        <v>589</v>
      </c>
      <c r="D2653" t="s">
        <v>578</v>
      </c>
      <c r="E2653" t="s">
        <v>623</v>
      </c>
      <c r="F2653" t="s">
        <v>624</v>
      </c>
      <c r="G2653" t="s">
        <v>9002</v>
      </c>
      <c r="H2653" t="str">
        <f>HYPERLINK("https://baanknet.com/view-property/260036/4D99B5042E363B9E02553671E1BDA33F4FCA5E2F2ECDF9C0A986C3F6A636B99B", "https://baanknet.com/view-property/260036/4D99B5042E363B9E02553671E1BDA33F4FCA5E2F2ECDF9C0A986C3F6A636B99B")</f>
        <v>https://baanknet.com/view-property/260036/4D99B5042E363B9E02553671E1BDA33F4FCA5E2F2ECDF9C0A986C3F6A636B99B</v>
      </c>
      <c r="I2653" t="str">
        <f>HYPERLINK("https://baanknet.com/view-property/260036/4D99B5042E363B9E02553671E1BDA33F4FCA5E2F2ECDF9C0A986C3F6A636B99B", "Open")</f>
        <v>Open</v>
      </c>
      <c r="J2653" t="s">
        <v>3803</v>
      </c>
      <c r="L2653">
        <v>6120000</v>
      </c>
      <c r="M2653">
        <v>612000</v>
      </c>
    </row>
    <row r="2654" spans="1:13" x14ac:dyDescent="0.25">
      <c r="A2654" t="s">
        <v>9003</v>
      </c>
      <c r="B2654" t="s">
        <v>9004</v>
      </c>
      <c r="C2654" t="s">
        <v>589</v>
      </c>
      <c r="D2654" t="s">
        <v>9005</v>
      </c>
      <c r="E2654" t="s">
        <v>623</v>
      </c>
      <c r="F2654" t="s">
        <v>624</v>
      </c>
      <c r="G2654" t="s">
        <v>9006</v>
      </c>
      <c r="H2654" t="str">
        <f>HYPERLINK("https://baanknet.com/view-property/232103/1C243676EA9F9F763AA0D59CA4EB38D1ED512D345116317244216495752FD86C", "https://baanknet.com/view-property/232103/1C243676EA9F9F763AA0D59CA4EB38D1ED512D345116317244216495752FD86C")</f>
        <v>https://baanknet.com/view-property/232103/1C243676EA9F9F763AA0D59CA4EB38D1ED512D345116317244216495752FD86C</v>
      </c>
      <c r="I2654" t="str">
        <f>HYPERLINK("https://baanknet.com/view-property/232103/1C243676EA9F9F763AA0D59CA4EB38D1ED512D345116317244216495752FD86C", "Open")</f>
        <v>Open</v>
      </c>
      <c r="J2654" t="s">
        <v>3803</v>
      </c>
      <c r="L2654">
        <v>3520000</v>
      </c>
      <c r="M2654">
        <v>352000</v>
      </c>
    </row>
    <row r="2655" spans="1:13" x14ac:dyDescent="0.25">
      <c r="A2655" t="s">
        <v>9007</v>
      </c>
      <c r="B2655" t="s">
        <v>9008</v>
      </c>
      <c r="C2655" t="s">
        <v>589</v>
      </c>
      <c r="D2655" t="s">
        <v>153</v>
      </c>
      <c r="E2655" t="s">
        <v>623</v>
      </c>
      <c r="F2655" t="s">
        <v>624</v>
      </c>
      <c r="G2655" t="s">
        <v>9009</v>
      </c>
      <c r="H2655" t="str">
        <f>HYPERLINK("https://baanknet.com/view-property/238014/E551DCAFBFA175AFA26BBE3B68DC0E8563BD382FD0FA0F615A6416FF5FAE4397", "https://baanknet.com/view-property/238014/E551DCAFBFA175AFA26BBE3B68DC0E8563BD382FD0FA0F615A6416FF5FAE4397")</f>
        <v>https://baanknet.com/view-property/238014/E551DCAFBFA175AFA26BBE3B68DC0E8563BD382FD0FA0F615A6416FF5FAE4397</v>
      </c>
      <c r="I2655" t="str">
        <f>HYPERLINK("https://baanknet.com/view-property/238014/E551DCAFBFA175AFA26BBE3B68DC0E8563BD382FD0FA0F615A6416FF5FAE4397", "Open")</f>
        <v>Open</v>
      </c>
      <c r="J2655" t="s">
        <v>3803</v>
      </c>
      <c r="L2655">
        <v>2543625</v>
      </c>
      <c r="M2655">
        <v>254362.5</v>
      </c>
    </row>
    <row r="2656" spans="1:13" x14ac:dyDescent="0.25">
      <c r="A2656" t="s">
        <v>9010</v>
      </c>
      <c r="B2656" t="s">
        <v>9011</v>
      </c>
      <c r="C2656" t="s">
        <v>589</v>
      </c>
      <c r="D2656" t="s">
        <v>9012</v>
      </c>
      <c r="E2656" t="s">
        <v>623</v>
      </c>
      <c r="F2656" t="s">
        <v>624</v>
      </c>
      <c r="G2656" t="s">
        <v>9013</v>
      </c>
      <c r="H2656" t="str">
        <f>HYPERLINK("https://baanknet.com/view-property/253809/6FB50934E8365A25FF0023EA85350347E0C72C210C10CA93473A0F4219F12E19", "https://baanknet.com/view-property/253809/6FB50934E8365A25FF0023EA85350347E0C72C210C10CA93473A0F4219F12E19")</f>
        <v>https://baanknet.com/view-property/253809/6FB50934E8365A25FF0023EA85350347E0C72C210C10CA93473A0F4219F12E19</v>
      </c>
      <c r="I2656" t="str">
        <f>HYPERLINK("https://baanknet.com/view-property/253809/6FB50934E8365A25FF0023EA85350347E0C72C210C10CA93473A0F4219F12E19", "Open")</f>
        <v>Open</v>
      </c>
      <c r="J2656" t="s">
        <v>3803</v>
      </c>
      <c r="L2656">
        <v>1750000</v>
      </c>
      <c r="M2656">
        <v>175000</v>
      </c>
    </row>
    <row r="2657" spans="1:13" x14ac:dyDescent="0.25">
      <c r="A2657" t="s">
        <v>9014</v>
      </c>
      <c r="B2657" t="s">
        <v>9015</v>
      </c>
      <c r="C2657" t="s">
        <v>589</v>
      </c>
      <c r="D2657" t="s">
        <v>8769</v>
      </c>
      <c r="E2657" t="s">
        <v>623</v>
      </c>
      <c r="F2657" t="s">
        <v>624</v>
      </c>
      <c r="G2657" t="s">
        <v>9016</v>
      </c>
      <c r="H2657" t="str">
        <f>HYPERLINK("https://baanknet.com/view-property/265803/059B84F17AF9DD0CB4E5D409B8821FF791F561D428D72BABEBE138445248A77F", "https://baanknet.com/view-property/265803/059B84F17AF9DD0CB4E5D409B8821FF791F561D428D72BABEBE138445248A77F")</f>
        <v>https://baanknet.com/view-property/265803/059B84F17AF9DD0CB4E5D409B8821FF791F561D428D72BABEBE138445248A77F</v>
      </c>
      <c r="I2657" t="str">
        <f>HYPERLINK("https://baanknet.com/view-property/265803/059B84F17AF9DD0CB4E5D409B8821FF791F561D428D72BABEBE138445248A77F", "Open")</f>
        <v>Open</v>
      </c>
      <c r="J2657" t="s">
        <v>3803</v>
      </c>
      <c r="L2657">
        <v>23375000</v>
      </c>
      <c r="M2657">
        <v>2337500</v>
      </c>
    </row>
    <row r="2658" spans="1:13" x14ac:dyDescent="0.25">
      <c r="A2658" t="s">
        <v>9017</v>
      </c>
      <c r="B2658" t="s">
        <v>9018</v>
      </c>
      <c r="C2658" t="s">
        <v>589</v>
      </c>
      <c r="D2658" t="s">
        <v>8769</v>
      </c>
      <c r="E2658" t="s">
        <v>623</v>
      </c>
      <c r="F2658" t="s">
        <v>624</v>
      </c>
      <c r="G2658" t="s">
        <v>9019</v>
      </c>
      <c r="H2658" t="str">
        <f>HYPERLINK("https://baanknet.com/view-property/257817/AFE4046C63DAED4E680077FCC1C68FB96EF243AA3B64063D8A72A5DDEEEE1B44", "https://baanknet.com/view-property/257817/AFE4046C63DAED4E680077FCC1C68FB96EF243AA3B64063D8A72A5DDEEEE1B44")</f>
        <v>https://baanknet.com/view-property/257817/AFE4046C63DAED4E680077FCC1C68FB96EF243AA3B64063D8A72A5DDEEEE1B44</v>
      </c>
      <c r="I2658" t="str">
        <f>HYPERLINK("https://baanknet.com/view-property/257817/AFE4046C63DAED4E680077FCC1C68FB96EF243AA3B64063D8A72A5DDEEEE1B44", "Open")</f>
        <v>Open</v>
      </c>
      <c r="J2658" t="s">
        <v>3803</v>
      </c>
      <c r="L2658">
        <v>1876000</v>
      </c>
      <c r="M2658">
        <v>187600</v>
      </c>
    </row>
    <row r="2659" spans="1:13" x14ac:dyDescent="0.25">
      <c r="A2659" t="s">
        <v>9020</v>
      </c>
      <c r="B2659" t="s">
        <v>9021</v>
      </c>
      <c r="C2659" t="s">
        <v>589</v>
      </c>
      <c r="D2659" t="s">
        <v>3165</v>
      </c>
      <c r="E2659" t="s">
        <v>623</v>
      </c>
      <c r="F2659" t="s">
        <v>624</v>
      </c>
      <c r="G2659" t="s">
        <v>9022</v>
      </c>
      <c r="H2659" t="str">
        <f>HYPERLINK("https://baanknet.com/view-property/283846/A5FD4D3D33DEC14C1C835BA147A3B80733E4BD465AAD4D2328E458F5A30A32FC", "https://baanknet.com/view-property/283846/A5FD4D3D33DEC14C1C835BA147A3B80733E4BD465AAD4D2328E458F5A30A32FC")</f>
        <v>https://baanknet.com/view-property/283846/A5FD4D3D33DEC14C1C835BA147A3B80733E4BD465AAD4D2328E458F5A30A32FC</v>
      </c>
      <c r="I2659" t="str">
        <f>HYPERLINK("https://baanknet.com/view-property/283846/A5FD4D3D33DEC14C1C835BA147A3B80733E4BD465AAD4D2328E458F5A30A32FC", "Open")</f>
        <v>Open</v>
      </c>
      <c r="J2659" t="s">
        <v>3803</v>
      </c>
      <c r="L2659">
        <v>5878000</v>
      </c>
      <c r="M2659">
        <v>587800</v>
      </c>
    </row>
    <row r="2660" spans="1:13" x14ac:dyDescent="0.25">
      <c r="A2660" t="s">
        <v>9023</v>
      </c>
      <c r="B2660" t="s">
        <v>9024</v>
      </c>
      <c r="C2660" t="s">
        <v>589</v>
      </c>
      <c r="D2660" t="s">
        <v>8769</v>
      </c>
      <c r="E2660" t="s">
        <v>623</v>
      </c>
      <c r="F2660" t="s">
        <v>624</v>
      </c>
      <c r="G2660" t="s">
        <v>9025</v>
      </c>
      <c r="H2660" t="str">
        <f>HYPERLINK("https://baanknet.com/view-property/263626/E66D35C8E466900FD716D991DBE134B6DD3984DF9F9F46017198CCD7D8460B2A", "https://baanknet.com/view-property/263626/E66D35C8E466900FD716D991DBE134B6DD3984DF9F9F46017198CCD7D8460B2A")</f>
        <v>https://baanknet.com/view-property/263626/E66D35C8E466900FD716D991DBE134B6DD3984DF9F9F46017198CCD7D8460B2A</v>
      </c>
      <c r="I2660" t="str">
        <f>HYPERLINK("https://baanknet.com/view-property/263626/E66D35C8E466900FD716D991DBE134B6DD3984DF9F9F46017198CCD7D8460B2A", "Open")</f>
        <v>Open</v>
      </c>
      <c r="J2660" t="s">
        <v>3803</v>
      </c>
      <c r="L2660">
        <v>5610000</v>
      </c>
      <c r="M2660">
        <v>561000</v>
      </c>
    </row>
    <row r="2661" spans="1:13" x14ac:dyDescent="0.25">
      <c r="A2661" t="s">
        <v>9026</v>
      </c>
      <c r="B2661" t="s">
        <v>9027</v>
      </c>
      <c r="C2661" t="s">
        <v>589</v>
      </c>
      <c r="D2661" t="s">
        <v>8769</v>
      </c>
      <c r="E2661" t="s">
        <v>623</v>
      </c>
      <c r="F2661" t="s">
        <v>624</v>
      </c>
      <c r="G2661" t="s">
        <v>9028</v>
      </c>
      <c r="H2661" t="str">
        <f>HYPERLINK("https://baanknet.com/view-property/274364/D26D76928C8C273EF4C22817072411AD234A71B85A81F88007CCDA7BE4F1BE68", "https://baanknet.com/view-property/274364/D26D76928C8C273EF4C22817072411AD234A71B85A81F88007CCDA7BE4F1BE68")</f>
        <v>https://baanknet.com/view-property/274364/D26D76928C8C273EF4C22817072411AD234A71B85A81F88007CCDA7BE4F1BE68</v>
      </c>
      <c r="I2661" t="str">
        <f>HYPERLINK("https://baanknet.com/view-property/274364/D26D76928C8C273EF4C22817072411AD234A71B85A81F88007CCDA7BE4F1BE68", "Open")</f>
        <v>Open</v>
      </c>
      <c r="J2661" t="s">
        <v>3803</v>
      </c>
      <c r="L2661">
        <v>7272000</v>
      </c>
      <c r="M2661">
        <v>727200</v>
      </c>
    </row>
    <row r="2662" spans="1:13" x14ac:dyDescent="0.25">
      <c r="A2662" t="s">
        <v>9029</v>
      </c>
      <c r="B2662" t="s">
        <v>9030</v>
      </c>
      <c r="C2662" t="s">
        <v>589</v>
      </c>
      <c r="D2662" t="s">
        <v>9031</v>
      </c>
      <c r="E2662" t="s">
        <v>623</v>
      </c>
      <c r="F2662" t="s">
        <v>624</v>
      </c>
      <c r="G2662" t="s">
        <v>9032</v>
      </c>
      <c r="H2662" t="str">
        <f>HYPERLINK("https://baanknet.com/view-property/255222/81DA2D73F95BED73974421C793E521EE3A0BA3FBB8E7D9A864F04B6AA6C18291", "https://baanknet.com/view-property/255222/81DA2D73F95BED73974421C793E521EE3A0BA3FBB8E7D9A864F04B6AA6C18291")</f>
        <v>https://baanknet.com/view-property/255222/81DA2D73F95BED73974421C793E521EE3A0BA3FBB8E7D9A864F04B6AA6C18291</v>
      </c>
      <c r="I2662" t="str">
        <f>HYPERLINK("https://baanknet.com/view-property/255222/81DA2D73F95BED73974421C793E521EE3A0BA3FBB8E7D9A864F04B6AA6C18291", "Open")</f>
        <v>Open</v>
      </c>
      <c r="J2662" t="s">
        <v>3803</v>
      </c>
      <c r="L2662">
        <v>1907000</v>
      </c>
      <c r="M2662">
        <v>190700</v>
      </c>
    </row>
    <row r="2663" spans="1:13" x14ac:dyDescent="0.25">
      <c r="A2663" t="s">
        <v>9033</v>
      </c>
      <c r="B2663" t="s">
        <v>9034</v>
      </c>
      <c r="C2663" t="s">
        <v>589</v>
      </c>
      <c r="D2663" t="s">
        <v>8769</v>
      </c>
      <c r="E2663" t="s">
        <v>623</v>
      </c>
      <c r="F2663" t="s">
        <v>624</v>
      </c>
      <c r="G2663" t="s">
        <v>9035</v>
      </c>
      <c r="H2663" t="str">
        <f>HYPERLINK("https://baanknet.com/view-property/274365/E1BF059BDCA1EBE68AD025891A81555A9F14EA71D642080CD44AB71C52E1EC12", "https://baanknet.com/view-property/274365/E1BF059BDCA1EBE68AD025891A81555A9F14EA71D642080CD44AB71C52E1EC12")</f>
        <v>https://baanknet.com/view-property/274365/E1BF059BDCA1EBE68AD025891A81555A9F14EA71D642080CD44AB71C52E1EC12</v>
      </c>
      <c r="I2663" t="str">
        <f>HYPERLINK("https://baanknet.com/view-property/274365/E1BF059BDCA1EBE68AD025891A81555A9F14EA71D642080CD44AB71C52E1EC12", "Open")</f>
        <v>Open</v>
      </c>
      <c r="J2663" t="s">
        <v>3803</v>
      </c>
      <c r="L2663">
        <v>5121000</v>
      </c>
      <c r="M2663">
        <v>512100</v>
      </c>
    </row>
    <row r="2664" spans="1:13" x14ac:dyDescent="0.25">
      <c r="A2664" t="s">
        <v>9036</v>
      </c>
      <c r="B2664" t="s">
        <v>9037</v>
      </c>
      <c r="C2664" t="s">
        <v>589</v>
      </c>
      <c r="D2664" t="s">
        <v>9038</v>
      </c>
      <c r="E2664" t="s">
        <v>623</v>
      </c>
      <c r="F2664" t="s">
        <v>624</v>
      </c>
      <c r="G2664" t="s">
        <v>9039</v>
      </c>
      <c r="H2664" t="str">
        <f>HYPERLINK("https://baanknet.com/view-property/282791/E3C0CB9B1BD1AECC9B9B1B06B139ABD5595075FEE756EA3CC8CD2E35D3874936", "https://baanknet.com/view-property/282791/E3C0CB9B1BD1AECC9B9B1B06B139ABD5595075FEE756EA3CC8CD2E35D3874936")</f>
        <v>https://baanknet.com/view-property/282791/E3C0CB9B1BD1AECC9B9B1B06B139ABD5595075FEE756EA3CC8CD2E35D3874936</v>
      </c>
      <c r="I2664" t="str">
        <f>HYPERLINK("https://baanknet.com/view-property/282791/E3C0CB9B1BD1AECC9B9B1B06B139ABD5595075FEE756EA3CC8CD2E35D3874936", "Open")</f>
        <v>Open</v>
      </c>
      <c r="J2664" t="s">
        <v>3803</v>
      </c>
      <c r="L2664">
        <v>9550000</v>
      </c>
      <c r="M2664">
        <v>955000</v>
      </c>
    </row>
    <row r="2665" spans="1:13" x14ac:dyDescent="0.25">
      <c r="A2665" t="s">
        <v>9040</v>
      </c>
      <c r="B2665" t="s">
        <v>9041</v>
      </c>
      <c r="C2665" t="s">
        <v>589</v>
      </c>
      <c r="D2665" t="s">
        <v>7991</v>
      </c>
      <c r="E2665" t="s">
        <v>623</v>
      </c>
      <c r="F2665" t="s">
        <v>624</v>
      </c>
      <c r="G2665" t="s">
        <v>9042</v>
      </c>
      <c r="H2665" t="str">
        <f>HYPERLINK("https://baanknet.com/view-property/282784/A4E1EEA0578D07D582AFA1067513DFA3C51380D1C5272D0E260FB1705E9D9BA8", "https://baanknet.com/view-property/282784/A4E1EEA0578D07D582AFA1067513DFA3C51380D1C5272D0E260FB1705E9D9BA8")</f>
        <v>https://baanknet.com/view-property/282784/A4E1EEA0578D07D582AFA1067513DFA3C51380D1C5272D0E260FB1705E9D9BA8</v>
      </c>
      <c r="I2665" t="str">
        <f>HYPERLINK("https://baanknet.com/view-property/282784/A4E1EEA0578D07D582AFA1067513DFA3C51380D1C5272D0E260FB1705E9D9BA8", "Open")</f>
        <v>Open</v>
      </c>
      <c r="J2665" t="s">
        <v>3803</v>
      </c>
      <c r="L2665">
        <v>5401000</v>
      </c>
      <c r="M2665">
        <v>540100</v>
      </c>
    </row>
    <row r="2666" spans="1:13" x14ac:dyDescent="0.25">
      <c r="A2666" t="s">
        <v>9043</v>
      </c>
      <c r="B2666" t="s">
        <v>9044</v>
      </c>
      <c r="C2666" t="s">
        <v>589</v>
      </c>
      <c r="D2666" t="s">
        <v>9045</v>
      </c>
      <c r="E2666" t="s">
        <v>623</v>
      </c>
      <c r="F2666" t="s">
        <v>624</v>
      </c>
      <c r="G2666" t="s">
        <v>9046</v>
      </c>
      <c r="H2666" t="str">
        <f>HYPERLINK("https://baanknet.com/view-property/282782/385301AA8120151E89B28DAB81F24A69C784D7D96FDD63AE4D418AD33CCFE352", "https://baanknet.com/view-property/282782/385301AA8120151E89B28DAB81F24A69C784D7D96FDD63AE4D418AD33CCFE352")</f>
        <v>https://baanknet.com/view-property/282782/385301AA8120151E89B28DAB81F24A69C784D7D96FDD63AE4D418AD33CCFE352</v>
      </c>
      <c r="I2666" t="str">
        <f>HYPERLINK("https://baanknet.com/view-property/282782/385301AA8120151E89B28DAB81F24A69C784D7D96FDD63AE4D418AD33CCFE352", "Open")</f>
        <v>Open</v>
      </c>
      <c r="J2666" t="s">
        <v>3803</v>
      </c>
      <c r="L2666">
        <v>4344000</v>
      </c>
      <c r="M2666">
        <v>434400</v>
      </c>
    </row>
    <row r="2667" spans="1:13" x14ac:dyDescent="0.25">
      <c r="A2667" t="s">
        <v>9047</v>
      </c>
      <c r="B2667" t="s">
        <v>9048</v>
      </c>
      <c r="C2667" t="s">
        <v>589</v>
      </c>
      <c r="D2667" t="s">
        <v>3656</v>
      </c>
      <c r="E2667" t="s">
        <v>623</v>
      </c>
      <c r="F2667" t="s">
        <v>624</v>
      </c>
      <c r="G2667" t="s">
        <v>9049</v>
      </c>
      <c r="H2667" t="str">
        <f>HYPERLINK("https://baanknet.com/view-property/280591/1B75FBF59614C495F98B0248CB890DA400D8EC681B00697C908926612E92708B", "https://baanknet.com/view-property/280591/1B75FBF59614C495F98B0248CB890DA400D8EC681B00697C908926612E92708B")</f>
        <v>https://baanknet.com/view-property/280591/1B75FBF59614C495F98B0248CB890DA400D8EC681B00697C908926612E92708B</v>
      </c>
      <c r="I2667" t="str">
        <f>HYPERLINK("https://baanknet.com/view-property/280591/1B75FBF59614C495F98B0248CB890DA400D8EC681B00697C908926612E92708B", "Open")</f>
        <v>Open</v>
      </c>
      <c r="J2667" t="s">
        <v>3803</v>
      </c>
      <c r="L2667">
        <v>24100000</v>
      </c>
      <c r="M2667">
        <v>2410000</v>
      </c>
    </row>
    <row r="2668" spans="1:13" x14ac:dyDescent="0.25">
      <c r="A2668" t="s">
        <v>9050</v>
      </c>
      <c r="B2668" t="s">
        <v>9051</v>
      </c>
      <c r="C2668" t="s">
        <v>589</v>
      </c>
      <c r="D2668" t="s">
        <v>9052</v>
      </c>
      <c r="E2668" t="s">
        <v>623</v>
      </c>
      <c r="F2668" t="s">
        <v>624</v>
      </c>
      <c r="G2668" t="s">
        <v>9053</v>
      </c>
      <c r="H2668" t="str">
        <f>HYPERLINK("https://baanknet.com/view-property/277397/4E7C377F2C925CFDAB1AE284A01320A3402844A70564D6BF4BEE537136D80D68", "https://baanknet.com/view-property/277397/4E7C377F2C925CFDAB1AE284A01320A3402844A70564D6BF4BEE537136D80D68")</f>
        <v>https://baanknet.com/view-property/277397/4E7C377F2C925CFDAB1AE284A01320A3402844A70564D6BF4BEE537136D80D68</v>
      </c>
      <c r="I2668" t="str">
        <f>HYPERLINK("https://baanknet.com/view-property/277397/4E7C377F2C925CFDAB1AE284A01320A3402844A70564D6BF4BEE537136D80D68", "Open")</f>
        <v>Open</v>
      </c>
      <c r="J2668" t="s">
        <v>3803</v>
      </c>
      <c r="L2668">
        <v>3150000</v>
      </c>
      <c r="M2668">
        <v>315000</v>
      </c>
    </row>
    <row r="2669" spans="1:13" x14ac:dyDescent="0.25">
      <c r="A2669" t="s">
        <v>9054</v>
      </c>
      <c r="B2669" t="s">
        <v>9055</v>
      </c>
      <c r="C2669" t="s">
        <v>589</v>
      </c>
      <c r="D2669" t="s">
        <v>9056</v>
      </c>
      <c r="E2669" t="s">
        <v>623</v>
      </c>
      <c r="F2669" t="s">
        <v>624</v>
      </c>
      <c r="G2669" t="s">
        <v>9057</v>
      </c>
      <c r="H2669" t="str">
        <f>HYPERLINK("https://baanknet.com/view-property/276482/1AB2DE67B8783485575D43BDF869BAB3D5D77ED6CB8D9065AD23470B7F62198D", "https://baanknet.com/view-property/276482/1AB2DE67B8783485575D43BDF869BAB3D5D77ED6CB8D9065AD23470B7F62198D")</f>
        <v>https://baanknet.com/view-property/276482/1AB2DE67B8783485575D43BDF869BAB3D5D77ED6CB8D9065AD23470B7F62198D</v>
      </c>
      <c r="I2669" t="str">
        <f>HYPERLINK("https://baanknet.com/view-property/276482/1AB2DE67B8783485575D43BDF869BAB3D5D77ED6CB8D9065AD23470B7F62198D", "Open")</f>
        <v>Open</v>
      </c>
      <c r="J2669" t="s">
        <v>3803</v>
      </c>
      <c r="L2669">
        <v>1848000</v>
      </c>
      <c r="M2669">
        <v>184800</v>
      </c>
    </row>
    <row r="2670" spans="1:13" x14ac:dyDescent="0.25">
      <c r="A2670" t="s">
        <v>9058</v>
      </c>
      <c r="B2670" t="s">
        <v>9059</v>
      </c>
      <c r="C2670" t="s">
        <v>589</v>
      </c>
      <c r="D2670" t="s">
        <v>4379</v>
      </c>
      <c r="E2670" t="s">
        <v>623</v>
      </c>
      <c r="F2670" t="s">
        <v>624</v>
      </c>
      <c r="G2670" t="s">
        <v>9060</v>
      </c>
      <c r="H2670" t="str">
        <f>HYPERLINK("https://baanknet.com/view-property/272711/4BB693FC09076E1A50F3406AB38C603236BD9F6489403F57E31E046B825369BB", "https://baanknet.com/view-property/272711/4BB693FC09076E1A50F3406AB38C603236BD9F6489403F57E31E046B825369BB")</f>
        <v>https://baanknet.com/view-property/272711/4BB693FC09076E1A50F3406AB38C603236BD9F6489403F57E31E046B825369BB</v>
      </c>
      <c r="I2670" t="str">
        <f>HYPERLINK("https://baanknet.com/view-property/272711/4BB693FC09076E1A50F3406AB38C603236BD9F6489403F57E31E046B825369BB", "Open")</f>
        <v>Open</v>
      </c>
      <c r="J2670" t="s">
        <v>3803</v>
      </c>
      <c r="L2670">
        <v>9400000</v>
      </c>
      <c r="M2670">
        <v>940000</v>
      </c>
    </row>
    <row r="2671" spans="1:13" x14ac:dyDescent="0.25">
      <c r="A2671" t="s">
        <v>9061</v>
      </c>
      <c r="B2671" t="s">
        <v>9062</v>
      </c>
      <c r="C2671" t="s">
        <v>589</v>
      </c>
      <c r="D2671" t="s">
        <v>9063</v>
      </c>
      <c r="E2671" t="s">
        <v>623</v>
      </c>
      <c r="F2671" t="s">
        <v>624</v>
      </c>
      <c r="G2671" t="s">
        <v>9064</v>
      </c>
      <c r="H2671" t="str">
        <f>HYPERLINK("https://baanknet.com/view-property/267928/5FD8393A4A92EA9CB1E2DE19ABF8F6A71FD762A9B23468D8A82DD4BBB166F1B8", "https://baanknet.com/view-property/267928/5FD8393A4A92EA9CB1E2DE19ABF8F6A71FD762A9B23468D8A82DD4BBB166F1B8")</f>
        <v>https://baanknet.com/view-property/267928/5FD8393A4A92EA9CB1E2DE19ABF8F6A71FD762A9B23468D8A82DD4BBB166F1B8</v>
      </c>
      <c r="I2671" t="str">
        <f>HYPERLINK("https://baanknet.com/view-property/267928/5FD8393A4A92EA9CB1E2DE19ABF8F6A71FD762A9B23468D8A82DD4BBB166F1B8", "Open")</f>
        <v>Open</v>
      </c>
      <c r="J2671" t="s">
        <v>3803</v>
      </c>
      <c r="L2671">
        <v>20800000</v>
      </c>
      <c r="M2671">
        <v>2080000</v>
      </c>
    </row>
    <row r="2672" spans="1:13" x14ac:dyDescent="0.25">
      <c r="A2672" t="s">
        <v>9065</v>
      </c>
      <c r="B2672" t="s">
        <v>9066</v>
      </c>
      <c r="C2672" t="s">
        <v>589</v>
      </c>
      <c r="D2672" t="s">
        <v>3250</v>
      </c>
      <c r="E2672" t="s">
        <v>623</v>
      </c>
      <c r="F2672" t="s">
        <v>624</v>
      </c>
      <c r="G2672" t="s">
        <v>9067</v>
      </c>
      <c r="H2672" t="str">
        <f>HYPERLINK("https://baanknet.com/view-property/227491/421D50D8B5EDC60B481DDA8ECDC5BBABBCF752E4EF0A595C2289F948E3CB692C", "https://baanknet.com/view-property/227491/421D50D8B5EDC60B481DDA8ECDC5BBABBCF752E4EF0A595C2289F948E3CB692C")</f>
        <v>https://baanknet.com/view-property/227491/421D50D8B5EDC60B481DDA8ECDC5BBABBCF752E4EF0A595C2289F948E3CB692C</v>
      </c>
      <c r="I2672" t="str">
        <f>HYPERLINK("https://baanknet.com/view-property/227491/421D50D8B5EDC60B481DDA8ECDC5BBABBCF752E4EF0A595C2289F948E3CB692C", "Open")</f>
        <v>Open</v>
      </c>
      <c r="J2672" t="s">
        <v>3803</v>
      </c>
      <c r="L2672">
        <v>1995000</v>
      </c>
      <c r="M2672">
        <v>199500</v>
      </c>
    </row>
    <row r="2673" spans="1:13" x14ac:dyDescent="0.25">
      <c r="A2673" t="s">
        <v>9068</v>
      </c>
      <c r="B2673" t="s">
        <v>9069</v>
      </c>
      <c r="C2673" t="s">
        <v>589</v>
      </c>
      <c r="D2673" t="s">
        <v>9070</v>
      </c>
      <c r="E2673" t="s">
        <v>623</v>
      </c>
      <c r="F2673" t="s">
        <v>624</v>
      </c>
      <c r="G2673" t="s">
        <v>9071</v>
      </c>
      <c r="H2673" t="str">
        <f>HYPERLINK("https://baanknet.com/view-property/216857/25C7A664761BB66800AAB8D34A86CE6A67E3A395AFA97B9AF4AA42F6D912F842", "https://baanknet.com/view-property/216857/25C7A664761BB66800AAB8D34A86CE6A67E3A395AFA97B9AF4AA42F6D912F842")</f>
        <v>https://baanknet.com/view-property/216857/25C7A664761BB66800AAB8D34A86CE6A67E3A395AFA97B9AF4AA42F6D912F842</v>
      </c>
      <c r="I2673" t="str">
        <f>HYPERLINK("https://baanknet.com/view-property/216857/25C7A664761BB66800AAB8D34A86CE6A67E3A395AFA97B9AF4AA42F6D912F842", "Open")</f>
        <v>Open</v>
      </c>
      <c r="J2673" t="s">
        <v>3803</v>
      </c>
      <c r="L2673">
        <v>1613000</v>
      </c>
      <c r="M2673">
        <v>161300</v>
      </c>
    </row>
    <row r="2674" spans="1:13" x14ac:dyDescent="0.25">
      <c r="A2674" t="s">
        <v>9072</v>
      </c>
      <c r="B2674" t="s">
        <v>9073</v>
      </c>
      <c r="C2674" t="s">
        <v>589</v>
      </c>
      <c r="D2674" t="s">
        <v>653</v>
      </c>
      <c r="E2674" t="s">
        <v>623</v>
      </c>
      <c r="F2674" t="s">
        <v>624</v>
      </c>
      <c r="G2674" t="s">
        <v>9074</v>
      </c>
      <c r="H2674" t="str">
        <f>HYPERLINK("https://baanknet.com/view-property/227468/D3F2F84888AED69D2238C1D0170E0B45CC6ED5AB19B99493DA3846D7FDBFA138", "https://baanknet.com/view-property/227468/D3F2F84888AED69D2238C1D0170E0B45CC6ED5AB19B99493DA3846D7FDBFA138")</f>
        <v>https://baanknet.com/view-property/227468/D3F2F84888AED69D2238C1D0170E0B45CC6ED5AB19B99493DA3846D7FDBFA138</v>
      </c>
      <c r="I2674" t="str">
        <f>HYPERLINK("https://baanknet.com/view-property/227468/D3F2F84888AED69D2238C1D0170E0B45CC6ED5AB19B99493DA3846D7FDBFA138", "Open")</f>
        <v>Open</v>
      </c>
      <c r="J2674" t="s">
        <v>3803</v>
      </c>
      <c r="L2674">
        <v>2830000</v>
      </c>
      <c r="M2674">
        <v>283000</v>
      </c>
    </row>
    <row r="2675" spans="1:13" x14ac:dyDescent="0.25">
      <c r="A2675" t="s">
        <v>9075</v>
      </c>
      <c r="B2675" t="s">
        <v>9076</v>
      </c>
      <c r="C2675" t="s">
        <v>589</v>
      </c>
      <c r="D2675" t="s">
        <v>3826</v>
      </c>
      <c r="E2675" t="s">
        <v>623</v>
      </c>
      <c r="F2675" t="s">
        <v>624</v>
      </c>
      <c r="G2675" t="s">
        <v>9077</v>
      </c>
      <c r="H2675" t="str">
        <f>HYPERLINK("https://baanknet.com/view-property/287228/9C695B087320E81D5C8D52D80097E0B5584C5F980789D2B434F639CD1F71C9DE", "https://baanknet.com/view-property/287228/9C695B087320E81D5C8D52D80097E0B5584C5F980789D2B434F639CD1F71C9DE")</f>
        <v>https://baanknet.com/view-property/287228/9C695B087320E81D5C8D52D80097E0B5584C5F980789D2B434F639CD1F71C9DE</v>
      </c>
      <c r="I2675" t="str">
        <f>HYPERLINK("https://baanknet.com/view-property/287228/9C695B087320E81D5C8D52D80097E0B5584C5F980789D2B434F639CD1F71C9DE", "Open")</f>
        <v>Open</v>
      </c>
      <c r="J2675" t="s">
        <v>3803</v>
      </c>
      <c r="L2675">
        <v>2251000</v>
      </c>
      <c r="M2675">
        <v>225100</v>
      </c>
    </row>
    <row r="2676" spans="1:13" x14ac:dyDescent="0.25">
      <c r="A2676" t="s">
        <v>9078</v>
      </c>
      <c r="B2676" t="s">
        <v>9079</v>
      </c>
      <c r="C2676" t="s">
        <v>589</v>
      </c>
      <c r="D2676" t="s">
        <v>9080</v>
      </c>
      <c r="E2676" t="s">
        <v>623</v>
      </c>
      <c r="F2676" t="s">
        <v>624</v>
      </c>
      <c r="G2676" t="s">
        <v>9081</v>
      </c>
      <c r="H2676" t="str">
        <f>HYPERLINK("https://baanknet.com/view-property/287222/09DA3E36D8C10F782DEAEEC920ABE9DE03E9C443388A04BC66BDAFDD191C38C0", "https://baanknet.com/view-property/287222/09DA3E36D8C10F782DEAEEC920ABE9DE03E9C443388A04BC66BDAFDD191C38C0")</f>
        <v>https://baanknet.com/view-property/287222/09DA3E36D8C10F782DEAEEC920ABE9DE03E9C443388A04BC66BDAFDD191C38C0</v>
      </c>
      <c r="I2676" t="str">
        <f>HYPERLINK("https://baanknet.com/view-property/287222/09DA3E36D8C10F782DEAEEC920ABE9DE03E9C443388A04BC66BDAFDD191C38C0", "Open")</f>
        <v>Open</v>
      </c>
      <c r="J2676" t="s">
        <v>3803</v>
      </c>
      <c r="L2676">
        <v>3423000</v>
      </c>
      <c r="M2676">
        <v>342300</v>
      </c>
    </row>
    <row r="2677" spans="1:13" x14ac:dyDescent="0.25">
      <c r="A2677" t="s">
        <v>9082</v>
      </c>
      <c r="B2677" t="s">
        <v>9083</v>
      </c>
      <c r="C2677" t="s">
        <v>589</v>
      </c>
      <c r="D2677" t="s">
        <v>578</v>
      </c>
      <c r="E2677" t="s">
        <v>623</v>
      </c>
      <c r="F2677" t="s">
        <v>624</v>
      </c>
      <c r="G2677" t="s">
        <v>9084</v>
      </c>
      <c r="H2677" t="str">
        <f>HYPERLINK("https://baanknet.com/view-property/287083/6CF6075BFCFCDA9C9F51CD3D9185D3D40396B1A08A34664376726DF792CD8B3E", "https://baanknet.com/view-property/287083/6CF6075BFCFCDA9C9F51CD3D9185D3D40396B1A08A34664376726DF792CD8B3E")</f>
        <v>https://baanknet.com/view-property/287083/6CF6075BFCFCDA9C9F51CD3D9185D3D40396B1A08A34664376726DF792CD8B3E</v>
      </c>
      <c r="I2677" t="str">
        <f>HYPERLINK("https://baanknet.com/view-property/287083/6CF6075BFCFCDA9C9F51CD3D9185D3D40396B1A08A34664376726DF792CD8B3E", "Open")</f>
        <v>Open</v>
      </c>
      <c r="J2677" t="s">
        <v>3803</v>
      </c>
      <c r="L2677">
        <v>2450000</v>
      </c>
      <c r="M2677">
        <v>245000</v>
      </c>
    </row>
    <row r="2678" spans="1:13" x14ac:dyDescent="0.25">
      <c r="A2678" t="s">
        <v>9085</v>
      </c>
      <c r="B2678" t="s">
        <v>9086</v>
      </c>
      <c r="C2678" t="s">
        <v>589</v>
      </c>
      <c r="D2678" t="s">
        <v>9087</v>
      </c>
      <c r="E2678" t="s">
        <v>623</v>
      </c>
      <c r="F2678" t="s">
        <v>624</v>
      </c>
      <c r="G2678" t="s">
        <v>9088</v>
      </c>
      <c r="H2678" t="str">
        <f>HYPERLINK("https://baanknet.com/view-property/271538/2903967DAECFF9E4F756F0B925C120D0525A8F05DCBDCAB70B86B360EA4CFA70", "https://baanknet.com/view-property/271538/2903967DAECFF9E4F756F0B925C120D0525A8F05DCBDCAB70B86B360EA4CFA70")</f>
        <v>https://baanknet.com/view-property/271538/2903967DAECFF9E4F756F0B925C120D0525A8F05DCBDCAB70B86B360EA4CFA70</v>
      </c>
      <c r="I2678" t="str">
        <f>HYPERLINK("https://baanknet.com/view-property/271538/2903967DAECFF9E4F756F0B925C120D0525A8F05DCBDCAB70B86B360EA4CFA70", "Open")</f>
        <v>Open</v>
      </c>
      <c r="J2678" t="s">
        <v>3803</v>
      </c>
      <c r="L2678">
        <v>2565000</v>
      </c>
      <c r="M2678">
        <v>256500</v>
      </c>
    </row>
    <row r="2679" spans="1:13" x14ac:dyDescent="0.25">
      <c r="A2679" t="s">
        <v>9089</v>
      </c>
      <c r="B2679" t="s">
        <v>9090</v>
      </c>
      <c r="C2679" t="s">
        <v>589</v>
      </c>
      <c r="D2679" t="s">
        <v>9091</v>
      </c>
      <c r="E2679" t="s">
        <v>623</v>
      </c>
      <c r="F2679" t="s">
        <v>624</v>
      </c>
      <c r="G2679" t="s">
        <v>9092</v>
      </c>
      <c r="H2679" t="str">
        <f>HYPERLINK("https://baanknet.com/view-property/227758/73346E905AB08C1857A66504972B8EBD0F532748A54573B0EA69AD84416ADF03", "https://baanknet.com/view-property/227758/73346E905AB08C1857A66504972B8EBD0F532748A54573B0EA69AD84416ADF03")</f>
        <v>https://baanknet.com/view-property/227758/73346E905AB08C1857A66504972B8EBD0F532748A54573B0EA69AD84416ADF03</v>
      </c>
      <c r="I2679" t="str">
        <f>HYPERLINK("https://baanknet.com/view-property/227758/73346E905AB08C1857A66504972B8EBD0F532748A54573B0EA69AD84416ADF03", "Open")</f>
        <v>Open</v>
      </c>
      <c r="J2679" t="s">
        <v>3803</v>
      </c>
      <c r="L2679">
        <v>2800000</v>
      </c>
      <c r="M2679">
        <v>280000</v>
      </c>
    </row>
    <row r="2680" spans="1:13" x14ac:dyDescent="0.25">
      <c r="A2680" t="s">
        <v>9093</v>
      </c>
      <c r="B2680" t="s">
        <v>9094</v>
      </c>
      <c r="C2680" t="s">
        <v>589</v>
      </c>
      <c r="D2680" t="s">
        <v>4542</v>
      </c>
      <c r="E2680" t="s">
        <v>623</v>
      </c>
      <c r="F2680" t="s">
        <v>624</v>
      </c>
      <c r="G2680" t="s">
        <v>9095</v>
      </c>
      <c r="H2680" t="str">
        <f>HYPERLINK("https://baanknet.com/view-property/273309/3A542A2D2EAD9388F1CC0DB9BD4BBE5B151FEACDC21A539A285F9AE350F18D81", "https://baanknet.com/view-property/273309/3A542A2D2EAD9388F1CC0DB9BD4BBE5B151FEACDC21A539A285F9AE350F18D81")</f>
        <v>https://baanknet.com/view-property/273309/3A542A2D2EAD9388F1CC0DB9BD4BBE5B151FEACDC21A539A285F9AE350F18D81</v>
      </c>
      <c r="I2680" t="str">
        <f>HYPERLINK("https://baanknet.com/view-property/273309/3A542A2D2EAD9388F1CC0DB9BD4BBE5B151FEACDC21A539A285F9AE350F18D81", "Open")</f>
        <v>Open</v>
      </c>
      <c r="J2680" t="s">
        <v>3803</v>
      </c>
      <c r="L2680">
        <v>49300000</v>
      </c>
      <c r="M2680">
        <v>4930000</v>
      </c>
    </row>
    <row r="2681" spans="1:13" x14ac:dyDescent="0.25">
      <c r="A2681" t="s">
        <v>9096</v>
      </c>
      <c r="B2681" t="s">
        <v>9097</v>
      </c>
      <c r="C2681" t="s">
        <v>589</v>
      </c>
      <c r="D2681" t="s">
        <v>282</v>
      </c>
      <c r="E2681" t="s">
        <v>623</v>
      </c>
      <c r="F2681" t="s">
        <v>624</v>
      </c>
      <c r="G2681" t="s">
        <v>9098</v>
      </c>
      <c r="H2681" t="str">
        <f>HYPERLINK("https://baanknet.com/view-property/200453/7351C31AB83479F2C6B7886CB6FAA221A8F347F9D0944402A3FEAE2745DB5DB9", "https://baanknet.com/view-property/200453/7351C31AB83479F2C6B7886CB6FAA221A8F347F9D0944402A3FEAE2745DB5DB9")</f>
        <v>https://baanknet.com/view-property/200453/7351C31AB83479F2C6B7886CB6FAA221A8F347F9D0944402A3FEAE2745DB5DB9</v>
      </c>
      <c r="I2681" t="str">
        <f>HYPERLINK("https://baanknet.com/view-property/200453/7351C31AB83479F2C6B7886CB6FAA221A8F347F9D0944402A3FEAE2745DB5DB9", "Open")</f>
        <v>Open</v>
      </c>
      <c r="J2681" t="s">
        <v>3803</v>
      </c>
      <c r="L2681">
        <v>440000</v>
      </c>
      <c r="M2681">
        <v>44000</v>
      </c>
    </row>
    <row r="2682" spans="1:13" x14ac:dyDescent="0.25">
      <c r="A2682" t="s">
        <v>9099</v>
      </c>
      <c r="B2682" t="s">
        <v>9100</v>
      </c>
      <c r="C2682" t="s">
        <v>589</v>
      </c>
      <c r="D2682" t="s">
        <v>9101</v>
      </c>
      <c r="E2682" t="s">
        <v>623</v>
      </c>
      <c r="F2682" t="s">
        <v>624</v>
      </c>
      <c r="G2682" t="s">
        <v>9102</v>
      </c>
      <c r="H2682" t="str">
        <f>HYPERLINK("https://baanknet.com/view-property/265930/A51167375D731691CF85BDFB25819CE097A39D398F270848F32421122128DA45", "https://baanknet.com/view-property/265930/A51167375D731691CF85BDFB25819CE097A39D398F270848F32421122128DA45")</f>
        <v>https://baanknet.com/view-property/265930/A51167375D731691CF85BDFB25819CE097A39D398F270848F32421122128DA45</v>
      </c>
      <c r="I2682" t="str">
        <f>HYPERLINK("https://baanknet.com/view-property/265930/A51167375D731691CF85BDFB25819CE097A39D398F270848F32421122128DA45", "Open")</f>
        <v>Open</v>
      </c>
      <c r="J2682" t="s">
        <v>3803</v>
      </c>
      <c r="L2682">
        <v>2600000</v>
      </c>
      <c r="M2682">
        <v>260000</v>
      </c>
    </row>
    <row r="2683" spans="1:13" x14ac:dyDescent="0.25">
      <c r="A2683" t="s">
        <v>9103</v>
      </c>
      <c r="B2683" t="s">
        <v>9104</v>
      </c>
      <c r="C2683" t="s">
        <v>589</v>
      </c>
      <c r="D2683" t="s">
        <v>9105</v>
      </c>
      <c r="E2683" t="s">
        <v>623</v>
      </c>
      <c r="F2683" t="s">
        <v>624</v>
      </c>
      <c r="G2683" t="s">
        <v>9106</v>
      </c>
      <c r="H2683" t="str">
        <f>HYPERLINK("https://baanknet.com/view-property/287353/22E3F9F05E1AE491545B93713F43A7CBD58B54F6266858A49B528E88D9D2C031", "https://baanknet.com/view-property/287353/22E3F9F05E1AE491545B93713F43A7CBD58B54F6266858A49B528E88D9D2C031")</f>
        <v>https://baanknet.com/view-property/287353/22E3F9F05E1AE491545B93713F43A7CBD58B54F6266858A49B528E88D9D2C031</v>
      </c>
      <c r="I2683" t="str">
        <f>HYPERLINK("https://baanknet.com/view-property/287353/22E3F9F05E1AE491545B93713F43A7CBD58B54F6266858A49B528E88D9D2C031", "Open")</f>
        <v>Open</v>
      </c>
      <c r="J2683" t="s">
        <v>3803</v>
      </c>
      <c r="L2683">
        <v>1318000</v>
      </c>
      <c r="M2683">
        <v>131800</v>
      </c>
    </row>
    <row r="2684" spans="1:13" x14ac:dyDescent="0.25">
      <c r="A2684" t="s">
        <v>9107</v>
      </c>
      <c r="B2684" t="s">
        <v>9108</v>
      </c>
      <c r="C2684" t="s">
        <v>589</v>
      </c>
      <c r="D2684" t="s">
        <v>533</v>
      </c>
      <c r="E2684" t="s">
        <v>623</v>
      </c>
      <c r="F2684" t="s">
        <v>624</v>
      </c>
      <c r="G2684" t="s">
        <v>9109</v>
      </c>
      <c r="H2684" t="str">
        <f>HYPERLINK("https://baanknet.com/view-property/282597/9FDA23F1BBB1EA1A5173813BF6D0064E4088CBD6F2D58B588FF81DEC73E1E67F", "https://baanknet.com/view-property/282597/9FDA23F1BBB1EA1A5173813BF6D0064E4088CBD6F2D58B588FF81DEC73E1E67F")</f>
        <v>https://baanknet.com/view-property/282597/9FDA23F1BBB1EA1A5173813BF6D0064E4088CBD6F2D58B588FF81DEC73E1E67F</v>
      </c>
      <c r="I2684" t="str">
        <f>HYPERLINK("https://baanknet.com/view-property/282597/9FDA23F1BBB1EA1A5173813BF6D0064E4088CBD6F2D58B588FF81DEC73E1E67F", "Open")</f>
        <v>Open</v>
      </c>
      <c r="J2684" t="s">
        <v>3803</v>
      </c>
      <c r="L2684">
        <v>19645000</v>
      </c>
      <c r="M2684">
        <v>1965000</v>
      </c>
    </row>
    <row r="2685" spans="1:13" x14ac:dyDescent="0.25">
      <c r="A2685" t="s">
        <v>9110</v>
      </c>
      <c r="B2685" t="s">
        <v>9111</v>
      </c>
      <c r="C2685" t="s">
        <v>589</v>
      </c>
      <c r="D2685" t="s">
        <v>612</v>
      </c>
      <c r="E2685" t="s">
        <v>623</v>
      </c>
      <c r="F2685" t="s">
        <v>624</v>
      </c>
      <c r="G2685" t="s">
        <v>9112</v>
      </c>
      <c r="H2685" t="str">
        <f>HYPERLINK("https://baanknet.com/view-property/280501/6FE2F2F2866643CA3819A2ED63CB167548554CAC17A899DCAB212ADB2A6E82C4", "https://baanknet.com/view-property/280501/6FE2F2F2866643CA3819A2ED63CB167548554CAC17A899DCAB212ADB2A6E82C4")</f>
        <v>https://baanknet.com/view-property/280501/6FE2F2F2866643CA3819A2ED63CB167548554CAC17A899DCAB212ADB2A6E82C4</v>
      </c>
      <c r="I2685" t="str">
        <f>HYPERLINK("https://baanknet.com/view-property/280501/6FE2F2F2866643CA3819A2ED63CB167548554CAC17A899DCAB212ADB2A6E82C4", "Open")</f>
        <v>Open</v>
      </c>
      <c r="J2685" t="s">
        <v>3803</v>
      </c>
      <c r="L2685">
        <v>7864000</v>
      </c>
      <c r="M2685">
        <v>787000</v>
      </c>
    </row>
    <row r="2686" spans="1:13" x14ac:dyDescent="0.25">
      <c r="A2686" t="s">
        <v>9113</v>
      </c>
      <c r="B2686" t="s">
        <v>9114</v>
      </c>
      <c r="C2686" t="s">
        <v>589</v>
      </c>
      <c r="D2686" t="s">
        <v>533</v>
      </c>
      <c r="E2686" t="s">
        <v>623</v>
      </c>
      <c r="F2686" t="s">
        <v>624</v>
      </c>
      <c r="G2686" t="s">
        <v>9115</v>
      </c>
      <c r="H2686" t="str">
        <f>HYPERLINK("https://baanknet.com/view-property/183162/BC1F41B71010BD2A2B2F6D73AB26FAC4BAD509A0501D80B48977305A3A83C8B9", "https://baanknet.com/view-property/183162/BC1F41B71010BD2A2B2F6D73AB26FAC4BAD509A0501D80B48977305A3A83C8B9")</f>
        <v>https://baanknet.com/view-property/183162/BC1F41B71010BD2A2B2F6D73AB26FAC4BAD509A0501D80B48977305A3A83C8B9</v>
      </c>
      <c r="I2686" t="str">
        <f>HYPERLINK("https://baanknet.com/view-property/183162/BC1F41B71010BD2A2B2F6D73AB26FAC4BAD509A0501D80B48977305A3A83C8B9", "Open")</f>
        <v>Open</v>
      </c>
      <c r="J2686" t="s">
        <v>3803</v>
      </c>
      <c r="L2686">
        <v>8948000</v>
      </c>
      <c r="M2686">
        <v>895000</v>
      </c>
    </row>
    <row r="2687" spans="1:13" x14ac:dyDescent="0.25">
      <c r="A2687" t="s">
        <v>9116</v>
      </c>
      <c r="B2687" t="s">
        <v>9117</v>
      </c>
      <c r="C2687" t="s">
        <v>589</v>
      </c>
      <c r="D2687" t="s">
        <v>3032</v>
      </c>
      <c r="E2687" t="s">
        <v>623</v>
      </c>
      <c r="F2687" t="s">
        <v>624</v>
      </c>
      <c r="G2687" t="s">
        <v>9118</v>
      </c>
      <c r="H2687" t="str">
        <f>HYPERLINK("https://baanknet.com/view-property/266224/5DD0400EAFFBF1E7689F3EFE7416562F41396AE22A935134A79E64E5A8A6DA45", "https://baanknet.com/view-property/266224/5DD0400EAFFBF1E7689F3EFE7416562F41396AE22A935134A79E64E5A8A6DA45")</f>
        <v>https://baanknet.com/view-property/266224/5DD0400EAFFBF1E7689F3EFE7416562F41396AE22A935134A79E64E5A8A6DA45</v>
      </c>
      <c r="I2687" t="str">
        <f>HYPERLINK("https://baanknet.com/view-property/266224/5DD0400EAFFBF1E7689F3EFE7416562F41396AE22A935134A79E64E5A8A6DA45", "Open")</f>
        <v>Open</v>
      </c>
      <c r="J2687" t="s">
        <v>3803</v>
      </c>
      <c r="L2687">
        <v>1350000</v>
      </c>
      <c r="M2687">
        <v>135000</v>
      </c>
    </row>
    <row r="2688" spans="1:13" x14ac:dyDescent="0.25">
      <c r="A2688" t="s">
        <v>9119</v>
      </c>
      <c r="B2688" t="s">
        <v>9120</v>
      </c>
      <c r="C2688" t="s">
        <v>589</v>
      </c>
      <c r="D2688" t="s">
        <v>3032</v>
      </c>
      <c r="E2688" t="s">
        <v>623</v>
      </c>
      <c r="F2688" t="s">
        <v>624</v>
      </c>
      <c r="G2688" t="s">
        <v>9121</v>
      </c>
      <c r="H2688" t="str">
        <f>HYPERLINK("https://baanknet.com/view-property/225106/7F802A173D7F8D29B0EFBBCFDF471E51EB0A4888B1A29F3625C2C2DCBBD13908", "https://baanknet.com/view-property/225106/7F802A173D7F8D29B0EFBBCFDF471E51EB0A4888B1A29F3625C2C2DCBBD13908")</f>
        <v>https://baanknet.com/view-property/225106/7F802A173D7F8D29B0EFBBCFDF471E51EB0A4888B1A29F3625C2C2DCBBD13908</v>
      </c>
      <c r="I2688" t="str">
        <f>HYPERLINK("https://baanknet.com/view-property/225106/7F802A173D7F8D29B0EFBBCFDF471E51EB0A4888B1A29F3625C2C2DCBBD13908", "Open")</f>
        <v>Open</v>
      </c>
      <c r="J2688" t="s">
        <v>3803</v>
      </c>
      <c r="L2688">
        <v>2250000</v>
      </c>
      <c r="M2688">
        <v>225000</v>
      </c>
    </row>
    <row r="2689" spans="1:13" x14ac:dyDescent="0.25">
      <c r="A2689" t="s">
        <v>9122</v>
      </c>
      <c r="B2689" t="s">
        <v>9123</v>
      </c>
      <c r="C2689" t="s">
        <v>589</v>
      </c>
      <c r="D2689" t="s">
        <v>8609</v>
      </c>
      <c r="E2689" t="s">
        <v>623</v>
      </c>
      <c r="F2689" t="s">
        <v>624</v>
      </c>
      <c r="G2689" t="s">
        <v>9124</v>
      </c>
      <c r="H2689" t="str">
        <f>HYPERLINK("https://baanknet.com/view-property/225055/51FF69F10D59B329E31EED8D855DE88858113F779AF97A588605A644652F4110", "https://baanknet.com/view-property/225055/51FF69F10D59B329E31EED8D855DE88858113F779AF97A588605A644652F4110")</f>
        <v>https://baanknet.com/view-property/225055/51FF69F10D59B329E31EED8D855DE88858113F779AF97A588605A644652F4110</v>
      </c>
      <c r="I2689" t="str">
        <f>HYPERLINK("https://baanknet.com/view-property/225055/51FF69F10D59B329E31EED8D855DE88858113F779AF97A588605A644652F4110", "Open")</f>
        <v>Open</v>
      </c>
      <c r="J2689" t="s">
        <v>3803</v>
      </c>
      <c r="L2689">
        <v>1400000</v>
      </c>
      <c r="M2689">
        <v>140000</v>
      </c>
    </row>
    <row r="2690" spans="1:13" x14ac:dyDescent="0.25">
      <c r="A2690" t="s">
        <v>9125</v>
      </c>
      <c r="B2690" t="s">
        <v>9126</v>
      </c>
      <c r="C2690" t="s">
        <v>589</v>
      </c>
      <c r="D2690" t="s">
        <v>8609</v>
      </c>
      <c r="E2690" t="s">
        <v>623</v>
      </c>
      <c r="F2690" t="s">
        <v>624</v>
      </c>
      <c r="G2690" t="s">
        <v>9127</v>
      </c>
      <c r="H2690" t="str">
        <f>HYPERLINK("https://baanknet.com/view-property/217688/B3C53475C44BE6821C35B2E7ACE1CDCDAE8A2E1B581BD10BE3982CB8CCAC4B69", "https://baanknet.com/view-property/217688/B3C53475C44BE6821C35B2E7ACE1CDCDAE8A2E1B581BD10BE3982CB8CCAC4B69")</f>
        <v>https://baanknet.com/view-property/217688/B3C53475C44BE6821C35B2E7ACE1CDCDAE8A2E1B581BD10BE3982CB8CCAC4B69</v>
      </c>
      <c r="I2690" t="str">
        <f>HYPERLINK("https://baanknet.com/view-property/217688/B3C53475C44BE6821C35B2E7ACE1CDCDAE8A2E1B581BD10BE3982CB8CCAC4B69", "Open")</f>
        <v>Open</v>
      </c>
      <c r="J2690" t="s">
        <v>3803</v>
      </c>
      <c r="L2690">
        <v>1400000</v>
      </c>
      <c r="M2690">
        <v>140000</v>
      </c>
    </row>
    <row r="2691" spans="1:13" x14ac:dyDescent="0.25">
      <c r="A2691" t="s">
        <v>9128</v>
      </c>
      <c r="B2691" t="s">
        <v>9129</v>
      </c>
      <c r="C2691" t="s">
        <v>589</v>
      </c>
      <c r="D2691" t="s">
        <v>309</v>
      </c>
      <c r="E2691" t="s">
        <v>623</v>
      </c>
      <c r="F2691" t="s">
        <v>624</v>
      </c>
      <c r="G2691" t="s">
        <v>9130</v>
      </c>
      <c r="H2691" t="str">
        <f>HYPERLINK("https://baanknet.com/view-property/261167/09520FE35F3694366FB7CAFC9C5C25E36C9231460954B06852CED562D671879D", "https://baanknet.com/view-property/261167/09520FE35F3694366FB7CAFC9C5C25E36C9231460954B06852CED562D671879D")</f>
        <v>https://baanknet.com/view-property/261167/09520FE35F3694366FB7CAFC9C5C25E36C9231460954B06852CED562D671879D</v>
      </c>
      <c r="I2691" t="str">
        <f>HYPERLINK("https://baanknet.com/view-property/261167/09520FE35F3694366FB7CAFC9C5C25E36C9231460954B06852CED562D671879D", "Open")</f>
        <v>Open</v>
      </c>
      <c r="J2691" t="s">
        <v>3803</v>
      </c>
      <c r="L2691">
        <v>842000</v>
      </c>
      <c r="M2691">
        <v>84200</v>
      </c>
    </row>
    <row r="2692" spans="1:13" x14ac:dyDescent="0.25">
      <c r="A2692" t="s">
        <v>9131</v>
      </c>
      <c r="B2692" t="s">
        <v>9132</v>
      </c>
      <c r="C2692" t="s">
        <v>589</v>
      </c>
      <c r="D2692" t="s">
        <v>9133</v>
      </c>
      <c r="E2692" t="s">
        <v>623</v>
      </c>
      <c r="F2692" t="s">
        <v>624</v>
      </c>
      <c r="G2692" t="s">
        <v>9134</v>
      </c>
      <c r="H2692" t="str">
        <f>HYPERLINK("https://baanknet.com/view-property/280729/B84B4A376F0A94AA413364B7998A010B0B25177B9354E9646F96C2F761DAC55A", "https://baanknet.com/view-property/280729/B84B4A376F0A94AA413364B7998A010B0B25177B9354E9646F96C2F761DAC55A")</f>
        <v>https://baanknet.com/view-property/280729/B84B4A376F0A94AA413364B7998A010B0B25177B9354E9646F96C2F761DAC55A</v>
      </c>
      <c r="I2692" t="str">
        <f>HYPERLINK("https://baanknet.com/view-property/280729/B84B4A376F0A94AA413364B7998A010B0B25177B9354E9646F96C2F761DAC55A", "Open")</f>
        <v>Open</v>
      </c>
      <c r="J2692" t="s">
        <v>3803</v>
      </c>
      <c r="L2692">
        <v>1217000</v>
      </c>
      <c r="M2692">
        <v>121700</v>
      </c>
    </row>
    <row r="2693" spans="1:13" x14ac:dyDescent="0.25">
      <c r="A2693" t="s">
        <v>9135</v>
      </c>
      <c r="B2693" t="s">
        <v>9136</v>
      </c>
      <c r="C2693" t="s">
        <v>589</v>
      </c>
      <c r="D2693" t="s">
        <v>309</v>
      </c>
      <c r="E2693" t="s">
        <v>623</v>
      </c>
      <c r="F2693" t="s">
        <v>624</v>
      </c>
      <c r="G2693" t="s">
        <v>9137</v>
      </c>
      <c r="H2693" t="str">
        <f>HYPERLINK("https://baanknet.com/view-property/280717/06AC095F9FAE17586D455C080A728D15252CB6B2472623BE0C2D92A2D9BB0E67", "https://baanknet.com/view-property/280717/06AC095F9FAE17586D455C080A728D15252CB6B2472623BE0C2D92A2D9BB0E67")</f>
        <v>https://baanknet.com/view-property/280717/06AC095F9FAE17586D455C080A728D15252CB6B2472623BE0C2D92A2D9BB0E67</v>
      </c>
      <c r="I2693" t="str">
        <f>HYPERLINK("https://baanknet.com/view-property/280717/06AC095F9FAE17586D455C080A728D15252CB6B2472623BE0C2D92A2D9BB0E67", "Open")</f>
        <v>Open</v>
      </c>
      <c r="J2693" t="s">
        <v>3803</v>
      </c>
      <c r="L2693">
        <v>1100000</v>
      </c>
      <c r="M2693">
        <v>110000</v>
      </c>
    </row>
    <row r="2694" spans="1:13" x14ac:dyDescent="0.25">
      <c r="A2694" t="s">
        <v>9138</v>
      </c>
      <c r="B2694" t="s">
        <v>9139</v>
      </c>
      <c r="C2694" t="s">
        <v>589</v>
      </c>
      <c r="D2694" t="s">
        <v>8644</v>
      </c>
      <c r="E2694" t="s">
        <v>623</v>
      </c>
      <c r="F2694" t="s">
        <v>624</v>
      </c>
      <c r="G2694" t="s">
        <v>9140</v>
      </c>
      <c r="H2694" t="str">
        <f>HYPERLINK("https://baanknet.com/view-property/95389/CA0EBD2152A3FED123E5B10C7D20608C60B59063665C68E32C4B24678C78827D", "https://baanknet.com/view-property/95389/CA0EBD2152A3FED123E5B10C7D20608C60B59063665C68E32C4B24678C78827D")</f>
        <v>https://baanknet.com/view-property/95389/CA0EBD2152A3FED123E5B10C7D20608C60B59063665C68E32C4B24678C78827D</v>
      </c>
      <c r="I2694" t="str">
        <f>HYPERLINK("https://baanknet.com/view-property/95389/CA0EBD2152A3FED123E5B10C7D20608C60B59063665C68E32C4B24678C78827D", "Open")</f>
        <v>Open</v>
      </c>
      <c r="J2694" t="s">
        <v>3803</v>
      </c>
      <c r="L2694">
        <v>2000000</v>
      </c>
      <c r="M2694">
        <v>200000</v>
      </c>
    </row>
    <row r="2695" spans="1:13" x14ac:dyDescent="0.25">
      <c r="A2695" t="s">
        <v>9141</v>
      </c>
      <c r="B2695" t="s">
        <v>9142</v>
      </c>
      <c r="C2695" t="s">
        <v>589</v>
      </c>
      <c r="D2695" t="s">
        <v>1488</v>
      </c>
      <c r="E2695" t="s">
        <v>623</v>
      </c>
      <c r="F2695" t="s">
        <v>624</v>
      </c>
      <c r="G2695" t="s">
        <v>9143</v>
      </c>
      <c r="H2695" t="str">
        <f>HYPERLINK("https://baanknet.com/view-property/188358/D2ABC5D7D434B99F200AAB460C7BD1A178B68ACEAD188A49691C92D647DF9F9B", "https://baanknet.com/view-property/188358/D2ABC5D7D434B99F200AAB460C7BD1A178B68ACEAD188A49691C92D647DF9F9B")</f>
        <v>https://baanknet.com/view-property/188358/D2ABC5D7D434B99F200AAB460C7BD1A178B68ACEAD188A49691C92D647DF9F9B</v>
      </c>
      <c r="I2695" t="str">
        <f>HYPERLINK("https://baanknet.com/view-property/188358/D2ABC5D7D434B99F200AAB460C7BD1A178B68ACEAD188A49691C92D647DF9F9B", "Open")</f>
        <v>Open</v>
      </c>
      <c r="J2695" t="s">
        <v>3803</v>
      </c>
      <c r="L2695">
        <v>1194000</v>
      </c>
      <c r="M2695">
        <v>119400</v>
      </c>
    </row>
    <row r="2696" spans="1:13" x14ac:dyDescent="0.25">
      <c r="A2696" t="s">
        <v>9144</v>
      </c>
      <c r="B2696" t="s">
        <v>9145</v>
      </c>
      <c r="C2696" t="s">
        <v>589</v>
      </c>
      <c r="D2696" t="s">
        <v>1488</v>
      </c>
      <c r="E2696" t="s">
        <v>623</v>
      </c>
      <c r="F2696" t="s">
        <v>624</v>
      </c>
      <c r="G2696" t="s">
        <v>9146</v>
      </c>
      <c r="H2696" t="str">
        <f>HYPERLINK("https://baanknet.com/view-property/267795/2D4D7D488A34B39A1686CDE2107D3978BFEEEBA91EB5911FD1A5F4F719BF7E85", "https://baanknet.com/view-property/267795/2D4D7D488A34B39A1686CDE2107D3978BFEEEBA91EB5911FD1A5F4F719BF7E85")</f>
        <v>https://baanknet.com/view-property/267795/2D4D7D488A34B39A1686CDE2107D3978BFEEEBA91EB5911FD1A5F4F719BF7E85</v>
      </c>
      <c r="I2696" t="str">
        <f>HYPERLINK("https://baanknet.com/view-property/267795/2D4D7D488A34B39A1686CDE2107D3978BFEEEBA91EB5911FD1A5F4F719BF7E85", "Open")</f>
        <v>Open</v>
      </c>
      <c r="J2696" t="s">
        <v>3803</v>
      </c>
      <c r="L2696">
        <v>4186000</v>
      </c>
      <c r="M2696">
        <v>418600</v>
      </c>
    </row>
    <row r="2697" spans="1:13" x14ac:dyDescent="0.25">
      <c r="A2697" t="s">
        <v>9147</v>
      </c>
      <c r="B2697" t="s">
        <v>9148</v>
      </c>
      <c r="C2697" t="s">
        <v>589</v>
      </c>
      <c r="D2697" t="s">
        <v>1488</v>
      </c>
      <c r="E2697" t="s">
        <v>623</v>
      </c>
      <c r="F2697" t="s">
        <v>624</v>
      </c>
      <c r="G2697" t="s">
        <v>9149</v>
      </c>
      <c r="H2697" t="str">
        <f>HYPERLINK("https://baanknet.com/view-property/278148/1DFB2AE03FD600945B7154CA0242D2EE3DA5F9847C075215E3AD54384A461FA8", "https://baanknet.com/view-property/278148/1DFB2AE03FD600945B7154CA0242D2EE3DA5F9847C075215E3AD54384A461FA8")</f>
        <v>https://baanknet.com/view-property/278148/1DFB2AE03FD600945B7154CA0242D2EE3DA5F9847C075215E3AD54384A461FA8</v>
      </c>
      <c r="I2697" t="str">
        <f>HYPERLINK("https://baanknet.com/view-property/278148/1DFB2AE03FD600945B7154CA0242D2EE3DA5F9847C075215E3AD54384A461FA8", "Open")</f>
        <v>Open</v>
      </c>
      <c r="J2697" t="s">
        <v>3803</v>
      </c>
      <c r="L2697">
        <v>2016000</v>
      </c>
      <c r="M2697">
        <v>201600</v>
      </c>
    </row>
    <row r="2698" spans="1:13" x14ac:dyDescent="0.25">
      <c r="A2698" t="s">
        <v>9150</v>
      </c>
      <c r="B2698" t="s">
        <v>9151</v>
      </c>
      <c r="C2698" t="s">
        <v>589</v>
      </c>
      <c r="D2698" t="s">
        <v>1488</v>
      </c>
      <c r="E2698" t="s">
        <v>623</v>
      </c>
      <c r="F2698" t="s">
        <v>624</v>
      </c>
      <c r="G2698" t="s">
        <v>9152</v>
      </c>
      <c r="H2698" t="str">
        <f>HYPERLINK("https://baanknet.com/view-property/278162/12A491080EFC92F5A7F6D0BF81AFA0CBF6441DB8A02C7AAFBE48BEA470526EE3", "https://baanknet.com/view-property/278162/12A491080EFC92F5A7F6D0BF81AFA0CBF6441DB8A02C7AAFBE48BEA470526EE3")</f>
        <v>https://baanknet.com/view-property/278162/12A491080EFC92F5A7F6D0BF81AFA0CBF6441DB8A02C7AAFBE48BEA470526EE3</v>
      </c>
      <c r="I2698" t="str">
        <f>HYPERLINK("https://baanknet.com/view-property/278162/12A491080EFC92F5A7F6D0BF81AFA0CBF6441DB8A02C7AAFBE48BEA470526EE3", "Open")</f>
        <v>Open</v>
      </c>
      <c r="J2698" t="s">
        <v>3803</v>
      </c>
      <c r="L2698">
        <v>3639000</v>
      </c>
      <c r="M2698">
        <v>363900</v>
      </c>
    </row>
    <row r="2699" spans="1:13" x14ac:dyDescent="0.25">
      <c r="A2699" t="s">
        <v>9153</v>
      </c>
      <c r="B2699" t="s">
        <v>9154</v>
      </c>
      <c r="C2699" t="s">
        <v>589</v>
      </c>
      <c r="D2699" t="s">
        <v>1488</v>
      </c>
      <c r="E2699" t="s">
        <v>623</v>
      </c>
      <c r="F2699" t="s">
        <v>624</v>
      </c>
      <c r="G2699" t="s">
        <v>9155</v>
      </c>
      <c r="H2699" t="str">
        <f>HYPERLINK("https://baanknet.com/view-property/278150/B1D7E3DD3793B9B1EE861BE5A48FF7AC5771D6480B8A888063803E7C500C00AB", "https://baanknet.com/view-property/278150/B1D7E3DD3793B9B1EE861BE5A48FF7AC5771D6480B8A888063803E7C500C00AB")</f>
        <v>https://baanknet.com/view-property/278150/B1D7E3DD3793B9B1EE861BE5A48FF7AC5771D6480B8A888063803E7C500C00AB</v>
      </c>
      <c r="I2699" t="str">
        <f>HYPERLINK("https://baanknet.com/view-property/278150/B1D7E3DD3793B9B1EE861BE5A48FF7AC5771D6480B8A888063803E7C500C00AB", "Open")</f>
        <v>Open</v>
      </c>
      <c r="J2699" t="s">
        <v>3803</v>
      </c>
      <c r="L2699">
        <v>1806000</v>
      </c>
      <c r="M2699">
        <v>180600</v>
      </c>
    </row>
    <row r="2700" spans="1:13" x14ac:dyDescent="0.25">
      <c r="A2700" t="s">
        <v>9156</v>
      </c>
      <c r="B2700" t="s">
        <v>9157</v>
      </c>
      <c r="C2700" t="s">
        <v>589</v>
      </c>
      <c r="D2700" t="s">
        <v>1807</v>
      </c>
      <c r="E2700" t="s">
        <v>623</v>
      </c>
      <c r="F2700" t="s">
        <v>624</v>
      </c>
      <c r="G2700" t="s">
        <v>9158</v>
      </c>
      <c r="H2700" t="str">
        <f>HYPERLINK("https://baanknet.com/view-property/278308/C217A07E384E6946FF400505AB179B1299966F232AF7286D6A012D99C7566DD0", "https://baanknet.com/view-property/278308/C217A07E384E6946FF400505AB179B1299966F232AF7286D6A012D99C7566DD0")</f>
        <v>https://baanknet.com/view-property/278308/C217A07E384E6946FF400505AB179B1299966F232AF7286D6A012D99C7566DD0</v>
      </c>
      <c r="I2700" t="str">
        <f>HYPERLINK("https://baanknet.com/view-property/278308/C217A07E384E6946FF400505AB179B1299966F232AF7286D6A012D99C7566DD0", "Open")</f>
        <v>Open</v>
      </c>
      <c r="J2700" t="s">
        <v>3803</v>
      </c>
      <c r="L2700">
        <v>1787000</v>
      </c>
      <c r="M2700">
        <v>178700</v>
      </c>
    </row>
    <row r="2701" spans="1:13" x14ac:dyDescent="0.25">
      <c r="A2701" t="s">
        <v>9159</v>
      </c>
      <c r="B2701" t="s">
        <v>9160</v>
      </c>
      <c r="C2701" t="s">
        <v>589</v>
      </c>
      <c r="D2701" t="s">
        <v>9005</v>
      </c>
      <c r="E2701" t="s">
        <v>623</v>
      </c>
      <c r="F2701" t="s">
        <v>624</v>
      </c>
      <c r="G2701" t="s">
        <v>9161</v>
      </c>
      <c r="H2701" t="str">
        <f>HYPERLINK("https://baanknet.com/view-property/287237/E2A753FFAFCE3D6BF3768A3C6CEB3A8998D789B950DC6857571BCE18A2A4B15B", "https://baanknet.com/view-property/287237/E2A753FFAFCE3D6BF3768A3C6CEB3A8998D789B950DC6857571BCE18A2A4B15B")</f>
        <v>https://baanknet.com/view-property/287237/E2A753FFAFCE3D6BF3768A3C6CEB3A8998D789B950DC6857571BCE18A2A4B15B</v>
      </c>
      <c r="I2701" t="str">
        <f>HYPERLINK("https://baanknet.com/view-property/287237/E2A753FFAFCE3D6BF3768A3C6CEB3A8998D789B950DC6857571BCE18A2A4B15B", "Open")</f>
        <v>Open</v>
      </c>
      <c r="J2701" t="s">
        <v>3803</v>
      </c>
      <c r="L2701">
        <v>1360000</v>
      </c>
      <c r="M2701">
        <v>136000</v>
      </c>
    </row>
    <row r="2702" spans="1:13" x14ac:dyDescent="0.25">
      <c r="A2702" t="s">
        <v>9162</v>
      </c>
      <c r="B2702" t="s">
        <v>9163</v>
      </c>
      <c r="C2702" t="s">
        <v>589</v>
      </c>
      <c r="D2702" t="s">
        <v>9164</v>
      </c>
      <c r="E2702" t="s">
        <v>623</v>
      </c>
      <c r="F2702" t="s">
        <v>624</v>
      </c>
      <c r="G2702" t="s">
        <v>9165</v>
      </c>
      <c r="H2702" t="str">
        <f>HYPERLINK("https://baanknet.com/view-property/287398/E749E98C393E3D7CE2CCE8962DFC94A5B17ACB8D1BCEEE44D454CA0957E3C80F", "https://baanknet.com/view-property/287398/E749E98C393E3D7CE2CCE8962DFC94A5B17ACB8D1BCEEE44D454CA0957E3C80F")</f>
        <v>https://baanknet.com/view-property/287398/E749E98C393E3D7CE2CCE8962DFC94A5B17ACB8D1BCEEE44D454CA0957E3C80F</v>
      </c>
      <c r="I2702" t="str">
        <f>HYPERLINK("https://baanknet.com/view-property/287398/E749E98C393E3D7CE2CCE8962DFC94A5B17ACB8D1BCEEE44D454CA0957E3C80F", "Open")</f>
        <v>Open</v>
      </c>
      <c r="J2702" t="s">
        <v>3803</v>
      </c>
      <c r="L2702">
        <v>1885000</v>
      </c>
      <c r="M2702">
        <v>188500</v>
      </c>
    </row>
    <row r="2703" spans="1:13" x14ac:dyDescent="0.25">
      <c r="A2703" t="s">
        <v>9166</v>
      </c>
      <c r="B2703" t="s">
        <v>9167</v>
      </c>
      <c r="C2703" t="s">
        <v>589</v>
      </c>
      <c r="D2703" t="s">
        <v>612</v>
      </c>
      <c r="E2703" t="s">
        <v>623</v>
      </c>
      <c r="F2703" t="s">
        <v>624</v>
      </c>
      <c r="G2703" t="s">
        <v>9168</v>
      </c>
      <c r="H2703" t="str">
        <f>HYPERLINK("https://baanknet.com/view-property/287172/2AC02BAC02659B5E7D326C216044EB10105443A68BCB1BFACC58510FBEF9207C", "https://baanknet.com/view-property/287172/2AC02BAC02659B5E7D326C216044EB10105443A68BCB1BFACC58510FBEF9207C")</f>
        <v>https://baanknet.com/view-property/287172/2AC02BAC02659B5E7D326C216044EB10105443A68BCB1BFACC58510FBEF9207C</v>
      </c>
      <c r="I2703" t="str">
        <f>HYPERLINK("https://baanknet.com/view-property/287172/2AC02BAC02659B5E7D326C216044EB10105443A68BCB1BFACC58510FBEF9207C", "Open")</f>
        <v>Open</v>
      </c>
      <c r="J2703" t="s">
        <v>3803</v>
      </c>
      <c r="L2703">
        <v>11350000</v>
      </c>
      <c r="M2703">
        <v>1135000</v>
      </c>
    </row>
    <row r="2704" spans="1:13" x14ac:dyDescent="0.25">
      <c r="A2704" t="s">
        <v>9169</v>
      </c>
      <c r="B2704" t="s">
        <v>9170</v>
      </c>
      <c r="C2704" t="s">
        <v>589</v>
      </c>
      <c r="D2704" t="s">
        <v>612</v>
      </c>
      <c r="E2704" t="s">
        <v>623</v>
      </c>
      <c r="F2704" t="s">
        <v>624</v>
      </c>
      <c r="G2704" t="s">
        <v>9171</v>
      </c>
      <c r="H2704" t="str">
        <f>HYPERLINK("https://baanknet.com/view-property/287183/9CEC2D9C8CC011DBD08DDF30AE015C5CA9F640FB127083CCB1646DAC5FB2CD99", "https://baanknet.com/view-property/287183/9CEC2D9C8CC011DBD08DDF30AE015C5CA9F640FB127083CCB1646DAC5FB2CD99")</f>
        <v>https://baanknet.com/view-property/287183/9CEC2D9C8CC011DBD08DDF30AE015C5CA9F640FB127083CCB1646DAC5FB2CD99</v>
      </c>
      <c r="I2704" t="str">
        <f>HYPERLINK("https://baanknet.com/view-property/287183/9CEC2D9C8CC011DBD08DDF30AE015C5CA9F640FB127083CCB1646DAC5FB2CD99", "Open")</f>
        <v>Open</v>
      </c>
      <c r="J2704" t="s">
        <v>3803</v>
      </c>
      <c r="L2704">
        <v>1269000</v>
      </c>
      <c r="M2704">
        <v>126900</v>
      </c>
    </row>
    <row r="2705" spans="1:13" x14ac:dyDescent="0.25">
      <c r="A2705" t="s">
        <v>9172</v>
      </c>
      <c r="B2705" t="s">
        <v>9173</v>
      </c>
      <c r="C2705" t="s">
        <v>589</v>
      </c>
      <c r="D2705" t="s">
        <v>157</v>
      </c>
      <c r="E2705" t="s">
        <v>623</v>
      </c>
      <c r="F2705" t="s">
        <v>624</v>
      </c>
      <c r="G2705" t="s">
        <v>9174</v>
      </c>
      <c r="H2705" t="str">
        <f>HYPERLINK("https://baanknet.com/view-property/276426/156411F1EEC67FA4797A8F1289DA267122C244E34EAE7E242407E2AC30D599FD", "https://baanknet.com/view-property/276426/156411F1EEC67FA4797A8F1289DA267122C244E34EAE7E242407E2AC30D599FD")</f>
        <v>https://baanknet.com/view-property/276426/156411F1EEC67FA4797A8F1289DA267122C244E34EAE7E242407E2AC30D599FD</v>
      </c>
      <c r="I2705" t="str">
        <f>HYPERLINK("https://baanknet.com/view-property/276426/156411F1EEC67FA4797A8F1289DA267122C244E34EAE7E242407E2AC30D599FD", "Open")</f>
        <v>Open</v>
      </c>
      <c r="J2705" t="s">
        <v>3803</v>
      </c>
      <c r="L2705">
        <v>1750000</v>
      </c>
      <c r="M2705">
        <v>175000</v>
      </c>
    </row>
    <row r="2706" spans="1:13" x14ac:dyDescent="0.25">
      <c r="A2706" t="s">
        <v>9175</v>
      </c>
      <c r="B2706" t="s">
        <v>9176</v>
      </c>
      <c r="C2706" t="s">
        <v>589</v>
      </c>
      <c r="D2706" t="s">
        <v>9177</v>
      </c>
      <c r="E2706" t="s">
        <v>623</v>
      </c>
      <c r="F2706" t="s">
        <v>624</v>
      </c>
      <c r="G2706" t="s">
        <v>9178</v>
      </c>
      <c r="H2706" t="str">
        <f>HYPERLINK("https://baanknet.com/view-property/240237/B0CE731B58C15587E6862BAE2B6A1024F525C727599371C7B7DF4F5BAD0C51CA", "https://baanknet.com/view-property/240237/B0CE731B58C15587E6862BAE2B6A1024F525C727599371C7B7DF4F5BAD0C51CA")</f>
        <v>https://baanknet.com/view-property/240237/B0CE731B58C15587E6862BAE2B6A1024F525C727599371C7B7DF4F5BAD0C51CA</v>
      </c>
      <c r="I2706" t="str">
        <f>HYPERLINK("https://baanknet.com/view-property/240237/B0CE731B58C15587E6862BAE2B6A1024F525C727599371C7B7DF4F5BAD0C51CA", "Open")</f>
        <v>Open</v>
      </c>
      <c r="J2706" t="s">
        <v>3803</v>
      </c>
      <c r="L2706">
        <v>17267000</v>
      </c>
      <c r="M2706">
        <v>1726700</v>
      </c>
    </row>
    <row r="2707" spans="1:13" x14ac:dyDescent="0.25">
      <c r="A2707" t="s">
        <v>9179</v>
      </c>
      <c r="B2707" t="s">
        <v>9180</v>
      </c>
      <c r="C2707" t="s">
        <v>589</v>
      </c>
      <c r="D2707" t="s">
        <v>157</v>
      </c>
      <c r="E2707" t="s">
        <v>623</v>
      </c>
      <c r="F2707" t="s">
        <v>624</v>
      </c>
      <c r="G2707" t="s">
        <v>9181</v>
      </c>
      <c r="H2707" t="str">
        <f>HYPERLINK("https://baanknet.com/view-property/281635/8389ACFA4926D6E06918299A784984E10BB8EC4AAB8EC4C48FD6B47ED28BF85E", "https://baanknet.com/view-property/281635/8389ACFA4926D6E06918299A784984E10BB8EC4AAB8EC4C48FD6B47ED28BF85E")</f>
        <v>https://baanknet.com/view-property/281635/8389ACFA4926D6E06918299A784984E10BB8EC4AAB8EC4C48FD6B47ED28BF85E</v>
      </c>
      <c r="I2707" t="str">
        <f>HYPERLINK("https://baanknet.com/view-property/281635/8389ACFA4926D6E06918299A784984E10BB8EC4AAB8EC4C48FD6B47ED28BF85E", "Open")</f>
        <v>Open</v>
      </c>
      <c r="J2707" t="s">
        <v>3803</v>
      </c>
      <c r="L2707">
        <v>9233000</v>
      </c>
      <c r="M2707">
        <v>923300</v>
      </c>
    </row>
    <row r="2708" spans="1:13" x14ac:dyDescent="0.25">
      <c r="A2708" t="s">
        <v>9182</v>
      </c>
      <c r="B2708" t="s">
        <v>9183</v>
      </c>
      <c r="C2708" t="s">
        <v>589</v>
      </c>
      <c r="D2708" t="s">
        <v>1892</v>
      </c>
      <c r="E2708" t="s">
        <v>623</v>
      </c>
      <c r="F2708" t="s">
        <v>624</v>
      </c>
      <c r="G2708" t="s">
        <v>9184</v>
      </c>
      <c r="H2708" t="str">
        <f>HYPERLINK("https://baanknet.com/view-property/272118/4D39BB50F13384F05DF4038A658765E6E121806A717FA75715076E77BA9D0827", "https://baanknet.com/view-property/272118/4D39BB50F13384F05DF4038A658765E6E121806A717FA75715076E77BA9D0827")</f>
        <v>https://baanknet.com/view-property/272118/4D39BB50F13384F05DF4038A658765E6E121806A717FA75715076E77BA9D0827</v>
      </c>
      <c r="I2708" t="str">
        <f>HYPERLINK("https://baanknet.com/view-property/272118/4D39BB50F13384F05DF4038A658765E6E121806A717FA75715076E77BA9D0827", "Open")</f>
        <v>Open</v>
      </c>
      <c r="J2708" t="s">
        <v>3803</v>
      </c>
      <c r="L2708">
        <v>7964000</v>
      </c>
      <c r="M2708">
        <v>796400</v>
      </c>
    </row>
    <row r="2709" spans="1:13" x14ac:dyDescent="0.25">
      <c r="A2709" t="s">
        <v>9185</v>
      </c>
      <c r="B2709" t="s">
        <v>9186</v>
      </c>
      <c r="C2709" t="s">
        <v>589</v>
      </c>
      <c r="D2709" t="s">
        <v>2248</v>
      </c>
      <c r="E2709" t="s">
        <v>623</v>
      </c>
      <c r="F2709" t="s">
        <v>624</v>
      </c>
      <c r="G2709" t="s">
        <v>9187</v>
      </c>
      <c r="H2709" t="str">
        <f>HYPERLINK("https://baanknet.com/view-property/284825/0013ED310F085F0E515AF568FA8AB1F0FC07A0D3CB807D6606D4449983ACFB9F", "https://baanknet.com/view-property/284825/0013ED310F085F0E515AF568FA8AB1F0FC07A0D3CB807D6606D4449983ACFB9F")</f>
        <v>https://baanknet.com/view-property/284825/0013ED310F085F0E515AF568FA8AB1F0FC07A0D3CB807D6606D4449983ACFB9F</v>
      </c>
      <c r="I2709" t="str">
        <f>HYPERLINK("https://baanknet.com/view-property/284825/0013ED310F085F0E515AF568FA8AB1F0FC07A0D3CB807D6606D4449983ACFB9F", "Open")</f>
        <v>Open</v>
      </c>
      <c r="J2709" t="s">
        <v>3803</v>
      </c>
      <c r="L2709">
        <v>6590000</v>
      </c>
      <c r="M2709">
        <v>659000</v>
      </c>
    </row>
    <row r="2710" spans="1:13" x14ac:dyDescent="0.25">
      <c r="A2710" t="s">
        <v>9188</v>
      </c>
      <c r="B2710" t="s">
        <v>9189</v>
      </c>
      <c r="C2710" t="s">
        <v>589</v>
      </c>
      <c r="D2710" t="s">
        <v>2341</v>
      </c>
      <c r="E2710" t="s">
        <v>623</v>
      </c>
      <c r="F2710" t="s">
        <v>624</v>
      </c>
      <c r="G2710" t="s">
        <v>9190</v>
      </c>
      <c r="H2710" t="str">
        <f>HYPERLINK("https://baanknet.com/view-property/182766/5C0994C8B547EA341D1CB2728A883C4262A0FD8BF064EB7BCB3C57DF5F6262CD", "https://baanknet.com/view-property/182766/5C0994C8B547EA341D1CB2728A883C4262A0FD8BF064EB7BCB3C57DF5F6262CD")</f>
        <v>https://baanknet.com/view-property/182766/5C0994C8B547EA341D1CB2728A883C4262A0FD8BF064EB7BCB3C57DF5F6262CD</v>
      </c>
      <c r="I2710" t="str">
        <f>HYPERLINK("https://baanknet.com/view-property/182766/5C0994C8B547EA341D1CB2728A883C4262A0FD8BF064EB7BCB3C57DF5F6262CD", "Open")</f>
        <v>Open</v>
      </c>
      <c r="J2710" t="s">
        <v>3803</v>
      </c>
      <c r="L2710">
        <v>1250000</v>
      </c>
      <c r="M2710">
        <v>125000</v>
      </c>
    </row>
    <row r="2711" spans="1:13" x14ac:dyDescent="0.25">
      <c r="A2711" t="s">
        <v>9191</v>
      </c>
      <c r="B2711" t="s">
        <v>9192</v>
      </c>
      <c r="C2711" t="s">
        <v>589</v>
      </c>
      <c r="D2711" t="s">
        <v>1892</v>
      </c>
      <c r="E2711" t="s">
        <v>623</v>
      </c>
      <c r="F2711" t="s">
        <v>624</v>
      </c>
      <c r="G2711" t="s">
        <v>9193</v>
      </c>
      <c r="H2711" t="str">
        <f>HYPERLINK("https://baanknet.com/view-property/284812/EE326C0CE7DD5213A795DB82F2D289B84E5E6207C4418AFEC62AA301E0EA939B", "https://baanknet.com/view-property/284812/EE326C0CE7DD5213A795DB82F2D289B84E5E6207C4418AFEC62AA301E0EA939B")</f>
        <v>https://baanknet.com/view-property/284812/EE326C0CE7DD5213A795DB82F2D289B84E5E6207C4418AFEC62AA301E0EA939B</v>
      </c>
      <c r="I2711" t="str">
        <f>HYPERLINK("https://baanknet.com/view-property/284812/EE326C0CE7DD5213A795DB82F2D289B84E5E6207C4418AFEC62AA301E0EA939B", "Open")</f>
        <v>Open</v>
      </c>
      <c r="J2711" t="s">
        <v>3803</v>
      </c>
      <c r="L2711">
        <v>9050000</v>
      </c>
      <c r="M2711">
        <v>905000</v>
      </c>
    </row>
    <row r="2712" spans="1:13" x14ac:dyDescent="0.25">
      <c r="A2712" t="s">
        <v>9194</v>
      </c>
      <c r="B2712" t="s">
        <v>9195</v>
      </c>
      <c r="C2712" t="s">
        <v>589</v>
      </c>
      <c r="D2712" t="s">
        <v>8644</v>
      </c>
      <c r="E2712" t="s">
        <v>623</v>
      </c>
      <c r="F2712" t="s">
        <v>624</v>
      </c>
      <c r="G2712" t="s">
        <v>9196</v>
      </c>
      <c r="H2712" t="str">
        <f>HYPERLINK("https://baanknet.com/view-property/271117/259E28F7E286ED5D87FAE561C4178D0B0BF0C44935C5D750281EFDC236E0AFD2", "https://baanknet.com/view-property/271117/259E28F7E286ED5D87FAE561C4178D0B0BF0C44935C5D750281EFDC236E0AFD2")</f>
        <v>https://baanknet.com/view-property/271117/259E28F7E286ED5D87FAE561C4178D0B0BF0C44935C5D750281EFDC236E0AFD2</v>
      </c>
      <c r="I2712" t="str">
        <f>HYPERLINK("https://baanknet.com/view-property/271117/259E28F7E286ED5D87FAE561C4178D0B0BF0C44935C5D750281EFDC236E0AFD2", "Open")</f>
        <v>Open</v>
      </c>
      <c r="J2712" t="s">
        <v>3803</v>
      </c>
      <c r="L2712">
        <v>5000000</v>
      </c>
      <c r="M2712">
        <v>500000</v>
      </c>
    </row>
    <row r="2713" spans="1:13" x14ac:dyDescent="0.25">
      <c r="A2713" t="s">
        <v>9197</v>
      </c>
      <c r="B2713" t="s">
        <v>9198</v>
      </c>
      <c r="C2713" t="s">
        <v>589</v>
      </c>
      <c r="D2713" t="s">
        <v>2573</v>
      </c>
      <c r="E2713" t="s">
        <v>623</v>
      </c>
      <c r="F2713" t="s">
        <v>624</v>
      </c>
      <c r="G2713" t="s">
        <v>9199</v>
      </c>
      <c r="H2713" t="str">
        <f>HYPERLINK("https://baanknet.com/view-property/272141/51C500216FE43FBBA1DA197B12155DB3FC580CC92C67BB7D6953F72B9E4F9583", "https://baanknet.com/view-property/272141/51C500216FE43FBBA1DA197B12155DB3FC580CC92C67BB7D6953F72B9E4F9583")</f>
        <v>https://baanknet.com/view-property/272141/51C500216FE43FBBA1DA197B12155DB3FC580CC92C67BB7D6953F72B9E4F9583</v>
      </c>
      <c r="I2713" t="str">
        <f>HYPERLINK("https://baanknet.com/view-property/272141/51C500216FE43FBBA1DA197B12155DB3FC580CC92C67BB7D6953F72B9E4F9583", "Open")</f>
        <v>Open</v>
      </c>
      <c r="J2713" t="s">
        <v>3803</v>
      </c>
      <c r="L2713">
        <v>7037000</v>
      </c>
      <c r="M2713">
        <v>703700</v>
      </c>
    </row>
    <row r="2714" spans="1:13" x14ac:dyDescent="0.25">
      <c r="A2714" t="s">
        <v>9200</v>
      </c>
      <c r="B2714" t="s">
        <v>9201</v>
      </c>
      <c r="C2714" t="s">
        <v>589</v>
      </c>
      <c r="D2714" t="s">
        <v>9202</v>
      </c>
      <c r="E2714" t="s">
        <v>623</v>
      </c>
      <c r="F2714" t="s">
        <v>624</v>
      </c>
      <c r="G2714" t="s">
        <v>9203</v>
      </c>
      <c r="H2714" t="str">
        <f>HYPERLINK("https://baanknet.com/view-property/277685/117D6E5166451802B6FF46056E4A8D8C9147189A844C84ECCD634D39FEB7A70E", "https://baanknet.com/view-property/277685/117D6E5166451802B6FF46056E4A8D8C9147189A844C84ECCD634D39FEB7A70E")</f>
        <v>https://baanknet.com/view-property/277685/117D6E5166451802B6FF46056E4A8D8C9147189A844C84ECCD634D39FEB7A70E</v>
      </c>
      <c r="I2714" t="str">
        <f>HYPERLINK("https://baanknet.com/view-property/277685/117D6E5166451802B6FF46056E4A8D8C9147189A844C84ECCD634D39FEB7A70E", "Open")</f>
        <v>Open</v>
      </c>
      <c r="J2714" t="s">
        <v>3803</v>
      </c>
      <c r="L2714">
        <v>3008000</v>
      </c>
      <c r="M2714">
        <v>300800</v>
      </c>
    </row>
    <row r="2715" spans="1:13" x14ac:dyDescent="0.25">
      <c r="A2715" t="s">
        <v>9204</v>
      </c>
      <c r="B2715" t="s">
        <v>9205</v>
      </c>
      <c r="C2715" t="s">
        <v>589</v>
      </c>
      <c r="D2715" t="s">
        <v>9206</v>
      </c>
      <c r="E2715" t="s">
        <v>623</v>
      </c>
      <c r="F2715" t="s">
        <v>624</v>
      </c>
      <c r="G2715" t="s">
        <v>9207</v>
      </c>
      <c r="H2715" t="str">
        <f>HYPERLINK("https://baanknet.com/view-property/271093/9F445FFE6BA71AE8C264E258C08004C9A900507210FEB719B71DBD67C08A4A01", "https://baanknet.com/view-property/271093/9F445FFE6BA71AE8C264E258C08004C9A900507210FEB719B71DBD67C08A4A01")</f>
        <v>https://baanknet.com/view-property/271093/9F445FFE6BA71AE8C264E258C08004C9A900507210FEB719B71DBD67C08A4A01</v>
      </c>
      <c r="I2715" t="str">
        <f>HYPERLINK("https://baanknet.com/view-property/271093/9F445FFE6BA71AE8C264E258C08004C9A900507210FEB719B71DBD67C08A4A01", "Open")</f>
        <v>Open</v>
      </c>
      <c r="J2715" t="s">
        <v>3803</v>
      </c>
      <c r="L2715">
        <v>2907000</v>
      </c>
      <c r="M2715">
        <v>290700</v>
      </c>
    </row>
    <row r="2716" spans="1:13" x14ac:dyDescent="0.25">
      <c r="A2716" t="s">
        <v>9208</v>
      </c>
      <c r="B2716" t="s">
        <v>9209</v>
      </c>
      <c r="C2716" t="s">
        <v>589</v>
      </c>
      <c r="D2716" t="s">
        <v>8462</v>
      </c>
      <c r="E2716" t="s">
        <v>623</v>
      </c>
      <c r="F2716" t="s">
        <v>624</v>
      </c>
      <c r="G2716" t="s">
        <v>9210</v>
      </c>
      <c r="H2716" t="str">
        <f>HYPERLINK("https://baanknet.com/view-property/270362/9CC780DD9FA12289362900C0B048B8EF6B3B69B0DC446DB2E6AF7F6C7AEF6075", "https://baanknet.com/view-property/270362/9CC780DD9FA12289362900C0B048B8EF6B3B69B0DC446DB2E6AF7F6C7AEF6075")</f>
        <v>https://baanknet.com/view-property/270362/9CC780DD9FA12289362900C0B048B8EF6B3B69B0DC446DB2E6AF7F6C7AEF6075</v>
      </c>
      <c r="I2716" t="str">
        <f>HYPERLINK("https://baanknet.com/view-property/270362/9CC780DD9FA12289362900C0B048B8EF6B3B69B0DC446DB2E6AF7F6C7AEF6075", "Open")</f>
        <v>Open</v>
      </c>
      <c r="J2716" t="s">
        <v>3803</v>
      </c>
      <c r="L2716">
        <v>1310000</v>
      </c>
      <c r="M2716">
        <v>131000</v>
      </c>
    </row>
    <row r="2717" spans="1:13" x14ac:dyDescent="0.25">
      <c r="A2717" t="s">
        <v>9211</v>
      </c>
      <c r="B2717" t="s">
        <v>9212</v>
      </c>
      <c r="C2717" t="s">
        <v>589</v>
      </c>
      <c r="D2717" t="s">
        <v>9213</v>
      </c>
      <c r="E2717" t="s">
        <v>623</v>
      </c>
      <c r="F2717" t="s">
        <v>624</v>
      </c>
      <c r="G2717" t="s">
        <v>9214</v>
      </c>
      <c r="H2717" t="str">
        <f>HYPERLINK("https://baanknet.com/view-property/277692/0DF81E975A1DCE62EABD5752D8D04167A78698FA0A1CF2645C61C6A18636DD82", "https://baanknet.com/view-property/277692/0DF81E975A1DCE62EABD5752D8D04167A78698FA0A1CF2645C61C6A18636DD82")</f>
        <v>https://baanknet.com/view-property/277692/0DF81E975A1DCE62EABD5752D8D04167A78698FA0A1CF2645C61C6A18636DD82</v>
      </c>
      <c r="I2717" t="str">
        <f>HYPERLINK("https://baanknet.com/view-property/277692/0DF81E975A1DCE62EABD5752D8D04167A78698FA0A1CF2645C61C6A18636DD82", "Open")</f>
        <v>Open</v>
      </c>
      <c r="J2717" t="s">
        <v>3803</v>
      </c>
      <c r="L2717">
        <v>1664000</v>
      </c>
      <c r="M2717">
        <v>166400</v>
      </c>
    </row>
    <row r="2718" spans="1:13" x14ac:dyDescent="0.25">
      <c r="A2718" t="s">
        <v>9215</v>
      </c>
      <c r="B2718" t="s">
        <v>9216</v>
      </c>
      <c r="C2718" t="s">
        <v>589</v>
      </c>
      <c r="D2718" t="s">
        <v>2824</v>
      </c>
      <c r="E2718" t="s">
        <v>623</v>
      </c>
      <c r="F2718" t="s">
        <v>624</v>
      </c>
      <c r="G2718" t="s">
        <v>9217</v>
      </c>
      <c r="H2718" t="str">
        <f>HYPERLINK("https://baanknet.com/view-property/270750/84D68FE466D50A1D9D0996CE19CB4AA620FD3FEF5F1EA67085D35FE6D6EE6EA9", "https://baanknet.com/view-property/270750/84D68FE466D50A1D9D0996CE19CB4AA620FD3FEF5F1EA67085D35FE6D6EE6EA9")</f>
        <v>https://baanknet.com/view-property/270750/84D68FE466D50A1D9D0996CE19CB4AA620FD3FEF5F1EA67085D35FE6D6EE6EA9</v>
      </c>
      <c r="I2718" t="str">
        <f>HYPERLINK("https://baanknet.com/view-property/270750/84D68FE466D50A1D9D0996CE19CB4AA620FD3FEF5F1EA67085D35FE6D6EE6EA9", "Open")</f>
        <v>Open</v>
      </c>
      <c r="J2718" t="s">
        <v>3803</v>
      </c>
      <c r="L2718">
        <v>9560000</v>
      </c>
      <c r="M2718">
        <v>956000</v>
      </c>
    </row>
    <row r="2719" spans="1:13" x14ac:dyDescent="0.25">
      <c r="A2719" t="s">
        <v>9218</v>
      </c>
      <c r="B2719" t="s">
        <v>9219</v>
      </c>
      <c r="C2719" t="s">
        <v>589</v>
      </c>
      <c r="D2719" t="s">
        <v>2824</v>
      </c>
      <c r="E2719" t="s">
        <v>623</v>
      </c>
      <c r="F2719" t="s">
        <v>624</v>
      </c>
      <c r="G2719" t="s">
        <v>9220</v>
      </c>
      <c r="H2719" t="str">
        <f>HYPERLINK("https://baanknet.com/view-property/270790/2356DA4722E5C874C0B6E55A6F9614D770EDF2CEFA7DC5779CB2822ED7634275", "https://baanknet.com/view-property/270790/2356DA4722E5C874C0B6E55A6F9614D770EDF2CEFA7DC5779CB2822ED7634275")</f>
        <v>https://baanknet.com/view-property/270790/2356DA4722E5C874C0B6E55A6F9614D770EDF2CEFA7DC5779CB2822ED7634275</v>
      </c>
      <c r="I2719" t="str">
        <f>HYPERLINK("https://baanknet.com/view-property/270790/2356DA4722E5C874C0B6E55A6F9614D770EDF2CEFA7DC5779CB2822ED7634275", "Open")</f>
        <v>Open</v>
      </c>
      <c r="J2719" t="s">
        <v>3803</v>
      </c>
      <c r="L2719">
        <v>2207500</v>
      </c>
      <c r="M2719">
        <v>220750</v>
      </c>
    </row>
    <row r="2720" spans="1:13" x14ac:dyDescent="0.25">
      <c r="A2720" t="s">
        <v>9221</v>
      </c>
      <c r="B2720" t="s">
        <v>9222</v>
      </c>
      <c r="C2720" t="s">
        <v>589</v>
      </c>
      <c r="D2720" t="s">
        <v>2910</v>
      </c>
      <c r="E2720" t="s">
        <v>623</v>
      </c>
      <c r="F2720" t="s">
        <v>624</v>
      </c>
      <c r="G2720" t="s">
        <v>9223</v>
      </c>
      <c r="H2720" t="str">
        <f>HYPERLINK("https://baanknet.com/view-property/276488/5679E5CC5F951AF76633CF4892615755C9D34F9736712020252CAACBAE8FCF1D", "https://baanknet.com/view-property/276488/5679E5CC5F951AF76633CF4892615755C9D34F9736712020252CAACBAE8FCF1D")</f>
        <v>https://baanknet.com/view-property/276488/5679E5CC5F951AF76633CF4892615755C9D34F9736712020252CAACBAE8FCF1D</v>
      </c>
      <c r="I2720" t="str">
        <f>HYPERLINK("https://baanknet.com/view-property/276488/5679E5CC5F951AF76633CF4892615755C9D34F9736712020252CAACBAE8FCF1D", "Open")</f>
        <v>Open</v>
      </c>
      <c r="J2720" t="s">
        <v>3803</v>
      </c>
      <c r="L2720">
        <v>730000</v>
      </c>
      <c r="M2720">
        <v>73000</v>
      </c>
    </row>
    <row r="2721" spans="1:13" x14ac:dyDescent="0.25">
      <c r="A2721" t="s">
        <v>9224</v>
      </c>
      <c r="B2721" t="s">
        <v>9225</v>
      </c>
      <c r="C2721" t="s">
        <v>589</v>
      </c>
      <c r="D2721" t="s">
        <v>157</v>
      </c>
      <c r="E2721" t="s">
        <v>623</v>
      </c>
      <c r="F2721" t="s">
        <v>624</v>
      </c>
      <c r="G2721" t="s">
        <v>9226</v>
      </c>
      <c r="H2721" t="str">
        <f>HYPERLINK("https://baanknet.com/view-property/278402/6343B8190ACE0A0759CD04A66D7A4BDFB505449EF6A9C5FFE9EC3206EA5F3EA3", "https://baanknet.com/view-property/278402/6343B8190ACE0A0759CD04A66D7A4BDFB505449EF6A9C5FFE9EC3206EA5F3EA3")</f>
        <v>https://baanknet.com/view-property/278402/6343B8190ACE0A0759CD04A66D7A4BDFB505449EF6A9C5FFE9EC3206EA5F3EA3</v>
      </c>
      <c r="I2721" t="str">
        <f>HYPERLINK("https://baanknet.com/view-property/278402/6343B8190ACE0A0759CD04A66D7A4BDFB505449EF6A9C5FFE9EC3206EA5F3EA3", "Open")</f>
        <v>Open</v>
      </c>
      <c r="J2721" t="s">
        <v>3803</v>
      </c>
      <c r="L2721">
        <v>1500000</v>
      </c>
      <c r="M2721">
        <v>150000</v>
      </c>
    </row>
    <row r="2722" spans="1:13" x14ac:dyDescent="0.25">
      <c r="A2722" t="s">
        <v>9227</v>
      </c>
      <c r="B2722" t="s">
        <v>9228</v>
      </c>
      <c r="C2722" t="s">
        <v>589</v>
      </c>
      <c r="D2722" t="s">
        <v>2117</v>
      </c>
      <c r="E2722" t="s">
        <v>623</v>
      </c>
      <c r="F2722" t="s">
        <v>624</v>
      </c>
      <c r="G2722" t="s">
        <v>9229</v>
      </c>
      <c r="H2722" t="str">
        <f>HYPERLINK("https://baanknet.com/view-property/278635/C9DCCCB008E810476EEB090B2137DC603CADBB28B90197C29C9519FA878A80A2", "https://baanknet.com/view-property/278635/C9DCCCB008E810476EEB090B2137DC603CADBB28B90197C29C9519FA878A80A2")</f>
        <v>https://baanknet.com/view-property/278635/C9DCCCB008E810476EEB090B2137DC603CADBB28B90197C29C9519FA878A80A2</v>
      </c>
      <c r="I2722" t="str">
        <f>HYPERLINK("https://baanknet.com/view-property/278635/C9DCCCB008E810476EEB090B2137DC603CADBB28B90197C29C9519FA878A80A2", "Open")</f>
        <v>Open</v>
      </c>
      <c r="J2722" t="s">
        <v>3803</v>
      </c>
      <c r="L2722">
        <v>4410000</v>
      </c>
      <c r="M2722">
        <v>441000</v>
      </c>
    </row>
    <row r="2723" spans="1:13" x14ac:dyDescent="0.25">
      <c r="A2723" t="s">
        <v>9230</v>
      </c>
      <c r="B2723" t="s">
        <v>9231</v>
      </c>
      <c r="C2723" t="s">
        <v>589</v>
      </c>
      <c r="D2723" t="s">
        <v>2124</v>
      </c>
      <c r="E2723" t="s">
        <v>623</v>
      </c>
      <c r="F2723" t="s">
        <v>624</v>
      </c>
      <c r="G2723" t="s">
        <v>9232</v>
      </c>
      <c r="H2723" t="str">
        <f>HYPERLINK("https://baanknet.com/view-property/278648/2827A4DBCB8F0437CEBC25F5EA7E65AE629B5A17F4649D3B6C505921BB074B19", "https://baanknet.com/view-property/278648/2827A4DBCB8F0437CEBC25F5EA7E65AE629B5A17F4649D3B6C505921BB074B19")</f>
        <v>https://baanknet.com/view-property/278648/2827A4DBCB8F0437CEBC25F5EA7E65AE629B5A17F4649D3B6C505921BB074B19</v>
      </c>
      <c r="I2723" t="str">
        <f>HYPERLINK("https://baanknet.com/view-property/278648/2827A4DBCB8F0437CEBC25F5EA7E65AE629B5A17F4649D3B6C505921BB074B19", "Open")</f>
        <v>Open</v>
      </c>
      <c r="J2723" t="s">
        <v>3803</v>
      </c>
      <c r="L2723">
        <v>2790000</v>
      </c>
      <c r="M2723">
        <v>279000</v>
      </c>
    </row>
    <row r="2724" spans="1:13" x14ac:dyDescent="0.25">
      <c r="A2724" t="s">
        <v>9233</v>
      </c>
      <c r="B2724" t="s">
        <v>9234</v>
      </c>
      <c r="C2724" t="s">
        <v>589</v>
      </c>
      <c r="D2724" t="s">
        <v>9235</v>
      </c>
      <c r="E2724" t="s">
        <v>623</v>
      </c>
      <c r="F2724" t="s">
        <v>624</v>
      </c>
      <c r="G2724" t="s">
        <v>9236</v>
      </c>
      <c r="H2724" t="str">
        <f>HYPERLINK("https://baanknet.com/view-property/281677/3564422BA426A506FE7A52AAA08688CDFADFF7A76082E9C3D348878CF4654E2D", "https://baanknet.com/view-property/281677/3564422BA426A506FE7A52AAA08688CDFADFF7A76082E9C3D348878CF4654E2D")</f>
        <v>https://baanknet.com/view-property/281677/3564422BA426A506FE7A52AAA08688CDFADFF7A76082E9C3D348878CF4654E2D</v>
      </c>
      <c r="I2724" t="str">
        <f>HYPERLINK("https://baanknet.com/view-property/281677/3564422BA426A506FE7A52AAA08688CDFADFF7A76082E9C3D348878CF4654E2D", "Open")</f>
        <v>Open</v>
      </c>
      <c r="J2724" t="s">
        <v>3803</v>
      </c>
      <c r="L2724">
        <v>3215000</v>
      </c>
      <c r="M2724">
        <v>321500</v>
      </c>
    </row>
    <row r="2725" spans="1:13" x14ac:dyDescent="0.25">
      <c r="A2725" t="s">
        <v>9237</v>
      </c>
      <c r="B2725" t="s">
        <v>9238</v>
      </c>
      <c r="C2725" t="s">
        <v>589</v>
      </c>
      <c r="D2725" t="s">
        <v>157</v>
      </c>
      <c r="E2725" t="s">
        <v>623</v>
      </c>
      <c r="F2725" t="s">
        <v>624</v>
      </c>
      <c r="G2725" t="s">
        <v>9239</v>
      </c>
      <c r="H2725" t="str">
        <f>HYPERLINK("https://baanknet.com/view-property/278470/A9AC4DB1842EE07A35976D87172B4841AC8547D96B7031AD5D2C2EF23FDC40EF", "https://baanknet.com/view-property/278470/A9AC4DB1842EE07A35976D87172B4841AC8547D96B7031AD5D2C2EF23FDC40EF")</f>
        <v>https://baanknet.com/view-property/278470/A9AC4DB1842EE07A35976D87172B4841AC8547D96B7031AD5D2C2EF23FDC40EF</v>
      </c>
      <c r="I2725" t="str">
        <f>HYPERLINK("https://baanknet.com/view-property/278470/A9AC4DB1842EE07A35976D87172B4841AC8547D96B7031AD5D2C2EF23FDC40EF", "Open")</f>
        <v>Open</v>
      </c>
      <c r="J2725" t="s">
        <v>3803</v>
      </c>
      <c r="L2725">
        <v>1080000</v>
      </c>
      <c r="M2725">
        <v>108000</v>
      </c>
    </row>
    <row r="2726" spans="1:13" x14ac:dyDescent="0.25">
      <c r="A2726" t="s">
        <v>9240</v>
      </c>
      <c r="B2726" t="s">
        <v>9241</v>
      </c>
      <c r="C2726" t="s">
        <v>589</v>
      </c>
      <c r="D2726" t="s">
        <v>157</v>
      </c>
      <c r="E2726" t="s">
        <v>623</v>
      </c>
      <c r="F2726" t="s">
        <v>624</v>
      </c>
      <c r="G2726" t="s">
        <v>9242</v>
      </c>
      <c r="H2726" t="str">
        <f>HYPERLINK("https://baanknet.com/view-property/278442/C42D21EA65EB51F22B634834BCAAA56F154F1CCC89756DE3F1EACBA31448ADBE", "https://baanknet.com/view-property/278442/C42D21EA65EB51F22B634834BCAAA56F154F1CCC89756DE3F1EACBA31448ADBE")</f>
        <v>https://baanknet.com/view-property/278442/C42D21EA65EB51F22B634834BCAAA56F154F1CCC89756DE3F1EACBA31448ADBE</v>
      </c>
      <c r="I2726" t="str">
        <f>HYPERLINK("https://baanknet.com/view-property/278442/C42D21EA65EB51F22B634834BCAAA56F154F1CCC89756DE3F1EACBA31448ADBE", "Open")</f>
        <v>Open</v>
      </c>
      <c r="J2726" t="s">
        <v>3803</v>
      </c>
      <c r="L2726">
        <v>4450000</v>
      </c>
      <c r="M2726">
        <v>445000</v>
      </c>
    </row>
    <row r="2727" spans="1:13" x14ac:dyDescent="0.25">
      <c r="A2727" t="s">
        <v>9243</v>
      </c>
      <c r="B2727" t="s">
        <v>9244</v>
      </c>
      <c r="C2727" t="s">
        <v>589</v>
      </c>
      <c r="D2727" t="s">
        <v>1488</v>
      </c>
      <c r="E2727" t="s">
        <v>623</v>
      </c>
      <c r="F2727" t="s">
        <v>624</v>
      </c>
      <c r="G2727" t="s">
        <v>9245</v>
      </c>
      <c r="H2727" t="str">
        <f>HYPERLINK("https://baanknet.com/view-property/271959/8B948B79C8373C90AE4378E57F704C21E73BA78354CEF8E47239B7B56BC26658", "https://baanknet.com/view-property/271959/8B948B79C8373C90AE4378E57F704C21E73BA78354CEF8E47239B7B56BC26658")</f>
        <v>https://baanknet.com/view-property/271959/8B948B79C8373C90AE4378E57F704C21E73BA78354CEF8E47239B7B56BC26658</v>
      </c>
      <c r="I2727" t="str">
        <f>HYPERLINK("https://baanknet.com/view-property/271959/8B948B79C8373C90AE4378E57F704C21E73BA78354CEF8E47239B7B56BC26658", "Open")</f>
        <v>Open</v>
      </c>
      <c r="J2727" t="s">
        <v>3803</v>
      </c>
      <c r="L2727">
        <v>6709000</v>
      </c>
      <c r="M2727">
        <v>670900</v>
      </c>
    </row>
    <row r="2728" spans="1:13" x14ac:dyDescent="0.25">
      <c r="A2728" t="s">
        <v>9246</v>
      </c>
      <c r="B2728" t="s">
        <v>9247</v>
      </c>
      <c r="C2728" t="s">
        <v>589</v>
      </c>
      <c r="D2728" t="s">
        <v>1246</v>
      </c>
      <c r="E2728" t="s">
        <v>623</v>
      </c>
      <c r="F2728" t="s">
        <v>624</v>
      </c>
      <c r="G2728" t="s">
        <v>9248</v>
      </c>
      <c r="H2728" t="str">
        <f>HYPERLINK("https://baanknet.com/view-property/276943/3623BC14DA5B3825369BB6808C1867C81BFCDDA389D52E44B498F95E8EAE420F", "https://baanknet.com/view-property/276943/3623BC14DA5B3825369BB6808C1867C81BFCDDA389D52E44B498F95E8EAE420F")</f>
        <v>https://baanknet.com/view-property/276943/3623BC14DA5B3825369BB6808C1867C81BFCDDA389D52E44B498F95E8EAE420F</v>
      </c>
      <c r="I2728" t="str">
        <f>HYPERLINK("https://baanknet.com/view-property/276943/3623BC14DA5B3825369BB6808C1867C81BFCDDA389D52E44B498F95E8EAE420F", "Open")</f>
        <v>Open</v>
      </c>
      <c r="J2728" t="s">
        <v>3803</v>
      </c>
      <c r="L2728">
        <v>3400000</v>
      </c>
      <c r="M2728">
        <v>340000</v>
      </c>
    </row>
    <row r="2729" spans="1:13" x14ac:dyDescent="0.25">
      <c r="A2729" t="s">
        <v>9249</v>
      </c>
      <c r="B2729" t="s">
        <v>9250</v>
      </c>
      <c r="C2729" t="s">
        <v>589</v>
      </c>
      <c r="D2729" t="s">
        <v>4534</v>
      </c>
      <c r="E2729" t="s">
        <v>623</v>
      </c>
      <c r="F2729" t="s">
        <v>624</v>
      </c>
      <c r="G2729" t="s">
        <v>9251</v>
      </c>
      <c r="H2729" t="str">
        <f>HYPERLINK("https://baanknet.com/view-property/260039/BD06E26764933AA9AB3957F7A6D909DE87741DFE4880196D60A09C4C200AD215", "https://baanknet.com/view-property/260039/BD06E26764933AA9AB3957F7A6D909DE87741DFE4880196D60A09C4C200AD215")</f>
        <v>https://baanknet.com/view-property/260039/BD06E26764933AA9AB3957F7A6D909DE87741DFE4880196D60A09C4C200AD215</v>
      </c>
      <c r="I2729" t="str">
        <f>HYPERLINK("https://baanknet.com/view-property/260039/BD06E26764933AA9AB3957F7A6D909DE87741DFE4880196D60A09C4C200AD215", "Open")</f>
        <v>Open</v>
      </c>
      <c r="J2729" t="s">
        <v>3803</v>
      </c>
      <c r="L2729">
        <v>450000</v>
      </c>
      <c r="M2729">
        <v>45000</v>
      </c>
    </row>
    <row r="2730" spans="1:13" x14ac:dyDescent="0.25">
      <c r="A2730" t="s">
        <v>9252</v>
      </c>
      <c r="B2730" t="s">
        <v>9253</v>
      </c>
      <c r="C2730" t="s">
        <v>589</v>
      </c>
      <c r="D2730" t="s">
        <v>4810</v>
      </c>
      <c r="E2730" t="s">
        <v>623</v>
      </c>
      <c r="F2730" t="s">
        <v>624</v>
      </c>
      <c r="G2730" t="s">
        <v>9254</v>
      </c>
      <c r="H2730" t="str">
        <f>HYPERLINK("https://baanknet.com/view-property/281721/D250B3FC58916C379F9C716058851FB435E46F1DCE993D1F2D8A67E8E7CF3777", "https://baanknet.com/view-property/281721/D250B3FC58916C379F9C716058851FB435E46F1DCE993D1F2D8A67E8E7CF3777")</f>
        <v>https://baanknet.com/view-property/281721/D250B3FC58916C379F9C716058851FB435E46F1DCE993D1F2D8A67E8E7CF3777</v>
      </c>
      <c r="I2730" t="str">
        <f>HYPERLINK("https://baanknet.com/view-property/281721/D250B3FC58916C379F9C716058851FB435E46F1DCE993D1F2D8A67E8E7CF3777", "Open")</f>
        <v>Open</v>
      </c>
      <c r="J2730" t="s">
        <v>3803</v>
      </c>
      <c r="L2730">
        <v>5955000</v>
      </c>
      <c r="M2730">
        <v>595500</v>
      </c>
    </row>
    <row r="2731" spans="1:13" x14ac:dyDescent="0.25">
      <c r="A2731" t="s">
        <v>9255</v>
      </c>
      <c r="B2731" t="s">
        <v>9256</v>
      </c>
      <c r="C2731" t="s">
        <v>589</v>
      </c>
      <c r="D2731" t="s">
        <v>9257</v>
      </c>
      <c r="E2731" t="s">
        <v>623</v>
      </c>
      <c r="F2731" t="s">
        <v>624</v>
      </c>
      <c r="G2731" t="s">
        <v>9258</v>
      </c>
      <c r="H2731" t="str">
        <f>HYPERLINK("https://baanknet.com/view-property/281735/1198A20603137EB771B1D9F9EE23A4B3CE078124F4FDE11E48360B5033539637", "https://baanknet.com/view-property/281735/1198A20603137EB771B1D9F9EE23A4B3CE078124F4FDE11E48360B5033539637")</f>
        <v>https://baanknet.com/view-property/281735/1198A20603137EB771B1D9F9EE23A4B3CE078124F4FDE11E48360B5033539637</v>
      </c>
      <c r="I2731" t="str">
        <f>HYPERLINK("https://baanknet.com/view-property/281735/1198A20603137EB771B1D9F9EE23A4B3CE078124F4FDE11E48360B5033539637", "Open")</f>
        <v>Open</v>
      </c>
      <c r="J2731" t="s">
        <v>3803</v>
      </c>
      <c r="L2731">
        <v>1336000</v>
      </c>
      <c r="M2731">
        <v>133600</v>
      </c>
    </row>
    <row r="2732" spans="1:13" x14ac:dyDescent="0.25">
      <c r="A2732" t="s">
        <v>9259</v>
      </c>
      <c r="B2732" t="s">
        <v>9260</v>
      </c>
      <c r="C2732" t="s">
        <v>589</v>
      </c>
      <c r="D2732" t="s">
        <v>1246</v>
      </c>
      <c r="E2732" t="s">
        <v>623</v>
      </c>
      <c r="F2732" t="s">
        <v>624</v>
      </c>
      <c r="G2732" t="s">
        <v>9261</v>
      </c>
      <c r="H2732" t="str">
        <f>HYPERLINK("https://baanknet.com/view-property/263525/5E516621FC3F8A22CD87579E03D6754AD53F450D67C7D3166D74859D1B5B10DE", "https://baanknet.com/view-property/263525/5E516621FC3F8A22CD87579E03D6754AD53F450D67C7D3166D74859D1B5B10DE")</f>
        <v>https://baanknet.com/view-property/263525/5E516621FC3F8A22CD87579E03D6754AD53F450D67C7D3166D74859D1B5B10DE</v>
      </c>
      <c r="I2732" t="str">
        <f>HYPERLINK("https://baanknet.com/view-property/263525/5E516621FC3F8A22CD87579E03D6754AD53F450D67C7D3166D74859D1B5B10DE", "Open")</f>
        <v>Open</v>
      </c>
      <c r="J2732" t="s">
        <v>3803</v>
      </c>
      <c r="L2732">
        <v>5200000</v>
      </c>
      <c r="M2732">
        <v>520000</v>
      </c>
    </row>
    <row r="2733" spans="1:13" x14ac:dyDescent="0.25">
      <c r="A2733" t="s">
        <v>9262</v>
      </c>
      <c r="B2733" t="s">
        <v>9263</v>
      </c>
      <c r="C2733" t="s">
        <v>589</v>
      </c>
      <c r="D2733" t="s">
        <v>9257</v>
      </c>
      <c r="E2733" t="s">
        <v>623</v>
      </c>
      <c r="F2733" t="s">
        <v>624</v>
      </c>
      <c r="G2733" t="s">
        <v>9264</v>
      </c>
      <c r="H2733" t="str">
        <f>HYPERLINK("https://baanknet.com/view-property/275092/E7F312B683DDD4C5BFF8D2D2A7CBF1D80E47B7FADA1D80CEF98FEEFB5C9C8D7E", "https://baanknet.com/view-property/275092/E7F312B683DDD4C5BFF8D2D2A7CBF1D80E47B7FADA1D80CEF98FEEFB5C9C8D7E")</f>
        <v>https://baanknet.com/view-property/275092/E7F312B683DDD4C5BFF8D2D2A7CBF1D80E47B7FADA1D80CEF98FEEFB5C9C8D7E</v>
      </c>
      <c r="I2733" t="str">
        <f>HYPERLINK("https://baanknet.com/view-property/275092/E7F312B683DDD4C5BFF8D2D2A7CBF1D80E47B7FADA1D80CEF98FEEFB5C9C8D7E", "Open")</f>
        <v>Open</v>
      </c>
      <c r="J2733" t="s">
        <v>3803</v>
      </c>
      <c r="L2733">
        <v>1439000</v>
      </c>
      <c r="M2733">
        <v>143900</v>
      </c>
    </row>
    <row r="2734" spans="1:13" x14ac:dyDescent="0.25">
      <c r="A2734" t="s">
        <v>9265</v>
      </c>
      <c r="B2734" t="s">
        <v>9266</v>
      </c>
      <c r="C2734" t="s">
        <v>589</v>
      </c>
      <c r="D2734" t="s">
        <v>9105</v>
      </c>
      <c r="E2734" t="s">
        <v>623</v>
      </c>
      <c r="F2734" t="s">
        <v>624</v>
      </c>
      <c r="G2734" t="s">
        <v>9267</v>
      </c>
      <c r="H2734" t="str">
        <f>HYPERLINK("https://baanknet.com/view-property/287551/897A80C61234C04B2968CFC98D60F08AD5CF70D640746AED1E350A97583D8A04", "https://baanknet.com/view-property/287551/897A80C61234C04B2968CFC98D60F08AD5CF70D640746AED1E350A97583D8A04")</f>
        <v>https://baanknet.com/view-property/287551/897A80C61234C04B2968CFC98D60F08AD5CF70D640746AED1E350A97583D8A04</v>
      </c>
      <c r="I2734" t="str">
        <f>HYPERLINK("https://baanknet.com/view-property/287551/897A80C61234C04B2968CFC98D60F08AD5CF70D640746AED1E350A97583D8A04", "Open")</f>
        <v>Open</v>
      </c>
      <c r="J2734" t="s">
        <v>3803</v>
      </c>
      <c r="L2734">
        <v>1132000</v>
      </c>
      <c r="M2734">
        <v>113200</v>
      </c>
    </row>
    <row r="2735" spans="1:13" x14ac:dyDescent="0.25">
      <c r="A2735" t="s">
        <v>9268</v>
      </c>
      <c r="B2735" t="s">
        <v>9269</v>
      </c>
      <c r="C2735" t="s">
        <v>589</v>
      </c>
      <c r="D2735" t="s">
        <v>1246</v>
      </c>
      <c r="E2735" t="s">
        <v>623</v>
      </c>
      <c r="F2735" t="s">
        <v>624</v>
      </c>
      <c r="G2735" t="s">
        <v>9270</v>
      </c>
      <c r="H2735" t="str">
        <f>HYPERLINK("https://baanknet.com/view-property/263545/B28053014F41057CEC33562ABA8FE9DC6AB619321EA753FC19A8F95531E59904", "https://baanknet.com/view-property/263545/B28053014F41057CEC33562ABA8FE9DC6AB619321EA753FC19A8F95531E59904")</f>
        <v>https://baanknet.com/view-property/263545/B28053014F41057CEC33562ABA8FE9DC6AB619321EA753FC19A8F95531E59904</v>
      </c>
      <c r="I2735" t="str">
        <f>HYPERLINK("https://baanknet.com/view-property/263545/B28053014F41057CEC33562ABA8FE9DC6AB619321EA753FC19A8F95531E59904", "Open")</f>
        <v>Open</v>
      </c>
      <c r="J2735" t="s">
        <v>3803</v>
      </c>
      <c r="L2735">
        <v>4450000</v>
      </c>
      <c r="M2735">
        <v>445000</v>
      </c>
    </row>
    <row r="2736" spans="1:13" x14ac:dyDescent="0.25">
      <c r="A2736" t="s">
        <v>9271</v>
      </c>
      <c r="B2736" t="s">
        <v>9272</v>
      </c>
      <c r="C2736" t="s">
        <v>589</v>
      </c>
      <c r="D2736" t="s">
        <v>2446</v>
      </c>
      <c r="E2736" t="s">
        <v>623</v>
      </c>
      <c r="F2736" t="s">
        <v>624</v>
      </c>
      <c r="G2736" t="s">
        <v>9273</v>
      </c>
      <c r="H2736" t="str">
        <f>HYPERLINK("https://baanknet.com/view-property/265625/AE5370F6F4C1BC389BE0F2D693609662E7B1FFE02201E3FCAA49396077F0BE95", "https://baanknet.com/view-property/265625/AE5370F6F4C1BC389BE0F2D693609662E7B1FFE02201E3FCAA49396077F0BE95")</f>
        <v>https://baanknet.com/view-property/265625/AE5370F6F4C1BC389BE0F2D693609662E7B1FFE02201E3FCAA49396077F0BE95</v>
      </c>
      <c r="I2736" t="str">
        <f>HYPERLINK("https://baanknet.com/view-property/265625/AE5370F6F4C1BC389BE0F2D693609662E7B1FFE02201E3FCAA49396077F0BE95", "Open")</f>
        <v>Open</v>
      </c>
      <c r="J2736" t="s">
        <v>3803</v>
      </c>
      <c r="L2736">
        <v>288000</v>
      </c>
      <c r="M2736">
        <v>28800</v>
      </c>
    </row>
    <row r="2737" spans="1:13" x14ac:dyDescent="0.25">
      <c r="A2737" t="s">
        <v>9274</v>
      </c>
      <c r="B2737" t="s">
        <v>9275</v>
      </c>
      <c r="C2737" t="s">
        <v>589</v>
      </c>
      <c r="D2737" t="s">
        <v>1246</v>
      </c>
      <c r="E2737" t="s">
        <v>623</v>
      </c>
      <c r="F2737" t="s">
        <v>624</v>
      </c>
      <c r="G2737" t="s">
        <v>9276</v>
      </c>
      <c r="H2737" t="str">
        <f>HYPERLINK("https://baanknet.com/view-property/273471/D932935B7503E3605775CD2370BF24E32D38A39285F2FA280CEE8B2C6541006C", "https://baanknet.com/view-property/273471/D932935B7503E3605775CD2370BF24E32D38A39285F2FA280CEE8B2C6541006C")</f>
        <v>https://baanknet.com/view-property/273471/D932935B7503E3605775CD2370BF24E32D38A39285F2FA280CEE8B2C6541006C</v>
      </c>
      <c r="I2737" t="str">
        <f>HYPERLINK("https://baanknet.com/view-property/273471/D932935B7503E3605775CD2370BF24E32D38A39285F2FA280CEE8B2C6541006C", "Open")</f>
        <v>Open</v>
      </c>
      <c r="J2737" t="s">
        <v>3803</v>
      </c>
      <c r="L2737">
        <v>3100000</v>
      </c>
      <c r="M2737">
        <v>310000</v>
      </c>
    </row>
    <row r="2738" spans="1:13" x14ac:dyDescent="0.25">
      <c r="A2738" t="s">
        <v>9277</v>
      </c>
      <c r="B2738" t="s">
        <v>9278</v>
      </c>
      <c r="C2738" t="s">
        <v>589</v>
      </c>
      <c r="D2738" t="s">
        <v>2341</v>
      </c>
      <c r="E2738" t="s">
        <v>623</v>
      </c>
      <c r="F2738" t="s">
        <v>624</v>
      </c>
      <c r="G2738" t="s">
        <v>9279</v>
      </c>
      <c r="H2738" t="str">
        <f>HYPERLINK("https://baanknet.com/view-property/201608/54228163A28769213F97696FCD5A753142D9CC623610D2889F1FA58D29682989", "https://baanknet.com/view-property/201608/54228163A28769213F97696FCD5A753142D9CC623610D2889F1FA58D29682989")</f>
        <v>https://baanknet.com/view-property/201608/54228163A28769213F97696FCD5A753142D9CC623610D2889F1FA58D29682989</v>
      </c>
      <c r="I2738" t="str">
        <f>HYPERLINK("https://baanknet.com/view-property/201608/54228163A28769213F97696FCD5A753142D9CC623610D2889F1FA58D29682989", "Open")</f>
        <v>Open</v>
      </c>
      <c r="J2738" t="s">
        <v>3803</v>
      </c>
      <c r="L2738">
        <v>3450000</v>
      </c>
      <c r="M2738">
        <v>345000</v>
      </c>
    </row>
    <row r="2739" spans="1:13" x14ac:dyDescent="0.25">
      <c r="A2739" t="s">
        <v>9280</v>
      </c>
      <c r="B2739" t="s">
        <v>9281</v>
      </c>
      <c r="C2739" t="s">
        <v>589</v>
      </c>
      <c r="D2739" t="s">
        <v>9101</v>
      </c>
      <c r="E2739" t="s">
        <v>623</v>
      </c>
      <c r="F2739" t="s">
        <v>624</v>
      </c>
      <c r="G2739" t="s">
        <v>9282</v>
      </c>
      <c r="H2739" t="str">
        <f>HYPERLINK("https://baanknet.com/view-property/266840/4205C0015C160563A79092D1F68E8966E5758CCB6293739304D028A18244CCF9", "https://baanknet.com/view-property/266840/4205C0015C160563A79092D1F68E8966E5758CCB6293739304D028A18244CCF9")</f>
        <v>https://baanknet.com/view-property/266840/4205C0015C160563A79092D1F68E8966E5758CCB6293739304D028A18244CCF9</v>
      </c>
      <c r="I2739" t="str">
        <f>HYPERLINK("https://baanknet.com/view-property/266840/4205C0015C160563A79092D1F68E8966E5758CCB6293739304D028A18244CCF9", "Open")</f>
        <v>Open</v>
      </c>
      <c r="J2739" t="s">
        <v>3803</v>
      </c>
      <c r="L2739">
        <v>1067000</v>
      </c>
      <c r="M2739">
        <v>106700</v>
      </c>
    </row>
    <row r="2740" spans="1:13" x14ac:dyDescent="0.25">
      <c r="A2740" t="s">
        <v>9283</v>
      </c>
      <c r="B2740" t="s">
        <v>9284</v>
      </c>
      <c r="C2740" t="s">
        <v>589</v>
      </c>
      <c r="D2740" t="s">
        <v>584</v>
      </c>
      <c r="E2740" t="s">
        <v>623</v>
      </c>
      <c r="F2740" t="s">
        <v>624</v>
      </c>
      <c r="G2740" t="s">
        <v>9285</v>
      </c>
      <c r="H2740" t="str">
        <f>HYPERLINK("https://baanknet.com/view-property/183611/D341EF2CCF8963EC94AB98324E15EC217DC80CF1E16668DBD87B6517AE13AB66", "https://baanknet.com/view-property/183611/D341EF2CCF8963EC94AB98324E15EC217DC80CF1E16668DBD87B6517AE13AB66")</f>
        <v>https://baanknet.com/view-property/183611/D341EF2CCF8963EC94AB98324E15EC217DC80CF1E16668DBD87B6517AE13AB66</v>
      </c>
      <c r="I2740" t="str">
        <f>HYPERLINK("https://baanknet.com/view-property/183611/D341EF2CCF8963EC94AB98324E15EC217DC80CF1E16668DBD87B6517AE13AB66", "Open")</f>
        <v>Open</v>
      </c>
      <c r="J2740" t="s">
        <v>3803</v>
      </c>
      <c r="L2740">
        <v>1800000</v>
      </c>
      <c r="M2740">
        <v>180000</v>
      </c>
    </row>
    <row r="2741" spans="1:13" x14ac:dyDescent="0.25">
      <c r="A2741" t="s">
        <v>9286</v>
      </c>
      <c r="B2741" t="s">
        <v>9287</v>
      </c>
      <c r="C2741" t="s">
        <v>589</v>
      </c>
      <c r="D2741" t="s">
        <v>1246</v>
      </c>
      <c r="E2741" t="s">
        <v>623</v>
      </c>
      <c r="F2741" t="s">
        <v>624</v>
      </c>
      <c r="G2741" t="s">
        <v>9288</v>
      </c>
      <c r="H2741" t="str">
        <f>HYPERLINK("https://baanknet.com/view-property/276790/9B4DCAE46304CFEBCDC334F7B9835AAA6E08737ED00DB5E4D8AB852AF48A5C91", "https://baanknet.com/view-property/276790/9B4DCAE46304CFEBCDC334F7B9835AAA6E08737ED00DB5E4D8AB852AF48A5C91")</f>
        <v>https://baanknet.com/view-property/276790/9B4DCAE46304CFEBCDC334F7B9835AAA6E08737ED00DB5E4D8AB852AF48A5C91</v>
      </c>
      <c r="I2741" t="str">
        <f>HYPERLINK("https://baanknet.com/view-property/276790/9B4DCAE46304CFEBCDC334F7B9835AAA6E08737ED00DB5E4D8AB852AF48A5C91", "Open")</f>
        <v>Open</v>
      </c>
      <c r="J2741" t="s">
        <v>3803</v>
      </c>
      <c r="L2741">
        <v>4900000</v>
      </c>
      <c r="M2741">
        <v>490000</v>
      </c>
    </row>
    <row r="2742" spans="1:13" x14ac:dyDescent="0.25">
      <c r="A2742" t="s">
        <v>9289</v>
      </c>
      <c r="B2742" t="s">
        <v>9290</v>
      </c>
      <c r="C2742" t="s">
        <v>589</v>
      </c>
      <c r="D2742" t="s">
        <v>1246</v>
      </c>
      <c r="E2742" t="s">
        <v>623</v>
      </c>
      <c r="F2742" t="s">
        <v>624</v>
      </c>
      <c r="G2742" t="s">
        <v>9291</v>
      </c>
      <c r="H2742" t="str">
        <f>HYPERLINK("https://baanknet.com/view-property/254371/BE7E9549236E1C57A83AC00091140A3CC39E821FA813FF1CB50F22430AF780FB", "https://baanknet.com/view-property/254371/BE7E9549236E1C57A83AC00091140A3CC39E821FA813FF1CB50F22430AF780FB")</f>
        <v>https://baanknet.com/view-property/254371/BE7E9549236E1C57A83AC00091140A3CC39E821FA813FF1CB50F22430AF780FB</v>
      </c>
      <c r="I2742" t="str">
        <f>HYPERLINK("https://baanknet.com/view-property/254371/BE7E9549236E1C57A83AC00091140A3CC39E821FA813FF1CB50F22430AF780FB", "Open")</f>
        <v>Open</v>
      </c>
      <c r="J2742" t="s">
        <v>3803</v>
      </c>
      <c r="L2742">
        <v>4000000</v>
      </c>
      <c r="M2742">
        <v>400000</v>
      </c>
    </row>
    <row r="2743" spans="1:13" x14ac:dyDescent="0.25">
      <c r="A2743" t="s">
        <v>9292</v>
      </c>
      <c r="B2743" t="s">
        <v>9293</v>
      </c>
      <c r="C2743" t="s">
        <v>589</v>
      </c>
      <c r="D2743" t="s">
        <v>1246</v>
      </c>
      <c r="E2743" t="s">
        <v>623</v>
      </c>
      <c r="F2743" t="s">
        <v>624</v>
      </c>
      <c r="G2743" t="s">
        <v>9294</v>
      </c>
      <c r="H2743" t="str">
        <f>HYPERLINK("https://baanknet.com/view-property/254340/6DAB2CAFDDE6B27E6B3CB2BAC5D56B27E91E7575283E204D882C57F02C01E5E7", "https://baanknet.com/view-property/254340/6DAB2CAFDDE6B27E6B3CB2BAC5D56B27E91E7575283E204D882C57F02C01E5E7")</f>
        <v>https://baanknet.com/view-property/254340/6DAB2CAFDDE6B27E6B3CB2BAC5D56B27E91E7575283E204D882C57F02C01E5E7</v>
      </c>
      <c r="I2743" t="str">
        <f>HYPERLINK("https://baanknet.com/view-property/254340/6DAB2CAFDDE6B27E6B3CB2BAC5D56B27E91E7575283E204D882C57F02C01E5E7", "Open")</f>
        <v>Open</v>
      </c>
      <c r="J2743" t="s">
        <v>3803</v>
      </c>
      <c r="L2743">
        <v>4000000</v>
      </c>
      <c r="M2743">
        <v>400000</v>
      </c>
    </row>
    <row r="2744" spans="1:13" x14ac:dyDescent="0.25">
      <c r="A2744" t="s">
        <v>9295</v>
      </c>
      <c r="B2744" t="s">
        <v>9296</v>
      </c>
      <c r="C2744" t="s">
        <v>589</v>
      </c>
      <c r="D2744" t="s">
        <v>2425</v>
      </c>
      <c r="E2744" t="s">
        <v>623</v>
      </c>
      <c r="F2744" t="s">
        <v>624</v>
      </c>
      <c r="G2744" t="s">
        <v>9297</v>
      </c>
      <c r="H2744" t="str">
        <f>HYPERLINK("https://baanknet.com/view-property/262184/4F128D765ABC0CCAC1A7BFCE23351B5ECB1D19D8A35F7A0D91B4D66C89A14255", "https://baanknet.com/view-property/262184/4F128D765ABC0CCAC1A7BFCE23351B5ECB1D19D8A35F7A0D91B4D66C89A14255")</f>
        <v>https://baanknet.com/view-property/262184/4F128D765ABC0CCAC1A7BFCE23351B5ECB1D19D8A35F7A0D91B4D66C89A14255</v>
      </c>
      <c r="I2744" t="str">
        <f>HYPERLINK("https://baanknet.com/view-property/262184/4F128D765ABC0CCAC1A7BFCE23351B5ECB1D19D8A35F7A0D91B4D66C89A14255", "Open")</f>
        <v>Open</v>
      </c>
      <c r="J2744" t="s">
        <v>3803</v>
      </c>
      <c r="L2744">
        <v>4950000</v>
      </c>
      <c r="M2744">
        <v>495000</v>
      </c>
    </row>
    <row r="2745" spans="1:13" x14ac:dyDescent="0.25">
      <c r="A2745" t="s">
        <v>9298</v>
      </c>
      <c r="B2745" t="s">
        <v>9299</v>
      </c>
      <c r="C2745" t="s">
        <v>589</v>
      </c>
      <c r="D2745" t="s">
        <v>1246</v>
      </c>
      <c r="E2745" t="s">
        <v>623</v>
      </c>
      <c r="F2745" t="s">
        <v>624</v>
      </c>
      <c r="G2745" t="s">
        <v>9300</v>
      </c>
      <c r="H2745" t="str">
        <f>HYPERLINK("https://baanknet.com/view-property/263362/5DCF788F5F1E348662BEDA36A2227E929B34CD0549BA4B393997575A234903D7", "https://baanknet.com/view-property/263362/5DCF788F5F1E348662BEDA36A2227E929B34CD0549BA4B393997575A234903D7")</f>
        <v>https://baanknet.com/view-property/263362/5DCF788F5F1E348662BEDA36A2227E929B34CD0549BA4B393997575A234903D7</v>
      </c>
      <c r="I2745" t="str">
        <f>HYPERLINK("https://baanknet.com/view-property/263362/5DCF788F5F1E348662BEDA36A2227E929B34CD0549BA4B393997575A234903D7", "Open")</f>
        <v>Open</v>
      </c>
      <c r="J2745" t="s">
        <v>3803</v>
      </c>
      <c r="L2745">
        <v>3550000</v>
      </c>
      <c r="M2745">
        <v>355000</v>
      </c>
    </row>
    <row r="2746" spans="1:13" x14ac:dyDescent="0.25">
      <c r="A2746" t="s">
        <v>9301</v>
      </c>
      <c r="B2746" t="s">
        <v>9302</v>
      </c>
      <c r="C2746" t="s">
        <v>589</v>
      </c>
      <c r="D2746" t="s">
        <v>2124</v>
      </c>
      <c r="E2746" t="s">
        <v>623</v>
      </c>
      <c r="F2746" t="s">
        <v>624</v>
      </c>
      <c r="G2746" t="s">
        <v>9303</v>
      </c>
      <c r="H2746" t="str">
        <f>HYPERLINK("https://baanknet.com/view-property/15548/4F5D88075CB303D83E1E1F856CC5D4B94C085E9CA4F92A11C84F78BCAAF53941", "https://baanknet.com/view-property/15548/4F5D88075CB303D83E1E1F856CC5D4B94C085E9CA4F92A11C84F78BCAAF53941")</f>
        <v>https://baanknet.com/view-property/15548/4F5D88075CB303D83E1E1F856CC5D4B94C085E9CA4F92A11C84F78BCAAF53941</v>
      </c>
      <c r="I2746" t="str">
        <f>HYPERLINK("https://baanknet.com/view-property/15548/4F5D88075CB303D83E1E1F856CC5D4B94C085E9CA4F92A11C84F78BCAAF53941", "Open")</f>
        <v>Open</v>
      </c>
      <c r="J2746" t="s">
        <v>3803</v>
      </c>
      <c r="L2746">
        <v>1850000</v>
      </c>
      <c r="M2746">
        <v>185000</v>
      </c>
    </row>
    <row r="2747" spans="1:13" x14ac:dyDescent="0.25">
      <c r="A2747" t="s">
        <v>9304</v>
      </c>
      <c r="B2747" t="s">
        <v>9305</v>
      </c>
      <c r="C2747" t="s">
        <v>589</v>
      </c>
      <c r="D2747" t="s">
        <v>1246</v>
      </c>
      <c r="E2747" t="s">
        <v>623</v>
      </c>
      <c r="F2747" t="s">
        <v>624</v>
      </c>
      <c r="G2747" t="s">
        <v>9306</v>
      </c>
      <c r="H2747" t="str">
        <f>HYPERLINK("https://baanknet.com/view-property/263409/9EF68EB8D7C120B39F2FF0550C9F4E9D6E08B205112005E58F84F280B675F865", "https://baanknet.com/view-property/263409/9EF68EB8D7C120B39F2FF0550C9F4E9D6E08B205112005E58F84F280B675F865")</f>
        <v>https://baanknet.com/view-property/263409/9EF68EB8D7C120B39F2FF0550C9F4E9D6E08B205112005E58F84F280B675F865</v>
      </c>
      <c r="I2747" t="str">
        <f>HYPERLINK("https://baanknet.com/view-property/263409/9EF68EB8D7C120B39F2FF0550C9F4E9D6E08B205112005E58F84F280B675F865", "Open")</f>
        <v>Open</v>
      </c>
      <c r="J2747" t="s">
        <v>3803</v>
      </c>
      <c r="L2747">
        <v>13500000</v>
      </c>
      <c r="M2747">
        <v>1350000</v>
      </c>
    </row>
    <row r="2748" spans="1:13" x14ac:dyDescent="0.25">
      <c r="A2748" t="s">
        <v>9307</v>
      </c>
      <c r="B2748" t="s">
        <v>9308</v>
      </c>
      <c r="C2748" t="s">
        <v>589</v>
      </c>
      <c r="D2748" t="s">
        <v>1246</v>
      </c>
      <c r="E2748" t="s">
        <v>623</v>
      </c>
      <c r="F2748" t="s">
        <v>624</v>
      </c>
      <c r="G2748" t="s">
        <v>9309</v>
      </c>
      <c r="H2748" t="str">
        <f>HYPERLINK("https://baanknet.com/view-property/263444/471E121B9ED94552DF00A8292EEB70F5FCBAF434BB9282AB85726B1293D53757", "https://baanknet.com/view-property/263444/471E121B9ED94552DF00A8292EEB70F5FCBAF434BB9282AB85726B1293D53757")</f>
        <v>https://baanknet.com/view-property/263444/471E121B9ED94552DF00A8292EEB70F5FCBAF434BB9282AB85726B1293D53757</v>
      </c>
      <c r="I2748" t="str">
        <f>HYPERLINK("https://baanknet.com/view-property/263444/471E121B9ED94552DF00A8292EEB70F5FCBAF434BB9282AB85726B1293D53757", "Open")</f>
        <v>Open</v>
      </c>
      <c r="J2748" t="s">
        <v>3803</v>
      </c>
      <c r="L2748">
        <v>4600000</v>
      </c>
      <c r="M2748">
        <v>460000</v>
      </c>
    </row>
    <row r="2749" spans="1:13" x14ac:dyDescent="0.25">
      <c r="A2749" t="s">
        <v>9310</v>
      </c>
      <c r="B2749" t="s">
        <v>9311</v>
      </c>
      <c r="C2749" t="s">
        <v>589</v>
      </c>
      <c r="D2749" t="s">
        <v>282</v>
      </c>
      <c r="E2749" t="s">
        <v>623</v>
      </c>
      <c r="F2749" t="s">
        <v>624</v>
      </c>
      <c r="G2749" t="s">
        <v>9312</v>
      </c>
      <c r="H2749" t="str">
        <f>HYPERLINK("https://baanknet.com/view-property/74379/7501A2A47EFF2BB0EF2D2CA245DD706806D7411500EFD43F0D1E0F46641D2FA0", "https://baanknet.com/view-property/74379/7501A2A47EFF2BB0EF2D2CA245DD706806D7411500EFD43F0D1E0F46641D2FA0")</f>
        <v>https://baanknet.com/view-property/74379/7501A2A47EFF2BB0EF2D2CA245DD706806D7411500EFD43F0D1E0F46641D2FA0</v>
      </c>
      <c r="I2749" t="str">
        <f>HYPERLINK("https://baanknet.com/view-property/74379/7501A2A47EFF2BB0EF2D2CA245DD706806D7411500EFD43F0D1E0F46641D2FA0", "Open")</f>
        <v>Open</v>
      </c>
      <c r="J2749" t="s">
        <v>3803</v>
      </c>
      <c r="L2749">
        <v>844000</v>
      </c>
      <c r="M2749">
        <v>84400</v>
      </c>
    </row>
    <row r="2750" spans="1:13" x14ac:dyDescent="0.25">
      <c r="A2750" t="s">
        <v>9313</v>
      </c>
      <c r="B2750" t="s">
        <v>9314</v>
      </c>
      <c r="C2750" t="s">
        <v>589</v>
      </c>
      <c r="D2750" t="s">
        <v>1246</v>
      </c>
      <c r="E2750" t="s">
        <v>623</v>
      </c>
      <c r="F2750" t="s">
        <v>624</v>
      </c>
      <c r="G2750" t="s">
        <v>9315</v>
      </c>
      <c r="H2750" t="str">
        <f>HYPERLINK("https://baanknet.com/view-property/263459/84D9D9AF9B0540E0EB77BEE5BFEC7EBB16B5126B750B1985E534971F72D0005D", "https://baanknet.com/view-property/263459/84D9D9AF9B0540E0EB77BEE5BFEC7EBB16B5126B750B1985E534971F72D0005D")</f>
        <v>https://baanknet.com/view-property/263459/84D9D9AF9B0540E0EB77BEE5BFEC7EBB16B5126B750B1985E534971F72D0005D</v>
      </c>
      <c r="I2750" t="str">
        <f>HYPERLINK("https://baanknet.com/view-property/263459/84D9D9AF9B0540E0EB77BEE5BFEC7EBB16B5126B750B1985E534971F72D0005D", "Open")</f>
        <v>Open</v>
      </c>
      <c r="J2750" t="s">
        <v>3803</v>
      </c>
      <c r="L2750">
        <v>4450000</v>
      </c>
      <c r="M2750">
        <v>445000</v>
      </c>
    </row>
    <row r="2751" spans="1:13" x14ac:dyDescent="0.25">
      <c r="A2751" t="s">
        <v>9316</v>
      </c>
      <c r="B2751" t="s">
        <v>9317</v>
      </c>
      <c r="C2751" t="s">
        <v>589</v>
      </c>
      <c r="D2751" t="s">
        <v>4420</v>
      </c>
      <c r="E2751" t="s">
        <v>623</v>
      </c>
      <c r="F2751" t="s">
        <v>624</v>
      </c>
      <c r="G2751" t="s">
        <v>9318</v>
      </c>
      <c r="H2751" t="str">
        <f>HYPERLINK("https://baanknet.com/view-property/245051/BD1A650A13CFB69758963BCBA93CDE96338825BADF7B3B0107736244E309FD35", "https://baanknet.com/view-property/245051/BD1A650A13CFB69758963BCBA93CDE96338825BADF7B3B0107736244E309FD35")</f>
        <v>https://baanknet.com/view-property/245051/BD1A650A13CFB69758963BCBA93CDE96338825BADF7B3B0107736244E309FD35</v>
      </c>
      <c r="I2751" t="str">
        <f>HYPERLINK("https://baanknet.com/view-property/245051/BD1A650A13CFB69758963BCBA93CDE96338825BADF7B3B0107736244E309FD35", "Open")</f>
        <v>Open</v>
      </c>
      <c r="J2751" t="s">
        <v>3803</v>
      </c>
      <c r="L2751">
        <v>3600000</v>
      </c>
      <c r="M2751">
        <v>360000</v>
      </c>
    </row>
    <row r="2752" spans="1:13" x14ac:dyDescent="0.25">
      <c r="A2752" t="s">
        <v>9319</v>
      </c>
      <c r="B2752" t="s">
        <v>9320</v>
      </c>
      <c r="C2752" t="s">
        <v>589</v>
      </c>
      <c r="D2752" t="s">
        <v>9321</v>
      </c>
      <c r="E2752" t="s">
        <v>623</v>
      </c>
      <c r="F2752" t="s">
        <v>624</v>
      </c>
      <c r="G2752" t="s">
        <v>9322</v>
      </c>
      <c r="H2752" t="str">
        <f>HYPERLINK("https://baanknet.com/view-property/267201/F03F512D8ABD8E8FDF01A25C5986DC635F4A3405FD52520C02E7F38A8F1FC8AE", "https://baanknet.com/view-property/267201/F03F512D8ABD8E8FDF01A25C5986DC635F4A3405FD52520C02E7F38A8F1FC8AE")</f>
        <v>https://baanknet.com/view-property/267201/F03F512D8ABD8E8FDF01A25C5986DC635F4A3405FD52520C02E7F38A8F1FC8AE</v>
      </c>
      <c r="I2752" t="str">
        <f>HYPERLINK("https://baanknet.com/view-property/267201/F03F512D8ABD8E8FDF01A25C5986DC635F4A3405FD52520C02E7F38A8F1FC8AE", "Open")</f>
        <v>Open</v>
      </c>
      <c r="J2752" t="s">
        <v>3803</v>
      </c>
      <c r="L2752">
        <v>3170000</v>
      </c>
      <c r="M2752">
        <v>317000</v>
      </c>
    </row>
    <row r="2753" spans="1:13" x14ac:dyDescent="0.25">
      <c r="A2753" t="s">
        <v>9323</v>
      </c>
      <c r="B2753" t="s">
        <v>9324</v>
      </c>
      <c r="C2753" t="s">
        <v>589</v>
      </c>
      <c r="D2753" t="s">
        <v>9325</v>
      </c>
      <c r="E2753" t="s">
        <v>623</v>
      </c>
      <c r="F2753" t="s">
        <v>624</v>
      </c>
      <c r="G2753" t="s">
        <v>9326</v>
      </c>
      <c r="H2753" t="str">
        <f>HYPERLINK("https://baanknet.com/view-property/222930/54EC020CCE1F03AA478F43DCCDE5949315DE9C06864D56B444ED70C303CC58A3", "https://baanknet.com/view-property/222930/54EC020CCE1F03AA478F43DCCDE5949315DE9C06864D56B444ED70C303CC58A3")</f>
        <v>https://baanknet.com/view-property/222930/54EC020CCE1F03AA478F43DCCDE5949315DE9C06864D56B444ED70C303CC58A3</v>
      </c>
      <c r="I2753" t="str">
        <f>HYPERLINK("https://baanknet.com/view-property/222930/54EC020CCE1F03AA478F43DCCDE5949315DE9C06864D56B444ED70C303CC58A3", "Open")</f>
        <v>Open</v>
      </c>
      <c r="J2753" t="s">
        <v>3803</v>
      </c>
      <c r="L2753">
        <v>1885000</v>
      </c>
      <c r="M2753">
        <v>188500</v>
      </c>
    </row>
    <row r="2754" spans="1:13" x14ac:dyDescent="0.25">
      <c r="A2754" t="s">
        <v>9327</v>
      </c>
      <c r="B2754" t="s">
        <v>9328</v>
      </c>
      <c r="C2754" t="s">
        <v>589</v>
      </c>
      <c r="D2754" t="s">
        <v>282</v>
      </c>
      <c r="E2754" t="s">
        <v>623</v>
      </c>
      <c r="F2754" t="s">
        <v>624</v>
      </c>
      <c r="G2754" t="s">
        <v>9329</v>
      </c>
      <c r="H2754" t="str">
        <f>HYPERLINK("https://baanknet.com/view-property/284127/31A26841EA52D9AA92756B3C30B1820C21CA174E814BBF1357304C5B97584807", "https://baanknet.com/view-property/284127/31A26841EA52D9AA92756B3C30B1820C21CA174E814BBF1357304C5B97584807")</f>
        <v>https://baanknet.com/view-property/284127/31A26841EA52D9AA92756B3C30B1820C21CA174E814BBF1357304C5B97584807</v>
      </c>
      <c r="I2754" t="str">
        <f>HYPERLINK("https://baanknet.com/view-property/284127/31A26841EA52D9AA92756B3C30B1820C21CA174E814BBF1357304C5B97584807", "Open")</f>
        <v>Open</v>
      </c>
      <c r="J2754" t="s">
        <v>3803</v>
      </c>
      <c r="L2754">
        <v>1020000</v>
      </c>
      <c r="M2754">
        <v>102000</v>
      </c>
    </row>
    <row r="2755" spans="1:13" x14ac:dyDescent="0.25">
      <c r="A2755" t="s">
        <v>9330</v>
      </c>
      <c r="B2755" t="s">
        <v>9331</v>
      </c>
      <c r="C2755" t="s">
        <v>589</v>
      </c>
      <c r="D2755" t="s">
        <v>4420</v>
      </c>
      <c r="E2755" t="s">
        <v>623</v>
      </c>
      <c r="F2755" t="s">
        <v>624</v>
      </c>
      <c r="G2755" t="s">
        <v>9332</v>
      </c>
      <c r="H2755" t="str">
        <f>HYPERLINK("https://baanknet.com/view-property/245066/5E6C16D1C0BB53338A16C36BA3E52E558CD0AA4205DFA5A72A9F1031137EFDE8", "https://baanknet.com/view-property/245066/5E6C16D1C0BB53338A16C36BA3E52E558CD0AA4205DFA5A72A9F1031137EFDE8")</f>
        <v>https://baanknet.com/view-property/245066/5E6C16D1C0BB53338A16C36BA3E52E558CD0AA4205DFA5A72A9F1031137EFDE8</v>
      </c>
      <c r="I2755" t="str">
        <f>HYPERLINK("https://baanknet.com/view-property/245066/5E6C16D1C0BB53338A16C36BA3E52E558CD0AA4205DFA5A72A9F1031137EFDE8", "Open")</f>
        <v>Open</v>
      </c>
      <c r="J2755" t="s">
        <v>3803</v>
      </c>
      <c r="L2755">
        <v>3550000</v>
      </c>
      <c r="M2755">
        <v>355000</v>
      </c>
    </row>
    <row r="2756" spans="1:13" x14ac:dyDescent="0.25">
      <c r="A2756" t="s">
        <v>9333</v>
      </c>
      <c r="B2756" t="s">
        <v>9334</v>
      </c>
      <c r="C2756" t="s">
        <v>589</v>
      </c>
      <c r="D2756" t="s">
        <v>4430</v>
      </c>
      <c r="E2756" t="s">
        <v>623</v>
      </c>
      <c r="F2756" t="s">
        <v>624</v>
      </c>
      <c r="G2756" t="s">
        <v>9335</v>
      </c>
      <c r="H2756" t="str">
        <f>HYPERLINK("https://baanknet.com/view-property/254225/B2A8BAD09C8838CD31757D2CF7B8D01A722F588BBC96EE68563FA4346B155DC2", "https://baanknet.com/view-property/254225/B2A8BAD09C8838CD31757D2CF7B8D01A722F588BBC96EE68563FA4346B155DC2")</f>
        <v>https://baanknet.com/view-property/254225/B2A8BAD09C8838CD31757D2CF7B8D01A722F588BBC96EE68563FA4346B155DC2</v>
      </c>
      <c r="I2756" t="str">
        <f>HYPERLINK("https://baanknet.com/view-property/254225/B2A8BAD09C8838CD31757D2CF7B8D01A722F588BBC96EE68563FA4346B155DC2", "Open")</f>
        <v>Open</v>
      </c>
      <c r="J2756" t="s">
        <v>3803</v>
      </c>
      <c r="L2756">
        <v>4500000</v>
      </c>
      <c r="M2756">
        <v>450000</v>
      </c>
    </row>
    <row r="2757" spans="1:13" x14ac:dyDescent="0.25">
      <c r="A2757" t="s">
        <v>9336</v>
      </c>
      <c r="B2757" t="s">
        <v>9337</v>
      </c>
      <c r="C2757" t="s">
        <v>589</v>
      </c>
      <c r="D2757" t="s">
        <v>1246</v>
      </c>
      <c r="E2757" t="s">
        <v>623</v>
      </c>
      <c r="F2757" t="s">
        <v>624</v>
      </c>
      <c r="G2757" t="s">
        <v>9338</v>
      </c>
      <c r="H2757" t="str">
        <f>HYPERLINK("https://baanknet.com/view-property/233825/D31FDFC4B4F4006BAE8AEF5890BEC2E1DCA7DC1C215A56E2F6F8B1874B017017", "https://baanknet.com/view-property/233825/D31FDFC4B4F4006BAE8AEF5890BEC2E1DCA7DC1C215A56E2F6F8B1874B017017")</f>
        <v>https://baanknet.com/view-property/233825/D31FDFC4B4F4006BAE8AEF5890BEC2E1DCA7DC1C215A56E2F6F8B1874B017017</v>
      </c>
      <c r="I2757" t="str">
        <f>HYPERLINK("https://baanknet.com/view-property/233825/D31FDFC4B4F4006BAE8AEF5890BEC2E1DCA7DC1C215A56E2F6F8B1874B017017", "Open")</f>
        <v>Open</v>
      </c>
      <c r="J2757" t="s">
        <v>3803</v>
      </c>
      <c r="L2757">
        <v>3400000</v>
      </c>
      <c r="M2757">
        <v>340000</v>
      </c>
    </row>
    <row r="2758" spans="1:13" x14ac:dyDescent="0.25">
      <c r="A2758" t="s">
        <v>9339</v>
      </c>
      <c r="B2758" t="s">
        <v>9340</v>
      </c>
      <c r="C2758" t="s">
        <v>589</v>
      </c>
      <c r="D2758" t="s">
        <v>1246</v>
      </c>
      <c r="E2758" t="s">
        <v>623</v>
      </c>
      <c r="F2758" t="s">
        <v>624</v>
      </c>
      <c r="G2758" t="s">
        <v>9341</v>
      </c>
      <c r="H2758" t="str">
        <f>HYPERLINK("https://baanknet.com/view-property/233849/FB794D1978F6BA365E564283EFA90127936A576B23DA237B0D0420406EEB2FA5", "https://baanknet.com/view-property/233849/FB794D1978F6BA365E564283EFA90127936A576B23DA237B0D0420406EEB2FA5")</f>
        <v>https://baanknet.com/view-property/233849/FB794D1978F6BA365E564283EFA90127936A576B23DA237B0D0420406EEB2FA5</v>
      </c>
      <c r="I2758" t="str">
        <f>HYPERLINK("https://baanknet.com/view-property/233849/FB794D1978F6BA365E564283EFA90127936A576B23DA237B0D0420406EEB2FA5", "Open")</f>
        <v>Open</v>
      </c>
      <c r="J2758" t="s">
        <v>3803</v>
      </c>
      <c r="L2758">
        <v>1500000</v>
      </c>
      <c r="M2758">
        <v>150000</v>
      </c>
    </row>
    <row r="2759" spans="1:13" x14ac:dyDescent="0.25">
      <c r="A2759" t="s">
        <v>9342</v>
      </c>
      <c r="B2759" t="s">
        <v>9343</v>
      </c>
      <c r="C2759" t="s">
        <v>589</v>
      </c>
      <c r="D2759" t="s">
        <v>1310</v>
      </c>
      <c r="E2759" t="s">
        <v>623</v>
      </c>
      <c r="F2759" t="s">
        <v>624</v>
      </c>
      <c r="G2759" t="s">
        <v>9344</v>
      </c>
      <c r="H2759" t="str">
        <f>HYPERLINK("https://baanknet.com/view-property/286238/23B79F9EAEA7161F3712E9E2EB734DF2BC5F1FF8B0DE573D1F66971E49AE2E58", "https://baanknet.com/view-property/286238/23B79F9EAEA7161F3712E9E2EB734DF2BC5F1FF8B0DE573D1F66971E49AE2E58")</f>
        <v>https://baanknet.com/view-property/286238/23B79F9EAEA7161F3712E9E2EB734DF2BC5F1FF8B0DE573D1F66971E49AE2E58</v>
      </c>
      <c r="I2759" t="str">
        <f>HYPERLINK("https://baanknet.com/view-property/286238/23B79F9EAEA7161F3712E9E2EB734DF2BC5F1FF8B0DE573D1F66971E49AE2E58", "Open")</f>
        <v>Open</v>
      </c>
      <c r="J2759" t="s">
        <v>3803</v>
      </c>
      <c r="L2759">
        <v>54650000</v>
      </c>
      <c r="M2759">
        <v>5465000</v>
      </c>
    </row>
    <row r="2760" spans="1:13" x14ac:dyDescent="0.25">
      <c r="A2760" t="s">
        <v>9345</v>
      </c>
      <c r="B2760" t="s">
        <v>9346</v>
      </c>
      <c r="C2760" t="s">
        <v>589</v>
      </c>
      <c r="D2760" t="s">
        <v>4273</v>
      </c>
      <c r="E2760" t="s">
        <v>623</v>
      </c>
      <c r="F2760" t="s">
        <v>624</v>
      </c>
      <c r="G2760" t="s">
        <v>9347</v>
      </c>
      <c r="H2760" t="str">
        <f>HYPERLINK("https://baanknet.com/view-property/279122/1048BCE848F38041A6C035B915D8B59CC4DF83F30913FE4C0F517D01827A7628", "https://baanknet.com/view-property/279122/1048BCE848F38041A6C035B915D8B59CC4DF83F30913FE4C0F517D01827A7628")</f>
        <v>https://baanknet.com/view-property/279122/1048BCE848F38041A6C035B915D8B59CC4DF83F30913FE4C0F517D01827A7628</v>
      </c>
      <c r="I2760" t="str">
        <f>HYPERLINK("https://baanknet.com/view-property/279122/1048BCE848F38041A6C035B915D8B59CC4DF83F30913FE4C0F517D01827A7628", "Open")</f>
        <v>Open</v>
      </c>
      <c r="J2760" t="s">
        <v>3803</v>
      </c>
      <c r="L2760">
        <v>2720000</v>
      </c>
      <c r="M2760">
        <v>272000</v>
      </c>
    </row>
    <row r="2761" spans="1:13" x14ac:dyDescent="0.25">
      <c r="A2761" t="s">
        <v>9348</v>
      </c>
      <c r="B2761" t="s">
        <v>9349</v>
      </c>
      <c r="C2761" t="s">
        <v>589</v>
      </c>
      <c r="D2761" t="s">
        <v>9350</v>
      </c>
      <c r="E2761" t="s">
        <v>623</v>
      </c>
      <c r="F2761" t="s">
        <v>624</v>
      </c>
      <c r="G2761" t="s">
        <v>9351</v>
      </c>
      <c r="H2761" t="str">
        <f>HYPERLINK("https://baanknet.com/view-property/203334/CEB6417935C1CBE2508A639BFB45851AF04DEB99733161F7141F2ED80CE9151D", "https://baanknet.com/view-property/203334/CEB6417935C1CBE2508A639BFB45851AF04DEB99733161F7141F2ED80CE9151D")</f>
        <v>https://baanknet.com/view-property/203334/CEB6417935C1CBE2508A639BFB45851AF04DEB99733161F7141F2ED80CE9151D</v>
      </c>
      <c r="I2761" t="str">
        <f>HYPERLINK("https://baanknet.com/view-property/203334/CEB6417935C1CBE2508A639BFB45851AF04DEB99733161F7141F2ED80CE9151D", "Open")</f>
        <v>Open</v>
      </c>
      <c r="J2761" t="s">
        <v>3803</v>
      </c>
      <c r="L2761">
        <v>2890000</v>
      </c>
      <c r="M2761">
        <v>289000</v>
      </c>
    </row>
    <row r="2762" spans="1:13" x14ac:dyDescent="0.25">
      <c r="A2762" t="s">
        <v>9352</v>
      </c>
      <c r="B2762" t="s">
        <v>9353</v>
      </c>
      <c r="C2762" t="s">
        <v>589</v>
      </c>
      <c r="D2762" t="s">
        <v>1246</v>
      </c>
      <c r="E2762" t="s">
        <v>623</v>
      </c>
      <c r="F2762" t="s">
        <v>624</v>
      </c>
      <c r="G2762" t="s">
        <v>9354</v>
      </c>
      <c r="H2762" t="str">
        <f>HYPERLINK("https://baanknet.com/view-property/215897/03369B10C2C6AB8B29A1AC28394F0EE7F258E8C0810A0C8DD625071600511C06", "https://baanknet.com/view-property/215897/03369B10C2C6AB8B29A1AC28394F0EE7F258E8C0810A0C8DD625071600511C06")</f>
        <v>https://baanknet.com/view-property/215897/03369B10C2C6AB8B29A1AC28394F0EE7F258E8C0810A0C8DD625071600511C06</v>
      </c>
      <c r="I2762" t="str">
        <f>HYPERLINK("https://baanknet.com/view-property/215897/03369B10C2C6AB8B29A1AC28394F0EE7F258E8C0810A0C8DD625071600511C06", "Open")</f>
        <v>Open</v>
      </c>
      <c r="J2762" t="s">
        <v>3803</v>
      </c>
      <c r="L2762">
        <v>2500000</v>
      </c>
      <c r="M2762">
        <v>250000</v>
      </c>
    </row>
    <row r="2763" spans="1:13" x14ac:dyDescent="0.25">
      <c r="A2763" t="s">
        <v>9355</v>
      </c>
      <c r="B2763" t="s">
        <v>9356</v>
      </c>
      <c r="C2763" t="s">
        <v>589</v>
      </c>
      <c r="D2763" t="s">
        <v>5656</v>
      </c>
      <c r="E2763" t="s">
        <v>623</v>
      </c>
      <c r="F2763" t="s">
        <v>624</v>
      </c>
      <c r="G2763" t="s">
        <v>9357</v>
      </c>
      <c r="H2763" t="str">
        <f>HYPERLINK("https://baanknet.com/view-property/264916/BFDC46819ECE155F501E80690C338D88A072849C40C6EF81EBFA09017090286B", "https://baanknet.com/view-property/264916/BFDC46819ECE155F501E80690C338D88A072849C40C6EF81EBFA09017090286B")</f>
        <v>https://baanknet.com/view-property/264916/BFDC46819ECE155F501E80690C338D88A072849C40C6EF81EBFA09017090286B</v>
      </c>
      <c r="I2763" t="str">
        <f>HYPERLINK("https://baanknet.com/view-property/264916/BFDC46819ECE155F501E80690C338D88A072849C40C6EF81EBFA09017090286B", "Open")</f>
        <v>Open</v>
      </c>
      <c r="J2763" t="s">
        <v>3803</v>
      </c>
      <c r="L2763">
        <v>988964.5</v>
      </c>
      <c r="M2763">
        <v>98896.45</v>
      </c>
    </row>
    <row r="2764" spans="1:13" x14ac:dyDescent="0.25">
      <c r="A2764" t="s">
        <v>9358</v>
      </c>
      <c r="B2764" t="s">
        <v>9359</v>
      </c>
      <c r="C2764" t="s">
        <v>589</v>
      </c>
      <c r="D2764" t="s">
        <v>1246</v>
      </c>
      <c r="E2764" t="s">
        <v>623</v>
      </c>
      <c r="F2764" t="s">
        <v>624</v>
      </c>
      <c r="G2764" t="s">
        <v>9360</v>
      </c>
      <c r="H2764" t="str">
        <f>HYPERLINK("https://baanknet.com/view-property/201126/35DB524DAE8A9202E18A540931B81AA35F25CDB1E265E1877B024FCA2CB4BE65", "https://baanknet.com/view-property/201126/35DB524DAE8A9202E18A540931B81AA35F25CDB1E265E1877B024FCA2CB4BE65")</f>
        <v>https://baanknet.com/view-property/201126/35DB524DAE8A9202E18A540931B81AA35F25CDB1E265E1877B024FCA2CB4BE65</v>
      </c>
      <c r="I2764" t="str">
        <f>HYPERLINK("https://baanknet.com/view-property/201126/35DB524DAE8A9202E18A540931B81AA35F25CDB1E265E1877B024FCA2CB4BE65", "Open")</f>
        <v>Open</v>
      </c>
      <c r="J2764" t="s">
        <v>3803</v>
      </c>
      <c r="L2764">
        <v>4100000</v>
      </c>
      <c r="M2764">
        <v>410000</v>
      </c>
    </row>
    <row r="2765" spans="1:13" x14ac:dyDescent="0.25">
      <c r="A2765" t="s">
        <v>9361</v>
      </c>
      <c r="B2765" t="s">
        <v>9362</v>
      </c>
      <c r="C2765" t="s">
        <v>589</v>
      </c>
      <c r="D2765" t="s">
        <v>9363</v>
      </c>
      <c r="E2765" t="s">
        <v>623</v>
      </c>
      <c r="F2765" t="s">
        <v>624</v>
      </c>
      <c r="G2765" t="s">
        <v>9364</v>
      </c>
      <c r="H2765" t="str">
        <f>HYPERLINK("https://baanknet.com/view-property/184932/D4C5F87815D1210BA8A6C3805B9733CBAAD69609FE01FCF0571091700923E5F2", "https://baanknet.com/view-property/184932/D4C5F87815D1210BA8A6C3805B9733CBAAD69609FE01FCF0571091700923E5F2")</f>
        <v>https://baanknet.com/view-property/184932/D4C5F87815D1210BA8A6C3805B9733CBAAD69609FE01FCF0571091700923E5F2</v>
      </c>
      <c r="I2765" t="str">
        <f>HYPERLINK("https://baanknet.com/view-property/184932/D4C5F87815D1210BA8A6C3805B9733CBAAD69609FE01FCF0571091700923E5F2", "Open")</f>
        <v>Open</v>
      </c>
      <c r="J2765" t="s">
        <v>3803</v>
      </c>
      <c r="L2765">
        <v>36500000</v>
      </c>
      <c r="M2765">
        <v>3650000</v>
      </c>
    </row>
    <row r="2766" spans="1:13" x14ac:dyDescent="0.25">
      <c r="A2766" t="s">
        <v>9365</v>
      </c>
      <c r="B2766" t="s">
        <v>9366</v>
      </c>
      <c r="C2766" t="s">
        <v>589</v>
      </c>
      <c r="D2766" t="s">
        <v>9367</v>
      </c>
      <c r="E2766" t="s">
        <v>623</v>
      </c>
      <c r="F2766" t="s">
        <v>624</v>
      </c>
      <c r="G2766" t="s">
        <v>9368</v>
      </c>
      <c r="H2766" t="str">
        <f>HYPERLINK("https://baanknet.com/view-property/184518/288B501B9D82B875E6F0D80A42A9387422F5FBB31CF2CFA8D2E5225D25D27F36", "https://baanknet.com/view-property/184518/288B501B9D82B875E6F0D80A42A9387422F5FBB31CF2CFA8D2E5225D25D27F36")</f>
        <v>https://baanknet.com/view-property/184518/288B501B9D82B875E6F0D80A42A9387422F5FBB31CF2CFA8D2E5225D25D27F36</v>
      </c>
      <c r="I2766" t="str">
        <f>HYPERLINK("https://baanknet.com/view-property/184518/288B501B9D82B875E6F0D80A42A9387422F5FBB31CF2CFA8D2E5225D25D27F36", "Open")</f>
        <v>Open</v>
      </c>
      <c r="J2766" t="s">
        <v>3803</v>
      </c>
      <c r="L2766">
        <v>2100000</v>
      </c>
      <c r="M2766">
        <v>210000</v>
      </c>
    </row>
    <row r="2767" spans="1:13" x14ac:dyDescent="0.25">
      <c r="A2767" t="s">
        <v>9369</v>
      </c>
      <c r="B2767" t="s">
        <v>9370</v>
      </c>
      <c r="C2767" t="s">
        <v>589</v>
      </c>
      <c r="D2767" t="s">
        <v>282</v>
      </c>
      <c r="E2767" t="s">
        <v>623</v>
      </c>
      <c r="F2767" t="s">
        <v>624</v>
      </c>
      <c r="G2767" t="s">
        <v>9371</v>
      </c>
      <c r="H2767" t="str">
        <f>HYPERLINK("https://baanknet.com/view-property/250072/B3945883A4E803CE040029D6B2C6B588B5DFF7A462D97436E78446D2D97A05C4", "https://baanknet.com/view-property/250072/B3945883A4E803CE040029D6B2C6B588B5DFF7A462D97436E78446D2D97A05C4")</f>
        <v>https://baanknet.com/view-property/250072/B3945883A4E803CE040029D6B2C6B588B5DFF7A462D97436E78446D2D97A05C4</v>
      </c>
      <c r="I2767" t="str">
        <f>HYPERLINK("https://baanknet.com/view-property/250072/B3945883A4E803CE040029D6B2C6B588B5DFF7A462D97436E78446D2D97A05C4", "Open")</f>
        <v>Open</v>
      </c>
      <c r="J2767" t="s">
        <v>3803</v>
      </c>
      <c r="L2767">
        <v>1628000</v>
      </c>
      <c r="M2767">
        <v>162800</v>
      </c>
    </row>
    <row r="2768" spans="1:13" x14ac:dyDescent="0.25">
      <c r="A2768" t="s">
        <v>9372</v>
      </c>
      <c r="B2768" t="s">
        <v>9373</v>
      </c>
      <c r="C2768" t="s">
        <v>589</v>
      </c>
      <c r="D2768" t="s">
        <v>2163</v>
      </c>
      <c r="E2768" t="s">
        <v>623</v>
      </c>
      <c r="F2768" t="s">
        <v>624</v>
      </c>
      <c r="G2768" t="s">
        <v>9374</v>
      </c>
      <c r="H2768" t="str">
        <f>HYPERLINK("https://baanknet.com/view-property/217839/5379E42993F36CEE55C76CD6543F8EBC0A5274AE82061FC75D10CD7541837D88", "https://baanknet.com/view-property/217839/5379E42993F36CEE55C76CD6543F8EBC0A5274AE82061FC75D10CD7541837D88")</f>
        <v>https://baanknet.com/view-property/217839/5379E42993F36CEE55C76CD6543F8EBC0A5274AE82061FC75D10CD7541837D88</v>
      </c>
      <c r="I2768" t="str">
        <f>HYPERLINK("https://baanknet.com/view-property/217839/5379E42993F36CEE55C76CD6543F8EBC0A5274AE82061FC75D10CD7541837D88", "Open")</f>
        <v>Open</v>
      </c>
      <c r="J2768" t="s">
        <v>3803</v>
      </c>
      <c r="L2768">
        <v>8100000</v>
      </c>
      <c r="M2768">
        <v>810000</v>
      </c>
    </row>
    <row r="2769" spans="1:13" x14ac:dyDescent="0.25">
      <c r="A2769" t="s">
        <v>9375</v>
      </c>
      <c r="B2769" t="s">
        <v>9376</v>
      </c>
      <c r="C2769" t="s">
        <v>589</v>
      </c>
      <c r="D2769" t="s">
        <v>3994</v>
      </c>
      <c r="E2769" t="s">
        <v>623</v>
      </c>
      <c r="F2769" t="s">
        <v>624</v>
      </c>
      <c r="G2769" t="s">
        <v>9377</v>
      </c>
      <c r="H2769" t="str">
        <f>HYPERLINK("https://baanknet.com/view-property/220803/25AEA8CF0C7A685B06076133CE7125FA9D0800E71A47608D2E79953117777A14", "https://baanknet.com/view-property/220803/25AEA8CF0C7A685B06076133CE7125FA9D0800E71A47608D2E79953117777A14")</f>
        <v>https://baanknet.com/view-property/220803/25AEA8CF0C7A685B06076133CE7125FA9D0800E71A47608D2E79953117777A14</v>
      </c>
      <c r="I2769" t="str">
        <f>HYPERLINK("https://baanknet.com/view-property/220803/25AEA8CF0C7A685B06076133CE7125FA9D0800E71A47608D2E79953117777A14", "Open")</f>
        <v>Open</v>
      </c>
      <c r="J2769" t="s">
        <v>3803</v>
      </c>
      <c r="L2769">
        <v>2117000</v>
      </c>
      <c r="M2769">
        <v>211700</v>
      </c>
    </row>
    <row r="2770" spans="1:13" x14ac:dyDescent="0.25">
      <c r="A2770" t="s">
        <v>9378</v>
      </c>
      <c r="B2770" t="s">
        <v>9379</v>
      </c>
      <c r="C2770" t="s">
        <v>589</v>
      </c>
      <c r="D2770" t="s">
        <v>157</v>
      </c>
      <c r="E2770" t="s">
        <v>623</v>
      </c>
      <c r="F2770" t="s">
        <v>624</v>
      </c>
      <c r="G2770" t="s">
        <v>9380</v>
      </c>
      <c r="H2770" t="str">
        <f>HYPERLINK("https://baanknet.com/view-property/278525/4D7AF1F53AFD89C52D1065ABE0CADEAD4C95B9700BD4AD2910A7A56CDF365547", "https://baanknet.com/view-property/278525/4D7AF1F53AFD89C52D1065ABE0CADEAD4C95B9700BD4AD2910A7A56CDF365547")</f>
        <v>https://baanknet.com/view-property/278525/4D7AF1F53AFD89C52D1065ABE0CADEAD4C95B9700BD4AD2910A7A56CDF365547</v>
      </c>
      <c r="I2770" t="str">
        <f>HYPERLINK("https://baanknet.com/view-property/278525/4D7AF1F53AFD89C52D1065ABE0CADEAD4C95B9700BD4AD2910A7A56CDF365547", "Open")</f>
        <v>Open</v>
      </c>
      <c r="J2770" t="s">
        <v>3803</v>
      </c>
      <c r="L2770">
        <v>1735000</v>
      </c>
      <c r="M2770">
        <v>173500</v>
      </c>
    </row>
    <row r="2771" spans="1:13" x14ac:dyDescent="0.25">
      <c r="A2771" t="s">
        <v>9381</v>
      </c>
      <c r="B2771" t="s">
        <v>9382</v>
      </c>
      <c r="C2771" t="s">
        <v>589</v>
      </c>
      <c r="D2771" t="s">
        <v>9325</v>
      </c>
      <c r="E2771" t="s">
        <v>623</v>
      </c>
      <c r="F2771" t="s">
        <v>624</v>
      </c>
      <c r="G2771" t="s">
        <v>9383</v>
      </c>
      <c r="H2771" t="str">
        <f>HYPERLINK("https://baanknet.com/view-property/222220/24CB3AB37FC89723028BE0727835C7266536EC9EC10A5F0721EFCB7989A77293", "https://baanknet.com/view-property/222220/24CB3AB37FC89723028BE0727835C7266536EC9EC10A5F0721EFCB7989A77293")</f>
        <v>https://baanknet.com/view-property/222220/24CB3AB37FC89723028BE0727835C7266536EC9EC10A5F0721EFCB7989A77293</v>
      </c>
      <c r="I2771" t="str">
        <f>HYPERLINK("https://baanknet.com/view-property/222220/24CB3AB37FC89723028BE0727835C7266536EC9EC10A5F0721EFCB7989A77293", "Open")</f>
        <v>Open</v>
      </c>
      <c r="J2771" t="s">
        <v>3803</v>
      </c>
      <c r="L2771">
        <v>2264000</v>
      </c>
      <c r="M2771">
        <v>226400</v>
      </c>
    </row>
    <row r="2772" spans="1:13" x14ac:dyDescent="0.25">
      <c r="A2772" t="s">
        <v>9384</v>
      </c>
      <c r="B2772" t="s">
        <v>9385</v>
      </c>
      <c r="C2772" t="s">
        <v>589</v>
      </c>
      <c r="D2772" t="s">
        <v>2910</v>
      </c>
      <c r="E2772" t="s">
        <v>623</v>
      </c>
      <c r="F2772" t="s">
        <v>624</v>
      </c>
      <c r="G2772" t="s">
        <v>9386</v>
      </c>
      <c r="H2772" t="str">
        <f>HYPERLINK("https://baanknet.com/view-property/276518/A0FE1D51A00E5CBF64FA2D6E5C88A893E597D7D958AF28A476398EAAAA2FDAC1", "https://baanknet.com/view-property/276518/A0FE1D51A00E5CBF64FA2D6E5C88A893E597D7D958AF28A476398EAAAA2FDAC1")</f>
        <v>https://baanknet.com/view-property/276518/A0FE1D51A00E5CBF64FA2D6E5C88A893E597D7D958AF28A476398EAAAA2FDAC1</v>
      </c>
      <c r="I2772" t="str">
        <f>HYPERLINK("https://baanknet.com/view-property/276518/A0FE1D51A00E5CBF64FA2D6E5C88A893E597D7D958AF28A476398EAAAA2FDAC1", "Open")</f>
        <v>Open</v>
      </c>
      <c r="J2772" t="s">
        <v>3803</v>
      </c>
      <c r="L2772">
        <v>884000</v>
      </c>
      <c r="M2772">
        <v>88400</v>
      </c>
    </row>
    <row r="2773" spans="1:13" x14ac:dyDescent="0.25">
      <c r="A2773" t="s">
        <v>9387</v>
      </c>
      <c r="B2773" t="s">
        <v>9388</v>
      </c>
      <c r="C2773" t="s">
        <v>589</v>
      </c>
      <c r="D2773" t="s">
        <v>2234</v>
      </c>
      <c r="E2773" t="s">
        <v>623</v>
      </c>
      <c r="F2773" t="s">
        <v>624</v>
      </c>
      <c r="G2773" t="s">
        <v>9389</v>
      </c>
      <c r="H2773" t="str">
        <f>HYPERLINK("https://baanknet.com/view-property/281622/85F1700BF78E0AD6804CB2D1AB0BFA785CF215F385BD50755236A3D6A5057C01", "https://baanknet.com/view-property/281622/85F1700BF78E0AD6804CB2D1AB0BFA785CF215F385BD50755236A3D6A5057C01")</f>
        <v>https://baanknet.com/view-property/281622/85F1700BF78E0AD6804CB2D1AB0BFA785CF215F385BD50755236A3D6A5057C01</v>
      </c>
      <c r="I2773" t="str">
        <f>HYPERLINK("https://baanknet.com/view-property/281622/85F1700BF78E0AD6804CB2D1AB0BFA785CF215F385BD50755236A3D6A5057C01", "Open")</f>
        <v>Open</v>
      </c>
      <c r="J2773" t="s">
        <v>3803</v>
      </c>
      <c r="L2773">
        <v>3027000</v>
      </c>
      <c r="M2773">
        <v>302700</v>
      </c>
    </row>
    <row r="2774" spans="1:13" x14ac:dyDescent="0.25">
      <c r="A2774" t="s">
        <v>9390</v>
      </c>
      <c r="B2774" t="s">
        <v>9391</v>
      </c>
      <c r="C2774" t="s">
        <v>589</v>
      </c>
      <c r="D2774" t="s">
        <v>157</v>
      </c>
      <c r="E2774" t="s">
        <v>623</v>
      </c>
      <c r="F2774" t="s">
        <v>624</v>
      </c>
      <c r="G2774" t="s">
        <v>9392</v>
      </c>
      <c r="H2774" t="str">
        <f>HYPERLINK("https://baanknet.com/view-property/287548/F1A14B33C2ACAF053DBFC13A3AC1D5282AC8B1611E50B2886177D2B9B62A34D9", "https://baanknet.com/view-property/287548/F1A14B33C2ACAF053DBFC13A3AC1D5282AC8B1611E50B2886177D2B9B62A34D9")</f>
        <v>https://baanknet.com/view-property/287548/F1A14B33C2ACAF053DBFC13A3AC1D5282AC8B1611E50B2886177D2B9B62A34D9</v>
      </c>
      <c r="I2774" t="str">
        <f>HYPERLINK("https://baanknet.com/view-property/287548/F1A14B33C2ACAF053DBFC13A3AC1D5282AC8B1611E50B2886177D2B9B62A34D9", "Open")</f>
        <v>Open</v>
      </c>
      <c r="J2774" t="s">
        <v>3803</v>
      </c>
      <c r="L2774">
        <v>7235000</v>
      </c>
      <c r="M2774">
        <v>723500</v>
      </c>
    </row>
    <row r="2775" spans="1:13" x14ac:dyDescent="0.25">
      <c r="A2775" t="s">
        <v>9393</v>
      </c>
      <c r="B2775" t="s">
        <v>9394</v>
      </c>
      <c r="C2775" t="s">
        <v>589</v>
      </c>
      <c r="D2775" t="s">
        <v>1602</v>
      </c>
      <c r="E2775" t="s">
        <v>623</v>
      </c>
      <c r="F2775" t="s">
        <v>624</v>
      </c>
      <c r="G2775" t="s">
        <v>9395</v>
      </c>
      <c r="H2775" t="str">
        <f>HYPERLINK("https://baanknet.com/view-property/279878/DE19186AAB3FAA96FF2F2BA0F0D91E5C6EA06B952A16F45106521BA9A9D17D32", "https://baanknet.com/view-property/279878/DE19186AAB3FAA96FF2F2BA0F0D91E5C6EA06B952A16F45106521BA9A9D17D32")</f>
        <v>https://baanknet.com/view-property/279878/DE19186AAB3FAA96FF2F2BA0F0D91E5C6EA06B952A16F45106521BA9A9D17D32</v>
      </c>
      <c r="I2775" t="str">
        <f>HYPERLINK("https://baanknet.com/view-property/279878/DE19186AAB3FAA96FF2F2BA0F0D91E5C6EA06B952A16F45106521BA9A9D17D32", "Open")</f>
        <v>Open</v>
      </c>
      <c r="J2775" t="s">
        <v>3803</v>
      </c>
      <c r="L2775">
        <v>1539000</v>
      </c>
      <c r="M2775">
        <v>153900</v>
      </c>
    </row>
    <row r="2776" spans="1:13" x14ac:dyDescent="0.25">
      <c r="A2776" t="s">
        <v>9396</v>
      </c>
      <c r="B2776" t="s">
        <v>9397</v>
      </c>
      <c r="C2776" t="s">
        <v>589</v>
      </c>
      <c r="D2776" t="s">
        <v>1602</v>
      </c>
      <c r="E2776" t="s">
        <v>623</v>
      </c>
      <c r="F2776" t="s">
        <v>624</v>
      </c>
      <c r="G2776" t="s">
        <v>9398</v>
      </c>
      <c r="H2776" t="str">
        <f>HYPERLINK("https://baanknet.com/view-property/279957/6327FF4C872351C77D0596A63E09AA8C61EB4E1EFC772CCBEA5A5BF0E60E7C99", "https://baanknet.com/view-property/279957/6327FF4C872351C77D0596A63E09AA8C61EB4E1EFC772CCBEA5A5BF0E60E7C99")</f>
        <v>https://baanknet.com/view-property/279957/6327FF4C872351C77D0596A63E09AA8C61EB4E1EFC772CCBEA5A5BF0E60E7C99</v>
      </c>
      <c r="I2776" t="str">
        <f>HYPERLINK("https://baanknet.com/view-property/279957/6327FF4C872351C77D0596A63E09AA8C61EB4E1EFC772CCBEA5A5BF0E60E7C99", "Open")</f>
        <v>Open</v>
      </c>
      <c r="J2776" t="s">
        <v>3803</v>
      </c>
      <c r="L2776">
        <v>1398000</v>
      </c>
      <c r="M2776">
        <v>139800</v>
      </c>
    </row>
    <row r="2777" spans="1:13" x14ac:dyDescent="0.25">
      <c r="A2777" t="s">
        <v>9399</v>
      </c>
      <c r="B2777" t="s">
        <v>9400</v>
      </c>
      <c r="C2777" t="s">
        <v>589</v>
      </c>
      <c r="D2777" t="s">
        <v>9401</v>
      </c>
      <c r="E2777" t="s">
        <v>623</v>
      </c>
      <c r="F2777" t="s">
        <v>624</v>
      </c>
      <c r="G2777" t="s">
        <v>9402</v>
      </c>
      <c r="H2777" t="str">
        <f>HYPERLINK("https://baanknet.com/view-property/280610/EF33618DED015B077E5B026FC1E1901FF2A89700E93588D9BF32DC0391D5E9D1", "https://baanknet.com/view-property/280610/EF33618DED015B077E5B026FC1E1901FF2A89700E93588D9BF32DC0391D5E9D1")</f>
        <v>https://baanknet.com/view-property/280610/EF33618DED015B077E5B026FC1E1901FF2A89700E93588D9BF32DC0391D5E9D1</v>
      </c>
      <c r="I2777" t="str">
        <f>HYPERLINK("https://baanknet.com/view-property/280610/EF33618DED015B077E5B026FC1E1901FF2A89700E93588D9BF32DC0391D5E9D1", "Open")</f>
        <v>Open</v>
      </c>
      <c r="J2777" t="s">
        <v>3803</v>
      </c>
      <c r="L2777">
        <v>9618000</v>
      </c>
      <c r="M2777">
        <v>961800</v>
      </c>
    </row>
    <row r="2778" spans="1:13" x14ac:dyDescent="0.25">
      <c r="A2778" t="s">
        <v>9403</v>
      </c>
      <c r="B2778" t="s">
        <v>9404</v>
      </c>
      <c r="C2778" t="s">
        <v>589</v>
      </c>
      <c r="D2778" t="s">
        <v>9401</v>
      </c>
      <c r="E2778" t="s">
        <v>623</v>
      </c>
      <c r="F2778" t="s">
        <v>624</v>
      </c>
      <c r="G2778" t="s">
        <v>9405</v>
      </c>
      <c r="H2778" t="str">
        <f>HYPERLINK("https://baanknet.com/view-property/280615/3E44A58A792990BE7C5FB6EB19038D14D9E58FDF1B4C1BBCD1757BAB78964589", "https://baanknet.com/view-property/280615/3E44A58A792990BE7C5FB6EB19038D14D9E58FDF1B4C1BBCD1757BAB78964589")</f>
        <v>https://baanknet.com/view-property/280615/3E44A58A792990BE7C5FB6EB19038D14D9E58FDF1B4C1BBCD1757BAB78964589</v>
      </c>
      <c r="I2778" t="str">
        <f>HYPERLINK("https://baanknet.com/view-property/280615/3E44A58A792990BE7C5FB6EB19038D14D9E58FDF1B4C1BBCD1757BAB78964589", "Open")</f>
        <v>Open</v>
      </c>
      <c r="J2778" t="s">
        <v>3803</v>
      </c>
      <c r="L2778">
        <v>2568000</v>
      </c>
      <c r="M2778">
        <v>256800</v>
      </c>
    </row>
    <row r="2779" spans="1:13" x14ac:dyDescent="0.25">
      <c r="A2779" t="s">
        <v>9406</v>
      </c>
      <c r="B2779" t="s">
        <v>9407</v>
      </c>
      <c r="C2779" t="s">
        <v>589</v>
      </c>
      <c r="D2779" t="s">
        <v>3483</v>
      </c>
      <c r="E2779" t="s">
        <v>623</v>
      </c>
      <c r="F2779" t="s">
        <v>624</v>
      </c>
      <c r="G2779" t="s">
        <v>9408</v>
      </c>
      <c r="H2779" t="str">
        <f>HYPERLINK("https://baanknet.com/view-property/280618/B9C60B27A436B534A0B0264CEA6FD3A73847789F20832C72666842B56DC764A5", "https://baanknet.com/view-property/280618/B9C60B27A436B534A0B0264CEA6FD3A73847789F20832C72666842B56DC764A5")</f>
        <v>https://baanknet.com/view-property/280618/B9C60B27A436B534A0B0264CEA6FD3A73847789F20832C72666842B56DC764A5</v>
      </c>
      <c r="I2779" t="str">
        <f>HYPERLINK("https://baanknet.com/view-property/280618/B9C60B27A436B534A0B0264CEA6FD3A73847789F20832C72666842B56DC764A5", "Open")</f>
        <v>Open</v>
      </c>
      <c r="J2779" t="s">
        <v>3803</v>
      </c>
      <c r="L2779">
        <v>5497000</v>
      </c>
      <c r="M2779">
        <v>549700</v>
      </c>
    </row>
    <row r="2780" spans="1:13" x14ac:dyDescent="0.25">
      <c r="A2780" t="s">
        <v>9409</v>
      </c>
      <c r="B2780" t="s">
        <v>9410</v>
      </c>
      <c r="C2780" t="s">
        <v>589</v>
      </c>
      <c r="D2780" t="s">
        <v>9411</v>
      </c>
      <c r="E2780" t="s">
        <v>623</v>
      </c>
      <c r="F2780" t="s">
        <v>624</v>
      </c>
      <c r="G2780" t="s">
        <v>9412</v>
      </c>
      <c r="H2780" t="str">
        <f>HYPERLINK("https://baanknet.com/view-property/280627/4B9ADCA86B9996EE85C5BA24510430B578616AE7263F4363B35537F967F735A4", "https://baanknet.com/view-property/280627/4B9ADCA86B9996EE85C5BA24510430B578616AE7263F4363B35537F967F735A4")</f>
        <v>https://baanknet.com/view-property/280627/4B9ADCA86B9996EE85C5BA24510430B578616AE7263F4363B35537F967F735A4</v>
      </c>
      <c r="I2780" t="str">
        <f>HYPERLINK("https://baanknet.com/view-property/280627/4B9ADCA86B9996EE85C5BA24510430B578616AE7263F4363B35537F967F735A4", "Open")</f>
        <v>Open</v>
      </c>
      <c r="J2780" t="s">
        <v>3803</v>
      </c>
      <c r="L2780">
        <v>5760000</v>
      </c>
      <c r="M2780">
        <v>576000</v>
      </c>
    </row>
    <row r="2781" spans="1:13" x14ac:dyDescent="0.25">
      <c r="A2781" t="s">
        <v>9413</v>
      </c>
      <c r="B2781" t="s">
        <v>9414</v>
      </c>
      <c r="C2781" t="s">
        <v>589</v>
      </c>
      <c r="D2781" t="s">
        <v>9401</v>
      </c>
      <c r="E2781" t="s">
        <v>623</v>
      </c>
      <c r="F2781" t="s">
        <v>624</v>
      </c>
      <c r="G2781" t="s">
        <v>9415</v>
      </c>
      <c r="H2781" t="str">
        <f>HYPERLINK("https://baanknet.com/view-property/280651/5855D04B15CAD97468273282DA6F4BCDCA2A85F79A8DA4A5ACC120A4A4FBF333", "https://baanknet.com/view-property/280651/5855D04B15CAD97468273282DA6F4BCDCA2A85F79A8DA4A5ACC120A4A4FBF333")</f>
        <v>https://baanknet.com/view-property/280651/5855D04B15CAD97468273282DA6F4BCDCA2A85F79A8DA4A5ACC120A4A4FBF333</v>
      </c>
      <c r="I2781" t="str">
        <f>HYPERLINK("https://baanknet.com/view-property/280651/5855D04B15CAD97468273282DA6F4BCDCA2A85F79A8DA4A5ACC120A4A4FBF333", "Open")</f>
        <v>Open</v>
      </c>
      <c r="J2781" t="s">
        <v>3803</v>
      </c>
      <c r="L2781">
        <v>1269000</v>
      </c>
      <c r="M2781">
        <v>126900</v>
      </c>
    </row>
    <row r="2782" spans="1:13" x14ac:dyDescent="0.25">
      <c r="A2782" t="s">
        <v>9416</v>
      </c>
      <c r="B2782" t="s">
        <v>9417</v>
      </c>
      <c r="C2782" t="s">
        <v>589</v>
      </c>
      <c r="D2782" t="s">
        <v>572</v>
      </c>
      <c r="E2782" t="s">
        <v>623</v>
      </c>
      <c r="F2782" t="s">
        <v>624</v>
      </c>
      <c r="G2782" t="s">
        <v>9418</v>
      </c>
      <c r="H2782" t="str">
        <f>HYPERLINK("https://baanknet.com/view-property/286761/EFA289F217CE1C47422F57E86A008C71CDFB716E50CE6315A1FB82CCD8BD76B6", "https://baanknet.com/view-property/286761/EFA289F217CE1C47422F57E86A008C71CDFB716E50CE6315A1FB82CCD8BD76B6")</f>
        <v>https://baanknet.com/view-property/286761/EFA289F217CE1C47422F57E86A008C71CDFB716E50CE6315A1FB82CCD8BD76B6</v>
      </c>
      <c r="I2782" t="str">
        <f>HYPERLINK("https://baanknet.com/view-property/286761/EFA289F217CE1C47422F57E86A008C71CDFB716E50CE6315A1FB82CCD8BD76B6", "Open")</f>
        <v>Open</v>
      </c>
      <c r="J2782" t="s">
        <v>3803</v>
      </c>
      <c r="L2782">
        <v>978000</v>
      </c>
      <c r="M2782">
        <v>97800</v>
      </c>
    </row>
    <row r="2783" spans="1:13" x14ac:dyDescent="0.25">
      <c r="A2783" t="s">
        <v>9419</v>
      </c>
      <c r="B2783" t="s">
        <v>9420</v>
      </c>
      <c r="C2783" t="s">
        <v>589</v>
      </c>
      <c r="D2783" t="s">
        <v>737</v>
      </c>
      <c r="E2783" t="s">
        <v>623</v>
      </c>
      <c r="F2783" t="s">
        <v>624</v>
      </c>
      <c r="G2783" t="s">
        <v>9421</v>
      </c>
      <c r="H2783" t="str">
        <f>HYPERLINK("https://baanknet.com/view-property/286742/8BA26368F770562B1E6E3A95EA16A9BDDE2D3E0BA5FBCDDC5C8FE1725903A02A", "https://baanknet.com/view-property/286742/8BA26368F770562B1E6E3A95EA16A9BDDE2D3E0BA5FBCDDC5C8FE1725903A02A")</f>
        <v>https://baanknet.com/view-property/286742/8BA26368F770562B1E6E3A95EA16A9BDDE2D3E0BA5FBCDDC5C8FE1725903A02A</v>
      </c>
      <c r="I2783" t="str">
        <f>HYPERLINK("https://baanknet.com/view-property/286742/8BA26368F770562B1E6E3A95EA16A9BDDE2D3E0BA5FBCDDC5C8FE1725903A02A", "Open")</f>
        <v>Open</v>
      </c>
      <c r="J2783" t="s">
        <v>3803</v>
      </c>
      <c r="L2783">
        <v>575000</v>
      </c>
      <c r="M2783">
        <v>57500</v>
      </c>
    </row>
    <row r="2784" spans="1:13" x14ac:dyDescent="0.25">
      <c r="A2784" t="s">
        <v>9422</v>
      </c>
      <c r="B2784" t="s">
        <v>9423</v>
      </c>
      <c r="C2784" t="s">
        <v>589</v>
      </c>
      <c r="D2784" t="s">
        <v>572</v>
      </c>
      <c r="E2784" t="s">
        <v>623</v>
      </c>
      <c r="F2784" t="s">
        <v>624</v>
      </c>
      <c r="G2784" t="s">
        <v>9424</v>
      </c>
      <c r="H2784" t="str">
        <f>HYPERLINK("https://baanknet.com/view-property/286750/04076AD0345D71AC6975DE9DFDF26AF272EC6DCFCE8D212248522DCDE9B048DC", "https://baanknet.com/view-property/286750/04076AD0345D71AC6975DE9DFDF26AF272EC6DCFCE8D212248522DCDE9B048DC")</f>
        <v>https://baanknet.com/view-property/286750/04076AD0345D71AC6975DE9DFDF26AF272EC6DCFCE8D212248522DCDE9B048DC</v>
      </c>
      <c r="I2784" t="str">
        <f>HYPERLINK("https://baanknet.com/view-property/286750/04076AD0345D71AC6975DE9DFDF26AF272EC6DCFCE8D212248522DCDE9B048DC", "Open")</f>
        <v>Open</v>
      </c>
      <c r="J2784" t="s">
        <v>3803</v>
      </c>
      <c r="L2784">
        <v>1190000</v>
      </c>
      <c r="M2784">
        <v>119000</v>
      </c>
    </row>
    <row r="2785" spans="1:13" x14ac:dyDescent="0.25">
      <c r="A2785" t="s">
        <v>9425</v>
      </c>
      <c r="B2785" t="s">
        <v>9426</v>
      </c>
      <c r="C2785" t="s">
        <v>589</v>
      </c>
      <c r="D2785" t="s">
        <v>553</v>
      </c>
      <c r="E2785" t="s">
        <v>623</v>
      </c>
      <c r="F2785" t="s">
        <v>624</v>
      </c>
      <c r="G2785" t="s">
        <v>9427</v>
      </c>
      <c r="H2785" t="str">
        <f>HYPERLINK("https://baanknet.com/view-property/222334/DD1406A477F4419037D6E2A7AD7BCDF2401DB3376475D646519D74F00E4331A3", "https://baanknet.com/view-property/222334/DD1406A477F4419037D6E2A7AD7BCDF2401DB3376475D646519D74F00E4331A3")</f>
        <v>https://baanknet.com/view-property/222334/DD1406A477F4419037D6E2A7AD7BCDF2401DB3376475D646519D74F00E4331A3</v>
      </c>
      <c r="I2785" t="str">
        <f>HYPERLINK("https://baanknet.com/view-property/222334/DD1406A477F4419037D6E2A7AD7BCDF2401DB3376475D646519D74F00E4331A3", "Open")</f>
        <v>Open</v>
      </c>
      <c r="J2785" t="s">
        <v>3803</v>
      </c>
      <c r="L2785">
        <v>1726000</v>
      </c>
      <c r="M2785">
        <v>172600</v>
      </c>
    </row>
    <row r="2786" spans="1:13" x14ac:dyDescent="0.25">
      <c r="A2786" t="s">
        <v>9428</v>
      </c>
      <c r="B2786" t="s">
        <v>9429</v>
      </c>
      <c r="C2786" t="s">
        <v>589</v>
      </c>
      <c r="D2786" t="s">
        <v>733</v>
      </c>
      <c r="E2786" t="s">
        <v>623</v>
      </c>
      <c r="F2786" t="s">
        <v>624</v>
      </c>
      <c r="G2786" t="s">
        <v>9430</v>
      </c>
      <c r="H2786" t="str">
        <f>HYPERLINK("https://baanknet.com/view-property/286650/A1EF60565EE790C34213D4371A4A2BBF68A8BE5B48551B155C9164754AE07AC0", "https://baanknet.com/view-property/286650/A1EF60565EE790C34213D4371A4A2BBF68A8BE5B48551B155C9164754AE07AC0")</f>
        <v>https://baanknet.com/view-property/286650/A1EF60565EE790C34213D4371A4A2BBF68A8BE5B48551B155C9164754AE07AC0</v>
      </c>
      <c r="I2786" t="str">
        <f>HYPERLINK("https://baanknet.com/view-property/286650/A1EF60565EE790C34213D4371A4A2BBF68A8BE5B48551B155C9164754AE07AC0", "Open")</f>
        <v>Open</v>
      </c>
      <c r="J2786" t="s">
        <v>3803</v>
      </c>
      <c r="L2786">
        <v>913000</v>
      </c>
      <c r="M2786">
        <v>91300</v>
      </c>
    </row>
    <row r="2787" spans="1:13" x14ac:dyDescent="0.25">
      <c r="A2787" t="s">
        <v>9431</v>
      </c>
      <c r="B2787" t="s">
        <v>9432</v>
      </c>
      <c r="C2787" t="s">
        <v>589</v>
      </c>
      <c r="D2787" t="s">
        <v>553</v>
      </c>
      <c r="E2787" t="s">
        <v>623</v>
      </c>
      <c r="F2787" t="s">
        <v>624</v>
      </c>
      <c r="G2787" t="s">
        <v>9433</v>
      </c>
      <c r="H2787" t="str">
        <f>HYPERLINK("https://baanknet.com/view-property/249382/8E55EB80FA4819F988F1A3A3DD0120C69B48F8CB4813528BCFFD27A72C33FA85", "https://baanknet.com/view-property/249382/8E55EB80FA4819F988F1A3A3DD0120C69B48F8CB4813528BCFFD27A72C33FA85")</f>
        <v>https://baanknet.com/view-property/249382/8E55EB80FA4819F988F1A3A3DD0120C69B48F8CB4813528BCFFD27A72C33FA85</v>
      </c>
      <c r="I2787" t="str">
        <f>HYPERLINK("https://baanknet.com/view-property/249382/8E55EB80FA4819F988F1A3A3DD0120C69B48F8CB4813528BCFFD27A72C33FA85", "Open")</f>
        <v>Open</v>
      </c>
      <c r="J2787" t="s">
        <v>3803</v>
      </c>
      <c r="L2787">
        <v>1745000</v>
      </c>
      <c r="M2787">
        <v>174500</v>
      </c>
    </row>
    <row r="2788" spans="1:13" x14ac:dyDescent="0.25">
      <c r="A2788" t="s">
        <v>9434</v>
      </c>
      <c r="B2788" t="s">
        <v>9435</v>
      </c>
      <c r="C2788" t="s">
        <v>589</v>
      </c>
      <c r="D2788" t="s">
        <v>518</v>
      </c>
      <c r="E2788" t="s">
        <v>623</v>
      </c>
      <c r="F2788" t="s">
        <v>624</v>
      </c>
      <c r="G2788" t="s">
        <v>9436</v>
      </c>
      <c r="H2788" t="str">
        <f>HYPERLINK("https://baanknet.com/view-property/222219/9C1DA88B86283DEE160A5FF6AEB166AF5D86E65883DE8365E98AD80EA7B0AC29", "https://baanknet.com/view-property/222219/9C1DA88B86283DEE160A5FF6AEB166AF5D86E65883DE8365E98AD80EA7B0AC29")</f>
        <v>https://baanknet.com/view-property/222219/9C1DA88B86283DEE160A5FF6AEB166AF5D86E65883DE8365E98AD80EA7B0AC29</v>
      </c>
      <c r="I2788" t="str">
        <f>HYPERLINK("https://baanknet.com/view-property/222219/9C1DA88B86283DEE160A5FF6AEB166AF5D86E65883DE8365E98AD80EA7B0AC29", "Open")</f>
        <v>Open</v>
      </c>
      <c r="J2788" t="s">
        <v>3803</v>
      </c>
      <c r="L2788">
        <v>1403000</v>
      </c>
      <c r="M2788">
        <v>140300</v>
      </c>
    </row>
    <row r="2789" spans="1:13" x14ac:dyDescent="0.25">
      <c r="A2789" t="s">
        <v>9437</v>
      </c>
      <c r="B2789" t="s">
        <v>9438</v>
      </c>
      <c r="C2789" t="s">
        <v>589</v>
      </c>
      <c r="D2789" t="s">
        <v>553</v>
      </c>
      <c r="E2789" t="s">
        <v>623</v>
      </c>
      <c r="F2789" t="s">
        <v>624</v>
      </c>
      <c r="G2789" t="s">
        <v>9439</v>
      </c>
      <c r="H2789" t="str">
        <f>HYPERLINK("https://baanknet.com/view-property/222578/8C543F4E399F7F57A2BD94166926E4DE4802E319FFF235C8370E443C814A70B6", "https://baanknet.com/view-property/222578/8C543F4E399F7F57A2BD94166926E4DE4802E319FFF235C8370E443C814A70B6")</f>
        <v>https://baanknet.com/view-property/222578/8C543F4E399F7F57A2BD94166926E4DE4802E319FFF235C8370E443C814A70B6</v>
      </c>
      <c r="I2789" t="str">
        <f>HYPERLINK("https://baanknet.com/view-property/222578/8C543F4E399F7F57A2BD94166926E4DE4802E319FFF235C8370E443C814A70B6", "Open")</f>
        <v>Open</v>
      </c>
      <c r="J2789" t="s">
        <v>3803</v>
      </c>
      <c r="L2789">
        <v>1726000</v>
      </c>
      <c r="M2789">
        <v>172600</v>
      </c>
    </row>
    <row r="2790" spans="1:13" x14ac:dyDescent="0.25">
      <c r="A2790" t="s">
        <v>9440</v>
      </c>
      <c r="B2790" t="s">
        <v>9441</v>
      </c>
      <c r="C2790" t="s">
        <v>589</v>
      </c>
      <c r="D2790" t="s">
        <v>9442</v>
      </c>
      <c r="E2790" t="s">
        <v>623</v>
      </c>
      <c r="F2790" t="s">
        <v>624</v>
      </c>
      <c r="G2790" t="s">
        <v>9443</v>
      </c>
      <c r="H2790" t="str">
        <f>HYPERLINK("https://baanknet.com/view-property/206039/18245E3D09A191E9D6A8F1285820A4678F5E16FC4328E35E4D69BED3B8FDCF3A", "https://baanknet.com/view-property/206039/18245E3D09A191E9D6A8F1285820A4678F5E16FC4328E35E4D69BED3B8FDCF3A")</f>
        <v>https://baanknet.com/view-property/206039/18245E3D09A191E9D6A8F1285820A4678F5E16FC4328E35E4D69BED3B8FDCF3A</v>
      </c>
      <c r="I2790" t="str">
        <f>HYPERLINK("https://baanknet.com/view-property/206039/18245E3D09A191E9D6A8F1285820A4678F5E16FC4328E35E4D69BED3B8FDCF3A", "Open")</f>
        <v>Open</v>
      </c>
      <c r="J2790" t="s">
        <v>3803</v>
      </c>
      <c r="L2790">
        <v>1496000</v>
      </c>
      <c r="M2790">
        <v>149600</v>
      </c>
    </row>
    <row r="2791" spans="1:13" x14ac:dyDescent="0.25">
      <c r="A2791" t="s">
        <v>9444</v>
      </c>
      <c r="B2791" t="s">
        <v>9445</v>
      </c>
      <c r="C2791" t="s">
        <v>589</v>
      </c>
      <c r="D2791" t="s">
        <v>9446</v>
      </c>
      <c r="E2791" t="s">
        <v>623</v>
      </c>
      <c r="F2791" t="s">
        <v>624</v>
      </c>
      <c r="G2791" t="s">
        <v>9447</v>
      </c>
      <c r="H2791" t="str">
        <f>HYPERLINK("https://baanknet.com/view-property/186936/87154967AB65A3A68B69994FC604C46B41317815E03E5FB2FACFB77B9DE85C51", "https://baanknet.com/view-property/186936/87154967AB65A3A68B69994FC604C46B41317815E03E5FB2FACFB77B9DE85C51")</f>
        <v>https://baanknet.com/view-property/186936/87154967AB65A3A68B69994FC604C46B41317815E03E5FB2FACFB77B9DE85C51</v>
      </c>
      <c r="I2791" t="str">
        <f>HYPERLINK("https://baanknet.com/view-property/186936/87154967AB65A3A68B69994FC604C46B41317815E03E5FB2FACFB77B9DE85C51", "Open")</f>
        <v>Open</v>
      </c>
      <c r="J2791" t="s">
        <v>3803</v>
      </c>
      <c r="L2791">
        <v>3092000</v>
      </c>
      <c r="M2791">
        <v>309200</v>
      </c>
    </row>
    <row r="2792" spans="1:13" x14ac:dyDescent="0.25">
      <c r="A2792" t="s">
        <v>9448</v>
      </c>
      <c r="B2792" t="s">
        <v>9449</v>
      </c>
      <c r="C2792" t="s">
        <v>589</v>
      </c>
      <c r="D2792" t="s">
        <v>706</v>
      </c>
      <c r="E2792" t="s">
        <v>623</v>
      </c>
      <c r="F2792" t="s">
        <v>624</v>
      </c>
      <c r="G2792" t="s">
        <v>9450</v>
      </c>
      <c r="H2792" t="str">
        <f>HYPERLINK("https://baanknet.com/view-property/241780/62E8F2C4C4D28E06668D8A5DC186B0316C46D0E76933639904BA386C92A6B5F7", "https://baanknet.com/view-property/241780/62E8F2C4C4D28E06668D8A5DC186B0316C46D0E76933639904BA386C92A6B5F7")</f>
        <v>https://baanknet.com/view-property/241780/62E8F2C4C4D28E06668D8A5DC186B0316C46D0E76933639904BA386C92A6B5F7</v>
      </c>
      <c r="I2792" t="str">
        <f>HYPERLINK("https://baanknet.com/view-property/241780/62E8F2C4C4D28E06668D8A5DC186B0316C46D0E76933639904BA386C92A6B5F7", "Open")</f>
        <v>Open</v>
      </c>
      <c r="J2792" t="s">
        <v>3803</v>
      </c>
      <c r="L2792">
        <v>1928500</v>
      </c>
      <c r="M2792">
        <v>192850</v>
      </c>
    </row>
    <row r="2793" spans="1:13" x14ac:dyDescent="0.25">
      <c r="A2793" t="s">
        <v>9451</v>
      </c>
      <c r="B2793" t="s">
        <v>9452</v>
      </c>
      <c r="C2793" t="s">
        <v>589</v>
      </c>
      <c r="D2793" t="s">
        <v>8087</v>
      </c>
      <c r="E2793" t="s">
        <v>623</v>
      </c>
      <c r="F2793" t="s">
        <v>624</v>
      </c>
      <c r="G2793" t="s">
        <v>9453</v>
      </c>
      <c r="H2793" t="str">
        <f>HYPERLINK("https://baanknet.com/view-property/262471/742175F61FD9445482070C77DF7572362AED7B55F2D32799BE6BF15C788A173E", "https://baanknet.com/view-property/262471/742175F61FD9445482070C77DF7572362AED7B55F2D32799BE6BF15C788A173E")</f>
        <v>https://baanknet.com/view-property/262471/742175F61FD9445482070C77DF7572362AED7B55F2D32799BE6BF15C788A173E</v>
      </c>
      <c r="I2793" t="str">
        <f>HYPERLINK("https://baanknet.com/view-property/262471/742175F61FD9445482070C77DF7572362AED7B55F2D32799BE6BF15C788A173E", "Open")</f>
        <v>Open</v>
      </c>
      <c r="J2793" t="s">
        <v>3803</v>
      </c>
      <c r="L2793">
        <v>1680000</v>
      </c>
      <c r="M2793">
        <v>168000</v>
      </c>
    </row>
    <row r="2794" spans="1:13" x14ac:dyDescent="0.25">
      <c r="A2794" t="s">
        <v>9454</v>
      </c>
      <c r="B2794" t="s">
        <v>9455</v>
      </c>
      <c r="C2794" t="s">
        <v>589</v>
      </c>
      <c r="D2794" t="s">
        <v>2163</v>
      </c>
      <c r="E2794" t="s">
        <v>623</v>
      </c>
      <c r="F2794" t="s">
        <v>624</v>
      </c>
      <c r="G2794" t="s">
        <v>9456</v>
      </c>
      <c r="H2794" t="str">
        <f>HYPERLINK("https://baanknet.com/view-property/269714/5F0EFF1E5ABC159B38CB46A843F5FF7401CDDD470386E224FC46CC27C95150A6", "https://baanknet.com/view-property/269714/5F0EFF1E5ABC159B38CB46A843F5FF7401CDDD470386E224FC46CC27C95150A6")</f>
        <v>https://baanknet.com/view-property/269714/5F0EFF1E5ABC159B38CB46A843F5FF7401CDDD470386E224FC46CC27C95150A6</v>
      </c>
      <c r="I2794" t="str">
        <f>HYPERLINK("https://baanknet.com/view-property/269714/5F0EFF1E5ABC159B38CB46A843F5FF7401CDDD470386E224FC46CC27C95150A6", "Open")</f>
        <v>Open</v>
      </c>
      <c r="J2794" t="s">
        <v>3803</v>
      </c>
      <c r="L2794">
        <v>4471000</v>
      </c>
      <c r="M2794">
        <v>447100</v>
      </c>
    </row>
    <row r="2795" spans="1:13" x14ac:dyDescent="0.25">
      <c r="A2795" t="s">
        <v>9457</v>
      </c>
      <c r="B2795" t="s">
        <v>9458</v>
      </c>
      <c r="C2795" t="s">
        <v>589</v>
      </c>
      <c r="D2795" t="s">
        <v>1300</v>
      </c>
      <c r="E2795" t="s">
        <v>623</v>
      </c>
      <c r="F2795" t="s">
        <v>624</v>
      </c>
      <c r="G2795" t="s">
        <v>9459</v>
      </c>
      <c r="H2795" t="str">
        <f>HYPERLINK("https://baanknet.com/view-property/280714/E38D3DE378BFFCD9C8EFC74C1E2BE98F58540F726E1EA068EC78B34E943D5F8C", "https://baanknet.com/view-property/280714/E38D3DE378BFFCD9C8EFC74C1E2BE98F58540F726E1EA068EC78B34E943D5F8C")</f>
        <v>https://baanknet.com/view-property/280714/E38D3DE378BFFCD9C8EFC74C1E2BE98F58540F726E1EA068EC78B34E943D5F8C</v>
      </c>
      <c r="I2795" t="str">
        <f>HYPERLINK("https://baanknet.com/view-property/280714/E38D3DE378BFFCD9C8EFC74C1E2BE98F58540F726E1EA068EC78B34E943D5F8C", "Open")</f>
        <v>Open</v>
      </c>
      <c r="J2795" t="s">
        <v>3803</v>
      </c>
      <c r="L2795">
        <v>3658000</v>
      </c>
      <c r="M2795">
        <v>365800</v>
      </c>
    </row>
    <row r="2796" spans="1:13" x14ac:dyDescent="0.25">
      <c r="A2796" t="s">
        <v>9460</v>
      </c>
      <c r="B2796" t="s">
        <v>9461</v>
      </c>
      <c r="C2796" t="s">
        <v>589</v>
      </c>
      <c r="D2796" t="s">
        <v>2163</v>
      </c>
      <c r="E2796" t="s">
        <v>623</v>
      </c>
      <c r="F2796" t="s">
        <v>624</v>
      </c>
      <c r="G2796" t="s">
        <v>9462</v>
      </c>
      <c r="H2796" t="str">
        <f>HYPERLINK("https://baanknet.com/view-property/262491/C125500180E403FE089D3C27EE959EDFEDB9CD73D6073DC36D2022112CC82310", "https://baanknet.com/view-property/262491/C125500180E403FE089D3C27EE959EDFEDB9CD73D6073DC36D2022112CC82310")</f>
        <v>https://baanknet.com/view-property/262491/C125500180E403FE089D3C27EE959EDFEDB9CD73D6073DC36D2022112CC82310</v>
      </c>
      <c r="I2796" t="str">
        <f>HYPERLINK("https://baanknet.com/view-property/262491/C125500180E403FE089D3C27EE959EDFEDB9CD73D6073DC36D2022112CC82310", "Open")</f>
        <v>Open</v>
      </c>
      <c r="J2796" t="s">
        <v>3803</v>
      </c>
      <c r="L2796">
        <v>9929000</v>
      </c>
      <c r="M2796">
        <v>992900</v>
      </c>
    </row>
    <row r="2797" spans="1:13" x14ac:dyDescent="0.25">
      <c r="A2797" t="s">
        <v>9463</v>
      </c>
      <c r="B2797" t="s">
        <v>9464</v>
      </c>
      <c r="C2797" t="s">
        <v>589</v>
      </c>
      <c r="D2797" t="s">
        <v>9465</v>
      </c>
      <c r="E2797" t="s">
        <v>623</v>
      </c>
      <c r="F2797" t="s">
        <v>624</v>
      </c>
      <c r="G2797" t="s">
        <v>9466</v>
      </c>
      <c r="H2797" t="str">
        <f>HYPERLINK("https://baanknet.com/view-property/284385/6C1496F1B1DAAE52BB70A542AC9B188CE6DF243BCCFDF68AAF6C6A50F0DA94EE", "https://baanknet.com/view-property/284385/6C1496F1B1DAAE52BB70A542AC9B188CE6DF243BCCFDF68AAF6C6A50F0DA94EE")</f>
        <v>https://baanknet.com/view-property/284385/6C1496F1B1DAAE52BB70A542AC9B188CE6DF243BCCFDF68AAF6C6A50F0DA94EE</v>
      </c>
      <c r="I2797" t="str">
        <f>HYPERLINK("https://baanknet.com/view-property/284385/6C1496F1B1DAAE52BB70A542AC9B188CE6DF243BCCFDF68AAF6C6A50F0DA94EE", "Open")</f>
        <v>Open</v>
      </c>
      <c r="J2797" t="s">
        <v>3803</v>
      </c>
      <c r="L2797">
        <v>1162000</v>
      </c>
      <c r="M2797">
        <v>116200</v>
      </c>
    </row>
    <row r="2798" spans="1:13" x14ac:dyDescent="0.25">
      <c r="A2798" t="s">
        <v>9467</v>
      </c>
      <c r="B2798" t="s">
        <v>9468</v>
      </c>
      <c r="C2798" t="s">
        <v>589</v>
      </c>
      <c r="D2798" t="s">
        <v>5206</v>
      </c>
      <c r="E2798" t="s">
        <v>623</v>
      </c>
      <c r="F2798" t="s">
        <v>624</v>
      </c>
      <c r="G2798" t="s">
        <v>9469</v>
      </c>
      <c r="H2798" t="str">
        <f>HYPERLINK("https://baanknet.com/view-property/271648/29D2A1BCC44BD425DB444EA960EA56D63D27E10FFDA2B462A826BBC521D90DFF", "https://baanknet.com/view-property/271648/29D2A1BCC44BD425DB444EA960EA56D63D27E10FFDA2B462A826BBC521D90DFF")</f>
        <v>https://baanknet.com/view-property/271648/29D2A1BCC44BD425DB444EA960EA56D63D27E10FFDA2B462A826BBC521D90DFF</v>
      </c>
      <c r="I2798" t="str">
        <f>HYPERLINK("https://baanknet.com/view-property/271648/29D2A1BCC44BD425DB444EA960EA56D63D27E10FFDA2B462A826BBC521D90DFF", "Open")</f>
        <v>Open</v>
      </c>
      <c r="J2798" t="s">
        <v>3803</v>
      </c>
      <c r="L2798">
        <v>3060000</v>
      </c>
      <c r="M2798">
        <v>306000</v>
      </c>
    </row>
    <row r="2799" spans="1:13" x14ac:dyDescent="0.25">
      <c r="A2799" t="s">
        <v>9470</v>
      </c>
      <c r="B2799" t="s">
        <v>9471</v>
      </c>
      <c r="C2799" t="s">
        <v>589</v>
      </c>
      <c r="D2799" t="s">
        <v>6245</v>
      </c>
      <c r="E2799" t="s">
        <v>623</v>
      </c>
      <c r="F2799" t="s">
        <v>624</v>
      </c>
      <c r="G2799" t="s">
        <v>9472</v>
      </c>
      <c r="H2799" t="str">
        <f>HYPERLINK("https://baanknet.com/view-property/217291/852D7919860E7CF7E00B890D2E2FBF2F90589BD45C26F0C23F291E72780CE835", "https://baanknet.com/view-property/217291/852D7919860E7CF7E00B890D2E2FBF2F90589BD45C26F0C23F291E72780CE835")</f>
        <v>https://baanknet.com/view-property/217291/852D7919860E7CF7E00B890D2E2FBF2F90589BD45C26F0C23F291E72780CE835</v>
      </c>
      <c r="I2799" t="str">
        <f>HYPERLINK("https://baanknet.com/view-property/217291/852D7919860E7CF7E00B890D2E2FBF2F90589BD45C26F0C23F291E72780CE835", "Open")</f>
        <v>Open</v>
      </c>
      <c r="J2799" t="s">
        <v>3803</v>
      </c>
      <c r="L2799">
        <v>990000</v>
      </c>
      <c r="M2799">
        <v>99000</v>
      </c>
    </row>
    <row r="2800" spans="1:13" x14ac:dyDescent="0.25">
      <c r="A2800" t="s">
        <v>9473</v>
      </c>
      <c r="B2800" t="s">
        <v>9474</v>
      </c>
      <c r="C2800" t="s">
        <v>589</v>
      </c>
      <c r="D2800" t="s">
        <v>6034</v>
      </c>
      <c r="E2800" t="s">
        <v>623</v>
      </c>
      <c r="F2800" t="s">
        <v>624</v>
      </c>
      <c r="G2800" t="s">
        <v>9475</v>
      </c>
      <c r="H2800" t="str">
        <f>HYPERLINK("https://baanknet.com/view-property/283981/AE481D5BA56F50ACF0765F909E085CEB1B3D6B3329625339778DD0E3D3E538AD", "https://baanknet.com/view-property/283981/AE481D5BA56F50ACF0765F909E085CEB1B3D6B3329625339778DD0E3D3E538AD")</f>
        <v>https://baanknet.com/view-property/283981/AE481D5BA56F50ACF0765F909E085CEB1B3D6B3329625339778DD0E3D3E538AD</v>
      </c>
      <c r="I2800" t="str">
        <f>HYPERLINK("https://baanknet.com/view-property/283981/AE481D5BA56F50ACF0765F909E085CEB1B3D6B3329625339778DD0E3D3E538AD", "Open")</f>
        <v>Open</v>
      </c>
      <c r="J2800" t="s">
        <v>3803</v>
      </c>
      <c r="L2800">
        <v>2660000</v>
      </c>
      <c r="M2800">
        <v>266000</v>
      </c>
    </row>
    <row r="2801" spans="1:13" x14ac:dyDescent="0.25">
      <c r="A2801" t="s">
        <v>9476</v>
      </c>
      <c r="B2801" t="s">
        <v>9477</v>
      </c>
      <c r="C2801" t="s">
        <v>589</v>
      </c>
      <c r="D2801" t="s">
        <v>9478</v>
      </c>
      <c r="E2801" t="s">
        <v>623</v>
      </c>
      <c r="F2801" t="s">
        <v>624</v>
      </c>
      <c r="G2801" t="s">
        <v>9479</v>
      </c>
      <c r="H2801" t="str">
        <f>HYPERLINK("https://baanknet.com/view-property/264007/4F85D4DD7910C6C7D4F443B91B3FA96BD5BAFB616226E3E1D1EDAD77EF4C1288", "https://baanknet.com/view-property/264007/4F85D4DD7910C6C7D4F443B91B3FA96BD5BAFB616226E3E1D1EDAD77EF4C1288")</f>
        <v>https://baanknet.com/view-property/264007/4F85D4DD7910C6C7D4F443B91B3FA96BD5BAFB616226E3E1D1EDAD77EF4C1288</v>
      </c>
      <c r="I2801" t="str">
        <f>HYPERLINK("https://baanknet.com/view-property/264007/4F85D4DD7910C6C7D4F443B91B3FA96BD5BAFB616226E3E1D1EDAD77EF4C1288", "Open")</f>
        <v>Open</v>
      </c>
      <c r="J2801" t="s">
        <v>3803</v>
      </c>
      <c r="L2801">
        <v>3392000</v>
      </c>
      <c r="M2801">
        <v>339200</v>
      </c>
    </row>
    <row r="2802" spans="1:13" x14ac:dyDescent="0.25">
      <c r="A2802" t="s">
        <v>9480</v>
      </c>
      <c r="B2802" t="s">
        <v>9481</v>
      </c>
      <c r="C2802" t="s">
        <v>589</v>
      </c>
      <c r="D2802" t="s">
        <v>6034</v>
      </c>
      <c r="E2802" t="s">
        <v>623</v>
      </c>
      <c r="F2802" t="s">
        <v>624</v>
      </c>
      <c r="G2802" t="s">
        <v>9482</v>
      </c>
      <c r="H2802" t="str">
        <f>HYPERLINK("https://baanknet.com/view-property/224080/C72E9C588C3AC2952D56270589C76BD207F0C4FA2F89DAE6D96D34EF8F0CE19F", "https://baanknet.com/view-property/224080/C72E9C588C3AC2952D56270589C76BD207F0C4FA2F89DAE6D96D34EF8F0CE19F")</f>
        <v>https://baanknet.com/view-property/224080/C72E9C588C3AC2952D56270589C76BD207F0C4FA2F89DAE6D96D34EF8F0CE19F</v>
      </c>
      <c r="I2802" t="str">
        <f>HYPERLINK("https://baanknet.com/view-property/224080/C72E9C588C3AC2952D56270589C76BD207F0C4FA2F89DAE6D96D34EF8F0CE19F", "Open")</f>
        <v>Open</v>
      </c>
      <c r="J2802" t="s">
        <v>3803</v>
      </c>
      <c r="L2802">
        <v>2350000</v>
      </c>
      <c r="M2802">
        <v>235000</v>
      </c>
    </row>
    <row r="2803" spans="1:13" x14ac:dyDescent="0.25">
      <c r="A2803" t="s">
        <v>9483</v>
      </c>
      <c r="B2803" t="s">
        <v>9484</v>
      </c>
      <c r="C2803" t="s">
        <v>589</v>
      </c>
      <c r="D2803" t="s">
        <v>1169</v>
      </c>
      <c r="E2803" t="s">
        <v>623</v>
      </c>
      <c r="F2803" t="s">
        <v>624</v>
      </c>
      <c r="G2803" t="s">
        <v>9485</v>
      </c>
      <c r="H2803" t="str">
        <f>HYPERLINK("https://baanknet.com/view-property/271794/6EFE57F0228D4D5F866792F59725546465792C1E2277E425D94A65EE6FA1DBE2", "https://baanknet.com/view-property/271794/6EFE57F0228D4D5F866792F59725546465792C1E2277E425D94A65EE6FA1DBE2")</f>
        <v>https://baanknet.com/view-property/271794/6EFE57F0228D4D5F866792F59725546465792C1E2277E425D94A65EE6FA1DBE2</v>
      </c>
      <c r="I2803" t="str">
        <f>HYPERLINK("https://baanknet.com/view-property/271794/6EFE57F0228D4D5F866792F59725546465792C1E2277E425D94A65EE6FA1DBE2", "Open")</f>
        <v>Open</v>
      </c>
      <c r="J2803" t="s">
        <v>3803</v>
      </c>
      <c r="L2803">
        <v>7050000</v>
      </c>
      <c r="M2803">
        <v>705000</v>
      </c>
    </row>
    <row r="2804" spans="1:13" x14ac:dyDescent="0.25">
      <c r="A2804" t="s">
        <v>9486</v>
      </c>
      <c r="B2804" t="s">
        <v>9487</v>
      </c>
      <c r="C2804" t="s">
        <v>589</v>
      </c>
      <c r="D2804" t="s">
        <v>9488</v>
      </c>
      <c r="E2804" t="s">
        <v>623</v>
      </c>
      <c r="F2804" t="s">
        <v>624</v>
      </c>
      <c r="G2804" t="s">
        <v>9489</v>
      </c>
      <c r="H2804" t="str">
        <f>HYPERLINK("https://baanknet.com/view-property/250927/E8FD29EF4CCC3CD334C6D29E3C80E748CEAD605232FC139F9AF7AAC32BB6FECB", "https://baanknet.com/view-property/250927/E8FD29EF4CCC3CD334C6D29E3C80E748CEAD605232FC139F9AF7AAC32BB6FECB")</f>
        <v>https://baanknet.com/view-property/250927/E8FD29EF4CCC3CD334C6D29E3C80E748CEAD605232FC139F9AF7AAC32BB6FECB</v>
      </c>
      <c r="I2804" t="str">
        <f>HYPERLINK("https://baanknet.com/view-property/250927/E8FD29EF4CCC3CD334C6D29E3C80E748CEAD605232FC139F9AF7AAC32BB6FECB", "Open")</f>
        <v>Open</v>
      </c>
      <c r="J2804" t="s">
        <v>3803</v>
      </c>
      <c r="L2804">
        <v>2894000</v>
      </c>
      <c r="M2804">
        <v>289400</v>
      </c>
    </row>
    <row r="2805" spans="1:13" x14ac:dyDescent="0.25">
      <c r="A2805" t="s">
        <v>9490</v>
      </c>
      <c r="B2805" t="s">
        <v>9491</v>
      </c>
      <c r="C2805" t="s">
        <v>589</v>
      </c>
      <c r="D2805" t="s">
        <v>853</v>
      </c>
      <c r="E2805" t="s">
        <v>623</v>
      </c>
      <c r="F2805" t="s">
        <v>624</v>
      </c>
      <c r="G2805" t="s">
        <v>9492</v>
      </c>
      <c r="H2805" t="str">
        <f>HYPERLINK("https://baanknet.com/view-property/267364/8E45DF29B80791DB8B6F8C523F332EC7AAB694F442573A8CBB32635E0E34C66A", "https://baanknet.com/view-property/267364/8E45DF29B80791DB8B6F8C523F332EC7AAB694F442573A8CBB32635E0E34C66A")</f>
        <v>https://baanknet.com/view-property/267364/8E45DF29B80791DB8B6F8C523F332EC7AAB694F442573A8CBB32635E0E34C66A</v>
      </c>
      <c r="I2805" t="str">
        <f>HYPERLINK("https://baanknet.com/view-property/267364/8E45DF29B80791DB8B6F8C523F332EC7AAB694F442573A8CBB32635E0E34C66A", "Open")</f>
        <v>Open</v>
      </c>
      <c r="J2805" t="s">
        <v>3803</v>
      </c>
      <c r="L2805">
        <v>2260000</v>
      </c>
      <c r="M2805">
        <v>226000</v>
      </c>
    </row>
    <row r="2806" spans="1:13" x14ac:dyDescent="0.25">
      <c r="A2806" t="s">
        <v>9493</v>
      </c>
      <c r="B2806" t="s">
        <v>9494</v>
      </c>
      <c r="C2806" t="s">
        <v>589</v>
      </c>
      <c r="D2806" t="s">
        <v>9495</v>
      </c>
      <c r="E2806" t="s">
        <v>623</v>
      </c>
      <c r="F2806" t="s">
        <v>624</v>
      </c>
      <c r="G2806" t="s">
        <v>9496</v>
      </c>
      <c r="H2806" t="str">
        <f>HYPERLINK("https://baanknet.com/view-property/124855/886E15C26685E9E94956E791B0D4263F8A58AEF64505FBD9A9BA0C81FB5EF135", "https://baanknet.com/view-property/124855/886E15C26685E9E94956E791B0D4263F8A58AEF64505FBD9A9BA0C81FB5EF135")</f>
        <v>https://baanknet.com/view-property/124855/886E15C26685E9E94956E791B0D4263F8A58AEF64505FBD9A9BA0C81FB5EF135</v>
      </c>
      <c r="I2806" t="str">
        <f>HYPERLINK("https://baanknet.com/view-property/124855/886E15C26685E9E94956E791B0D4263F8A58AEF64505FBD9A9BA0C81FB5EF135", "Open")</f>
        <v>Open</v>
      </c>
      <c r="J2806" t="s">
        <v>3803</v>
      </c>
      <c r="L2806">
        <v>147000</v>
      </c>
      <c r="M2806">
        <v>14700</v>
      </c>
    </row>
    <row r="2807" spans="1:13" x14ac:dyDescent="0.25">
      <c r="A2807" t="s">
        <v>9497</v>
      </c>
      <c r="B2807" t="s">
        <v>9498</v>
      </c>
      <c r="C2807" t="s">
        <v>589</v>
      </c>
      <c r="D2807" t="s">
        <v>853</v>
      </c>
      <c r="E2807" t="s">
        <v>623</v>
      </c>
      <c r="F2807" t="s">
        <v>624</v>
      </c>
      <c r="G2807" t="s">
        <v>9499</v>
      </c>
      <c r="H2807" t="str">
        <f>HYPERLINK("https://baanknet.com/view-property/200980/B834D29E27EF01D67701DE68864E84E3A49D8AEB36700B48FA8F5FC9CEDECEF1", "https://baanknet.com/view-property/200980/B834D29E27EF01D67701DE68864E84E3A49D8AEB36700B48FA8F5FC9CEDECEF1")</f>
        <v>https://baanknet.com/view-property/200980/B834D29E27EF01D67701DE68864E84E3A49D8AEB36700B48FA8F5FC9CEDECEF1</v>
      </c>
      <c r="I2807" t="str">
        <f>HYPERLINK("https://baanknet.com/view-property/200980/B834D29E27EF01D67701DE68864E84E3A49D8AEB36700B48FA8F5FC9CEDECEF1", "Open")</f>
        <v>Open</v>
      </c>
      <c r="J2807" t="s">
        <v>3803</v>
      </c>
      <c r="L2807">
        <v>1450000</v>
      </c>
      <c r="M2807">
        <v>145000</v>
      </c>
    </row>
    <row r="2808" spans="1:13" x14ac:dyDescent="0.25">
      <c r="A2808" t="s">
        <v>9500</v>
      </c>
      <c r="B2808" t="s">
        <v>9501</v>
      </c>
      <c r="C2808" t="s">
        <v>589</v>
      </c>
      <c r="D2808" t="s">
        <v>6245</v>
      </c>
      <c r="E2808" t="s">
        <v>623</v>
      </c>
      <c r="F2808" t="s">
        <v>624</v>
      </c>
      <c r="G2808" t="s">
        <v>9502</v>
      </c>
      <c r="H2808" t="str">
        <f>HYPERLINK("https://baanknet.com/view-property/257976/573DE1A3FEC7909744D5427118EE9BA30358F3E0FCF443736F25143D4EFB33BC", "https://baanknet.com/view-property/257976/573DE1A3FEC7909744D5427118EE9BA30358F3E0FCF443736F25143D4EFB33BC")</f>
        <v>https://baanknet.com/view-property/257976/573DE1A3FEC7909744D5427118EE9BA30358F3E0FCF443736F25143D4EFB33BC</v>
      </c>
      <c r="I2808" t="str">
        <f>HYPERLINK("https://baanknet.com/view-property/257976/573DE1A3FEC7909744D5427118EE9BA30358F3E0FCF443736F25143D4EFB33BC", "Open")</f>
        <v>Open</v>
      </c>
      <c r="J2808" t="s">
        <v>3803</v>
      </c>
      <c r="L2808">
        <v>4700000</v>
      </c>
      <c r="M2808">
        <v>470000</v>
      </c>
    </row>
    <row r="2809" spans="1:13" x14ac:dyDescent="0.25">
      <c r="A2809" t="s">
        <v>9503</v>
      </c>
      <c r="B2809" t="s">
        <v>9504</v>
      </c>
      <c r="C2809" t="s">
        <v>589</v>
      </c>
      <c r="D2809" t="s">
        <v>853</v>
      </c>
      <c r="E2809" t="s">
        <v>623</v>
      </c>
      <c r="F2809" t="s">
        <v>624</v>
      </c>
      <c r="G2809" t="s">
        <v>9505</v>
      </c>
      <c r="H2809" t="str">
        <f>HYPERLINK("https://baanknet.com/view-property/257797/B68C526ACAAFB72BB46AF9A3703C3D08327E43D555B7B81CE2234D9EC09C3C3A", "https://baanknet.com/view-property/257797/B68C526ACAAFB72BB46AF9A3703C3D08327E43D555B7B81CE2234D9EC09C3C3A")</f>
        <v>https://baanknet.com/view-property/257797/B68C526ACAAFB72BB46AF9A3703C3D08327E43D555B7B81CE2234D9EC09C3C3A</v>
      </c>
      <c r="I2809" t="str">
        <f>HYPERLINK("https://baanknet.com/view-property/257797/B68C526ACAAFB72BB46AF9A3703C3D08327E43D555B7B81CE2234D9EC09C3C3A", "Open")</f>
        <v>Open</v>
      </c>
      <c r="J2809" t="s">
        <v>3803</v>
      </c>
      <c r="L2809">
        <v>1460000</v>
      </c>
      <c r="M2809">
        <v>146000</v>
      </c>
    </row>
    <row r="2810" spans="1:13" x14ac:dyDescent="0.25">
      <c r="A2810" t="s">
        <v>9506</v>
      </c>
      <c r="B2810" t="s">
        <v>9507</v>
      </c>
      <c r="C2810" t="s">
        <v>589</v>
      </c>
      <c r="D2810" t="s">
        <v>2506</v>
      </c>
      <c r="E2810" t="s">
        <v>623</v>
      </c>
      <c r="F2810" t="s">
        <v>624</v>
      </c>
      <c r="G2810" t="s">
        <v>9508</v>
      </c>
      <c r="H2810" t="str">
        <f>HYPERLINK("https://baanknet.com/view-property/89265/0F1A3B0A64B228526A8B578CD51BD740B4BC0C6818A96ABF80CF4A92D19588E5", "https://baanknet.com/view-property/89265/0F1A3B0A64B228526A8B578CD51BD740B4BC0C6818A96ABF80CF4A92D19588E5")</f>
        <v>https://baanknet.com/view-property/89265/0F1A3B0A64B228526A8B578CD51BD740B4BC0C6818A96ABF80CF4A92D19588E5</v>
      </c>
      <c r="I2810" t="str">
        <f>HYPERLINK("https://baanknet.com/view-property/89265/0F1A3B0A64B228526A8B578CD51BD740B4BC0C6818A96ABF80CF4A92D19588E5", "Open")</f>
        <v>Open</v>
      </c>
      <c r="J2810" t="s">
        <v>3803</v>
      </c>
      <c r="L2810">
        <v>1215000</v>
      </c>
      <c r="M2810">
        <v>121500</v>
      </c>
    </row>
    <row r="2811" spans="1:13" x14ac:dyDescent="0.25">
      <c r="A2811" t="s">
        <v>9509</v>
      </c>
      <c r="B2811" t="s">
        <v>9510</v>
      </c>
      <c r="C2811" t="s">
        <v>589</v>
      </c>
      <c r="D2811" t="s">
        <v>157</v>
      </c>
      <c r="E2811" t="s">
        <v>623</v>
      </c>
      <c r="F2811" t="s">
        <v>624</v>
      </c>
      <c r="G2811" t="s">
        <v>9511</v>
      </c>
      <c r="H2811" t="str">
        <f>HYPERLINK("https://baanknet.com/view-property/287542/2AC164F50FE791951EA29DCD1052AD5B6E56CB9897B48DEC3D0E352D13C29002", "https://baanknet.com/view-property/287542/2AC164F50FE791951EA29DCD1052AD5B6E56CB9897B48DEC3D0E352D13C29002")</f>
        <v>https://baanknet.com/view-property/287542/2AC164F50FE791951EA29DCD1052AD5B6E56CB9897B48DEC3D0E352D13C29002</v>
      </c>
      <c r="I2811" t="str">
        <f>HYPERLINK("https://baanknet.com/view-property/287542/2AC164F50FE791951EA29DCD1052AD5B6E56CB9897B48DEC3D0E352D13C29002", "Open")</f>
        <v>Open</v>
      </c>
      <c r="J2811" t="s">
        <v>3803</v>
      </c>
      <c r="L2811">
        <v>2261000</v>
      </c>
      <c r="M2811">
        <v>226100</v>
      </c>
    </row>
    <row r="2812" spans="1:13" x14ac:dyDescent="0.25">
      <c r="A2812" t="s">
        <v>9512</v>
      </c>
      <c r="B2812" t="s">
        <v>9513</v>
      </c>
      <c r="C2812" t="s">
        <v>589</v>
      </c>
      <c r="D2812" t="s">
        <v>1591</v>
      </c>
      <c r="E2812" t="s">
        <v>623</v>
      </c>
      <c r="F2812" t="s">
        <v>624</v>
      </c>
      <c r="G2812" t="s">
        <v>9514</v>
      </c>
      <c r="H2812" t="str">
        <f>HYPERLINK("https://baanknet.com/view-property/286288/31C5615CD2DCEF5A0DA66F504FC0E9F52DB98EBB76413CDBC34CFB56CD6273F0", "https://baanknet.com/view-property/286288/31C5615CD2DCEF5A0DA66F504FC0E9F52DB98EBB76413CDBC34CFB56CD6273F0")</f>
        <v>https://baanknet.com/view-property/286288/31C5615CD2DCEF5A0DA66F504FC0E9F52DB98EBB76413CDBC34CFB56CD6273F0</v>
      </c>
      <c r="I2812" t="str">
        <f>HYPERLINK("https://baanknet.com/view-property/286288/31C5615CD2DCEF5A0DA66F504FC0E9F52DB98EBB76413CDBC34CFB56CD6273F0", "Open")</f>
        <v>Open</v>
      </c>
      <c r="J2812" t="s">
        <v>3803</v>
      </c>
      <c r="L2812">
        <v>2111000</v>
      </c>
      <c r="M2812">
        <v>211100</v>
      </c>
    </row>
    <row r="2813" spans="1:13" x14ac:dyDescent="0.25">
      <c r="A2813" t="s">
        <v>9515</v>
      </c>
      <c r="B2813" t="s">
        <v>9516</v>
      </c>
      <c r="C2813" t="s">
        <v>589</v>
      </c>
      <c r="D2813" t="s">
        <v>157</v>
      </c>
      <c r="E2813" t="s">
        <v>623</v>
      </c>
      <c r="F2813" t="s">
        <v>624</v>
      </c>
      <c r="G2813" t="s">
        <v>9517</v>
      </c>
      <c r="H2813" t="str">
        <f>HYPERLINK("https://baanknet.com/view-property/287545/6027086663E22E264B12CADD379D3881C3D9DD5505861201C5ED25BDE19A73A0", "https://baanknet.com/view-property/287545/6027086663E22E264B12CADD379D3881C3D9DD5505861201C5ED25BDE19A73A0")</f>
        <v>https://baanknet.com/view-property/287545/6027086663E22E264B12CADD379D3881C3D9DD5505861201C5ED25BDE19A73A0</v>
      </c>
      <c r="I2813" t="str">
        <f>HYPERLINK("https://baanknet.com/view-property/287545/6027086663E22E264B12CADD379D3881C3D9DD5505861201C5ED25BDE19A73A0", "Open")</f>
        <v>Open</v>
      </c>
      <c r="J2813" t="s">
        <v>3803</v>
      </c>
      <c r="L2813">
        <v>1153000</v>
      </c>
      <c r="M2813">
        <v>115300</v>
      </c>
    </row>
    <row r="2814" spans="1:13" x14ac:dyDescent="0.25">
      <c r="A2814" t="s">
        <v>9518</v>
      </c>
      <c r="B2814" t="s">
        <v>9519</v>
      </c>
      <c r="C2814" t="s">
        <v>589</v>
      </c>
      <c r="D2814" t="s">
        <v>3120</v>
      </c>
      <c r="E2814" t="s">
        <v>623</v>
      </c>
      <c r="F2814" t="s">
        <v>624</v>
      </c>
      <c r="G2814" t="s">
        <v>9520</v>
      </c>
      <c r="H2814" t="str">
        <f>HYPERLINK("https://baanknet.com/view-property/287550/F2A26FF9A11A1E8446F1FD8E63F54DF54C4B0BDC591BD829AA2FF7F988090AAC", "https://baanknet.com/view-property/287550/F2A26FF9A11A1E8446F1FD8E63F54DF54C4B0BDC591BD829AA2FF7F988090AAC")</f>
        <v>https://baanknet.com/view-property/287550/F2A26FF9A11A1E8446F1FD8E63F54DF54C4B0BDC591BD829AA2FF7F988090AAC</v>
      </c>
      <c r="I2814" t="str">
        <f>HYPERLINK("https://baanknet.com/view-property/287550/F2A26FF9A11A1E8446F1FD8E63F54DF54C4B0BDC591BD829AA2FF7F988090AAC", "Open")</f>
        <v>Open</v>
      </c>
      <c r="J2814" t="s">
        <v>3803</v>
      </c>
      <c r="L2814">
        <v>933000</v>
      </c>
      <c r="M2814">
        <v>93300</v>
      </c>
    </row>
    <row r="2815" spans="1:13" x14ac:dyDescent="0.25">
      <c r="A2815" t="s">
        <v>9521</v>
      </c>
      <c r="B2815" t="s">
        <v>9522</v>
      </c>
      <c r="C2815" t="s">
        <v>589</v>
      </c>
      <c r="D2815" t="s">
        <v>9523</v>
      </c>
      <c r="E2815" t="s">
        <v>623</v>
      </c>
      <c r="F2815" t="s">
        <v>624</v>
      </c>
      <c r="G2815" t="s">
        <v>9524</v>
      </c>
      <c r="H2815" t="str">
        <f>HYPERLINK("https://baanknet.com/view-property/286246/4AD7B6234E7AA1AD82153A52F61D11046ED520731FE0B9A695055C451D7607F2", "https://baanknet.com/view-property/286246/4AD7B6234E7AA1AD82153A52F61D11046ED520731FE0B9A695055C451D7607F2")</f>
        <v>https://baanknet.com/view-property/286246/4AD7B6234E7AA1AD82153A52F61D11046ED520731FE0B9A695055C451D7607F2</v>
      </c>
      <c r="I2815" t="str">
        <f>HYPERLINK("https://baanknet.com/view-property/286246/4AD7B6234E7AA1AD82153A52F61D11046ED520731FE0B9A695055C451D7607F2", "Open")</f>
        <v>Open</v>
      </c>
      <c r="J2815" t="s">
        <v>3803</v>
      </c>
      <c r="L2815">
        <v>3400000</v>
      </c>
      <c r="M2815">
        <v>340000</v>
      </c>
    </row>
    <row r="2816" spans="1:13" x14ac:dyDescent="0.25">
      <c r="A2816" t="s">
        <v>9525</v>
      </c>
      <c r="B2816" t="s">
        <v>9526</v>
      </c>
      <c r="C2816" t="s">
        <v>589</v>
      </c>
      <c r="D2816" t="s">
        <v>1909</v>
      </c>
      <c r="E2816" t="s">
        <v>623</v>
      </c>
      <c r="F2816" t="s">
        <v>624</v>
      </c>
      <c r="G2816" t="s">
        <v>9527</v>
      </c>
      <c r="H2816" t="str">
        <f>HYPERLINK("https://baanknet.com/view-property/287553/BA5ACA02FD092C94AF36E8402C88D211DCD5155D957A591C133BED4EA8C29EE3", "https://baanknet.com/view-property/287553/BA5ACA02FD092C94AF36E8402C88D211DCD5155D957A591C133BED4EA8C29EE3")</f>
        <v>https://baanknet.com/view-property/287553/BA5ACA02FD092C94AF36E8402C88D211DCD5155D957A591C133BED4EA8C29EE3</v>
      </c>
      <c r="I2816" t="str">
        <f>HYPERLINK("https://baanknet.com/view-property/287553/BA5ACA02FD092C94AF36E8402C88D211DCD5155D957A591C133BED4EA8C29EE3", "Open")</f>
        <v>Open</v>
      </c>
      <c r="J2816" t="s">
        <v>3803</v>
      </c>
      <c r="L2816">
        <v>2018000</v>
      </c>
      <c r="M2816">
        <v>201800</v>
      </c>
    </row>
    <row r="2817" spans="1:13" x14ac:dyDescent="0.25">
      <c r="A2817" t="s">
        <v>9528</v>
      </c>
      <c r="B2817" t="s">
        <v>9529</v>
      </c>
      <c r="C2817" t="s">
        <v>589</v>
      </c>
      <c r="D2817" t="s">
        <v>2234</v>
      </c>
      <c r="E2817" t="s">
        <v>623</v>
      </c>
      <c r="F2817" t="s">
        <v>624</v>
      </c>
      <c r="G2817" t="s">
        <v>9530</v>
      </c>
      <c r="H2817" t="str">
        <f>HYPERLINK("https://baanknet.com/view-property/287555/69B27658FBB924025FEFE216E4C82D32AB7150B4D10E71C857FE0FD82D94A660", "https://baanknet.com/view-property/287555/69B27658FBB924025FEFE216E4C82D32AB7150B4D10E71C857FE0FD82D94A660")</f>
        <v>https://baanknet.com/view-property/287555/69B27658FBB924025FEFE216E4C82D32AB7150B4D10E71C857FE0FD82D94A660</v>
      </c>
      <c r="I2817" t="str">
        <f>HYPERLINK("https://baanknet.com/view-property/287555/69B27658FBB924025FEFE216E4C82D32AB7150B4D10E71C857FE0FD82D94A660", "Open")</f>
        <v>Open</v>
      </c>
      <c r="J2817" t="s">
        <v>3803</v>
      </c>
      <c r="L2817">
        <v>2455000</v>
      </c>
      <c r="M2817">
        <v>245500</v>
      </c>
    </row>
    <row r="2818" spans="1:13" x14ac:dyDescent="0.25">
      <c r="A2818" t="s">
        <v>9531</v>
      </c>
      <c r="B2818" t="s">
        <v>9532</v>
      </c>
      <c r="C2818" t="s">
        <v>589</v>
      </c>
      <c r="D2818" t="s">
        <v>9533</v>
      </c>
      <c r="E2818" t="s">
        <v>623</v>
      </c>
      <c r="F2818" t="s">
        <v>624</v>
      </c>
      <c r="G2818" t="s">
        <v>9534</v>
      </c>
      <c r="H2818" t="str">
        <f>HYPERLINK("https://baanknet.com/view-property/286296/1B4621758B2DB3F07BAF85DFB3BC01B65EDA211154391747BE2780A67BC67E82", "https://baanknet.com/view-property/286296/1B4621758B2DB3F07BAF85DFB3BC01B65EDA211154391747BE2780A67BC67E82")</f>
        <v>https://baanknet.com/view-property/286296/1B4621758B2DB3F07BAF85DFB3BC01B65EDA211154391747BE2780A67BC67E82</v>
      </c>
      <c r="I2818" t="str">
        <f>HYPERLINK("https://baanknet.com/view-property/286296/1B4621758B2DB3F07BAF85DFB3BC01B65EDA211154391747BE2780A67BC67E82", "Open")</f>
        <v>Open</v>
      </c>
      <c r="J2818" t="s">
        <v>3803</v>
      </c>
      <c r="L2818">
        <v>2359000</v>
      </c>
      <c r="M2818">
        <v>235900</v>
      </c>
    </row>
    <row r="2819" spans="1:13" x14ac:dyDescent="0.25">
      <c r="A2819" t="s">
        <v>9535</v>
      </c>
      <c r="B2819" t="s">
        <v>9536</v>
      </c>
      <c r="C2819" t="s">
        <v>589</v>
      </c>
      <c r="D2819" t="s">
        <v>157</v>
      </c>
      <c r="E2819" t="s">
        <v>623</v>
      </c>
      <c r="F2819" t="s">
        <v>624</v>
      </c>
      <c r="G2819" t="s">
        <v>9537</v>
      </c>
      <c r="H2819" t="str">
        <f>HYPERLINK("https://baanknet.com/view-property/287561/9DDFF3A981679B15B2C3E61D48C0772599EE723991EA31E57093E5548E6D2904", "https://baanknet.com/view-property/287561/9DDFF3A981679B15B2C3E61D48C0772599EE723991EA31E57093E5548E6D2904")</f>
        <v>https://baanknet.com/view-property/287561/9DDFF3A981679B15B2C3E61D48C0772599EE723991EA31E57093E5548E6D2904</v>
      </c>
      <c r="I2819" t="str">
        <f>HYPERLINK("https://baanknet.com/view-property/287561/9DDFF3A981679B15B2C3E61D48C0772599EE723991EA31E57093E5548E6D2904", "Open")</f>
        <v>Open</v>
      </c>
      <c r="J2819" t="s">
        <v>3803</v>
      </c>
      <c r="L2819">
        <v>1691000</v>
      </c>
      <c r="M2819">
        <v>169100</v>
      </c>
    </row>
    <row r="2820" spans="1:13" x14ac:dyDescent="0.25">
      <c r="A2820" t="s">
        <v>9538</v>
      </c>
      <c r="B2820" t="s">
        <v>9539</v>
      </c>
      <c r="C2820" t="s">
        <v>589</v>
      </c>
      <c r="D2820" t="s">
        <v>157</v>
      </c>
      <c r="E2820" t="s">
        <v>623</v>
      </c>
      <c r="F2820" t="s">
        <v>624</v>
      </c>
      <c r="G2820" t="s">
        <v>9540</v>
      </c>
      <c r="H2820" t="str">
        <f>HYPERLINK("https://baanknet.com/view-property/287568/CB4DC34F9AA13405438E4DC4BE67BEC48E67911912575791EB5551C1C3E44541", "https://baanknet.com/view-property/287568/CB4DC34F9AA13405438E4DC4BE67BEC48E67911912575791EB5551C1C3E44541")</f>
        <v>https://baanknet.com/view-property/287568/CB4DC34F9AA13405438E4DC4BE67BEC48E67911912575791EB5551C1C3E44541</v>
      </c>
      <c r="I2820" t="str">
        <f>HYPERLINK("https://baanknet.com/view-property/287568/CB4DC34F9AA13405438E4DC4BE67BEC48E67911912575791EB5551C1C3E44541", "Open")</f>
        <v>Open</v>
      </c>
      <c r="J2820" t="s">
        <v>3803</v>
      </c>
      <c r="L2820">
        <v>2898000</v>
      </c>
      <c r="M2820">
        <v>289800</v>
      </c>
    </row>
    <row r="2821" spans="1:13" x14ac:dyDescent="0.25">
      <c r="A2821" t="s">
        <v>9541</v>
      </c>
      <c r="B2821" t="s">
        <v>9542</v>
      </c>
      <c r="C2821" t="s">
        <v>589</v>
      </c>
      <c r="D2821" t="s">
        <v>157</v>
      </c>
      <c r="E2821" t="s">
        <v>623</v>
      </c>
      <c r="F2821" t="s">
        <v>624</v>
      </c>
      <c r="G2821" t="s">
        <v>9543</v>
      </c>
      <c r="H2821" t="str">
        <f>HYPERLINK("https://baanknet.com/view-property/287573/541960CAB060ACBCE318C9D44A06EA4A872B68928C357F987326E902921A56EA", "https://baanknet.com/view-property/287573/541960CAB060ACBCE318C9D44A06EA4A872B68928C357F987326E902921A56EA")</f>
        <v>https://baanknet.com/view-property/287573/541960CAB060ACBCE318C9D44A06EA4A872B68928C357F987326E902921A56EA</v>
      </c>
      <c r="I2821" t="str">
        <f>HYPERLINK("https://baanknet.com/view-property/287573/541960CAB060ACBCE318C9D44A06EA4A872B68928C357F987326E902921A56EA", "Open")</f>
        <v>Open</v>
      </c>
      <c r="J2821" t="s">
        <v>3803</v>
      </c>
      <c r="L2821">
        <v>3499000</v>
      </c>
      <c r="M2821">
        <v>349900</v>
      </c>
    </row>
    <row r="2822" spans="1:13" x14ac:dyDescent="0.25">
      <c r="A2822" t="s">
        <v>9544</v>
      </c>
      <c r="B2822" t="s">
        <v>9545</v>
      </c>
      <c r="C2822" t="s">
        <v>589</v>
      </c>
      <c r="D2822" t="s">
        <v>157</v>
      </c>
      <c r="E2822" t="s">
        <v>623</v>
      </c>
      <c r="F2822" t="s">
        <v>624</v>
      </c>
      <c r="G2822" t="s">
        <v>9546</v>
      </c>
      <c r="H2822" t="str">
        <f>HYPERLINK("https://baanknet.com/view-property/287575/75CD7AB2E1CD312C5992E1920AF067E0D2EAAA03EDCB948979B714C2542A521C", "https://baanknet.com/view-property/287575/75CD7AB2E1CD312C5992E1920AF067E0D2EAAA03EDCB948979B714C2542A521C")</f>
        <v>https://baanknet.com/view-property/287575/75CD7AB2E1CD312C5992E1920AF067E0D2EAAA03EDCB948979B714C2542A521C</v>
      </c>
      <c r="I2822" t="str">
        <f>HYPERLINK("https://baanknet.com/view-property/287575/75CD7AB2E1CD312C5992E1920AF067E0D2EAAA03EDCB948979B714C2542A521C", "Open")</f>
        <v>Open</v>
      </c>
      <c r="J2822" t="s">
        <v>3803</v>
      </c>
      <c r="L2822">
        <v>1631000</v>
      </c>
      <c r="M2822">
        <v>163100</v>
      </c>
    </row>
    <row r="2823" spans="1:13" x14ac:dyDescent="0.25">
      <c r="A2823" t="s">
        <v>9547</v>
      </c>
      <c r="B2823" t="s">
        <v>9548</v>
      </c>
      <c r="C2823" t="s">
        <v>589</v>
      </c>
      <c r="D2823" t="s">
        <v>2866</v>
      </c>
      <c r="E2823" t="s">
        <v>623</v>
      </c>
      <c r="F2823" t="s">
        <v>624</v>
      </c>
      <c r="G2823" t="s">
        <v>9549</v>
      </c>
      <c r="H2823" t="str">
        <f>HYPERLINK("https://baanknet.com/view-property/200538/A54493CD3DA474BFE7DE032210136BA157FC8CF41E8CC856E361F2F6ED350D28", "https://baanknet.com/view-property/200538/A54493CD3DA474BFE7DE032210136BA157FC8CF41E8CC856E361F2F6ED350D28")</f>
        <v>https://baanknet.com/view-property/200538/A54493CD3DA474BFE7DE032210136BA157FC8CF41E8CC856E361F2F6ED350D28</v>
      </c>
      <c r="I2823" t="str">
        <f>HYPERLINK("https://baanknet.com/view-property/200538/A54493CD3DA474BFE7DE032210136BA157FC8CF41E8CC856E361F2F6ED350D28", "Open")</f>
        <v>Open</v>
      </c>
      <c r="J2823" t="s">
        <v>3803</v>
      </c>
      <c r="L2823">
        <v>1837000</v>
      </c>
      <c r="M2823">
        <v>183700</v>
      </c>
    </row>
    <row r="2824" spans="1:13" x14ac:dyDescent="0.25">
      <c r="A2824" t="s">
        <v>9550</v>
      </c>
      <c r="B2824" t="s">
        <v>9551</v>
      </c>
      <c r="C2824" t="s">
        <v>589</v>
      </c>
      <c r="D2824" t="s">
        <v>2866</v>
      </c>
      <c r="E2824" t="s">
        <v>623</v>
      </c>
      <c r="F2824" t="s">
        <v>624</v>
      </c>
      <c r="G2824" t="s">
        <v>9552</v>
      </c>
      <c r="H2824" t="str">
        <f>HYPERLINK("https://baanknet.com/view-property/248662/F63DFA4DCD50049BA1BD05F585CFE089FA0F53BFCEAB4A4AE8A1CEBCFD1F6A0B", "https://baanknet.com/view-property/248662/F63DFA4DCD50049BA1BD05F585CFE089FA0F53BFCEAB4A4AE8A1CEBCFD1F6A0B")</f>
        <v>https://baanknet.com/view-property/248662/F63DFA4DCD50049BA1BD05F585CFE089FA0F53BFCEAB4A4AE8A1CEBCFD1F6A0B</v>
      </c>
      <c r="I2824" t="str">
        <f>HYPERLINK("https://baanknet.com/view-property/248662/F63DFA4DCD50049BA1BD05F585CFE089FA0F53BFCEAB4A4AE8A1CEBCFD1F6A0B", "Open")</f>
        <v>Open</v>
      </c>
      <c r="J2824" t="s">
        <v>3803</v>
      </c>
      <c r="L2824">
        <v>1760000</v>
      </c>
      <c r="M2824">
        <v>176000</v>
      </c>
    </row>
    <row r="2825" spans="1:13" x14ac:dyDescent="0.25">
      <c r="A2825" t="s">
        <v>9553</v>
      </c>
      <c r="B2825" t="s">
        <v>9554</v>
      </c>
      <c r="C2825" t="s">
        <v>589</v>
      </c>
      <c r="D2825" t="s">
        <v>157</v>
      </c>
      <c r="E2825" t="s">
        <v>623</v>
      </c>
      <c r="F2825" t="s">
        <v>624</v>
      </c>
      <c r="G2825" t="s">
        <v>9555</v>
      </c>
      <c r="H2825" t="str">
        <f>HYPERLINK("https://baanknet.com/view-property/221609/A653A144D90ACE644E7D32F9747DAC77B71D32A41922ABFEE8BB70BD9D9ECBBE", "https://baanknet.com/view-property/221609/A653A144D90ACE644E7D32F9747DAC77B71D32A41922ABFEE8BB70BD9D9ECBBE")</f>
        <v>https://baanknet.com/view-property/221609/A653A144D90ACE644E7D32F9747DAC77B71D32A41922ABFEE8BB70BD9D9ECBBE</v>
      </c>
      <c r="I2825" t="str">
        <f>HYPERLINK("https://baanknet.com/view-property/221609/A653A144D90ACE644E7D32F9747DAC77B71D32A41922ABFEE8BB70BD9D9ECBBE", "Open")</f>
        <v>Open</v>
      </c>
      <c r="J2825" t="s">
        <v>3803</v>
      </c>
      <c r="L2825">
        <v>3134000</v>
      </c>
      <c r="M2825">
        <v>313400</v>
      </c>
    </row>
    <row r="2826" spans="1:13" x14ac:dyDescent="0.25">
      <c r="A2826" t="s">
        <v>9556</v>
      </c>
      <c r="B2826" t="s">
        <v>9557</v>
      </c>
      <c r="C2826" t="s">
        <v>589</v>
      </c>
      <c r="D2826" t="s">
        <v>157</v>
      </c>
      <c r="E2826" t="s">
        <v>623</v>
      </c>
      <c r="F2826" t="s">
        <v>624</v>
      </c>
      <c r="G2826" t="s">
        <v>9558</v>
      </c>
      <c r="H2826" t="str">
        <f>HYPERLINK("https://baanknet.com/view-property/287587/06078F3CE2E562F6E428514774990A4C6BB0F606E35B75526A38C145E8FE93C1", "https://baanknet.com/view-property/287587/06078F3CE2E562F6E428514774990A4C6BB0F606E35B75526A38C145E8FE93C1")</f>
        <v>https://baanknet.com/view-property/287587/06078F3CE2E562F6E428514774990A4C6BB0F606E35B75526A38C145E8FE93C1</v>
      </c>
      <c r="I2826" t="str">
        <f>HYPERLINK("https://baanknet.com/view-property/287587/06078F3CE2E562F6E428514774990A4C6BB0F606E35B75526A38C145E8FE93C1", "Open")</f>
        <v>Open</v>
      </c>
      <c r="J2826" t="s">
        <v>3803</v>
      </c>
      <c r="L2826">
        <v>3116000</v>
      </c>
      <c r="M2826">
        <v>311600</v>
      </c>
    </row>
    <row r="2827" spans="1:13" x14ac:dyDescent="0.25">
      <c r="A2827" t="s">
        <v>9559</v>
      </c>
      <c r="B2827" t="s">
        <v>9560</v>
      </c>
      <c r="C2827" t="s">
        <v>589</v>
      </c>
      <c r="D2827" t="s">
        <v>262</v>
      </c>
      <c r="E2827" t="s">
        <v>623</v>
      </c>
      <c r="F2827" t="s">
        <v>624</v>
      </c>
      <c r="G2827" t="s">
        <v>9561</v>
      </c>
      <c r="H2827" t="str">
        <f>HYPERLINK("https://baanknet.com/view-property/235074/DAD55ADD2E23C8FA577B09FC9052FC4656E3A9C002944B99050404E92573EC19", "https://baanknet.com/view-property/235074/DAD55ADD2E23C8FA577B09FC9052FC4656E3A9C002944B99050404E92573EC19")</f>
        <v>https://baanknet.com/view-property/235074/DAD55ADD2E23C8FA577B09FC9052FC4656E3A9C002944B99050404E92573EC19</v>
      </c>
      <c r="I2827" t="str">
        <f>HYPERLINK("https://baanknet.com/view-property/235074/DAD55ADD2E23C8FA577B09FC9052FC4656E3A9C002944B99050404E92573EC19", "Open")</f>
        <v>Open</v>
      </c>
      <c r="J2827" t="s">
        <v>3803</v>
      </c>
      <c r="L2827">
        <v>1649000</v>
      </c>
      <c r="M2827">
        <v>164900</v>
      </c>
    </row>
    <row r="2828" spans="1:13" x14ac:dyDescent="0.25">
      <c r="A2828" t="s">
        <v>9562</v>
      </c>
      <c r="B2828" t="s">
        <v>9563</v>
      </c>
      <c r="C2828" t="s">
        <v>589</v>
      </c>
      <c r="D2828" t="s">
        <v>149</v>
      </c>
      <c r="E2828" t="s">
        <v>623</v>
      </c>
      <c r="F2828" t="s">
        <v>624</v>
      </c>
      <c r="G2828" t="s">
        <v>9564</v>
      </c>
      <c r="H2828" t="str">
        <f>HYPERLINK("https://baanknet.com/view-property/287602/442F16820FEBF66F925CFDC06ED7BDDEED8C69642FF7EFEE987E280B0D1149A6", "https://baanknet.com/view-property/287602/442F16820FEBF66F925CFDC06ED7BDDEED8C69642FF7EFEE987E280B0D1149A6")</f>
        <v>https://baanknet.com/view-property/287602/442F16820FEBF66F925CFDC06ED7BDDEED8C69642FF7EFEE987E280B0D1149A6</v>
      </c>
      <c r="I2828" t="str">
        <f>HYPERLINK("https://baanknet.com/view-property/287602/442F16820FEBF66F925CFDC06ED7BDDEED8C69642FF7EFEE987E280B0D1149A6", "Open")</f>
        <v>Open</v>
      </c>
      <c r="J2828" t="s">
        <v>3803</v>
      </c>
      <c r="L2828">
        <v>20427000</v>
      </c>
      <c r="M2828">
        <v>2042700</v>
      </c>
    </row>
    <row r="2829" spans="1:13" x14ac:dyDescent="0.25">
      <c r="A2829" t="s">
        <v>9565</v>
      </c>
      <c r="B2829" t="s">
        <v>9566</v>
      </c>
      <c r="C2829" t="s">
        <v>589</v>
      </c>
      <c r="D2829" t="s">
        <v>2238</v>
      </c>
      <c r="E2829" t="s">
        <v>623</v>
      </c>
      <c r="F2829" t="s">
        <v>624</v>
      </c>
      <c r="G2829" t="s">
        <v>9567</v>
      </c>
      <c r="H2829" t="str">
        <f>HYPERLINK("https://baanknet.com/view-property/235092/A427C0994600EA8AD8DC71930270F41EFD58B63A6A24BF89A3AD509DB52FEA36", "https://baanknet.com/view-property/235092/A427C0994600EA8AD8DC71930270F41EFD58B63A6A24BF89A3AD509DB52FEA36")</f>
        <v>https://baanknet.com/view-property/235092/A427C0994600EA8AD8DC71930270F41EFD58B63A6A24BF89A3AD509DB52FEA36</v>
      </c>
      <c r="I2829" t="str">
        <f>HYPERLINK("https://baanknet.com/view-property/235092/A427C0994600EA8AD8DC71930270F41EFD58B63A6A24BF89A3AD509DB52FEA36", "Open")</f>
        <v>Open</v>
      </c>
      <c r="J2829" t="s">
        <v>3803</v>
      </c>
      <c r="L2829">
        <v>1335000</v>
      </c>
      <c r="M2829">
        <v>133500</v>
      </c>
    </row>
    <row r="2830" spans="1:13" x14ac:dyDescent="0.25">
      <c r="A2830" t="s">
        <v>9568</v>
      </c>
      <c r="B2830" t="s">
        <v>9569</v>
      </c>
      <c r="C2830" t="s">
        <v>589</v>
      </c>
      <c r="D2830" t="s">
        <v>1059</v>
      </c>
      <c r="E2830" t="s">
        <v>623</v>
      </c>
      <c r="F2830" t="s">
        <v>624</v>
      </c>
      <c r="G2830" t="s">
        <v>9570</v>
      </c>
      <c r="H2830" t="str">
        <f>HYPERLINK("https://baanknet.com/view-property/287607/D3DE449CE51124899BE5357598CD2466FDEE65C75CE311B82BECE1ED13B8A295", "https://baanknet.com/view-property/287607/D3DE449CE51124899BE5357598CD2466FDEE65C75CE311B82BECE1ED13B8A295")</f>
        <v>https://baanknet.com/view-property/287607/D3DE449CE51124899BE5357598CD2466FDEE65C75CE311B82BECE1ED13B8A295</v>
      </c>
      <c r="I2830" t="str">
        <f>HYPERLINK("https://baanknet.com/view-property/287607/D3DE449CE51124899BE5357598CD2466FDEE65C75CE311B82BECE1ED13B8A295", "Open")</f>
        <v>Open</v>
      </c>
      <c r="J2830" t="s">
        <v>3803</v>
      </c>
      <c r="L2830">
        <v>1583000</v>
      </c>
      <c r="M2830">
        <v>158300</v>
      </c>
    </row>
    <row r="2831" spans="1:13" x14ac:dyDescent="0.25">
      <c r="A2831" t="s">
        <v>9571</v>
      </c>
      <c r="B2831" t="s">
        <v>9572</v>
      </c>
      <c r="C2831" t="s">
        <v>589</v>
      </c>
      <c r="D2831" t="s">
        <v>157</v>
      </c>
      <c r="E2831" t="s">
        <v>623</v>
      </c>
      <c r="F2831" t="s">
        <v>624</v>
      </c>
      <c r="G2831" t="s">
        <v>9573</v>
      </c>
      <c r="H2831" t="str">
        <f>HYPERLINK("https://baanknet.com/view-property/287667/51B0EE1744565AEF9D3E2BC20A72CEA586157302404D83021289B854BDBD6E37", "https://baanknet.com/view-property/287667/51B0EE1744565AEF9D3E2BC20A72CEA586157302404D83021289B854BDBD6E37")</f>
        <v>https://baanknet.com/view-property/287667/51B0EE1744565AEF9D3E2BC20A72CEA586157302404D83021289B854BDBD6E37</v>
      </c>
      <c r="I2831" t="str">
        <f>HYPERLINK("https://baanknet.com/view-property/287667/51B0EE1744565AEF9D3E2BC20A72CEA586157302404D83021289B854BDBD6E37", "Open")</f>
        <v>Open</v>
      </c>
      <c r="J2831" t="s">
        <v>3803</v>
      </c>
      <c r="L2831">
        <v>1345000</v>
      </c>
      <c r="M2831">
        <v>134500</v>
      </c>
    </row>
    <row r="2832" spans="1:13" x14ac:dyDescent="0.25">
      <c r="A2832" t="s">
        <v>9574</v>
      </c>
      <c r="B2832" t="s">
        <v>9575</v>
      </c>
      <c r="C2832" t="s">
        <v>589</v>
      </c>
      <c r="D2832" t="s">
        <v>1823</v>
      </c>
      <c r="E2832" t="s">
        <v>623</v>
      </c>
      <c r="F2832" t="s">
        <v>624</v>
      </c>
      <c r="G2832" t="s">
        <v>9576</v>
      </c>
      <c r="H2832" t="str">
        <f>HYPERLINK("https://baanknet.com/view-property/235002/A8873D3DC5DD5573DD14003927202CD606A0221724EBD98A55CEAA947CF64824", "https://baanknet.com/view-property/235002/A8873D3DC5DD5573DD14003927202CD606A0221724EBD98A55CEAA947CF64824")</f>
        <v>https://baanknet.com/view-property/235002/A8873D3DC5DD5573DD14003927202CD606A0221724EBD98A55CEAA947CF64824</v>
      </c>
      <c r="I2832" t="str">
        <f>HYPERLINK("https://baanknet.com/view-property/235002/A8873D3DC5DD5573DD14003927202CD606A0221724EBD98A55CEAA947CF64824", "Open")</f>
        <v>Open</v>
      </c>
      <c r="J2832" t="s">
        <v>3803</v>
      </c>
      <c r="L2832">
        <v>1613000</v>
      </c>
      <c r="M2832">
        <v>161300</v>
      </c>
    </row>
    <row r="2833" spans="1:13" x14ac:dyDescent="0.25">
      <c r="A2833" t="s">
        <v>9577</v>
      </c>
      <c r="B2833" t="s">
        <v>9578</v>
      </c>
      <c r="C2833" t="s">
        <v>589</v>
      </c>
      <c r="D2833" t="s">
        <v>157</v>
      </c>
      <c r="E2833" t="s">
        <v>623</v>
      </c>
      <c r="F2833" t="s">
        <v>624</v>
      </c>
      <c r="G2833" t="s">
        <v>9579</v>
      </c>
      <c r="H2833" t="str">
        <f>HYPERLINK("https://baanknet.com/view-property/287671/8D9BF8E74F1004BD70AFDE626AB1A3ABF511FB10A2A3427070BEBE741829B68A", "https://baanknet.com/view-property/287671/8D9BF8E74F1004BD70AFDE626AB1A3ABF511FB10A2A3427070BEBE741829B68A")</f>
        <v>https://baanknet.com/view-property/287671/8D9BF8E74F1004BD70AFDE626AB1A3ABF511FB10A2A3427070BEBE741829B68A</v>
      </c>
      <c r="I2833" t="str">
        <f>HYPERLINK("https://baanknet.com/view-property/287671/8D9BF8E74F1004BD70AFDE626AB1A3ABF511FB10A2A3427070BEBE741829B68A", "Open")</f>
        <v>Open</v>
      </c>
      <c r="J2833" t="s">
        <v>3803</v>
      </c>
      <c r="L2833">
        <v>2234000</v>
      </c>
      <c r="M2833">
        <v>223400</v>
      </c>
    </row>
    <row r="2834" spans="1:13" x14ac:dyDescent="0.25">
      <c r="A2834" t="s">
        <v>9580</v>
      </c>
      <c r="B2834" t="s">
        <v>9581</v>
      </c>
      <c r="C2834" t="s">
        <v>589</v>
      </c>
      <c r="D2834" t="s">
        <v>157</v>
      </c>
      <c r="E2834" t="s">
        <v>623</v>
      </c>
      <c r="F2834" t="s">
        <v>624</v>
      </c>
      <c r="G2834" t="s">
        <v>9582</v>
      </c>
      <c r="H2834" t="str">
        <f>HYPERLINK("https://baanknet.com/view-property/242020/125D40889E8C9BA7DECB40CAA700671C7FAFA5F3417BBA2C2F60209C6DD2E8CE", "https://baanknet.com/view-property/242020/125D40889E8C9BA7DECB40CAA700671C7FAFA5F3417BBA2C2F60209C6DD2E8CE")</f>
        <v>https://baanknet.com/view-property/242020/125D40889E8C9BA7DECB40CAA700671C7FAFA5F3417BBA2C2F60209C6DD2E8CE</v>
      </c>
      <c r="I2834" t="str">
        <f>HYPERLINK("https://baanknet.com/view-property/242020/125D40889E8C9BA7DECB40CAA700671C7FAFA5F3417BBA2C2F60209C6DD2E8CE", "Open")</f>
        <v>Open</v>
      </c>
      <c r="J2834" t="s">
        <v>3803</v>
      </c>
      <c r="L2834">
        <v>2469000</v>
      </c>
      <c r="M2834">
        <v>246900</v>
      </c>
    </row>
    <row r="2835" spans="1:13" x14ac:dyDescent="0.25">
      <c r="A2835" t="s">
        <v>9583</v>
      </c>
      <c r="B2835" t="s">
        <v>9584</v>
      </c>
      <c r="C2835" t="s">
        <v>589</v>
      </c>
      <c r="D2835" t="s">
        <v>1909</v>
      </c>
      <c r="E2835" t="s">
        <v>623</v>
      </c>
      <c r="F2835" t="s">
        <v>624</v>
      </c>
      <c r="G2835" t="s">
        <v>9585</v>
      </c>
      <c r="H2835" t="str">
        <f>HYPERLINK("https://baanknet.com/view-property/287675/608C54C017CC5FDA1354045F56C53BB4825BC461F8C077F3A17D4A781AB4C720", "https://baanknet.com/view-property/287675/608C54C017CC5FDA1354045F56C53BB4825BC461F8C077F3A17D4A781AB4C720")</f>
        <v>https://baanknet.com/view-property/287675/608C54C017CC5FDA1354045F56C53BB4825BC461F8C077F3A17D4A781AB4C720</v>
      </c>
      <c r="I2835" t="str">
        <f>HYPERLINK("https://baanknet.com/view-property/287675/608C54C017CC5FDA1354045F56C53BB4825BC461F8C077F3A17D4A781AB4C720", "Open")</f>
        <v>Open</v>
      </c>
      <c r="J2835" t="s">
        <v>3803</v>
      </c>
      <c r="L2835">
        <v>1060000</v>
      </c>
      <c r="M2835">
        <v>106000</v>
      </c>
    </row>
    <row r="2836" spans="1:13" x14ac:dyDescent="0.25">
      <c r="A2836" t="s">
        <v>9586</v>
      </c>
      <c r="B2836" t="s">
        <v>9587</v>
      </c>
      <c r="C2836" t="s">
        <v>589</v>
      </c>
      <c r="D2836" t="s">
        <v>2238</v>
      </c>
      <c r="E2836" t="s">
        <v>623</v>
      </c>
      <c r="F2836" t="s">
        <v>624</v>
      </c>
      <c r="G2836" t="s">
        <v>9588</v>
      </c>
      <c r="H2836" t="str">
        <f>HYPERLINK("https://baanknet.com/view-property/235086/D7BC43B944667EC14155ACE621D3244B7610DB3CEBDD2D8D9E594189BB1C61C8", "https://baanknet.com/view-property/235086/D7BC43B944667EC14155ACE621D3244B7610DB3CEBDD2D8D9E594189BB1C61C8")</f>
        <v>https://baanknet.com/view-property/235086/D7BC43B944667EC14155ACE621D3244B7610DB3CEBDD2D8D9E594189BB1C61C8</v>
      </c>
      <c r="I2836" t="str">
        <f>HYPERLINK("https://baanknet.com/view-property/235086/D7BC43B944667EC14155ACE621D3244B7610DB3CEBDD2D8D9E594189BB1C61C8", "Open")</f>
        <v>Open</v>
      </c>
      <c r="J2836" t="s">
        <v>3803</v>
      </c>
      <c r="L2836">
        <v>2857000</v>
      </c>
      <c r="M2836">
        <v>285000</v>
      </c>
    </row>
    <row r="2837" spans="1:13" x14ac:dyDescent="0.25">
      <c r="A2837" t="s">
        <v>9589</v>
      </c>
      <c r="B2837" t="s">
        <v>9590</v>
      </c>
      <c r="C2837" t="s">
        <v>589</v>
      </c>
      <c r="D2837" t="s">
        <v>3460</v>
      </c>
      <c r="E2837" t="s">
        <v>623</v>
      </c>
      <c r="F2837" t="s">
        <v>624</v>
      </c>
      <c r="G2837" t="s">
        <v>9591</v>
      </c>
      <c r="H2837" t="str">
        <f>HYPERLINK("https://baanknet.com/view-property/215282/4A3267E03425E40252EADDE99B2EE26F6A64EADCE0D8A329B3E2EE42E8E914B2", "https://baanknet.com/view-property/215282/4A3267E03425E40252EADDE99B2EE26F6A64EADCE0D8A329B3E2EE42E8E914B2")</f>
        <v>https://baanknet.com/view-property/215282/4A3267E03425E40252EADDE99B2EE26F6A64EADCE0D8A329B3E2EE42E8E914B2</v>
      </c>
      <c r="I2837" t="str">
        <f>HYPERLINK("https://baanknet.com/view-property/215282/4A3267E03425E40252EADDE99B2EE26F6A64EADCE0D8A329B3E2EE42E8E914B2", "Open")</f>
        <v>Open</v>
      </c>
      <c r="J2837" t="s">
        <v>3803</v>
      </c>
      <c r="L2837">
        <v>1828000</v>
      </c>
      <c r="M2837">
        <v>182800</v>
      </c>
    </row>
    <row r="2838" spans="1:13" x14ac:dyDescent="0.25">
      <c r="A2838" t="s">
        <v>9592</v>
      </c>
      <c r="B2838" t="s">
        <v>9593</v>
      </c>
      <c r="C2838" t="s">
        <v>589</v>
      </c>
      <c r="D2838" t="s">
        <v>1310</v>
      </c>
      <c r="E2838" t="s">
        <v>623</v>
      </c>
      <c r="F2838" t="s">
        <v>624</v>
      </c>
      <c r="G2838" t="s">
        <v>9594</v>
      </c>
      <c r="H2838" t="str">
        <f>HYPERLINK("https://baanknet.com/view-property/287738/6B96D87F7F8B7BCF2F1550AE8A93FBAD5CE6B62FF1C1FB09216C049196F895D7", "https://baanknet.com/view-property/287738/6B96D87F7F8B7BCF2F1550AE8A93FBAD5CE6B62FF1C1FB09216C049196F895D7")</f>
        <v>https://baanknet.com/view-property/287738/6B96D87F7F8B7BCF2F1550AE8A93FBAD5CE6B62FF1C1FB09216C049196F895D7</v>
      </c>
      <c r="I2838" t="str">
        <f>HYPERLINK("https://baanknet.com/view-property/287738/6B96D87F7F8B7BCF2F1550AE8A93FBAD5CE6B62FF1C1FB09216C049196F895D7", "Open")</f>
        <v>Open</v>
      </c>
      <c r="J2838" t="s">
        <v>3803</v>
      </c>
      <c r="L2838">
        <v>21800000</v>
      </c>
      <c r="M2838">
        <v>2180000</v>
      </c>
    </row>
    <row r="2839" spans="1:13" x14ac:dyDescent="0.25">
      <c r="A2839" t="s">
        <v>9595</v>
      </c>
      <c r="B2839" t="s">
        <v>9596</v>
      </c>
      <c r="C2839" t="s">
        <v>589</v>
      </c>
      <c r="D2839" t="s">
        <v>578</v>
      </c>
      <c r="E2839" t="s">
        <v>623</v>
      </c>
      <c r="F2839" t="s">
        <v>624</v>
      </c>
      <c r="G2839" t="s">
        <v>9597</v>
      </c>
      <c r="H2839" t="str">
        <f>HYPERLINK("https://baanknet.com/view-property/32147/BE392B9B65FA0145742AB3AA1855F9DC9F157B1357FA15F7A9D54EE68205FFD4", "https://baanknet.com/view-property/32147/BE392B9B65FA0145742AB3AA1855F9DC9F157B1357FA15F7A9D54EE68205FFD4")</f>
        <v>https://baanknet.com/view-property/32147/BE392B9B65FA0145742AB3AA1855F9DC9F157B1357FA15F7A9D54EE68205FFD4</v>
      </c>
      <c r="I2839" t="str">
        <f>HYPERLINK("https://baanknet.com/view-property/32147/BE392B9B65FA0145742AB3AA1855F9DC9F157B1357FA15F7A9D54EE68205FFD4", "Open")</f>
        <v>Open</v>
      </c>
      <c r="J2839" t="s">
        <v>3803</v>
      </c>
      <c r="L2839">
        <v>7000000</v>
      </c>
      <c r="M2839">
        <v>700000</v>
      </c>
    </row>
    <row r="2840" spans="1:13" x14ac:dyDescent="0.25">
      <c r="A2840" t="s">
        <v>9598</v>
      </c>
      <c r="B2840" t="s">
        <v>9599</v>
      </c>
      <c r="C2840" t="s">
        <v>589</v>
      </c>
      <c r="D2840" t="s">
        <v>2984</v>
      </c>
      <c r="E2840" t="s">
        <v>623</v>
      </c>
      <c r="F2840" t="s">
        <v>624</v>
      </c>
      <c r="G2840" t="s">
        <v>9600</v>
      </c>
      <c r="H2840" t="str">
        <f>HYPERLINK("https://baanknet.com/view-property/216198/0E08009ACCD25F84BC4964369E0EE638A03FC92F92C581517E5F37CD93A2119D", "https://baanknet.com/view-property/216198/0E08009ACCD25F84BC4964369E0EE638A03FC92F92C581517E5F37CD93A2119D")</f>
        <v>https://baanknet.com/view-property/216198/0E08009ACCD25F84BC4964369E0EE638A03FC92F92C581517E5F37CD93A2119D</v>
      </c>
      <c r="I2840" t="str">
        <f>HYPERLINK("https://baanknet.com/view-property/216198/0E08009ACCD25F84BC4964369E0EE638A03FC92F92C581517E5F37CD93A2119D", "Open")</f>
        <v>Open</v>
      </c>
      <c r="J2840" t="s">
        <v>3803</v>
      </c>
      <c r="L2840">
        <v>1665000</v>
      </c>
      <c r="M2840">
        <v>166500</v>
      </c>
    </row>
    <row r="2841" spans="1:13" x14ac:dyDescent="0.25">
      <c r="A2841" t="s">
        <v>9601</v>
      </c>
      <c r="B2841" t="s">
        <v>9602</v>
      </c>
      <c r="C2841" t="s">
        <v>589</v>
      </c>
      <c r="D2841" t="s">
        <v>9446</v>
      </c>
      <c r="E2841" t="s">
        <v>623</v>
      </c>
      <c r="F2841" t="s">
        <v>624</v>
      </c>
      <c r="G2841" t="s">
        <v>9603</v>
      </c>
      <c r="H2841" t="str">
        <f>HYPERLINK("https://baanknet.com/view-property/205980/024CC02187A41CF6C1DA99A629F5DFC8DCB734696CB3C6C03D7F3DA24F689FB1", "https://baanknet.com/view-property/205980/024CC02187A41CF6C1DA99A629F5DFC8DCB734696CB3C6C03D7F3DA24F689FB1")</f>
        <v>https://baanknet.com/view-property/205980/024CC02187A41CF6C1DA99A629F5DFC8DCB734696CB3C6C03D7F3DA24F689FB1</v>
      </c>
      <c r="I2841" t="str">
        <f>HYPERLINK("https://baanknet.com/view-property/205980/024CC02187A41CF6C1DA99A629F5DFC8DCB734696CB3C6C03D7F3DA24F689FB1", "Open")</f>
        <v>Open</v>
      </c>
      <c r="J2841" t="s">
        <v>3803</v>
      </c>
      <c r="L2841">
        <v>1477000</v>
      </c>
      <c r="M2841">
        <v>147700</v>
      </c>
    </row>
    <row r="2842" spans="1:13" x14ac:dyDescent="0.25">
      <c r="A2842" t="s">
        <v>9604</v>
      </c>
      <c r="B2842" t="s">
        <v>9605</v>
      </c>
      <c r="C2842" t="s">
        <v>589</v>
      </c>
      <c r="D2842" t="s">
        <v>338</v>
      </c>
      <c r="E2842" t="s">
        <v>623</v>
      </c>
      <c r="F2842" t="s">
        <v>624</v>
      </c>
      <c r="G2842" t="s">
        <v>9606</v>
      </c>
      <c r="H2842" t="str">
        <f>HYPERLINK("https://baanknet.com/view-property/275413/4F5A01AE32D3D0D0C700626871166A2E3CFEB4185C651DF4150C2650C3D6A192", "https://baanknet.com/view-property/275413/4F5A01AE32D3D0D0C700626871166A2E3CFEB4185C651DF4150C2650C3D6A192")</f>
        <v>https://baanknet.com/view-property/275413/4F5A01AE32D3D0D0C700626871166A2E3CFEB4185C651DF4150C2650C3D6A192</v>
      </c>
      <c r="I2842" t="str">
        <f>HYPERLINK("https://baanknet.com/view-property/275413/4F5A01AE32D3D0D0C700626871166A2E3CFEB4185C651DF4150C2650C3D6A192", "Open")</f>
        <v>Open</v>
      </c>
      <c r="J2842" t="s">
        <v>3803</v>
      </c>
      <c r="L2842">
        <v>1654000</v>
      </c>
      <c r="M2842">
        <v>165400</v>
      </c>
    </row>
    <row r="2843" spans="1:13" x14ac:dyDescent="0.25">
      <c r="A2843" t="s">
        <v>9607</v>
      </c>
      <c r="B2843" t="s">
        <v>9608</v>
      </c>
      <c r="C2843" t="s">
        <v>589</v>
      </c>
      <c r="D2843" t="s">
        <v>338</v>
      </c>
      <c r="E2843" t="s">
        <v>623</v>
      </c>
      <c r="F2843" t="s">
        <v>624</v>
      </c>
      <c r="G2843" t="s">
        <v>9609</v>
      </c>
      <c r="H2843" t="str">
        <f>HYPERLINK("https://baanknet.com/view-property/263551/21D8475B7631E324E6F2B8478C85D7B5BA31F79540EF8A7F9A13C84BFBEE61A8", "https://baanknet.com/view-property/263551/21D8475B7631E324E6F2B8478C85D7B5BA31F79540EF8A7F9A13C84BFBEE61A8")</f>
        <v>https://baanknet.com/view-property/263551/21D8475B7631E324E6F2B8478C85D7B5BA31F79540EF8A7F9A13C84BFBEE61A8</v>
      </c>
      <c r="I2843" t="str">
        <f>HYPERLINK("https://baanknet.com/view-property/263551/21D8475B7631E324E6F2B8478C85D7B5BA31F79540EF8A7F9A13C84BFBEE61A8", "Open")</f>
        <v>Open</v>
      </c>
      <c r="J2843" t="s">
        <v>3803</v>
      </c>
      <c r="L2843">
        <v>1321000</v>
      </c>
      <c r="M2843">
        <v>132100</v>
      </c>
    </row>
    <row r="2844" spans="1:13" x14ac:dyDescent="0.25">
      <c r="A2844" t="s">
        <v>9610</v>
      </c>
      <c r="B2844" t="s">
        <v>9611</v>
      </c>
      <c r="C2844" t="s">
        <v>589</v>
      </c>
      <c r="D2844" t="s">
        <v>4321</v>
      </c>
      <c r="E2844" t="s">
        <v>623</v>
      </c>
      <c r="F2844" t="s">
        <v>624</v>
      </c>
      <c r="G2844" t="s">
        <v>9612</v>
      </c>
      <c r="H2844" t="str">
        <f>HYPERLINK("https://baanknet.com/view-property/221426/5F960FB1E50CECCDABDB4D25C845BDF38EFD35F4246465F2E7030738867614D6", "https://baanknet.com/view-property/221426/5F960FB1E50CECCDABDB4D25C845BDF38EFD35F4246465F2E7030738867614D6")</f>
        <v>https://baanknet.com/view-property/221426/5F960FB1E50CECCDABDB4D25C845BDF38EFD35F4246465F2E7030738867614D6</v>
      </c>
      <c r="I2844" t="str">
        <f>HYPERLINK("https://baanknet.com/view-property/221426/5F960FB1E50CECCDABDB4D25C845BDF38EFD35F4246465F2E7030738867614D6", "Open")</f>
        <v>Open</v>
      </c>
      <c r="J2844" t="s">
        <v>3803</v>
      </c>
      <c r="L2844">
        <v>1866500</v>
      </c>
      <c r="M2844">
        <v>186650</v>
      </c>
    </row>
    <row r="2845" spans="1:13" x14ac:dyDescent="0.25">
      <c r="A2845" t="s">
        <v>9613</v>
      </c>
      <c r="B2845" t="s">
        <v>9614</v>
      </c>
      <c r="C2845" t="s">
        <v>589</v>
      </c>
      <c r="D2845" t="s">
        <v>4305</v>
      </c>
      <c r="E2845" t="s">
        <v>623</v>
      </c>
      <c r="F2845" t="s">
        <v>624</v>
      </c>
      <c r="G2845" t="s">
        <v>9615</v>
      </c>
      <c r="H2845" t="str">
        <f>HYPERLINK("https://baanknet.com/view-property/218821/D01038BC1C20C85DB1DF42FB60633DC6144BCAEC6CACB620358C92F4FEA36B17", "https://baanknet.com/view-property/218821/D01038BC1C20C85DB1DF42FB60633DC6144BCAEC6CACB620358C92F4FEA36B17")</f>
        <v>https://baanknet.com/view-property/218821/D01038BC1C20C85DB1DF42FB60633DC6144BCAEC6CACB620358C92F4FEA36B17</v>
      </c>
      <c r="I2845" t="str">
        <f>HYPERLINK("https://baanknet.com/view-property/218821/D01038BC1C20C85DB1DF42FB60633DC6144BCAEC6CACB620358C92F4FEA36B17", "Open")</f>
        <v>Open</v>
      </c>
      <c r="J2845" t="s">
        <v>3803</v>
      </c>
      <c r="L2845">
        <v>6121350</v>
      </c>
      <c r="M2845">
        <v>612135</v>
      </c>
    </row>
    <row r="2846" spans="1:13" x14ac:dyDescent="0.25">
      <c r="A2846" t="s">
        <v>9616</v>
      </c>
      <c r="B2846" t="s">
        <v>9617</v>
      </c>
      <c r="C2846" t="s">
        <v>589</v>
      </c>
      <c r="D2846" t="s">
        <v>3460</v>
      </c>
      <c r="E2846" t="s">
        <v>623</v>
      </c>
      <c r="F2846" t="s">
        <v>624</v>
      </c>
      <c r="G2846" t="s">
        <v>9618</v>
      </c>
      <c r="H2846" t="str">
        <f>HYPERLINK("https://baanknet.com/view-property/215261/ED3772A2BA7E1FA2CADF3F7FA21E125500113DEF345B7569A2EB8489862FABEA", "https://baanknet.com/view-property/215261/ED3772A2BA7E1FA2CADF3F7FA21E125500113DEF345B7569A2EB8489862FABEA")</f>
        <v>https://baanknet.com/view-property/215261/ED3772A2BA7E1FA2CADF3F7FA21E125500113DEF345B7569A2EB8489862FABEA</v>
      </c>
      <c r="I2846" t="str">
        <f>HYPERLINK("https://baanknet.com/view-property/215261/ED3772A2BA7E1FA2CADF3F7FA21E125500113DEF345B7569A2EB8489862FABEA", "Open")</f>
        <v>Open</v>
      </c>
      <c r="J2846" t="s">
        <v>3803</v>
      </c>
      <c r="L2846">
        <v>2481000</v>
      </c>
      <c r="M2846">
        <v>248100</v>
      </c>
    </row>
    <row r="2847" spans="1:13" x14ac:dyDescent="0.25">
      <c r="A2847" t="s">
        <v>9619</v>
      </c>
      <c r="B2847" t="s">
        <v>9620</v>
      </c>
      <c r="C2847" t="s">
        <v>589</v>
      </c>
      <c r="D2847" t="s">
        <v>9621</v>
      </c>
      <c r="E2847" t="s">
        <v>623</v>
      </c>
      <c r="F2847" t="s">
        <v>624</v>
      </c>
      <c r="G2847" t="s">
        <v>9622</v>
      </c>
      <c r="H2847" t="str">
        <f>HYPERLINK("https://baanknet.com/view-property/281034/9635EA4E2BDFEFA5510B4DCC235E48EB02BCE4DA04D26481F36194DE4060DAC2", "https://baanknet.com/view-property/281034/9635EA4E2BDFEFA5510B4DCC235E48EB02BCE4DA04D26481F36194DE4060DAC2")</f>
        <v>https://baanknet.com/view-property/281034/9635EA4E2BDFEFA5510B4DCC235E48EB02BCE4DA04D26481F36194DE4060DAC2</v>
      </c>
      <c r="I2847" t="str">
        <f>HYPERLINK("https://baanknet.com/view-property/281034/9635EA4E2BDFEFA5510B4DCC235E48EB02BCE4DA04D26481F36194DE4060DAC2", "Open")</f>
        <v>Open</v>
      </c>
      <c r="J2847" t="s">
        <v>3803</v>
      </c>
      <c r="L2847">
        <v>2935800</v>
      </c>
      <c r="M2847">
        <v>293580</v>
      </c>
    </row>
    <row r="2848" spans="1:13" x14ac:dyDescent="0.25">
      <c r="A2848" t="s">
        <v>9623</v>
      </c>
      <c r="B2848" t="s">
        <v>9624</v>
      </c>
      <c r="C2848" t="s">
        <v>589</v>
      </c>
      <c r="D2848" t="s">
        <v>853</v>
      </c>
      <c r="E2848" t="s">
        <v>623</v>
      </c>
      <c r="F2848" t="s">
        <v>624</v>
      </c>
      <c r="G2848" t="s">
        <v>9625</v>
      </c>
      <c r="H2848" t="str">
        <f>HYPERLINK("https://baanknet.com/view-property/214772/FD216DAA1807900F73938C1E2440BAB8B8C00BC88561195594F5BB749F65664F", "https://baanknet.com/view-property/214772/FD216DAA1807900F73938C1E2440BAB8B8C00BC88561195594F5BB749F65664F")</f>
        <v>https://baanknet.com/view-property/214772/FD216DAA1807900F73938C1E2440BAB8B8C00BC88561195594F5BB749F65664F</v>
      </c>
      <c r="I2848" t="str">
        <f>HYPERLINK("https://baanknet.com/view-property/214772/FD216DAA1807900F73938C1E2440BAB8B8C00BC88561195594F5BB749F65664F", "Open")</f>
        <v>Open</v>
      </c>
      <c r="J2848" t="s">
        <v>3803</v>
      </c>
      <c r="L2848">
        <v>1275000</v>
      </c>
      <c r="M2848">
        <v>127500</v>
      </c>
    </row>
    <row r="2849" spans="1:13" x14ac:dyDescent="0.25">
      <c r="A2849" t="s">
        <v>9626</v>
      </c>
      <c r="B2849" t="s">
        <v>9627</v>
      </c>
      <c r="C2849" t="s">
        <v>589</v>
      </c>
      <c r="D2849" t="s">
        <v>533</v>
      </c>
      <c r="E2849" t="s">
        <v>623</v>
      </c>
      <c r="F2849" t="s">
        <v>624</v>
      </c>
      <c r="G2849" t="s">
        <v>9628</v>
      </c>
      <c r="H2849" t="str">
        <f>HYPERLINK("https://baanknet.com/view-property/223636/8F584B47B42C822D4986D5CBD9AD5055A65216729E0D3B169FB247220CD184A9", "https://baanknet.com/view-property/223636/8F584B47B42C822D4986D5CBD9AD5055A65216729E0D3B169FB247220CD184A9")</f>
        <v>https://baanknet.com/view-property/223636/8F584B47B42C822D4986D5CBD9AD5055A65216729E0D3B169FB247220CD184A9</v>
      </c>
      <c r="I2849" t="str">
        <f>HYPERLINK("https://baanknet.com/view-property/223636/8F584B47B42C822D4986D5CBD9AD5055A65216729E0D3B169FB247220CD184A9", "Open")</f>
        <v>Open</v>
      </c>
      <c r="J2849" t="s">
        <v>3803</v>
      </c>
      <c r="L2849">
        <v>4950000</v>
      </c>
      <c r="M2849">
        <v>495000</v>
      </c>
    </row>
    <row r="2850" spans="1:13" x14ac:dyDescent="0.25">
      <c r="A2850" t="s">
        <v>9629</v>
      </c>
      <c r="B2850" t="s">
        <v>9630</v>
      </c>
      <c r="C2850" t="s">
        <v>589</v>
      </c>
      <c r="D2850" t="s">
        <v>149</v>
      </c>
      <c r="E2850" t="s">
        <v>623</v>
      </c>
      <c r="F2850" t="s">
        <v>624</v>
      </c>
      <c r="G2850" t="s">
        <v>9631</v>
      </c>
      <c r="H2850" t="str">
        <f>HYPERLINK("https://baanknet.com/view-property/287991/6B48B24C814FCFBDA5A812E19D394C06FC0BE5E14B848C59E484C3D2C8E4FECF", "https://baanknet.com/view-property/287991/6B48B24C814FCFBDA5A812E19D394C06FC0BE5E14B848C59E484C3D2C8E4FECF")</f>
        <v>https://baanknet.com/view-property/287991/6B48B24C814FCFBDA5A812E19D394C06FC0BE5E14B848C59E484C3D2C8E4FECF</v>
      </c>
      <c r="I2850" t="str">
        <f>HYPERLINK("https://baanknet.com/view-property/287991/6B48B24C814FCFBDA5A812E19D394C06FC0BE5E14B848C59E484C3D2C8E4FECF", "Open")</f>
        <v>Open</v>
      </c>
      <c r="J2850" t="s">
        <v>3803</v>
      </c>
      <c r="L2850">
        <v>930000</v>
      </c>
      <c r="M2850">
        <v>93000</v>
      </c>
    </row>
    <row r="2851" spans="1:13" x14ac:dyDescent="0.25">
      <c r="A2851" t="s">
        <v>9632</v>
      </c>
      <c r="B2851" t="s">
        <v>9633</v>
      </c>
      <c r="C2851" t="s">
        <v>589</v>
      </c>
      <c r="D2851" t="s">
        <v>157</v>
      </c>
      <c r="E2851" t="s">
        <v>623</v>
      </c>
      <c r="F2851" t="s">
        <v>624</v>
      </c>
      <c r="G2851" t="s">
        <v>9634</v>
      </c>
      <c r="H2851" t="str">
        <f>HYPERLINK("https://baanknet.com/view-property/287949/6F6D75AD2A90B853F1C4F38685B09CD13107376146F9A0108DFE34AC2509A06B", "https://baanknet.com/view-property/287949/6F6D75AD2A90B853F1C4F38685B09CD13107376146F9A0108DFE34AC2509A06B")</f>
        <v>https://baanknet.com/view-property/287949/6F6D75AD2A90B853F1C4F38685B09CD13107376146F9A0108DFE34AC2509A06B</v>
      </c>
      <c r="I2851" t="str">
        <f>HYPERLINK("https://baanknet.com/view-property/287949/6F6D75AD2A90B853F1C4F38685B09CD13107376146F9A0108DFE34AC2509A06B", "Open")</f>
        <v>Open</v>
      </c>
      <c r="J2851" t="s">
        <v>3803</v>
      </c>
      <c r="L2851">
        <v>5336000</v>
      </c>
      <c r="M2851">
        <v>533600</v>
      </c>
    </row>
    <row r="2852" spans="1:13" x14ac:dyDescent="0.25">
      <c r="A2852" t="s">
        <v>9635</v>
      </c>
      <c r="B2852" t="s">
        <v>9636</v>
      </c>
      <c r="C2852" t="s">
        <v>589</v>
      </c>
      <c r="D2852" t="s">
        <v>9321</v>
      </c>
      <c r="E2852" t="s">
        <v>623</v>
      </c>
      <c r="F2852" t="s">
        <v>624</v>
      </c>
      <c r="G2852" t="s">
        <v>9637</v>
      </c>
      <c r="H2852" t="str">
        <f>HYPERLINK("https://baanknet.com/view-property/287997/7FB441BE6C8DF76F71D46A810340CC20309236FDF22023CC6E5C2E1B3B02496F", "https://baanknet.com/view-property/287997/7FB441BE6C8DF76F71D46A810340CC20309236FDF22023CC6E5C2E1B3B02496F")</f>
        <v>https://baanknet.com/view-property/287997/7FB441BE6C8DF76F71D46A810340CC20309236FDF22023CC6E5C2E1B3B02496F</v>
      </c>
      <c r="I2852" t="str">
        <f>HYPERLINK("https://baanknet.com/view-property/287997/7FB441BE6C8DF76F71D46A810340CC20309236FDF22023CC6E5C2E1B3B02496F", "Open")</f>
        <v>Open</v>
      </c>
      <c r="J2852" t="s">
        <v>3803</v>
      </c>
      <c r="L2852">
        <v>2978000</v>
      </c>
      <c r="M2852">
        <v>297800</v>
      </c>
    </row>
    <row r="2853" spans="1:13" x14ac:dyDescent="0.25">
      <c r="A2853" t="s">
        <v>9638</v>
      </c>
      <c r="B2853" t="s">
        <v>9639</v>
      </c>
      <c r="C2853" t="s">
        <v>589</v>
      </c>
      <c r="D2853" t="s">
        <v>1352</v>
      </c>
      <c r="E2853" t="s">
        <v>623</v>
      </c>
      <c r="F2853" t="s">
        <v>624</v>
      </c>
      <c r="G2853" t="s">
        <v>9640</v>
      </c>
      <c r="H2853" t="str">
        <f>HYPERLINK("https://baanknet.com/view-property/246555/D37B160CFB559CE4AC78F1CE8472FBA318C650EC585D94E7609D1DA0307748A8", "https://baanknet.com/view-property/246555/D37B160CFB559CE4AC78F1CE8472FBA318C650EC585D94E7609D1DA0307748A8")</f>
        <v>https://baanknet.com/view-property/246555/D37B160CFB559CE4AC78F1CE8472FBA318C650EC585D94E7609D1DA0307748A8</v>
      </c>
      <c r="I2853" t="str">
        <f>HYPERLINK("https://baanknet.com/view-property/246555/D37B160CFB559CE4AC78F1CE8472FBA318C650EC585D94E7609D1DA0307748A8", "Open")</f>
        <v>Open</v>
      </c>
      <c r="J2853" t="s">
        <v>3803</v>
      </c>
      <c r="L2853">
        <v>1009000</v>
      </c>
      <c r="M2853">
        <v>100900</v>
      </c>
    </row>
    <row r="2854" spans="1:13" x14ac:dyDescent="0.25">
      <c r="A2854" t="s">
        <v>9641</v>
      </c>
      <c r="B2854" t="s">
        <v>9642</v>
      </c>
      <c r="C2854" t="s">
        <v>589</v>
      </c>
      <c r="D2854" t="s">
        <v>853</v>
      </c>
      <c r="E2854" t="s">
        <v>623</v>
      </c>
      <c r="F2854" t="s">
        <v>624</v>
      </c>
      <c r="G2854" t="s">
        <v>9643</v>
      </c>
      <c r="H2854" t="str">
        <f>HYPERLINK("https://baanknet.com/view-property/246571/A2F61F1C8178DCD9B71DF3FCDD16071E94E94AC02BB33A77090D2778E2B02CD8", "https://baanknet.com/view-property/246571/A2F61F1C8178DCD9B71DF3FCDD16071E94E94AC02BB33A77090D2778E2B02CD8")</f>
        <v>https://baanknet.com/view-property/246571/A2F61F1C8178DCD9B71DF3FCDD16071E94E94AC02BB33A77090D2778E2B02CD8</v>
      </c>
      <c r="I2854" t="str">
        <f>HYPERLINK("https://baanknet.com/view-property/246571/A2F61F1C8178DCD9B71DF3FCDD16071E94E94AC02BB33A77090D2778E2B02CD8", "Open")</f>
        <v>Open</v>
      </c>
      <c r="J2854" t="s">
        <v>3803</v>
      </c>
      <c r="L2854">
        <v>1717000</v>
      </c>
      <c r="M2854">
        <v>171700</v>
      </c>
    </row>
    <row r="2855" spans="1:13" x14ac:dyDescent="0.25">
      <c r="A2855" t="s">
        <v>9644</v>
      </c>
      <c r="B2855" t="s">
        <v>9645</v>
      </c>
      <c r="C2855" t="s">
        <v>589</v>
      </c>
      <c r="D2855" t="s">
        <v>6711</v>
      </c>
      <c r="E2855" t="s">
        <v>623</v>
      </c>
      <c r="F2855" t="s">
        <v>624</v>
      </c>
      <c r="G2855" t="s">
        <v>9646</v>
      </c>
      <c r="H2855" t="str">
        <f>HYPERLINK("https://baanknet.com/view-property/287962/180D860C9F99D6F43B38D547E213E652D40255CF03A8ABFA865075ED980F9D76", "https://baanknet.com/view-property/287962/180D860C9F99D6F43B38D547E213E652D40255CF03A8ABFA865075ED980F9D76")</f>
        <v>https://baanknet.com/view-property/287962/180D860C9F99D6F43B38D547E213E652D40255CF03A8ABFA865075ED980F9D76</v>
      </c>
      <c r="I2855" t="str">
        <f>HYPERLINK("https://baanknet.com/view-property/287962/180D860C9F99D6F43B38D547E213E652D40255CF03A8ABFA865075ED980F9D76", "Open")</f>
        <v>Open</v>
      </c>
      <c r="J2855" t="s">
        <v>3803</v>
      </c>
      <c r="L2855">
        <v>884000</v>
      </c>
      <c r="M2855">
        <v>88400</v>
      </c>
    </row>
    <row r="2856" spans="1:13" x14ac:dyDescent="0.25">
      <c r="A2856" t="s">
        <v>9647</v>
      </c>
      <c r="B2856" t="s">
        <v>9648</v>
      </c>
      <c r="C2856" t="s">
        <v>589</v>
      </c>
      <c r="D2856" t="s">
        <v>6711</v>
      </c>
      <c r="E2856" t="s">
        <v>623</v>
      </c>
      <c r="F2856" t="s">
        <v>624</v>
      </c>
      <c r="G2856" t="s">
        <v>9649</v>
      </c>
      <c r="H2856" t="str">
        <f>HYPERLINK("https://baanknet.com/view-property/287977/AA7CA8689043AAF0816A3C42D9A5CB0B606E69173B2EFF05EDA9301F49101C8C", "https://baanknet.com/view-property/287977/AA7CA8689043AAF0816A3C42D9A5CB0B606E69173B2EFF05EDA9301F49101C8C")</f>
        <v>https://baanknet.com/view-property/287977/AA7CA8689043AAF0816A3C42D9A5CB0B606E69173B2EFF05EDA9301F49101C8C</v>
      </c>
      <c r="I2856" t="str">
        <f>HYPERLINK("https://baanknet.com/view-property/287977/AA7CA8689043AAF0816A3C42D9A5CB0B606E69173B2EFF05EDA9301F49101C8C", "Open")</f>
        <v>Open</v>
      </c>
      <c r="J2856" t="s">
        <v>3803</v>
      </c>
      <c r="L2856">
        <v>1716000</v>
      </c>
      <c r="M2856">
        <v>171600</v>
      </c>
    </row>
    <row r="2857" spans="1:13" x14ac:dyDescent="0.25">
      <c r="A2857" t="s">
        <v>9650</v>
      </c>
      <c r="B2857" t="s">
        <v>9651</v>
      </c>
      <c r="C2857" t="s">
        <v>589</v>
      </c>
      <c r="D2857" t="s">
        <v>853</v>
      </c>
      <c r="E2857" t="s">
        <v>623</v>
      </c>
      <c r="F2857" t="s">
        <v>624</v>
      </c>
      <c r="G2857" t="s">
        <v>9652</v>
      </c>
      <c r="H2857" t="str">
        <f>HYPERLINK("https://baanknet.com/view-property/246576/38E33431D6C1530D643FB1ECA1712454D4B2A1C7A615F38A55F84DA8511F7AF1", "https://baanknet.com/view-property/246576/38E33431D6C1530D643FB1ECA1712454D4B2A1C7A615F38A55F84DA8511F7AF1")</f>
        <v>https://baanknet.com/view-property/246576/38E33431D6C1530D643FB1ECA1712454D4B2A1C7A615F38A55F84DA8511F7AF1</v>
      </c>
      <c r="I2857" t="str">
        <f>HYPERLINK("https://baanknet.com/view-property/246576/38E33431D6C1530D643FB1ECA1712454D4B2A1C7A615F38A55F84DA8511F7AF1", "Open")</f>
        <v>Open</v>
      </c>
      <c r="J2857" t="s">
        <v>3803</v>
      </c>
      <c r="L2857">
        <v>1615000</v>
      </c>
      <c r="M2857">
        <v>161500</v>
      </c>
    </row>
    <row r="2858" spans="1:13" x14ac:dyDescent="0.25">
      <c r="A2858" t="s">
        <v>9653</v>
      </c>
      <c r="B2858" t="s">
        <v>9654</v>
      </c>
      <c r="C2858" t="s">
        <v>589</v>
      </c>
      <c r="D2858" t="s">
        <v>2163</v>
      </c>
      <c r="E2858" t="s">
        <v>623</v>
      </c>
      <c r="F2858" t="s">
        <v>624</v>
      </c>
      <c r="G2858" t="s">
        <v>9655</v>
      </c>
      <c r="H2858" t="str">
        <f>HYPERLINK("https://baanknet.com/view-property/236566/7ED32D8E4F7AD26AAC1CFDF47B19F6F786CF0FE0E14A67B09FA97DCD3965AD40", "https://baanknet.com/view-property/236566/7ED32D8E4F7AD26AAC1CFDF47B19F6F786CF0FE0E14A67B09FA97DCD3965AD40")</f>
        <v>https://baanknet.com/view-property/236566/7ED32D8E4F7AD26AAC1CFDF47B19F6F786CF0FE0E14A67B09FA97DCD3965AD40</v>
      </c>
      <c r="I2858" t="str">
        <f>HYPERLINK("https://baanknet.com/view-property/236566/7ED32D8E4F7AD26AAC1CFDF47B19F6F786CF0FE0E14A67B09FA97DCD3965AD40", "Open")</f>
        <v>Open</v>
      </c>
      <c r="J2858" t="s">
        <v>3803</v>
      </c>
      <c r="L2858">
        <v>2563000</v>
      </c>
      <c r="M2858">
        <v>256300</v>
      </c>
    </row>
    <row r="2859" spans="1:13" x14ac:dyDescent="0.25">
      <c r="A2859" t="s">
        <v>9656</v>
      </c>
      <c r="B2859" t="s">
        <v>9657</v>
      </c>
      <c r="C2859" t="s">
        <v>589</v>
      </c>
      <c r="D2859" t="s">
        <v>853</v>
      </c>
      <c r="E2859" t="s">
        <v>623</v>
      </c>
      <c r="F2859" t="s">
        <v>624</v>
      </c>
      <c r="G2859" t="s">
        <v>9658</v>
      </c>
      <c r="H2859" t="str">
        <f>HYPERLINK("https://baanknet.com/view-property/236504/CBCB43E1C3F166547C821C287CFD29A50AF2375A93D4253978B77D476E657E2C", "https://baanknet.com/view-property/236504/CBCB43E1C3F166547C821C287CFD29A50AF2375A93D4253978B77D476E657E2C")</f>
        <v>https://baanknet.com/view-property/236504/CBCB43E1C3F166547C821C287CFD29A50AF2375A93D4253978B77D476E657E2C</v>
      </c>
      <c r="I2859" t="str">
        <f>HYPERLINK("https://baanknet.com/view-property/236504/CBCB43E1C3F166547C821C287CFD29A50AF2375A93D4253978B77D476E657E2C", "Open")</f>
        <v>Open</v>
      </c>
      <c r="J2859" t="s">
        <v>3803</v>
      </c>
      <c r="L2859">
        <v>1578000</v>
      </c>
      <c r="M2859">
        <v>157800</v>
      </c>
    </row>
    <row r="2860" spans="1:13" x14ac:dyDescent="0.25">
      <c r="A2860" t="s">
        <v>9659</v>
      </c>
      <c r="B2860" t="s">
        <v>9660</v>
      </c>
      <c r="C2860" t="s">
        <v>589</v>
      </c>
      <c r="D2860" t="s">
        <v>1300</v>
      </c>
      <c r="E2860" t="s">
        <v>623</v>
      </c>
      <c r="F2860" t="s">
        <v>624</v>
      </c>
      <c r="G2860" t="s">
        <v>9661</v>
      </c>
      <c r="H2860" t="str">
        <f>HYPERLINK("https://baanknet.com/view-property/223338/884AE2E6DA02767F76FF4DDD38066638409B1B2E8A6912FA0D81FBBDDC6119FA", "https://baanknet.com/view-property/223338/884AE2E6DA02767F76FF4DDD38066638409B1B2E8A6912FA0D81FBBDDC6119FA")</f>
        <v>https://baanknet.com/view-property/223338/884AE2E6DA02767F76FF4DDD38066638409B1B2E8A6912FA0D81FBBDDC6119FA</v>
      </c>
      <c r="I2860" t="str">
        <f>HYPERLINK("https://baanknet.com/view-property/223338/884AE2E6DA02767F76FF4DDD38066638409B1B2E8A6912FA0D81FBBDDC6119FA", "Open")</f>
        <v>Open</v>
      </c>
      <c r="J2860" t="s">
        <v>3803</v>
      </c>
      <c r="L2860">
        <v>3490000</v>
      </c>
      <c r="M2860">
        <v>349000</v>
      </c>
    </row>
    <row r="2861" spans="1:13" x14ac:dyDescent="0.25">
      <c r="A2861" t="s">
        <v>9662</v>
      </c>
      <c r="B2861" t="s">
        <v>9663</v>
      </c>
      <c r="C2861" t="s">
        <v>589</v>
      </c>
      <c r="D2861" t="s">
        <v>553</v>
      </c>
      <c r="E2861" t="s">
        <v>623</v>
      </c>
      <c r="F2861" t="s">
        <v>624</v>
      </c>
      <c r="G2861" t="s">
        <v>9664</v>
      </c>
      <c r="H2861" t="str">
        <f>HYPERLINK("https://baanknet.com/view-property/246164/C9C1AEA4A4EF27FEABDD6CBBA6B7DFF2670472C67171D16D631CF1F4298CA600", "https://baanknet.com/view-property/246164/C9C1AEA4A4EF27FEABDD6CBBA6B7DFF2670472C67171D16D631CF1F4298CA600")</f>
        <v>https://baanknet.com/view-property/246164/C9C1AEA4A4EF27FEABDD6CBBA6B7DFF2670472C67171D16D631CF1F4298CA600</v>
      </c>
      <c r="I2861" t="str">
        <f>HYPERLINK("https://baanknet.com/view-property/246164/C9C1AEA4A4EF27FEABDD6CBBA6B7DFF2670472C67171D16D631CF1F4298CA600", "Open")</f>
        <v>Open</v>
      </c>
      <c r="J2861" t="s">
        <v>3803</v>
      </c>
      <c r="L2861">
        <v>1949000</v>
      </c>
      <c r="M2861">
        <v>194900</v>
      </c>
    </row>
    <row r="2862" spans="1:13" x14ac:dyDescent="0.25">
      <c r="A2862" t="s">
        <v>9665</v>
      </c>
      <c r="B2862" t="s">
        <v>9666</v>
      </c>
      <c r="C2862" t="s">
        <v>589</v>
      </c>
      <c r="D2862" t="s">
        <v>6711</v>
      </c>
      <c r="E2862" t="s">
        <v>623</v>
      </c>
      <c r="F2862" t="s">
        <v>624</v>
      </c>
      <c r="G2862" t="s">
        <v>9667</v>
      </c>
      <c r="H2862" t="str">
        <f>HYPERLINK("https://baanknet.com/view-property/65288/0B92A7CA7279DE8515CC4A4B2ED9998040D7DEFB31371A437CD1232A880DA7B3", "https://baanknet.com/view-property/65288/0B92A7CA7279DE8515CC4A4B2ED9998040D7DEFB31371A437CD1232A880DA7B3")</f>
        <v>https://baanknet.com/view-property/65288/0B92A7CA7279DE8515CC4A4B2ED9998040D7DEFB31371A437CD1232A880DA7B3</v>
      </c>
      <c r="I2862" t="str">
        <f>HYPERLINK("https://baanknet.com/view-property/65288/0B92A7CA7279DE8515CC4A4B2ED9998040D7DEFB31371A437CD1232A880DA7B3", "Open")</f>
        <v>Open</v>
      </c>
      <c r="J2862" t="s">
        <v>3803</v>
      </c>
    </row>
    <row r="2863" spans="1:13" x14ac:dyDescent="0.25">
      <c r="A2863" t="s">
        <v>9668</v>
      </c>
      <c r="B2863" t="s">
        <v>9669</v>
      </c>
      <c r="C2863" t="s">
        <v>589</v>
      </c>
      <c r="D2863" t="s">
        <v>4430</v>
      </c>
      <c r="E2863" t="s">
        <v>623</v>
      </c>
      <c r="F2863" t="s">
        <v>624</v>
      </c>
      <c r="G2863" t="s">
        <v>9670</v>
      </c>
      <c r="H2863" t="str">
        <f>HYPERLINK("https://baanknet.com/view-property/260623/54436AA6AACB35129A79E3B07D638BB1BC7FFA27D9B78FD8A5D99E17B8C84C1F", "https://baanknet.com/view-property/260623/54436AA6AACB35129A79E3B07D638BB1BC7FFA27D9B78FD8A5D99E17B8C84C1F")</f>
        <v>https://baanknet.com/view-property/260623/54436AA6AACB35129A79E3B07D638BB1BC7FFA27D9B78FD8A5D99E17B8C84C1F</v>
      </c>
      <c r="I2863" t="str">
        <f>HYPERLINK("https://baanknet.com/view-property/260623/54436AA6AACB35129A79E3B07D638BB1BC7FFA27D9B78FD8A5D99E17B8C84C1F", "Open")</f>
        <v>Open</v>
      </c>
      <c r="J2863" t="s">
        <v>3803</v>
      </c>
      <c r="L2863">
        <v>34740000</v>
      </c>
      <c r="M2863">
        <v>3474000</v>
      </c>
    </row>
    <row r="2864" spans="1:13" x14ac:dyDescent="0.25">
      <c r="A2864" t="s">
        <v>9671</v>
      </c>
      <c r="B2864" t="s">
        <v>9672</v>
      </c>
      <c r="C2864" t="s">
        <v>589</v>
      </c>
      <c r="D2864" t="s">
        <v>1246</v>
      </c>
      <c r="E2864" t="s">
        <v>623</v>
      </c>
      <c r="F2864" t="s">
        <v>624</v>
      </c>
      <c r="G2864" t="s">
        <v>9673</v>
      </c>
      <c r="H2864" t="str">
        <f>HYPERLINK("https://baanknet.com/view-property/281796/246E50BE723225AB41420383998B58670FFEA56F1B968934DAC4602C52B9D412", "https://baanknet.com/view-property/281796/246E50BE723225AB41420383998B58670FFEA56F1B968934DAC4602C52B9D412")</f>
        <v>https://baanknet.com/view-property/281796/246E50BE723225AB41420383998B58670FFEA56F1B968934DAC4602C52B9D412</v>
      </c>
      <c r="I2864" t="str">
        <f>HYPERLINK("https://baanknet.com/view-property/281796/246E50BE723225AB41420383998B58670FFEA56F1B968934DAC4602C52B9D412", "Open")</f>
        <v>Open</v>
      </c>
      <c r="J2864" t="s">
        <v>3803</v>
      </c>
      <c r="L2864">
        <v>4000000</v>
      </c>
      <c r="M2864">
        <v>400000</v>
      </c>
    </row>
    <row r="2865" spans="1:13" x14ac:dyDescent="0.25">
      <c r="A2865" t="s">
        <v>9674</v>
      </c>
      <c r="B2865" t="s">
        <v>9675</v>
      </c>
      <c r="C2865" t="s">
        <v>589</v>
      </c>
      <c r="D2865" t="s">
        <v>1246</v>
      </c>
      <c r="E2865" t="s">
        <v>623</v>
      </c>
      <c r="F2865" t="s">
        <v>624</v>
      </c>
      <c r="G2865" t="s">
        <v>9676</v>
      </c>
      <c r="H2865" t="str">
        <f>HYPERLINK("https://baanknet.com/view-property/274729/4E53ADF1390181057C64C83A7247D62E74E235A87B27E289AF8F773E4CB33E63", "https://baanknet.com/view-property/274729/4E53ADF1390181057C64C83A7247D62E74E235A87B27E289AF8F773E4CB33E63")</f>
        <v>https://baanknet.com/view-property/274729/4E53ADF1390181057C64C83A7247D62E74E235A87B27E289AF8F773E4CB33E63</v>
      </c>
      <c r="I2865" t="str">
        <f>HYPERLINK("https://baanknet.com/view-property/274729/4E53ADF1390181057C64C83A7247D62E74E235A87B27E289AF8F773E4CB33E63", "Open")</f>
        <v>Open</v>
      </c>
      <c r="J2865" t="s">
        <v>3803</v>
      </c>
      <c r="L2865">
        <v>6000000</v>
      </c>
      <c r="M2865">
        <v>600000</v>
      </c>
    </row>
    <row r="2866" spans="1:13" x14ac:dyDescent="0.25">
      <c r="A2866" t="s">
        <v>9677</v>
      </c>
      <c r="B2866" t="s">
        <v>9678</v>
      </c>
      <c r="C2866" t="s">
        <v>589</v>
      </c>
      <c r="D2866" t="s">
        <v>1246</v>
      </c>
      <c r="E2866" t="s">
        <v>623</v>
      </c>
      <c r="F2866" t="s">
        <v>624</v>
      </c>
      <c r="G2866" t="s">
        <v>9679</v>
      </c>
      <c r="H2866" t="str">
        <f>HYPERLINK("https://baanknet.com/view-property/252800/78D483715634E08DFEA4D2591F1377F05C7E6C53C5448F4F578F39714B1D47F7", "https://baanknet.com/view-property/252800/78D483715634E08DFEA4D2591F1377F05C7E6C53C5448F4F578F39714B1D47F7")</f>
        <v>https://baanknet.com/view-property/252800/78D483715634E08DFEA4D2591F1377F05C7E6C53C5448F4F578F39714B1D47F7</v>
      </c>
      <c r="I2866" t="str">
        <f>HYPERLINK("https://baanknet.com/view-property/252800/78D483715634E08DFEA4D2591F1377F05C7E6C53C5448F4F578F39714B1D47F7", "Open")</f>
        <v>Open</v>
      </c>
      <c r="J2866" t="s">
        <v>3803</v>
      </c>
      <c r="L2866">
        <v>1500000</v>
      </c>
      <c r="M2866">
        <v>150000</v>
      </c>
    </row>
    <row r="2867" spans="1:13" x14ac:dyDescent="0.25">
      <c r="A2867" t="s">
        <v>9680</v>
      </c>
      <c r="B2867" t="s">
        <v>9681</v>
      </c>
      <c r="C2867" t="s">
        <v>589</v>
      </c>
      <c r="D2867" t="s">
        <v>1246</v>
      </c>
      <c r="E2867" t="s">
        <v>623</v>
      </c>
      <c r="F2867" t="s">
        <v>624</v>
      </c>
      <c r="G2867" t="s">
        <v>9682</v>
      </c>
      <c r="H2867" t="str">
        <f>HYPERLINK("https://baanknet.com/view-property/281790/31E571E51C43BFF86E9AF1EC2E2F2BCCEFE863E49BDDB511FFFF829FD7C57C53", "https://baanknet.com/view-property/281790/31E571E51C43BFF86E9AF1EC2E2F2BCCEFE863E49BDDB511FFFF829FD7C57C53")</f>
        <v>https://baanknet.com/view-property/281790/31E571E51C43BFF86E9AF1EC2E2F2BCCEFE863E49BDDB511FFFF829FD7C57C53</v>
      </c>
      <c r="I2867" t="str">
        <f>HYPERLINK("https://baanknet.com/view-property/281790/31E571E51C43BFF86E9AF1EC2E2F2BCCEFE863E49BDDB511FFFF829FD7C57C53", "Open")</f>
        <v>Open</v>
      </c>
      <c r="J2867" t="s">
        <v>3803</v>
      </c>
      <c r="L2867">
        <v>3600000</v>
      </c>
      <c r="M2867">
        <v>360000</v>
      </c>
    </row>
    <row r="2868" spans="1:13" x14ac:dyDescent="0.25">
      <c r="A2868" t="s">
        <v>9683</v>
      </c>
      <c r="B2868" t="s">
        <v>9684</v>
      </c>
      <c r="C2868" t="s">
        <v>589</v>
      </c>
      <c r="D2868" t="s">
        <v>853</v>
      </c>
      <c r="E2868" t="s">
        <v>623</v>
      </c>
      <c r="F2868" t="s">
        <v>624</v>
      </c>
      <c r="G2868" t="s">
        <v>9685</v>
      </c>
      <c r="H2868" t="str">
        <f>HYPERLINK("https://baanknet.com/view-property/267357/1AAFEB733B867C489D142B2F30084C4DAF67165462BA34F7865F677501D32BA4", "https://baanknet.com/view-property/267357/1AAFEB733B867C489D142B2F30084C4DAF67165462BA34F7865F677501D32BA4")</f>
        <v>https://baanknet.com/view-property/267357/1AAFEB733B867C489D142B2F30084C4DAF67165462BA34F7865F677501D32BA4</v>
      </c>
      <c r="I2868" t="str">
        <f>HYPERLINK("https://baanknet.com/view-property/267357/1AAFEB733B867C489D142B2F30084C4DAF67165462BA34F7865F677501D32BA4", "Open")</f>
        <v>Open</v>
      </c>
      <c r="J2868" t="s">
        <v>3803</v>
      </c>
      <c r="L2868">
        <v>3030000</v>
      </c>
      <c r="M2868">
        <v>303000</v>
      </c>
    </row>
    <row r="2869" spans="1:13" x14ac:dyDescent="0.25">
      <c r="A2869" t="s">
        <v>9686</v>
      </c>
      <c r="B2869" t="s">
        <v>9687</v>
      </c>
      <c r="C2869" t="s">
        <v>589</v>
      </c>
      <c r="D2869" t="s">
        <v>1310</v>
      </c>
      <c r="E2869" t="s">
        <v>623</v>
      </c>
      <c r="F2869" t="s">
        <v>624</v>
      </c>
      <c r="G2869" t="s">
        <v>9688</v>
      </c>
      <c r="H2869" t="str">
        <f>HYPERLINK("https://baanknet.com/view-property/268983/9F6A1AC3076D45BFD1DD75F29739899192A4CED04A03C571B7D276F2BD4C33CA", "https://baanknet.com/view-property/268983/9F6A1AC3076D45BFD1DD75F29739899192A4CED04A03C571B7D276F2BD4C33CA")</f>
        <v>https://baanknet.com/view-property/268983/9F6A1AC3076D45BFD1DD75F29739899192A4CED04A03C571B7D276F2BD4C33CA</v>
      </c>
      <c r="I2869" t="str">
        <f>HYPERLINK("https://baanknet.com/view-property/268983/9F6A1AC3076D45BFD1DD75F29739899192A4CED04A03C571B7D276F2BD4C33CA", "Open")</f>
        <v>Open</v>
      </c>
      <c r="J2869" t="s">
        <v>3803</v>
      </c>
      <c r="L2869">
        <v>17300000</v>
      </c>
      <c r="M2869">
        <v>1730000</v>
      </c>
    </row>
    <row r="2870" spans="1:13" x14ac:dyDescent="0.25">
      <c r="A2870" t="s">
        <v>9689</v>
      </c>
      <c r="B2870" t="s">
        <v>9690</v>
      </c>
      <c r="C2870" t="s">
        <v>589</v>
      </c>
      <c r="D2870" t="s">
        <v>710</v>
      </c>
      <c r="E2870" t="s">
        <v>623</v>
      </c>
      <c r="F2870" t="s">
        <v>624</v>
      </c>
      <c r="G2870" t="s">
        <v>9691</v>
      </c>
      <c r="H2870" t="str">
        <f>HYPERLINK("https://baanknet.com/view-property/268046/EF0D15FBC487A256EC1F2C9C6293BCDF974117C88EEAEE847E9A7CC2FD1BB905", "https://baanknet.com/view-property/268046/EF0D15FBC487A256EC1F2C9C6293BCDF974117C88EEAEE847E9A7CC2FD1BB905")</f>
        <v>https://baanknet.com/view-property/268046/EF0D15FBC487A256EC1F2C9C6293BCDF974117C88EEAEE847E9A7CC2FD1BB905</v>
      </c>
      <c r="I2870" t="str">
        <f>HYPERLINK("https://baanknet.com/view-property/268046/EF0D15FBC487A256EC1F2C9C6293BCDF974117C88EEAEE847E9A7CC2FD1BB905", "Open")</f>
        <v>Open</v>
      </c>
      <c r="J2870" t="s">
        <v>3803</v>
      </c>
      <c r="L2870">
        <v>8900000</v>
      </c>
      <c r="M2870">
        <v>890000</v>
      </c>
    </row>
    <row r="2871" spans="1:13" x14ac:dyDescent="0.25">
      <c r="A2871" t="s">
        <v>9692</v>
      </c>
      <c r="B2871" t="s">
        <v>9693</v>
      </c>
      <c r="C2871" t="s">
        <v>589</v>
      </c>
      <c r="D2871" t="s">
        <v>1619</v>
      </c>
      <c r="E2871" t="s">
        <v>623</v>
      </c>
      <c r="F2871" t="s">
        <v>7752</v>
      </c>
      <c r="G2871" t="s">
        <v>9694</v>
      </c>
      <c r="H2871" t="str">
        <f>HYPERLINK("https://baanknet.com/view-property/203932/45861F5CD0483EB6B25779024EAD416D5F240F9D0CE3D7D68596ADD6D197AAF2", "https://baanknet.com/view-property/203932/45861F5CD0483EB6B25779024EAD416D5F240F9D0CE3D7D68596ADD6D197AAF2")</f>
        <v>https://baanknet.com/view-property/203932/45861F5CD0483EB6B25779024EAD416D5F240F9D0CE3D7D68596ADD6D197AAF2</v>
      </c>
      <c r="I2871" t="str">
        <f>HYPERLINK("https://baanknet.com/view-property/203932/45861F5CD0483EB6B25779024EAD416D5F240F9D0CE3D7D68596ADD6D197AAF2", "Open")</f>
        <v>Open</v>
      </c>
      <c r="J2871" t="s">
        <v>3803</v>
      </c>
      <c r="L2871">
        <v>935000</v>
      </c>
      <c r="M2871">
        <v>93500</v>
      </c>
    </row>
    <row r="2872" spans="1:13" x14ac:dyDescent="0.25">
      <c r="A2872" t="s">
        <v>9695</v>
      </c>
      <c r="B2872" t="s">
        <v>9696</v>
      </c>
      <c r="C2872" t="s">
        <v>589</v>
      </c>
      <c r="D2872" t="s">
        <v>1619</v>
      </c>
      <c r="E2872" t="s">
        <v>623</v>
      </c>
      <c r="F2872" t="s">
        <v>7752</v>
      </c>
      <c r="G2872" t="s">
        <v>9697</v>
      </c>
      <c r="H2872" t="str">
        <f>HYPERLINK("https://baanknet.com/view-property/90106/3B5546A07942AE300D431E3C67ABB35A0C5E042D48CD1644FC3CAA3B5EF46FBB", "https://baanknet.com/view-property/90106/3B5546A07942AE300D431E3C67ABB35A0C5E042D48CD1644FC3CAA3B5EF46FBB")</f>
        <v>https://baanknet.com/view-property/90106/3B5546A07942AE300D431E3C67ABB35A0C5E042D48CD1644FC3CAA3B5EF46FBB</v>
      </c>
      <c r="I2872" t="str">
        <f>HYPERLINK("https://baanknet.com/view-property/90106/3B5546A07942AE300D431E3C67ABB35A0C5E042D48CD1644FC3CAA3B5EF46FBB", "Open")</f>
        <v>Open</v>
      </c>
      <c r="J2872" t="s">
        <v>3803</v>
      </c>
      <c r="L2872">
        <v>4618000</v>
      </c>
      <c r="M2872">
        <v>461800</v>
      </c>
    </row>
    <row r="2873" spans="1:13" x14ac:dyDescent="0.25">
      <c r="A2873" t="s">
        <v>9698</v>
      </c>
      <c r="B2873" t="s">
        <v>9699</v>
      </c>
      <c r="C2873" t="s">
        <v>589</v>
      </c>
      <c r="D2873" t="s">
        <v>1619</v>
      </c>
      <c r="E2873" t="s">
        <v>623</v>
      </c>
      <c r="F2873" t="s">
        <v>7752</v>
      </c>
      <c r="G2873" t="s">
        <v>9700</v>
      </c>
      <c r="H2873" t="str">
        <f>HYPERLINK("https://baanknet.com/view-property/266477/5E805422F31BFDC52F7226F0DB95EEDAD69995476B31DCF899887875E356EF90", "https://baanknet.com/view-property/266477/5E805422F31BFDC52F7226F0DB95EEDAD69995476B31DCF899887875E356EF90")</f>
        <v>https://baanknet.com/view-property/266477/5E805422F31BFDC52F7226F0DB95EEDAD69995476B31DCF899887875E356EF90</v>
      </c>
      <c r="I2873" t="str">
        <f>HYPERLINK("https://baanknet.com/view-property/266477/5E805422F31BFDC52F7226F0DB95EEDAD69995476B31DCF899887875E356EF90", "Open")</f>
        <v>Open</v>
      </c>
      <c r="J2873" t="s">
        <v>3803</v>
      </c>
      <c r="L2873">
        <v>1706000</v>
      </c>
      <c r="M2873">
        <v>170600</v>
      </c>
    </row>
    <row r="2874" spans="1:13" x14ac:dyDescent="0.25">
      <c r="A2874" t="s">
        <v>9701</v>
      </c>
      <c r="B2874" t="s">
        <v>9702</v>
      </c>
      <c r="C2874" t="s">
        <v>589</v>
      </c>
      <c r="D2874" t="s">
        <v>1619</v>
      </c>
      <c r="E2874" t="s">
        <v>623</v>
      </c>
      <c r="F2874" t="s">
        <v>7752</v>
      </c>
      <c r="G2874" t="s">
        <v>9703</v>
      </c>
      <c r="H2874" t="str">
        <f>HYPERLINK("https://baanknet.com/view-property/216942/C78F63AFEED8CA34903DADDD47F5AA63882B8E5A68CBF09C485A30CC028EF7A3", "https://baanknet.com/view-property/216942/C78F63AFEED8CA34903DADDD47F5AA63882B8E5A68CBF09C485A30CC028EF7A3")</f>
        <v>https://baanknet.com/view-property/216942/C78F63AFEED8CA34903DADDD47F5AA63882B8E5A68CBF09C485A30CC028EF7A3</v>
      </c>
      <c r="I2874" t="str">
        <f>HYPERLINK("https://baanknet.com/view-property/216942/C78F63AFEED8CA34903DADDD47F5AA63882B8E5A68CBF09C485A30CC028EF7A3", "Open")</f>
        <v>Open</v>
      </c>
      <c r="J2874" t="s">
        <v>3803</v>
      </c>
      <c r="L2874">
        <v>721000</v>
      </c>
      <c r="M2874">
        <v>72100</v>
      </c>
    </row>
    <row r="2875" spans="1:13" x14ac:dyDescent="0.25">
      <c r="A2875" t="s">
        <v>9704</v>
      </c>
      <c r="B2875" t="s">
        <v>9705</v>
      </c>
      <c r="C2875" t="s">
        <v>589</v>
      </c>
      <c r="D2875" t="s">
        <v>282</v>
      </c>
      <c r="E2875" t="s">
        <v>623</v>
      </c>
      <c r="F2875" t="s">
        <v>7752</v>
      </c>
      <c r="G2875" t="s">
        <v>9706</v>
      </c>
      <c r="H2875" t="str">
        <f>HYPERLINK("https://baanknet.com/view-property/281820/F065A3787745AC8CED61AF43F0F9EAB8335BEACFD482116B42E8CCAA663F14BF", "https://baanknet.com/view-property/281820/F065A3787745AC8CED61AF43F0F9EAB8335BEACFD482116B42E8CCAA663F14BF")</f>
        <v>https://baanknet.com/view-property/281820/F065A3787745AC8CED61AF43F0F9EAB8335BEACFD482116B42E8CCAA663F14BF</v>
      </c>
      <c r="I2875" t="str">
        <f>HYPERLINK("https://baanknet.com/view-property/281820/F065A3787745AC8CED61AF43F0F9EAB8335BEACFD482116B42E8CCAA663F14BF", "Open")</f>
        <v>Open</v>
      </c>
      <c r="J2875" t="s">
        <v>3803</v>
      </c>
      <c r="L2875">
        <v>4500000</v>
      </c>
      <c r="M2875">
        <v>450000</v>
      </c>
    </row>
    <row r="2876" spans="1:13" x14ac:dyDescent="0.25">
      <c r="A2876" t="s">
        <v>9707</v>
      </c>
      <c r="B2876" t="s">
        <v>9708</v>
      </c>
      <c r="C2876" t="s">
        <v>589</v>
      </c>
      <c r="D2876" t="s">
        <v>9709</v>
      </c>
      <c r="E2876" t="s">
        <v>623</v>
      </c>
      <c r="F2876" t="s">
        <v>7752</v>
      </c>
      <c r="G2876" t="s">
        <v>9710</v>
      </c>
      <c r="H2876" t="str">
        <f>HYPERLINK("https://baanknet.com/view-property/258661/973F9D574606EE1656A908EA66CCB177C6B6DDE780929E46DE447E0630DCACB8", "https://baanknet.com/view-property/258661/973F9D574606EE1656A908EA66CCB177C6B6DDE780929E46DE447E0630DCACB8")</f>
        <v>https://baanknet.com/view-property/258661/973F9D574606EE1656A908EA66CCB177C6B6DDE780929E46DE447E0630DCACB8</v>
      </c>
      <c r="I2876" t="str">
        <f>HYPERLINK("https://baanknet.com/view-property/258661/973F9D574606EE1656A908EA66CCB177C6B6DDE780929E46DE447E0630DCACB8", "Open")</f>
        <v>Open</v>
      </c>
      <c r="J2876" t="s">
        <v>3803</v>
      </c>
      <c r="L2876">
        <v>1600000</v>
      </c>
      <c r="M2876">
        <v>160000</v>
      </c>
    </row>
    <row r="2877" spans="1:13" x14ac:dyDescent="0.25">
      <c r="A2877" t="s">
        <v>9711</v>
      </c>
      <c r="B2877" t="s">
        <v>9712</v>
      </c>
      <c r="C2877" t="s">
        <v>589</v>
      </c>
      <c r="D2877" t="s">
        <v>9709</v>
      </c>
      <c r="E2877" t="s">
        <v>623</v>
      </c>
      <c r="F2877" t="s">
        <v>7752</v>
      </c>
      <c r="G2877" t="s">
        <v>9713</v>
      </c>
      <c r="H2877" t="str">
        <f>HYPERLINK("https://baanknet.com/view-property/258769/56C7F990C0F72CF5A5B185064044DC92862B87DCB48FA66D817186BF2B885A96", "https://baanknet.com/view-property/258769/56C7F990C0F72CF5A5B185064044DC92862B87DCB48FA66D817186BF2B885A96")</f>
        <v>https://baanknet.com/view-property/258769/56C7F990C0F72CF5A5B185064044DC92862B87DCB48FA66D817186BF2B885A96</v>
      </c>
      <c r="I2877" t="str">
        <f>HYPERLINK("https://baanknet.com/view-property/258769/56C7F990C0F72CF5A5B185064044DC92862B87DCB48FA66D817186BF2B885A96", "Open")</f>
        <v>Open</v>
      </c>
      <c r="J2877" t="s">
        <v>3803</v>
      </c>
      <c r="L2877">
        <v>200000</v>
      </c>
      <c r="M2877">
        <v>20000</v>
      </c>
    </row>
    <row r="2878" spans="1:13" x14ac:dyDescent="0.25">
      <c r="A2878" t="s">
        <v>9714</v>
      </c>
      <c r="B2878" t="s">
        <v>9715</v>
      </c>
      <c r="C2878" t="s">
        <v>589</v>
      </c>
      <c r="D2878" t="s">
        <v>9709</v>
      </c>
      <c r="E2878" t="s">
        <v>623</v>
      </c>
      <c r="F2878" t="s">
        <v>7752</v>
      </c>
      <c r="G2878" t="s">
        <v>9716</v>
      </c>
      <c r="H2878" t="str">
        <f>HYPERLINK("https://baanknet.com/view-property/258832/26FB1E13296C76EB07BFBCC32B40703F5CC6AFEC7109A11D69AA27B5556E5298", "https://baanknet.com/view-property/258832/26FB1E13296C76EB07BFBCC32B40703F5CC6AFEC7109A11D69AA27B5556E5298")</f>
        <v>https://baanknet.com/view-property/258832/26FB1E13296C76EB07BFBCC32B40703F5CC6AFEC7109A11D69AA27B5556E5298</v>
      </c>
      <c r="I2878" t="str">
        <f>HYPERLINK("https://baanknet.com/view-property/258832/26FB1E13296C76EB07BFBCC32B40703F5CC6AFEC7109A11D69AA27B5556E5298", "Open")</f>
        <v>Open</v>
      </c>
      <c r="J2878" t="s">
        <v>3803</v>
      </c>
      <c r="L2878">
        <v>1700000</v>
      </c>
      <c r="M2878">
        <v>170000</v>
      </c>
    </row>
    <row r="2879" spans="1:13" x14ac:dyDescent="0.25">
      <c r="A2879" t="s">
        <v>9717</v>
      </c>
      <c r="B2879" t="s">
        <v>9718</v>
      </c>
      <c r="C2879" t="s">
        <v>589</v>
      </c>
      <c r="D2879" t="s">
        <v>9709</v>
      </c>
      <c r="E2879" t="s">
        <v>623</v>
      </c>
      <c r="F2879" t="s">
        <v>7752</v>
      </c>
      <c r="G2879" t="s">
        <v>9719</v>
      </c>
      <c r="H2879" t="str">
        <f>HYPERLINK("https://baanknet.com/view-property/258781/ED560238DD1C43835FF38C9FFDEF6586157583BA6B4E0CD628CE02A81EF9E40F", "https://baanknet.com/view-property/258781/ED560238DD1C43835FF38C9FFDEF6586157583BA6B4E0CD628CE02A81EF9E40F")</f>
        <v>https://baanknet.com/view-property/258781/ED560238DD1C43835FF38C9FFDEF6586157583BA6B4E0CD628CE02A81EF9E40F</v>
      </c>
      <c r="I2879" t="str">
        <f>HYPERLINK("https://baanknet.com/view-property/258781/ED560238DD1C43835FF38C9FFDEF6586157583BA6B4E0CD628CE02A81EF9E40F", "Open")</f>
        <v>Open</v>
      </c>
      <c r="J2879" t="s">
        <v>3803</v>
      </c>
      <c r="L2879">
        <v>1600000</v>
      </c>
      <c r="M2879">
        <v>160000</v>
      </c>
    </row>
    <row r="2880" spans="1:13" x14ac:dyDescent="0.25">
      <c r="A2880" t="s">
        <v>9720</v>
      </c>
      <c r="B2880" t="s">
        <v>9721</v>
      </c>
      <c r="C2880" t="s">
        <v>589</v>
      </c>
      <c r="D2880" t="s">
        <v>9709</v>
      </c>
      <c r="E2880" t="s">
        <v>623</v>
      </c>
      <c r="F2880" t="s">
        <v>7752</v>
      </c>
      <c r="G2880" t="s">
        <v>9722</v>
      </c>
      <c r="H2880" t="str">
        <f>HYPERLINK("https://baanknet.com/view-property/258795/195941C26ECB5AE3A375DA553D15E47FE0FD6B3063BC0EEFFE986FE48764FBF3", "https://baanknet.com/view-property/258795/195941C26ECB5AE3A375DA553D15E47FE0FD6B3063BC0EEFFE986FE48764FBF3")</f>
        <v>https://baanknet.com/view-property/258795/195941C26ECB5AE3A375DA553D15E47FE0FD6B3063BC0EEFFE986FE48764FBF3</v>
      </c>
      <c r="I2880" t="str">
        <f>HYPERLINK("https://baanknet.com/view-property/258795/195941C26ECB5AE3A375DA553D15E47FE0FD6B3063BC0EEFFE986FE48764FBF3", "Open")</f>
        <v>Open</v>
      </c>
      <c r="J2880" t="s">
        <v>3803</v>
      </c>
      <c r="L2880">
        <v>1000000</v>
      </c>
      <c r="M2880">
        <v>100000</v>
      </c>
    </row>
    <row r="2881" spans="1:13" x14ac:dyDescent="0.25">
      <c r="A2881" t="s">
        <v>9723</v>
      </c>
      <c r="B2881" t="s">
        <v>9724</v>
      </c>
      <c r="C2881" t="s">
        <v>589</v>
      </c>
      <c r="D2881" t="s">
        <v>9709</v>
      </c>
      <c r="E2881" t="s">
        <v>623</v>
      </c>
      <c r="F2881" t="s">
        <v>7752</v>
      </c>
      <c r="G2881" t="s">
        <v>9725</v>
      </c>
      <c r="H2881" t="str">
        <f>HYPERLINK("https://baanknet.com/view-property/258862/B44C9FC515B46A541ADC60ED9272A6746EB47CC2FD388C5B3B64E3D001496CB2", "https://baanknet.com/view-property/258862/B44C9FC515B46A541ADC60ED9272A6746EB47CC2FD388C5B3B64E3D001496CB2")</f>
        <v>https://baanknet.com/view-property/258862/B44C9FC515B46A541ADC60ED9272A6746EB47CC2FD388C5B3B64E3D001496CB2</v>
      </c>
      <c r="I2881" t="str">
        <f>HYPERLINK("https://baanknet.com/view-property/258862/B44C9FC515B46A541ADC60ED9272A6746EB47CC2FD388C5B3B64E3D001496CB2", "Open")</f>
        <v>Open</v>
      </c>
      <c r="J2881" t="s">
        <v>3803</v>
      </c>
      <c r="L2881">
        <v>1000000</v>
      </c>
      <c r="M2881">
        <v>100000</v>
      </c>
    </row>
    <row r="2882" spans="1:13" x14ac:dyDescent="0.25">
      <c r="A2882" t="s">
        <v>9726</v>
      </c>
      <c r="B2882" t="s">
        <v>9727</v>
      </c>
      <c r="C2882" t="s">
        <v>589</v>
      </c>
      <c r="D2882" t="s">
        <v>9709</v>
      </c>
      <c r="E2882" t="s">
        <v>623</v>
      </c>
      <c r="F2882" t="s">
        <v>7752</v>
      </c>
      <c r="G2882" t="s">
        <v>9728</v>
      </c>
      <c r="H2882" t="str">
        <f>HYPERLINK("https://baanknet.com/view-property/258890/885631A5DC5EA707FC9C1DAEAA307A5868DD7318FE8052147B1A24B944BE6E90", "https://baanknet.com/view-property/258890/885631A5DC5EA707FC9C1DAEAA307A5868DD7318FE8052147B1A24B944BE6E90")</f>
        <v>https://baanknet.com/view-property/258890/885631A5DC5EA707FC9C1DAEAA307A5868DD7318FE8052147B1A24B944BE6E90</v>
      </c>
      <c r="I2882" t="str">
        <f>HYPERLINK("https://baanknet.com/view-property/258890/885631A5DC5EA707FC9C1DAEAA307A5868DD7318FE8052147B1A24B944BE6E90", "Open")</f>
        <v>Open</v>
      </c>
      <c r="J2882" t="s">
        <v>3803</v>
      </c>
      <c r="L2882">
        <v>1300000</v>
      </c>
      <c r="M2882">
        <v>130000</v>
      </c>
    </row>
    <row r="2883" spans="1:13" x14ac:dyDescent="0.25">
      <c r="A2883" t="s">
        <v>9729</v>
      </c>
      <c r="B2883" t="s">
        <v>9730</v>
      </c>
      <c r="C2883" t="s">
        <v>589</v>
      </c>
      <c r="D2883" t="s">
        <v>9709</v>
      </c>
      <c r="E2883" t="s">
        <v>623</v>
      </c>
      <c r="F2883" t="s">
        <v>7752</v>
      </c>
      <c r="G2883" t="s">
        <v>9731</v>
      </c>
      <c r="H2883" t="str">
        <f>HYPERLINK("https://baanknet.com/view-property/256294/EB32CFF6DCD879F3BAEDBC71B2BBF9AC8CD9B9DCAEE36BF5A52C5DF9ED062CE2", "https://baanknet.com/view-property/256294/EB32CFF6DCD879F3BAEDBC71B2BBF9AC8CD9B9DCAEE36BF5A52C5DF9ED062CE2")</f>
        <v>https://baanknet.com/view-property/256294/EB32CFF6DCD879F3BAEDBC71B2BBF9AC8CD9B9DCAEE36BF5A52C5DF9ED062CE2</v>
      </c>
      <c r="I2883" t="str">
        <f>HYPERLINK("https://baanknet.com/view-property/256294/EB32CFF6DCD879F3BAEDBC71B2BBF9AC8CD9B9DCAEE36BF5A52C5DF9ED062CE2", "Open")</f>
        <v>Open</v>
      </c>
      <c r="J2883" t="s">
        <v>3803</v>
      </c>
      <c r="L2883">
        <v>1200000</v>
      </c>
      <c r="M2883">
        <v>120000</v>
      </c>
    </row>
    <row r="2884" spans="1:13" x14ac:dyDescent="0.25">
      <c r="A2884" t="s">
        <v>9732</v>
      </c>
      <c r="B2884" t="s">
        <v>9733</v>
      </c>
      <c r="C2884" t="s">
        <v>589</v>
      </c>
      <c r="D2884" t="s">
        <v>9709</v>
      </c>
      <c r="E2884" t="s">
        <v>623</v>
      </c>
      <c r="F2884" t="s">
        <v>7752</v>
      </c>
      <c r="G2884" t="s">
        <v>9734</v>
      </c>
      <c r="H2884" t="str">
        <f>HYPERLINK("https://baanknet.com/view-property/258258/31FBA685F3A3EAAA449701EF54D13154439745298AEF7448D5D6770A9241A29D", "https://baanknet.com/view-property/258258/31FBA685F3A3EAAA449701EF54D13154439745298AEF7448D5D6770A9241A29D")</f>
        <v>https://baanknet.com/view-property/258258/31FBA685F3A3EAAA449701EF54D13154439745298AEF7448D5D6770A9241A29D</v>
      </c>
      <c r="I2884" t="str">
        <f>HYPERLINK("https://baanknet.com/view-property/258258/31FBA685F3A3EAAA449701EF54D13154439745298AEF7448D5D6770A9241A29D", "Open")</f>
        <v>Open</v>
      </c>
      <c r="J2884" t="s">
        <v>3803</v>
      </c>
      <c r="L2884">
        <v>1050000</v>
      </c>
      <c r="M2884">
        <v>105000</v>
      </c>
    </row>
    <row r="2885" spans="1:13" x14ac:dyDescent="0.25">
      <c r="A2885" t="s">
        <v>9735</v>
      </c>
      <c r="B2885" t="s">
        <v>9736</v>
      </c>
      <c r="C2885" t="s">
        <v>589</v>
      </c>
      <c r="D2885" t="s">
        <v>9709</v>
      </c>
      <c r="E2885" t="s">
        <v>623</v>
      </c>
      <c r="F2885" t="s">
        <v>7752</v>
      </c>
      <c r="G2885" t="s">
        <v>9737</v>
      </c>
      <c r="H2885" t="str">
        <f>HYPERLINK("https://baanknet.com/view-property/258276/F3DDB2F2B5244D3F30EA1B811B35CB2AC4A44DB9A1B826DFA1E7B656FB9705B8", "https://baanknet.com/view-property/258276/F3DDB2F2B5244D3F30EA1B811B35CB2AC4A44DB9A1B826DFA1E7B656FB9705B8")</f>
        <v>https://baanknet.com/view-property/258276/F3DDB2F2B5244D3F30EA1B811B35CB2AC4A44DB9A1B826DFA1E7B656FB9705B8</v>
      </c>
      <c r="I2885" t="str">
        <f>HYPERLINK("https://baanknet.com/view-property/258276/F3DDB2F2B5244D3F30EA1B811B35CB2AC4A44DB9A1B826DFA1E7B656FB9705B8", "Open")</f>
        <v>Open</v>
      </c>
      <c r="J2885" t="s">
        <v>3803</v>
      </c>
      <c r="L2885">
        <v>1100000</v>
      </c>
      <c r="M2885">
        <v>110000</v>
      </c>
    </row>
    <row r="2886" spans="1:13" x14ac:dyDescent="0.25">
      <c r="A2886" t="s">
        <v>9738</v>
      </c>
      <c r="B2886" t="s">
        <v>9739</v>
      </c>
      <c r="C2886" t="s">
        <v>589</v>
      </c>
      <c r="D2886" t="s">
        <v>9709</v>
      </c>
      <c r="E2886" t="s">
        <v>623</v>
      </c>
      <c r="F2886" t="s">
        <v>7752</v>
      </c>
      <c r="G2886" t="s">
        <v>9740</v>
      </c>
      <c r="H2886" t="str">
        <f>HYPERLINK("https://baanknet.com/view-property/258312/B169AAE060B1DE81E126CD32C26958C8C09B46F456C6A2C8993FE7336317755A", "https://baanknet.com/view-property/258312/B169AAE060B1DE81E126CD32C26958C8C09B46F456C6A2C8993FE7336317755A")</f>
        <v>https://baanknet.com/view-property/258312/B169AAE060B1DE81E126CD32C26958C8C09B46F456C6A2C8993FE7336317755A</v>
      </c>
      <c r="I2886" t="str">
        <f>HYPERLINK("https://baanknet.com/view-property/258312/B169AAE060B1DE81E126CD32C26958C8C09B46F456C6A2C8993FE7336317755A", "Open")</f>
        <v>Open</v>
      </c>
      <c r="J2886" t="s">
        <v>3803</v>
      </c>
      <c r="L2886">
        <v>1100000</v>
      </c>
      <c r="M2886">
        <v>110000</v>
      </c>
    </row>
    <row r="2887" spans="1:13" x14ac:dyDescent="0.25">
      <c r="A2887" t="s">
        <v>9741</v>
      </c>
      <c r="B2887" t="s">
        <v>9742</v>
      </c>
      <c r="C2887" t="s">
        <v>589</v>
      </c>
      <c r="D2887" t="s">
        <v>9709</v>
      </c>
      <c r="E2887" t="s">
        <v>623</v>
      </c>
      <c r="F2887" t="s">
        <v>7752</v>
      </c>
      <c r="G2887" t="s">
        <v>9743</v>
      </c>
      <c r="H2887" t="str">
        <f>HYPERLINK("https://baanknet.com/view-property/258334/940E644F2183F5E3E559D002A01D329A9A3A2B131BE4EEE6C18EF502327DA473", "https://baanknet.com/view-property/258334/940E644F2183F5E3E559D002A01D329A9A3A2B131BE4EEE6C18EF502327DA473")</f>
        <v>https://baanknet.com/view-property/258334/940E644F2183F5E3E559D002A01D329A9A3A2B131BE4EEE6C18EF502327DA473</v>
      </c>
      <c r="I2887" t="str">
        <f>HYPERLINK("https://baanknet.com/view-property/258334/940E644F2183F5E3E559D002A01D329A9A3A2B131BE4EEE6C18EF502327DA473", "Open")</f>
        <v>Open</v>
      </c>
      <c r="J2887" t="s">
        <v>3803</v>
      </c>
      <c r="L2887">
        <v>750000</v>
      </c>
      <c r="M2887">
        <v>75000</v>
      </c>
    </row>
    <row r="2888" spans="1:13" x14ac:dyDescent="0.25">
      <c r="A2888" t="s">
        <v>9744</v>
      </c>
      <c r="B2888" t="s">
        <v>9745</v>
      </c>
      <c r="C2888" t="s">
        <v>589</v>
      </c>
      <c r="D2888" t="s">
        <v>9709</v>
      </c>
      <c r="E2888" t="s">
        <v>623</v>
      </c>
      <c r="F2888" t="s">
        <v>7752</v>
      </c>
      <c r="G2888" t="s">
        <v>9746</v>
      </c>
      <c r="H2888" t="str">
        <f>HYPERLINK("https://baanknet.com/view-property/258338/1D8166078D5A86863D3A13424DCF4F2D554ED2CCA6D7A1D65B6855E3884482E9", "https://baanknet.com/view-property/258338/1D8166078D5A86863D3A13424DCF4F2D554ED2CCA6D7A1D65B6855E3884482E9")</f>
        <v>https://baanknet.com/view-property/258338/1D8166078D5A86863D3A13424DCF4F2D554ED2CCA6D7A1D65B6855E3884482E9</v>
      </c>
      <c r="I2888" t="str">
        <f>HYPERLINK("https://baanknet.com/view-property/258338/1D8166078D5A86863D3A13424DCF4F2D554ED2CCA6D7A1D65B6855E3884482E9", "Open")</f>
        <v>Open</v>
      </c>
      <c r="J2888" t="s">
        <v>3803</v>
      </c>
      <c r="L2888">
        <v>2050000</v>
      </c>
      <c r="M2888">
        <v>205000</v>
      </c>
    </row>
    <row r="2889" spans="1:13" x14ac:dyDescent="0.25">
      <c r="A2889" t="s">
        <v>9747</v>
      </c>
      <c r="B2889" t="s">
        <v>9748</v>
      </c>
      <c r="C2889" t="s">
        <v>589</v>
      </c>
      <c r="D2889" t="s">
        <v>9709</v>
      </c>
      <c r="E2889" t="s">
        <v>623</v>
      </c>
      <c r="F2889" t="s">
        <v>7752</v>
      </c>
      <c r="G2889" t="s">
        <v>9749</v>
      </c>
      <c r="H2889" t="str">
        <f>HYPERLINK("https://baanknet.com/view-property/266095/98E5F136AA129362BA5233C3CA977519315174984C033E217D12B2CC51E69D93", "https://baanknet.com/view-property/266095/98E5F136AA129362BA5233C3CA977519315174984C033E217D12B2CC51E69D93")</f>
        <v>https://baanknet.com/view-property/266095/98E5F136AA129362BA5233C3CA977519315174984C033E217D12B2CC51E69D93</v>
      </c>
      <c r="I2889" t="str">
        <f>HYPERLINK("https://baanknet.com/view-property/266095/98E5F136AA129362BA5233C3CA977519315174984C033E217D12B2CC51E69D93", "Open")</f>
        <v>Open</v>
      </c>
      <c r="J2889" t="s">
        <v>3803</v>
      </c>
      <c r="L2889">
        <v>1400000</v>
      </c>
      <c r="M2889">
        <v>140000</v>
      </c>
    </row>
    <row r="2890" spans="1:13" x14ac:dyDescent="0.25">
      <c r="A2890" t="s">
        <v>9750</v>
      </c>
      <c r="B2890" t="s">
        <v>9751</v>
      </c>
      <c r="C2890" t="s">
        <v>589</v>
      </c>
      <c r="D2890" t="s">
        <v>1619</v>
      </c>
      <c r="E2890" t="s">
        <v>623</v>
      </c>
      <c r="F2890" t="s">
        <v>7752</v>
      </c>
      <c r="G2890" t="s">
        <v>9752</v>
      </c>
      <c r="H2890" t="str">
        <f>HYPERLINK("https://baanknet.com/view-property/287009/D8D9B78176DD0C93B8AB511FEEBD1173918D4EDCBC79A78AC66A2B094EAE9EB2", "https://baanknet.com/view-property/287009/D8D9B78176DD0C93B8AB511FEEBD1173918D4EDCBC79A78AC66A2B094EAE9EB2")</f>
        <v>https://baanknet.com/view-property/287009/D8D9B78176DD0C93B8AB511FEEBD1173918D4EDCBC79A78AC66A2B094EAE9EB2</v>
      </c>
      <c r="I2890" t="str">
        <f>HYPERLINK("https://baanknet.com/view-property/287009/D8D9B78176DD0C93B8AB511FEEBD1173918D4EDCBC79A78AC66A2B094EAE9EB2", "Open")</f>
        <v>Open</v>
      </c>
      <c r="J2890" t="s">
        <v>3803</v>
      </c>
      <c r="L2890">
        <v>1680000</v>
      </c>
      <c r="M2890">
        <v>168000</v>
      </c>
    </row>
    <row r="2891" spans="1:13" x14ac:dyDescent="0.25">
      <c r="A2891" t="s">
        <v>9753</v>
      </c>
      <c r="B2891" t="s">
        <v>9754</v>
      </c>
      <c r="C2891" t="s">
        <v>589</v>
      </c>
      <c r="D2891" t="s">
        <v>1619</v>
      </c>
      <c r="E2891" t="s">
        <v>623</v>
      </c>
      <c r="F2891" t="s">
        <v>7752</v>
      </c>
      <c r="G2891" t="s">
        <v>9755</v>
      </c>
      <c r="H2891" t="str">
        <f>HYPERLINK("https://baanknet.com/view-property/286523/386FFEEFD7C3A95953B35912BE5F91AD1D7EBADFDA1A15A4F262F2D36605D7B3", "https://baanknet.com/view-property/286523/386FFEEFD7C3A95953B35912BE5F91AD1D7EBADFDA1A15A4F262F2D36605D7B3")</f>
        <v>https://baanknet.com/view-property/286523/386FFEEFD7C3A95953B35912BE5F91AD1D7EBADFDA1A15A4F262F2D36605D7B3</v>
      </c>
      <c r="I2891" t="str">
        <f>HYPERLINK("https://baanknet.com/view-property/286523/386FFEEFD7C3A95953B35912BE5F91AD1D7EBADFDA1A15A4F262F2D36605D7B3", "Open")</f>
        <v>Open</v>
      </c>
      <c r="J2891" t="s">
        <v>3803</v>
      </c>
      <c r="L2891">
        <v>4672000</v>
      </c>
      <c r="M2891">
        <v>467200</v>
      </c>
    </row>
    <row r="2892" spans="1:13" x14ac:dyDescent="0.25">
      <c r="A2892" t="s">
        <v>9756</v>
      </c>
      <c r="B2892" t="s">
        <v>9757</v>
      </c>
      <c r="C2892" t="s">
        <v>15</v>
      </c>
      <c r="D2892" t="s">
        <v>1602</v>
      </c>
      <c r="E2892" t="s">
        <v>7757</v>
      </c>
      <c r="F2892" t="s">
        <v>636</v>
      </c>
      <c r="G2892" t="s">
        <v>9758</v>
      </c>
      <c r="H2892" t="str">
        <f>HYPERLINK("https://baanknet.com/view-property/285862/737E7EFF546ABBAEC8A755D2F0494C603911AB78F6A410D8D83788B68341902E", "https://baanknet.com/view-property/285862/737E7EFF546ABBAEC8A755D2F0494C603911AB78F6A410D8D83788B68341902E")</f>
        <v>https://baanknet.com/view-property/285862/737E7EFF546ABBAEC8A755D2F0494C603911AB78F6A410D8D83788B68341902E</v>
      </c>
      <c r="I2892" t="str">
        <f>HYPERLINK("https://baanknet.com/view-property/285862/737E7EFF546ABBAEC8A755D2F0494C603911AB78F6A410D8D83788B68341902E", "Open")</f>
        <v>Open</v>
      </c>
      <c r="J2892" t="s">
        <v>3803</v>
      </c>
      <c r="L2892">
        <v>51800000</v>
      </c>
      <c r="M2892">
        <v>5180000</v>
      </c>
    </row>
    <row r="2893" spans="1:13" x14ac:dyDescent="0.25">
      <c r="A2893" t="s">
        <v>9759</v>
      </c>
      <c r="B2893" t="s">
        <v>9760</v>
      </c>
      <c r="C2893" t="s">
        <v>332</v>
      </c>
      <c r="D2893" t="s">
        <v>1246</v>
      </c>
      <c r="E2893" t="s">
        <v>7757</v>
      </c>
      <c r="F2893" t="s">
        <v>636</v>
      </c>
      <c r="G2893" t="s">
        <v>9761</v>
      </c>
      <c r="H2893" t="str">
        <f>HYPERLINK("https://baanknet.com/view-property/285684/ADEFED8F429CF51F09A411EB4605BFD4E210925FCC85B4AAAD023336B3E2DBE7", "https://baanknet.com/view-property/285684/ADEFED8F429CF51F09A411EB4605BFD4E210925FCC85B4AAAD023336B3E2DBE7")</f>
        <v>https://baanknet.com/view-property/285684/ADEFED8F429CF51F09A411EB4605BFD4E210925FCC85B4AAAD023336B3E2DBE7</v>
      </c>
      <c r="I2893" t="str">
        <f>HYPERLINK("https://baanknet.com/view-property/285684/ADEFED8F429CF51F09A411EB4605BFD4E210925FCC85B4AAAD023336B3E2DBE7", "Open")</f>
        <v>Open</v>
      </c>
      <c r="J2893" t="s">
        <v>3803</v>
      </c>
      <c r="L2893">
        <v>8118000</v>
      </c>
      <c r="M2893">
        <v>811800</v>
      </c>
    </row>
    <row r="2894" spans="1:13" x14ac:dyDescent="0.25">
      <c r="A2894" t="s">
        <v>9762</v>
      </c>
      <c r="B2894" t="s">
        <v>9763</v>
      </c>
      <c r="C2894" t="s">
        <v>332</v>
      </c>
      <c r="D2894" t="s">
        <v>1098</v>
      </c>
      <c r="E2894" t="s">
        <v>7757</v>
      </c>
      <c r="F2894" t="s">
        <v>636</v>
      </c>
      <c r="G2894" t="s">
        <v>9764</v>
      </c>
      <c r="H2894" t="str">
        <f>HYPERLINK("https://baanknet.com/view-property/285685/752CA804A404EB04D0296F75F6A06CDE430C62DBD0B3A57B37D2138E18735BD5", "https://baanknet.com/view-property/285685/752CA804A404EB04D0296F75F6A06CDE430C62DBD0B3A57B37D2138E18735BD5")</f>
        <v>https://baanknet.com/view-property/285685/752CA804A404EB04D0296F75F6A06CDE430C62DBD0B3A57B37D2138E18735BD5</v>
      </c>
      <c r="I2894" t="str">
        <f>HYPERLINK("https://baanknet.com/view-property/285685/752CA804A404EB04D0296F75F6A06CDE430C62DBD0B3A57B37D2138E18735BD5", "Open")</f>
        <v>Open</v>
      </c>
      <c r="J2894" t="s">
        <v>3803</v>
      </c>
      <c r="L2894">
        <v>3903000</v>
      </c>
      <c r="M2894">
        <v>390300</v>
      </c>
    </row>
    <row r="2895" spans="1:13" x14ac:dyDescent="0.25">
      <c r="A2895" t="s">
        <v>9765</v>
      </c>
      <c r="B2895" t="s">
        <v>9766</v>
      </c>
      <c r="C2895" t="s">
        <v>332</v>
      </c>
      <c r="D2895" t="s">
        <v>1246</v>
      </c>
      <c r="E2895" t="s">
        <v>7757</v>
      </c>
      <c r="F2895" t="s">
        <v>636</v>
      </c>
      <c r="G2895" t="s">
        <v>9767</v>
      </c>
      <c r="H2895" t="str">
        <f>HYPERLINK("https://baanknet.com/view-property/285686/92CF0673180F1871351382C7447885F07445D42848EC17B3DF3DBBBBAF72192B", "https://baanknet.com/view-property/285686/92CF0673180F1871351382C7447885F07445D42848EC17B3DF3DBBBBAF72192B")</f>
        <v>https://baanknet.com/view-property/285686/92CF0673180F1871351382C7447885F07445D42848EC17B3DF3DBBBBAF72192B</v>
      </c>
      <c r="I2895" t="str">
        <f>HYPERLINK("https://baanknet.com/view-property/285686/92CF0673180F1871351382C7447885F07445D42848EC17B3DF3DBBBBAF72192B", "Open")</f>
        <v>Open</v>
      </c>
      <c r="J2895" t="s">
        <v>3803</v>
      </c>
      <c r="L2895">
        <v>4143000</v>
      </c>
      <c r="M2895">
        <v>414300</v>
      </c>
    </row>
    <row r="2896" spans="1:13" x14ac:dyDescent="0.25">
      <c r="A2896" t="s">
        <v>9768</v>
      </c>
      <c r="B2896" t="s">
        <v>9769</v>
      </c>
      <c r="C2896" t="s">
        <v>332</v>
      </c>
      <c r="D2896" t="s">
        <v>1246</v>
      </c>
      <c r="E2896" t="s">
        <v>7757</v>
      </c>
      <c r="F2896" t="s">
        <v>636</v>
      </c>
      <c r="G2896" t="s">
        <v>9770</v>
      </c>
      <c r="H2896" t="str">
        <f>HYPERLINK("https://baanknet.com/view-property/285689/46E17A5051EF1C4B16519E0907E6FA2CD286854452EC78DB98AAD79025DEA901", "https://baanknet.com/view-property/285689/46E17A5051EF1C4B16519E0907E6FA2CD286854452EC78DB98AAD79025DEA901")</f>
        <v>https://baanknet.com/view-property/285689/46E17A5051EF1C4B16519E0907E6FA2CD286854452EC78DB98AAD79025DEA901</v>
      </c>
      <c r="I2896" t="str">
        <f>HYPERLINK("https://baanknet.com/view-property/285689/46E17A5051EF1C4B16519E0907E6FA2CD286854452EC78DB98AAD79025DEA901", "Open")</f>
        <v>Open</v>
      </c>
      <c r="J2896" t="s">
        <v>3803</v>
      </c>
      <c r="L2896">
        <v>2094000</v>
      </c>
      <c r="M2896">
        <v>209400</v>
      </c>
    </row>
    <row r="2897" spans="1:13" x14ac:dyDescent="0.25">
      <c r="A2897" t="s">
        <v>9771</v>
      </c>
      <c r="B2897" t="s">
        <v>9772</v>
      </c>
      <c r="C2897" t="s">
        <v>332</v>
      </c>
      <c r="D2897" t="s">
        <v>861</v>
      </c>
      <c r="E2897" t="s">
        <v>7757</v>
      </c>
      <c r="F2897" t="s">
        <v>636</v>
      </c>
      <c r="G2897" t="s">
        <v>9773</v>
      </c>
      <c r="H2897" t="str">
        <f>HYPERLINK("https://baanknet.com/view-property/285690/3F29D5B3EAF267B3980E13A6087ACB40265632176E9B49F008A2479B093E7430", "https://baanknet.com/view-property/285690/3F29D5B3EAF267B3980E13A6087ACB40265632176E9B49F008A2479B093E7430")</f>
        <v>https://baanknet.com/view-property/285690/3F29D5B3EAF267B3980E13A6087ACB40265632176E9B49F008A2479B093E7430</v>
      </c>
      <c r="I2897" t="str">
        <f>HYPERLINK("https://baanknet.com/view-property/285690/3F29D5B3EAF267B3980E13A6087ACB40265632176E9B49F008A2479B093E7430", "Open")</f>
        <v>Open</v>
      </c>
      <c r="J2897" t="s">
        <v>3803</v>
      </c>
      <c r="L2897">
        <v>4326000</v>
      </c>
      <c r="M2897">
        <v>432600</v>
      </c>
    </row>
    <row r="2898" spans="1:13" x14ac:dyDescent="0.25">
      <c r="A2898" t="s">
        <v>9774</v>
      </c>
      <c r="B2898" t="s">
        <v>9775</v>
      </c>
      <c r="C2898" t="s">
        <v>15</v>
      </c>
      <c r="D2898" t="s">
        <v>9776</v>
      </c>
      <c r="E2898" t="s">
        <v>7757</v>
      </c>
      <c r="F2898" t="s">
        <v>636</v>
      </c>
      <c r="G2898" t="s">
        <v>9777</v>
      </c>
      <c r="H2898" t="str">
        <f>HYPERLINK("https://baanknet.com/view-property/189760/C667CA1EE6359D01C843B31E8006DB2623C295D1068DBFB9A25FE789777D763F", "https://baanknet.com/view-property/189760/C667CA1EE6359D01C843B31E8006DB2623C295D1068DBFB9A25FE789777D763F")</f>
        <v>https://baanknet.com/view-property/189760/C667CA1EE6359D01C843B31E8006DB2623C295D1068DBFB9A25FE789777D763F</v>
      </c>
      <c r="I2898" t="str">
        <f>HYPERLINK("https://baanknet.com/view-property/189760/C667CA1EE6359D01C843B31E8006DB2623C295D1068DBFB9A25FE789777D763F", "Open")</f>
        <v>Open</v>
      </c>
      <c r="J2898" t="s">
        <v>3803</v>
      </c>
      <c r="L2898">
        <v>12500000</v>
      </c>
      <c r="M2898">
        <v>1250000</v>
      </c>
    </row>
    <row r="2899" spans="1:13" x14ac:dyDescent="0.25">
      <c r="A2899" t="s">
        <v>9778</v>
      </c>
      <c r="B2899" t="s">
        <v>9779</v>
      </c>
      <c r="C2899" t="s">
        <v>15</v>
      </c>
      <c r="D2899" t="s">
        <v>699</v>
      </c>
      <c r="E2899" t="s">
        <v>7757</v>
      </c>
      <c r="F2899" t="s">
        <v>636</v>
      </c>
      <c r="G2899" t="s">
        <v>9780</v>
      </c>
      <c r="H2899" t="str">
        <f>HYPERLINK("https://baanknet.com/view-property/240195/A0C2BE3CEB90F3468C27170137BD2310ACACBFBCA502104875D918E2C6CC9B8C", "https://baanknet.com/view-property/240195/A0C2BE3CEB90F3468C27170137BD2310ACACBFBCA502104875D918E2C6CC9B8C")</f>
        <v>https://baanknet.com/view-property/240195/A0C2BE3CEB90F3468C27170137BD2310ACACBFBCA502104875D918E2C6CC9B8C</v>
      </c>
      <c r="I2899" t="str">
        <f>HYPERLINK("https://baanknet.com/view-property/240195/A0C2BE3CEB90F3468C27170137BD2310ACACBFBCA502104875D918E2C6CC9B8C", "Open")</f>
        <v>Open</v>
      </c>
      <c r="J2899" t="s">
        <v>3803</v>
      </c>
      <c r="L2899">
        <v>1469000</v>
      </c>
      <c r="M2899">
        <v>146900</v>
      </c>
    </row>
    <row r="2900" spans="1:13" x14ac:dyDescent="0.25">
      <c r="A2900" t="s">
        <v>9781</v>
      </c>
      <c r="B2900" t="s">
        <v>9782</v>
      </c>
      <c r="C2900" t="s">
        <v>15</v>
      </c>
      <c r="D2900" t="s">
        <v>9783</v>
      </c>
      <c r="E2900" t="s">
        <v>7757</v>
      </c>
      <c r="F2900" t="s">
        <v>636</v>
      </c>
      <c r="G2900" t="s">
        <v>9784</v>
      </c>
      <c r="H2900" t="str">
        <f>HYPERLINK("https://baanknet.com/view-property/275753/5651EC701AACFE883B107DC890B89A02CEAE2C533962A9D09B3F9670CDD0A98C", "https://baanknet.com/view-property/275753/5651EC701AACFE883B107DC890B89A02CEAE2C533962A9D09B3F9670CDD0A98C")</f>
        <v>https://baanknet.com/view-property/275753/5651EC701AACFE883B107DC890B89A02CEAE2C533962A9D09B3F9670CDD0A98C</v>
      </c>
      <c r="I2900" t="str">
        <f>HYPERLINK("https://baanknet.com/view-property/275753/5651EC701AACFE883B107DC890B89A02CEAE2C533962A9D09B3F9670CDD0A98C", "Open")</f>
        <v>Open</v>
      </c>
      <c r="J2900" t="s">
        <v>3803</v>
      </c>
      <c r="L2900">
        <v>2641000</v>
      </c>
      <c r="M2900">
        <v>264100</v>
      </c>
    </row>
    <row r="2901" spans="1:13" x14ac:dyDescent="0.25">
      <c r="A2901" t="s">
        <v>9785</v>
      </c>
      <c r="B2901" t="s">
        <v>9786</v>
      </c>
      <c r="C2901" t="s">
        <v>15</v>
      </c>
      <c r="D2901" t="s">
        <v>1637</v>
      </c>
      <c r="E2901" t="s">
        <v>7757</v>
      </c>
      <c r="F2901" t="s">
        <v>636</v>
      </c>
      <c r="G2901" t="s">
        <v>9787</v>
      </c>
      <c r="H2901" t="str">
        <f>HYPERLINK("https://baanknet.com/view-property/279203/021B26CAD1A0039D3590D00E68ABA502CB38C7D91A5565BACDA6E13D66FD0CB8", "https://baanknet.com/view-property/279203/021B26CAD1A0039D3590D00E68ABA502CB38C7D91A5565BACDA6E13D66FD0CB8")</f>
        <v>https://baanknet.com/view-property/279203/021B26CAD1A0039D3590D00E68ABA502CB38C7D91A5565BACDA6E13D66FD0CB8</v>
      </c>
      <c r="I2901" t="str">
        <f>HYPERLINK("https://baanknet.com/view-property/279203/021B26CAD1A0039D3590D00E68ABA502CB38C7D91A5565BACDA6E13D66FD0CB8", "Open")</f>
        <v>Open</v>
      </c>
      <c r="J2901" t="s">
        <v>3803</v>
      </c>
      <c r="L2901">
        <v>2690000</v>
      </c>
      <c r="M2901">
        <v>269000</v>
      </c>
    </row>
    <row r="2902" spans="1:13" x14ac:dyDescent="0.25">
      <c r="A2902" t="s">
        <v>9788</v>
      </c>
      <c r="B2902" t="s">
        <v>9789</v>
      </c>
      <c r="C2902" t="s">
        <v>15</v>
      </c>
      <c r="D2902" t="s">
        <v>9790</v>
      </c>
      <c r="E2902" t="s">
        <v>7757</v>
      </c>
      <c r="F2902" t="s">
        <v>636</v>
      </c>
      <c r="G2902" t="s">
        <v>9791</v>
      </c>
      <c r="H2902" t="str">
        <f>HYPERLINK("https://baanknet.com/view-property/241443/A8C4AA923258E1B953BA08610622F4552A42A66E80D4CB0EAB21B270EE6542A4", "https://baanknet.com/view-property/241443/A8C4AA923258E1B953BA08610622F4552A42A66E80D4CB0EAB21B270EE6542A4")</f>
        <v>https://baanknet.com/view-property/241443/A8C4AA923258E1B953BA08610622F4552A42A66E80D4CB0EAB21B270EE6542A4</v>
      </c>
      <c r="I2902" t="str">
        <f>HYPERLINK("https://baanknet.com/view-property/241443/A8C4AA923258E1B953BA08610622F4552A42A66E80D4CB0EAB21B270EE6542A4", "Open")</f>
        <v>Open</v>
      </c>
      <c r="J2902" t="s">
        <v>3803</v>
      </c>
      <c r="L2902">
        <v>5480000</v>
      </c>
      <c r="M2902">
        <v>548000</v>
      </c>
    </row>
    <row r="2903" spans="1:13" x14ac:dyDescent="0.25">
      <c r="A2903" t="s">
        <v>9792</v>
      </c>
      <c r="B2903" t="s">
        <v>9793</v>
      </c>
      <c r="C2903" t="s">
        <v>15</v>
      </c>
      <c r="D2903" t="s">
        <v>9794</v>
      </c>
      <c r="E2903" t="s">
        <v>7757</v>
      </c>
      <c r="F2903" t="s">
        <v>636</v>
      </c>
      <c r="G2903" t="s">
        <v>9795</v>
      </c>
      <c r="H2903" t="str">
        <f>HYPERLINK("https://baanknet.com/view-property/279386/2DA5F04A9B0231F8A74E828FCA49AB9714EA1A57AB234057DF46AE8FA233AC37", "https://baanknet.com/view-property/279386/2DA5F04A9B0231F8A74E828FCA49AB9714EA1A57AB234057DF46AE8FA233AC37")</f>
        <v>https://baanknet.com/view-property/279386/2DA5F04A9B0231F8A74E828FCA49AB9714EA1A57AB234057DF46AE8FA233AC37</v>
      </c>
      <c r="I2903" t="str">
        <f>HYPERLINK("https://baanknet.com/view-property/279386/2DA5F04A9B0231F8A74E828FCA49AB9714EA1A57AB234057DF46AE8FA233AC37", "Open")</f>
        <v>Open</v>
      </c>
      <c r="J2903" t="s">
        <v>3803</v>
      </c>
      <c r="L2903">
        <v>2244000</v>
      </c>
      <c r="M2903">
        <v>224400</v>
      </c>
    </row>
    <row r="2904" spans="1:13" x14ac:dyDescent="0.25">
      <c r="A2904" t="s">
        <v>9796</v>
      </c>
      <c r="B2904" t="s">
        <v>9797</v>
      </c>
      <c r="C2904" t="s">
        <v>15</v>
      </c>
      <c r="D2904" t="s">
        <v>1463</v>
      </c>
      <c r="E2904" t="s">
        <v>7757</v>
      </c>
      <c r="F2904" t="s">
        <v>636</v>
      </c>
      <c r="G2904" t="s">
        <v>9798</v>
      </c>
      <c r="H2904" t="str">
        <f>HYPERLINK("https://baanknet.com/view-property/252124/69A8D6A77DF8E5D380444DD8067FF5DBDC8DEE1687422D44DE5F3EE1434CE5C0", "https://baanknet.com/view-property/252124/69A8D6A77DF8E5D380444DD8067FF5DBDC8DEE1687422D44DE5F3EE1434CE5C0")</f>
        <v>https://baanknet.com/view-property/252124/69A8D6A77DF8E5D380444DD8067FF5DBDC8DEE1687422D44DE5F3EE1434CE5C0</v>
      </c>
      <c r="I2904" t="str">
        <f>HYPERLINK("https://baanknet.com/view-property/252124/69A8D6A77DF8E5D380444DD8067FF5DBDC8DEE1687422D44DE5F3EE1434CE5C0", "Open")</f>
        <v>Open</v>
      </c>
      <c r="J2904" t="s">
        <v>3803</v>
      </c>
      <c r="L2904">
        <v>3420000</v>
      </c>
      <c r="M2904">
        <v>342000</v>
      </c>
    </row>
    <row r="2905" spans="1:13" x14ac:dyDescent="0.25">
      <c r="A2905" t="s">
        <v>9799</v>
      </c>
      <c r="B2905" t="s">
        <v>9800</v>
      </c>
      <c r="C2905" t="s">
        <v>15</v>
      </c>
      <c r="D2905" t="s">
        <v>1477</v>
      </c>
      <c r="E2905" t="s">
        <v>7757</v>
      </c>
      <c r="F2905" t="s">
        <v>636</v>
      </c>
      <c r="G2905" t="s">
        <v>9801</v>
      </c>
      <c r="H2905" t="str">
        <f>HYPERLINK("https://baanknet.com/view-property/241442/F7DD67A0C278B8446754B3FD41F58B05B4A470BB292DB13BDB406FED00B05D35", "https://baanknet.com/view-property/241442/F7DD67A0C278B8446754B3FD41F58B05B4A470BB292DB13BDB406FED00B05D35")</f>
        <v>https://baanknet.com/view-property/241442/F7DD67A0C278B8446754B3FD41F58B05B4A470BB292DB13BDB406FED00B05D35</v>
      </c>
      <c r="I2905" t="str">
        <f>HYPERLINK("https://baanknet.com/view-property/241442/F7DD67A0C278B8446754B3FD41F58B05B4A470BB292DB13BDB406FED00B05D35", "Open")</f>
        <v>Open</v>
      </c>
      <c r="J2905" t="s">
        <v>3803</v>
      </c>
      <c r="L2905">
        <v>2338000</v>
      </c>
      <c r="M2905">
        <v>233800</v>
      </c>
    </row>
    <row r="2906" spans="1:13" x14ac:dyDescent="0.25">
      <c r="A2906" t="s">
        <v>9802</v>
      </c>
      <c r="B2906" t="s">
        <v>9803</v>
      </c>
      <c r="C2906" t="s">
        <v>15</v>
      </c>
      <c r="D2906" t="s">
        <v>9804</v>
      </c>
      <c r="E2906" t="s">
        <v>7757</v>
      </c>
      <c r="F2906" t="s">
        <v>636</v>
      </c>
      <c r="G2906" t="s">
        <v>9805</v>
      </c>
      <c r="H2906" t="str">
        <f>HYPERLINK("https://baanknet.com/view-property/241434/9871C86004086CC6C69DBD89046AEE614885364DE681ABFB2A01AF28517EDCDB", "https://baanknet.com/view-property/241434/9871C86004086CC6C69DBD89046AEE614885364DE681ABFB2A01AF28517EDCDB")</f>
        <v>https://baanknet.com/view-property/241434/9871C86004086CC6C69DBD89046AEE614885364DE681ABFB2A01AF28517EDCDB</v>
      </c>
      <c r="I2906" t="str">
        <f>HYPERLINK("https://baanknet.com/view-property/241434/9871C86004086CC6C69DBD89046AEE614885364DE681ABFB2A01AF28517EDCDB", "Open")</f>
        <v>Open</v>
      </c>
      <c r="J2906" t="s">
        <v>3803</v>
      </c>
      <c r="L2906">
        <v>3050000</v>
      </c>
      <c r="M2906">
        <v>305000</v>
      </c>
    </row>
    <row r="2907" spans="1:13" x14ac:dyDescent="0.25">
      <c r="A2907" t="s">
        <v>9806</v>
      </c>
      <c r="B2907" t="s">
        <v>9807</v>
      </c>
      <c r="C2907" t="s">
        <v>15</v>
      </c>
      <c r="D2907" t="s">
        <v>9790</v>
      </c>
      <c r="E2907" t="s">
        <v>7757</v>
      </c>
      <c r="F2907" t="s">
        <v>636</v>
      </c>
      <c r="G2907" t="s">
        <v>9808</v>
      </c>
      <c r="H2907" t="str">
        <f>HYPERLINK("https://baanknet.com/view-property/266752/79F8240CCBD2C4BA8F370C0FD3292A092070CDEB866E3252B85679EF2EB26DB2", "https://baanknet.com/view-property/266752/79F8240CCBD2C4BA8F370C0FD3292A092070CDEB866E3252B85679EF2EB26DB2")</f>
        <v>https://baanknet.com/view-property/266752/79F8240CCBD2C4BA8F370C0FD3292A092070CDEB866E3252B85679EF2EB26DB2</v>
      </c>
      <c r="I2907" t="str">
        <f>HYPERLINK("https://baanknet.com/view-property/266752/79F8240CCBD2C4BA8F370C0FD3292A092070CDEB866E3252B85679EF2EB26DB2", "Open")</f>
        <v>Open</v>
      </c>
      <c r="J2907" t="s">
        <v>3803</v>
      </c>
      <c r="L2907">
        <v>7700000</v>
      </c>
      <c r="M2907">
        <v>770000</v>
      </c>
    </row>
    <row r="2908" spans="1:13" x14ac:dyDescent="0.25">
      <c r="A2908" t="s">
        <v>9809</v>
      </c>
      <c r="B2908" t="s">
        <v>9810</v>
      </c>
      <c r="C2908" t="s">
        <v>15</v>
      </c>
      <c r="D2908" t="s">
        <v>1488</v>
      </c>
      <c r="E2908" t="s">
        <v>7757</v>
      </c>
      <c r="F2908" t="s">
        <v>636</v>
      </c>
      <c r="G2908" t="s">
        <v>9811</v>
      </c>
      <c r="H2908" t="str">
        <f>HYPERLINK("https://baanknet.com/view-property/244018/BB51683636E691BDAE7647360D5B953529A06B598777B4A69D17242CE2C9D354", "https://baanknet.com/view-property/244018/BB51683636E691BDAE7647360D5B953529A06B598777B4A69D17242CE2C9D354")</f>
        <v>https://baanknet.com/view-property/244018/BB51683636E691BDAE7647360D5B953529A06B598777B4A69D17242CE2C9D354</v>
      </c>
      <c r="I2908" t="str">
        <f>HYPERLINK("https://baanknet.com/view-property/244018/BB51683636E691BDAE7647360D5B953529A06B598777B4A69D17242CE2C9D354", "Open")</f>
        <v>Open</v>
      </c>
      <c r="J2908" t="s">
        <v>3803</v>
      </c>
      <c r="L2908">
        <v>1350000</v>
      </c>
      <c r="M2908">
        <v>135000</v>
      </c>
    </row>
    <row r="2909" spans="1:13" x14ac:dyDescent="0.25">
      <c r="A2909" t="s">
        <v>9812</v>
      </c>
      <c r="B2909" t="s">
        <v>9813</v>
      </c>
      <c r="C2909" t="s">
        <v>15</v>
      </c>
      <c r="D2909" t="s">
        <v>1488</v>
      </c>
      <c r="E2909" t="s">
        <v>7757</v>
      </c>
      <c r="F2909" t="s">
        <v>636</v>
      </c>
      <c r="G2909" t="s">
        <v>9814</v>
      </c>
      <c r="H2909" t="str">
        <f>HYPERLINK("https://baanknet.com/view-property/264242/1AF6DAE1B3634C5E39343F654BC60346735460FDDD241D4F13FD07C9171EF56F", "https://baanknet.com/view-property/264242/1AF6DAE1B3634C5E39343F654BC60346735460FDDD241D4F13FD07C9171EF56F")</f>
        <v>https://baanknet.com/view-property/264242/1AF6DAE1B3634C5E39343F654BC60346735460FDDD241D4F13FD07C9171EF56F</v>
      </c>
      <c r="I2909" t="str">
        <f>HYPERLINK("https://baanknet.com/view-property/264242/1AF6DAE1B3634C5E39343F654BC60346735460FDDD241D4F13FD07C9171EF56F", "Open")</f>
        <v>Open</v>
      </c>
      <c r="J2909" t="s">
        <v>3803</v>
      </c>
      <c r="L2909">
        <v>2330000</v>
      </c>
      <c r="M2909">
        <v>233000</v>
      </c>
    </row>
    <row r="2910" spans="1:13" x14ac:dyDescent="0.25">
      <c r="A2910" t="s">
        <v>9815</v>
      </c>
      <c r="B2910" t="s">
        <v>9816</v>
      </c>
      <c r="C2910" t="s">
        <v>15</v>
      </c>
      <c r="D2910" t="s">
        <v>1602</v>
      </c>
      <c r="E2910" t="s">
        <v>7757</v>
      </c>
      <c r="F2910" t="s">
        <v>636</v>
      </c>
      <c r="G2910" t="s">
        <v>9817</v>
      </c>
      <c r="H2910" t="str">
        <f>HYPERLINK("https://baanknet.com/view-property/266746/4A4E93EDC7C50500F96859010634F73B3B17F6571F5EB5AF62D7FE5E49004E51", "https://baanknet.com/view-property/266746/4A4E93EDC7C50500F96859010634F73B3B17F6571F5EB5AF62D7FE5E49004E51")</f>
        <v>https://baanknet.com/view-property/266746/4A4E93EDC7C50500F96859010634F73B3B17F6571F5EB5AF62D7FE5E49004E51</v>
      </c>
      <c r="I2910" t="str">
        <f>HYPERLINK("https://baanknet.com/view-property/266746/4A4E93EDC7C50500F96859010634F73B3B17F6571F5EB5AF62D7FE5E49004E51", "Open")</f>
        <v>Open</v>
      </c>
      <c r="J2910" t="s">
        <v>3803</v>
      </c>
      <c r="L2910">
        <v>2430000</v>
      </c>
      <c r="M2910">
        <v>243000</v>
      </c>
    </row>
    <row r="2911" spans="1:13" x14ac:dyDescent="0.25">
      <c r="A2911" t="s">
        <v>9818</v>
      </c>
      <c r="B2911" t="s">
        <v>9819</v>
      </c>
      <c r="C2911" t="s">
        <v>15</v>
      </c>
      <c r="D2911" t="s">
        <v>9790</v>
      </c>
      <c r="E2911" t="s">
        <v>7757</v>
      </c>
      <c r="F2911" t="s">
        <v>636</v>
      </c>
      <c r="G2911" t="s">
        <v>9820</v>
      </c>
      <c r="H2911" t="str">
        <f>HYPERLINK("https://baanknet.com/view-property/271711/5583B1887AB1228180DBFE1B60C116A9CD3054C113CB6755F134A9DEDC07810C", "https://baanknet.com/view-property/271711/5583B1887AB1228180DBFE1B60C116A9CD3054C113CB6755F134A9DEDC07810C")</f>
        <v>https://baanknet.com/view-property/271711/5583B1887AB1228180DBFE1B60C116A9CD3054C113CB6755F134A9DEDC07810C</v>
      </c>
      <c r="I2911" t="str">
        <f>HYPERLINK("https://baanknet.com/view-property/271711/5583B1887AB1228180DBFE1B60C116A9CD3054C113CB6755F134A9DEDC07810C", "Open")</f>
        <v>Open</v>
      </c>
      <c r="J2911" t="s">
        <v>3803</v>
      </c>
      <c r="L2911">
        <v>3390000</v>
      </c>
      <c r="M2911">
        <v>339000</v>
      </c>
    </row>
    <row r="2912" spans="1:13" x14ac:dyDescent="0.25">
      <c r="A2912" t="s">
        <v>9821</v>
      </c>
      <c r="B2912" t="s">
        <v>9822</v>
      </c>
      <c r="C2912" t="s">
        <v>15</v>
      </c>
      <c r="D2912" t="s">
        <v>9790</v>
      </c>
      <c r="E2912" t="s">
        <v>7757</v>
      </c>
      <c r="F2912" t="s">
        <v>636</v>
      </c>
      <c r="G2912" t="s">
        <v>9823</v>
      </c>
      <c r="H2912" t="str">
        <f>HYPERLINK("https://baanknet.com/view-property/271708/3BBC377595DE48313E03A3988C77420D7E683832C0AAD7C0E17289C3F1CCCF71", "https://baanknet.com/view-property/271708/3BBC377595DE48313E03A3988C77420D7E683832C0AAD7C0E17289C3F1CCCF71")</f>
        <v>https://baanknet.com/view-property/271708/3BBC377595DE48313E03A3988C77420D7E683832C0AAD7C0E17289C3F1CCCF71</v>
      </c>
      <c r="I2912" t="str">
        <f>HYPERLINK("https://baanknet.com/view-property/271708/3BBC377595DE48313E03A3988C77420D7E683832C0AAD7C0E17289C3F1CCCF71", "Open")</f>
        <v>Open</v>
      </c>
      <c r="J2912" t="s">
        <v>3803</v>
      </c>
      <c r="L2912">
        <v>7960000</v>
      </c>
      <c r="M2912">
        <v>796000</v>
      </c>
    </row>
    <row r="2913" spans="1:13" x14ac:dyDescent="0.25">
      <c r="A2913" t="s">
        <v>9824</v>
      </c>
      <c r="B2913" t="s">
        <v>9825</v>
      </c>
      <c r="C2913" t="s">
        <v>15</v>
      </c>
      <c r="D2913" t="s">
        <v>9826</v>
      </c>
      <c r="E2913" t="s">
        <v>7757</v>
      </c>
      <c r="F2913" t="s">
        <v>636</v>
      </c>
      <c r="G2913" t="s">
        <v>9827</v>
      </c>
      <c r="H2913" t="str">
        <f>HYPERLINK("https://baanknet.com/view-property/249087/10333D9601899E9E2F9D78BB5AF2E1B05F1BCAA000149DE70DABF413355E6773", "https://baanknet.com/view-property/249087/10333D9601899E9E2F9D78BB5AF2E1B05F1BCAA000149DE70DABF413355E6773")</f>
        <v>https://baanknet.com/view-property/249087/10333D9601899E9E2F9D78BB5AF2E1B05F1BCAA000149DE70DABF413355E6773</v>
      </c>
      <c r="I2913" t="str">
        <f>HYPERLINK("https://baanknet.com/view-property/249087/10333D9601899E9E2F9D78BB5AF2E1B05F1BCAA000149DE70DABF413355E6773", "Open")</f>
        <v>Open</v>
      </c>
      <c r="J2913" t="s">
        <v>3803</v>
      </c>
      <c r="L2913">
        <v>1490000</v>
      </c>
      <c r="M2913">
        <v>149000</v>
      </c>
    </row>
    <row r="2914" spans="1:13" x14ac:dyDescent="0.25">
      <c r="A2914" t="s">
        <v>9828</v>
      </c>
      <c r="B2914" t="s">
        <v>9829</v>
      </c>
      <c r="C2914" t="s">
        <v>15</v>
      </c>
      <c r="D2914" t="s">
        <v>9830</v>
      </c>
      <c r="E2914" t="s">
        <v>7757</v>
      </c>
      <c r="F2914" t="s">
        <v>636</v>
      </c>
      <c r="G2914" t="s">
        <v>9831</v>
      </c>
      <c r="H2914" t="str">
        <f>HYPERLINK("https://baanknet.com/view-property/243429/331F99D5667371475CC2704902459C3B3B1F73AFF6F0DBD82416687C2E993B07", "https://baanknet.com/view-property/243429/331F99D5667371475CC2704902459C3B3B1F73AFF6F0DBD82416687C2E993B07")</f>
        <v>https://baanknet.com/view-property/243429/331F99D5667371475CC2704902459C3B3B1F73AFF6F0DBD82416687C2E993B07</v>
      </c>
      <c r="I2914" t="str">
        <f>HYPERLINK("https://baanknet.com/view-property/243429/331F99D5667371475CC2704902459C3B3B1F73AFF6F0DBD82416687C2E993B07", "Open")</f>
        <v>Open</v>
      </c>
      <c r="J2914" t="s">
        <v>3803</v>
      </c>
      <c r="L2914">
        <v>481000</v>
      </c>
      <c r="M2914">
        <v>48100</v>
      </c>
    </row>
    <row r="2915" spans="1:13" x14ac:dyDescent="0.25">
      <c r="A2915" t="s">
        <v>9832</v>
      </c>
      <c r="B2915" t="s">
        <v>9833</v>
      </c>
      <c r="C2915" t="s">
        <v>15</v>
      </c>
      <c r="D2915" t="s">
        <v>9830</v>
      </c>
      <c r="E2915" t="s">
        <v>7757</v>
      </c>
      <c r="F2915" t="s">
        <v>636</v>
      </c>
      <c r="G2915" t="s">
        <v>9834</v>
      </c>
      <c r="H2915" t="str">
        <f>HYPERLINK("https://baanknet.com/view-property/243428/7D31A1B877B87A41AC8C76243220245EE8C641EF22E4EBAAA2B15C0C45395972", "https://baanknet.com/view-property/243428/7D31A1B877B87A41AC8C76243220245EE8C641EF22E4EBAAA2B15C0C45395972")</f>
        <v>https://baanknet.com/view-property/243428/7D31A1B877B87A41AC8C76243220245EE8C641EF22E4EBAAA2B15C0C45395972</v>
      </c>
      <c r="I2915" t="str">
        <f>HYPERLINK("https://baanknet.com/view-property/243428/7D31A1B877B87A41AC8C76243220245EE8C641EF22E4EBAAA2B15C0C45395972", "Open")</f>
        <v>Open</v>
      </c>
      <c r="J2915" t="s">
        <v>3803</v>
      </c>
      <c r="L2915">
        <v>381000</v>
      </c>
      <c r="M2915">
        <v>38100</v>
      </c>
    </row>
    <row r="2916" spans="1:13" x14ac:dyDescent="0.25">
      <c r="A2916" t="s">
        <v>9835</v>
      </c>
      <c r="B2916" t="s">
        <v>9836</v>
      </c>
      <c r="C2916" t="s">
        <v>15</v>
      </c>
      <c r="D2916" t="s">
        <v>9837</v>
      </c>
      <c r="E2916" t="s">
        <v>7757</v>
      </c>
      <c r="F2916" t="s">
        <v>636</v>
      </c>
      <c r="G2916" t="s">
        <v>9838</v>
      </c>
      <c r="H2916" t="str">
        <f>HYPERLINK("https://baanknet.com/view-property/244734/64F62073138A4A63E34B37D5E2B9B2BFBC2EDCEDDE7DC737A945DA75D05637FC", "https://baanknet.com/view-property/244734/64F62073138A4A63E34B37D5E2B9B2BFBC2EDCEDDE7DC737A945DA75D05637FC")</f>
        <v>https://baanknet.com/view-property/244734/64F62073138A4A63E34B37D5E2B9B2BFBC2EDCEDDE7DC737A945DA75D05637FC</v>
      </c>
      <c r="I2916" t="str">
        <f>HYPERLINK("https://baanknet.com/view-property/244734/64F62073138A4A63E34B37D5E2B9B2BFBC2EDCEDDE7DC737A945DA75D05637FC", "Open")</f>
        <v>Open</v>
      </c>
      <c r="J2916" t="s">
        <v>3803</v>
      </c>
      <c r="L2916">
        <v>1588000</v>
      </c>
      <c r="M2916">
        <v>158800</v>
      </c>
    </row>
    <row r="2917" spans="1:13" x14ac:dyDescent="0.25">
      <c r="A2917" t="s">
        <v>9839</v>
      </c>
      <c r="B2917" t="s">
        <v>9840</v>
      </c>
      <c r="C2917" t="s">
        <v>15</v>
      </c>
      <c r="D2917" t="s">
        <v>9841</v>
      </c>
      <c r="E2917" t="s">
        <v>7757</v>
      </c>
      <c r="F2917" t="s">
        <v>636</v>
      </c>
      <c r="G2917" t="s">
        <v>9842</v>
      </c>
      <c r="H2917" t="str">
        <f>HYPERLINK("https://baanknet.com/view-property/243902/D7CC7D3E7B1B3581CE2A99780B30D94450DE52F71FAE8AD129E3F7DA93F65102", "https://baanknet.com/view-property/243902/D7CC7D3E7B1B3581CE2A99780B30D94450DE52F71FAE8AD129E3F7DA93F65102")</f>
        <v>https://baanknet.com/view-property/243902/D7CC7D3E7B1B3581CE2A99780B30D94450DE52F71FAE8AD129E3F7DA93F65102</v>
      </c>
      <c r="I2917" t="str">
        <f>HYPERLINK("https://baanknet.com/view-property/243902/D7CC7D3E7B1B3581CE2A99780B30D94450DE52F71FAE8AD129E3F7DA93F65102", "Open")</f>
        <v>Open</v>
      </c>
      <c r="J2917" t="s">
        <v>3803</v>
      </c>
      <c r="L2917">
        <v>3325000</v>
      </c>
      <c r="M2917">
        <v>332500</v>
      </c>
    </row>
    <row r="2918" spans="1:13" x14ac:dyDescent="0.25">
      <c r="A2918" t="s">
        <v>9843</v>
      </c>
      <c r="B2918" t="s">
        <v>9844</v>
      </c>
      <c r="C2918" t="s">
        <v>15</v>
      </c>
      <c r="D2918" t="s">
        <v>9841</v>
      </c>
      <c r="E2918" t="s">
        <v>7757</v>
      </c>
      <c r="F2918" t="s">
        <v>636</v>
      </c>
      <c r="G2918" t="s">
        <v>9845</v>
      </c>
      <c r="H2918" t="str">
        <f>HYPERLINK("https://baanknet.com/view-property/243903/0359F4E4930F191E05FA43C5E4DE509B18B7FDC399B4742A213F1D47ECB06B52", "https://baanknet.com/view-property/243903/0359F4E4930F191E05FA43C5E4DE509B18B7FDC399B4742A213F1D47ECB06B52")</f>
        <v>https://baanknet.com/view-property/243903/0359F4E4930F191E05FA43C5E4DE509B18B7FDC399B4742A213F1D47ECB06B52</v>
      </c>
      <c r="I2918" t="str">
        <f>HYPERLINK("https://baanknet.com/view-property/243903/0359F4E4930F191E05FA43C5E4DE509B18B7FDC399B4742A213F1D47ECB06B52", "Open")</f>
        <v>Open</v>
      </c>
      <c r="J2918" t="s">
        <v>3803</v>
      </c>
      <c r="L2918">
        <v>446000</v>
      </c>
      <c r="M2918">
        <v>44600</v>
      </c>
    </row>
    <row r="2919" spans="1:13" x14ac:dyDescent="0.25">
      <c r="A2919" t="s">
        <v>9846</v>
      </c>
      <c r="B2919" t="s">
        <v>9847</v>
      </c>
      <c r="C2919" t="s">
        <v>15</v>
      </c>
      <c r="D2919" t="s">
        <v>288</v>
      </c>
      <c r="E2919" t="s">
        <v>7757</v>
      </c>
      <c r="F2919" t="s">
        <v>636</v>
      </c>
      <c r="G2919" t="s">
        <v>9848</v>
      </c>
      <c r="H2919" t="str">
        <f>HYPERLINK("https://baanknet.com/view-property/281430/E159E3670DF44BBCF9C419000D6DAAA9B006FBFE351B57E1A7C0107F651F09D0", "https://baanknet.com/view-property/281430/E159E3670DF44BBCF9C419000D6DAAA9B006FBFE351B57E1A7C0107F651F09D0")</f>
        <v>https://baanknet.com/view-property/281430/E159E3670DF44BBCF9C419000D6DAAA9B006FBFE351B57E1A7C0107F651F09D0</v>
      </c>
      <c r="I2919" t="str">
        <f>HYPERLINK("https://baanknet.com/view-property/281430/E159E3670DF44BBCF9C419000D6DAAA9B006FBFE351B57E1A7C0107F651F09D0", "Open")</f>
        <v>Open</v>
      </c>
      <c r="J2919" t="s">
        <v>3803</v>
      </c>
      <c r="L2919">
        <v>2868000</v>
      </c>
      <c r="M2919">
        <v>286800</v>
      </c>
    </row>
    <row r="2920" spans="1:13" x14ac:dyDescent="0.25">
      <c r="A2920" t="s">
        <v>9849</v>
      </c>
      <c r="B2920" t="s">
        <v>9850</v>
      </c>
      <c r="C2920" t="s">
        <v>15</v>
      </c>
      <c r="D2920" t="s">
        <v>9851</v>
      </c>
      <c r="E2920" t="s">
        <v>7757</v>
      </c>
      <c r="F2920" t="s">
        <v>636</v>
      </c>
      <c r="G2920" t="s">
        <v>9852</v>
      </c>
      <c r="H2920" t="str">
        <f>HYPERLINK("https://baanknet.com/view-property/247973/C936670451560AACFD79B6AE2C63C2F2D166C75040706501BE66B9B91077BDAE", "https://baanknet.com/view-property/247973/C936670451560AACFD79B6AE2C63C2F2D166C75040706501BE66B9B91077BDAE")</f>
        <v>https://baanknet.com/view-property/247973/C936670451560AACFD79B6AE2C63C2F2D166C75040706501BE66B9B91077BDAE</v>
      </c>
      <c r="I2920" t="str">
        <f>HYPERLINK("https://baanknet.com/view-property/247973/C936670451560AACFD79B6AE2C63C2F2D166C75040706501BE66B9B91077BDAE", "Open")</f>
        <v>Open</v>
      </c>
      <c r="J2920" t="s">
        <v>3803</v>
      </c>
      <c r="L2920">
        <v>921000</v>
      </c>
      <c r="M2920">
        <v>92100</v>
      </c>
    </row>
    <row r="2921" spans="1:13" x14ac:dyDescent="0.25">
      <c r="A2921" t="s">
        <v>9853</v>
      </c>
      <c r="B2921" t="s">
        <v>9854</v>
      </c>
      <c r="C2921" t="s">
        <v>15</v>
      </c>
      <c r="D2921" t="s">
        <v>960</v>
      </c>
      <c r="E2921" t="s">
        <v>7757</v>
      </c>
      <c r="F2921" t="s">
        <v>636</v>
      </c>
      <c r="G2921" t="s">
        <v>9855</v>
      </c>
      <c r="H2921" t="str">
        <f>HYPERLINK("https://baanknet.com/view-property/278573/196066B88A7079C4E351FA2D4D8CCAFA3C1054D919D0C26CA23AFAB00B075B24", "https://baanknet.com/view-property/278573/196066B88A7079C4E351FA2D4D8CCAFA3C1054D919D0C26CA23AFAB00B075B24")</f>
        <v>https://baanknet.com/view-property/278573/196066B88A7079C4E351FA2D4D8CCAFA3C1054D919D0C26CA23AFAB00B075B24</v>
      </c>
      <c r="I2921" t="str">
        <f>HYPERLINK("https://baanknet.com/view-property/278573/196066B88A7079C4E351FA2D4D8CCAFA3C1054D919D0C26CA23AFAB00B075B24", "Open")</f>
        <v>Open</v>
      </c>
      <c r="J2921" t="s">
        <v>3803</v>
      </c>
      <c r="L2921">
        <v>7395000</v>
      </c>
      <c r="M2921">
        <v>739500</v>
      </c>
    </row>
    <row r="2922" spans="1:13" x14ac:dyDescent="0.25">
      <c r="A2922" t="s">
        <v>9856</v>
      </c>
      <c r="B2922" t="s">
        <v>9857</v>
      </c>
      <c r="C2922" t="s">
        <v>15</v>
      </c>
      <c r="D2922" t="s">
        <v>960</v>
      </c>
      <c r="E2922" t="s">
        <v>7757</v>
      </c>
      <c r="F2922" t="s">
        <v>636</v>
      </c>
      <c r="G2922" t="s">
        <v>9858</v>
      </c>
      <c r="H2922" t="str">
        <f>HYPERLINK("https://baanknet.com/view-property/278561/691EE1D74574CC4FF155ED06EA2D37D2D7431DE3DF12740F9801280B141BE1A2", "https://baanknet.com/view-property/278561/691EE1D74574CC4FF155ED06EA2D37D2D7431DE3DF12740F9801280B141BE1A2")</f>
        <v>https://baanknet.com/view-property/278561/691EE1D74574CC4FF155ED06EA2D37D2D7431DE3DF12740F9801280B141BE1A2</v>
      </c>
      <c r="I2922" t="str">
        <f>HYPERLINK("https://baanknet.com/view-property/278561/691EE1D74574CC4FF155ED06EA2D37D2D7431DE3DF12740F9801280B141BE1A2", "Open")</f>
        <v>Open</v>
      </c>
      <c r="J2922" t="s">
        <v>3803</v>
      </c>
      <c r="L2922">
        <v>2040000</v>
      </c>
      <c r="M2922">
        <v>204000</v>
      </c>
    </row>
    <row r="2923" spans="1:13" x14ac:dyDescent="0.25">
      <c r="A2923" t="s">
        <v>9859</v>
      </c>
      <c r="B2923" t="s">
        <v>9860</v>
      </c>
      <c r="C2923" t="s">
        <v>15</v>
      </c>
      <c r="D2923" t="s">
        <v>960</v>
      </c>
      <c r="E2923" t="s">
        <v>7757</v>
      </c>
      <c r="F2923" t="s">
        <v>636</v>
      </c>
      <c r="G2923" t="s">
        <v>9861</v>
      </c>
      <c r="H2923" t="str">
        <f>HYPERLINK("https://baanknet.com/view-property/278558/D4321D5733CE8D0D1728489A7F0D5175F34833E2B461337D40B18A2B969EBB31", "https://baanknet.com/view-property/278558/D4321D5733CE8D0D1728489A7F0D5175F34833E2B461337D40B18A2B969EBB31")</f>
        <v>https://baanknet.com/view-property/278558/D4321D5733CE8D0D1728489A7F0D5175F34833E2B461337D40B18A2B969EBB31</v>
      </c>
      <c r="I2923" t="str">
        <f>HYPERLINK("https://baanknet.com/view-property/278558/D4321D5733CE8D0D1728489A7F0D5175F34833E2B461337D40B18A2B969EBB31", "Open")</f>
        <v>Open</v>
      </c>
      <c r="J2923" t="s">
        <v>3803</v>
      </c>
      <c r="L2923">
        <v>2040000</v>
      </c>
      <c r="M2923">
        <v>204000</v>
      </c>
    </row>
    <row r="2924" spans="1:13" x14ac:dyDescent="0.25">
      <c r="A2924" t="s">
        <v>9862</v>
      </c>
      <c r="B2924" t="s">
        <v>9863</v>
      </c>
      <c r="C2924" t="s">
        <v>15</v>
      </c>
      <c r="D2924" t="s">
        <v>960</v>
      </c>
      <c r="E2924" t="s">
        <v>7757</v>
      </c>
      <c r="F2924" t="s">
        <v>636</v>
      </c>
      <c r="G2924" t="s">
        <v>9864</v>
      </c>
      <c r="H2924" t="str">
        <f>HYPERLINK("https://baanknet.com/view-property/278557/385990C67E7E2AE9208B937AB3024E5F5556EF6164B41DECE44082F1E96A0F8E", "https://baanknet.com/view-property/278557/385990C67E7E2AE9208B937AB3024E5F5556EF6164B41DECE44082F1E96A0F8E")</f>
        <v>https://baanknet.com/view-property/278557/385990C67E7E2AE9208B937AB3024E5F5556EF6164B41DECE44082F1E96A0F8E</v>
      </c>
      <c r="I2924" t="str">
        <f>HYPERLINK("https://baanknet.com/view-property/278557/385990C67E7E2AE9208B937AB3024E5F5556EF6164B41DECE44082F1E96A0F8E", "Open")</f>
        <v>Open</v>
      </c>
      <c r="J2924" t="s">
        <v>3803</v>
      </c>
      <c r="L2924">
        <v>2962000</v>
      </c>
      <c r="M2924">
        <v>296200</v>
      </c>
    </row>
    <row r="2925" spans="1:13" x14ac:dyDescent="0.25">
      <c r="A2925" t="s">
        <v>9865</v>
      </c>
      <c r="B2925" t="s">
        <v>9866</v>
      </c>
      <c r="C2925" t="s">
        <v>15</v>
      </c>
      <c r="D2925" t="s">
        <v>9867</v>
      </c>
      <c r="E2925" t="s">
        <v>7757</v>
      </c>
      <c r="F2925" t="s">
        <v>636</v>
      </c>
      <c r="G2925" t="s">
        <v>9868</v>
      </c>
      <c r="H2925" t="str">
        <f>HYPERLINK("https://baanknet.com/view-property/200811/E99377C6ECAF5A693A2AEF4E4AE054B3AA5A13534872B5E835051D3BDFBED978", "https://baanknet.com/view-property/200811/E99377C6ECAF5A693A2AEF4E4AE054B3AA5A13534872B5E835051D3BDFBED978")</f>
        <v>https://baanknet.com/view-property/200811/E99377C6ECAF5A693A2AEF4E4AE054B3AA5A13534872B5E835051D3BDFBED978</v>
      </c>
      <c r="I2925" t="str">
        <f>HYPERLINK("https://baanknet.com/view-property/200811/E99377C6ECAF5A693A2AEF4E4AE054B3AA5A13534872B5E835051D3BDFBED978", "Open")</f>
        <v>Open</v>
      </c>
      <c r="J2925" t="s">
        <v>3803</v>
      </c>
      <c r="L2925">
        <v>2823000</v>
      </c>
      <c r="M2925">
        <v>282300</v>
      </c>
    </row>
    <row r="2926" spans="1:13" x14ac:dyDescent="0.25">
      <c r="A2926" t="s">
        <v>9869</v>
      </c>
      <c r="B2926" t="s">
        <v>9870</v>
      </c>
      <c r="C2926" t="s">
        <v>15</v>
      </c>
      <c r="D2926" t="s">
        <v>960</v>
      </c>
      <c r="E2926" t="s">
        <v>7757</v>
      </c>
      <c r="F2926" t="s">
        <v>636</v>
      </c>
      <c r="G2926" t="s">
        <v>9871</v>
      </c>
      <c r="H2926" t="str">
        <f>HYPERLINK("https://baanknet.com/view-property/245003/B0E888478AC5D420C0DB8B386917C539BD43541F6FA41E40EAB088FC335C092F", "https://baanknet.com/view-property/245003/B0E888478AC5D420C0DB8B386917C539BD43541F6FA41E40EAB088FC335C092F")</f>
        <v>https://baanknet.com/view-property/245003/B0E888478AC5D420C0DB8B386917C539BD43541F6FA41E40EAB088FC335C092F</v>
      </c>
      <c r="I2926" t="str">
        <f>HYPERLINK("https://baanknet.com/view-property/245003/B0E888478AC5D420C0DB8B386917C539BD43541F6FA41E40EAB088FC335C092F", "Open")</f>
        <v>Open</v>
      </c>
      <c r="J2926" t="s">
        <v>3803</v>
      </c>
      <c r="L2926">
        <v>2879000</v>
      </c>
      <c r="M2926">
        <v>287900</v>
      </c>
    </row>
    <row r="2927" spans="1:13" x14ac:dyDescent="0.25">
      <c r="A2927" t="s">
        <v>9872</v>
      </c>
      <c r="B2927" t="s">
        <v>9873</v>
      </c>
      <c r="C2927" t="s">
        <v>15</v>
      </c>
      <c r="D2927" t="s">
        <v>9851</v>
      </c>
      <c r="E2927" t="s">
        <v>7757</v>
      </c>
      <c r="F2927" t="s">
        <v>636</v>
      </c>
      <c r="G2927" t="s">
        <v>9874</v>
      </c>
      <c r="H2927" t="str">
        <f>HYPERLINK("https://baanknet.com/view-property/278560/4E155DF0D8783A356CCBC4B626D2917636B2E1A22F90C6E557AEEF430034BD83", "https://baanknet.com/view-property/278560/4E155DF0D8783A356CCBC4B626D2917636B2E1A22F90C6E557AEEF430034BD83")</f>
        <v>https://baanknet.com/view-property/278560/4E155DF0D8783A356CCBC4B626D2917636B2E1A22F90C6E557AEEF430034BD83</v>
      </c>
      <c r="I2927" t="str">
        <f>HYPERLINK("https://baanknet.com/view-property/278560/4E155DF0D8783A356CCBC4B626D2917636B2E1A22F90C6E557AEEF430034BD83", "Open")</f>
        <v>Open</v>
      </c>
      <c r="J2927" t="s">
        <v>3803</v>
      </c>
      <c r="L2927">
        <v>2385000</v>
      </c>
      <c r="M2927">
        <v>238500</v>
      </c>
    </row>
    <row r="2928" spans="1:13" x14ac:dyDescent="0.25">
      <c r="A2928" t="s">
        <v>9875</v>
      </c>
      <c r="B2928" t="s">
        <v>9876</v>
      </c>
      <c r="C2928" t="s">
        <v>15</v>
      </c>
      <c r="D2928" t="s">
        <v>960</v>
      </c>
      <c r="E2928" t="s">
        <v>7757</v>
      </c>
      <c r="F2928" t="s">
        <v>636</v>
      </c>
      <c r="G2928" t="s">
        <v>9877</v>
      </c>
      <c r="H2928" t="str">
        <f>HYPERLINK("https://baanknet.com/view-property/278562/D43CB1E722A4B8188F24382325F8D9E36820F4BE6C8C7FB359B69E7FB49F29FC", "https://baanknet.com/view-property/278562/D43CB1E722A4B8188F24382325F8D9E36820F4BE6C8C7FB359B69E7FB49F29FC")</f>
        <v>https://baanknet.com/view-property/278562/D43CB1E722A4B8188F24382325F8D9E36820F4BE6C8C7FB359B69E7FB49F29FC</v>
      </c>
      <c r="I2928" t="str">
        <f>HYPERLINK("https://baanknet.com/view-property/278562/D43CB1E722A4B8188F24382325F8D9E36820F4BE6C8C7FB359B69E7FB49F29FC", "Open")</f>
        <v>Open</v>
      </c>
      <c r="J2928" t="s">
        <v>3803</v>
      </c>
      <c r="L2928">
        <v>1961000</v>
      </c>
      <c r="M2928">
        <v>196100</v>
      </c>
    </row>
    <row r="2929" spans="1:13" x14ac:dyDescent="0.25">
      <c r="A2929" t="s">
        <v>9878</v>
      </c>
      <c r="B2929" t="s">
        <v>9879</v>
      </c>
      <c r="C2929" t="s">
        <v>15</v>
      </c>
      <c r="D2929" t="s">
        <v>1602</v>
      </c>
      <c r="E2929" t="s">
        <v>7757</v>
      </c>
      <c r="F2929" t="s">
        <v>636</v>
      </c>
      <c r="G2929" t="s">
        <v>9880</v>
      </c>
      <c r="H2929" t="str">
        <f>HYPERLINK("https://baanknet.com/view-property/279177/03AA0B1D327DC03304C93136DA64FE508DB382EB87718E211D28CBDC0D9798D6", "https://baanknet.com/view-property/279177/03AA0B1D327DC03304C93136DA64FE508DB382EB87718E211D28CBDC0D9798D6")</f>
        <v>https://baanknet.com/view-property/279177/03AA0B1D327DC03304C93136DA64FE508DB382EB87718E211D28CBDC0D9798D6</v>
      </c>
      <c r="I2929" t="str">
        <f>HYPERLINK("https://baanknet.com/view-property/279177/03AA0B1D327DC03304C93136DA64FE508DB382EB87718E211D28CBDC0D9798D6", "Open")</f>
        <v>Open</v>
      </c>
      <c r="J2929" t="s">
        <v>3803</v>
      </c>
      <c r="L2929">
        <v>1030000</v>
      </c>
      <c r="M2929">
        <v>103000</v>
      </c>
    </row>
    <row r="2930" spans="1:13" x14ac:dyDescent="0.25">
      <c r="A2930" t="s">
        <v>9881</v>
      </c>
      <c r="B2930" t="s">
        <v>9882</v>
      </c>
      <c r="C2930" t="s">
        <v>15</v>
      </c>
      <c r="D2930" t="s">
        <v>1602</v>
      </c>
      <c r="E2930" t="s">
        <v>7757</v>
      </c>
      <c r="F2930" t="s">
        <v>636</v>
      </c>
      <c r="G2930" t="s">
        <v>9883</v>
      </c>
      <c r="H2930" t="str">
        <f>HYPERLINK("https://baanknet.com/view-property/204833/BF7D55E903C4415DE95DA1D049269D26C5AD4605606D62CA1742FF85D29B9ECA", "https://baanknet.com/view-property/204833/BF7D55E903C4415DE95DA1D049269D26C5AD4605606D62CA1742FF85D29B9ECA")</f>
        <v>https://baanknet.com/view-property/204833/BF7D55E903C4415DE95DA1D049269D26C5AD4605606D62CA1742FF85D29B9ECA</v>
      </c>
      <c r="I2930" t="str">
        <f>HYPERLINK("https://baanknet.com/view-property/204833/BF7D55E903C4415DE95DA1D049269D26C5AD4605606D62CA1742FF85D29B9ECA", "Open")</f>
        <v>Open</v>
      </c>
      <c r="J2930" t="s">
        <v>3803</v>
      </c>
      <c r="L2930">
        <v>8200000</v>
      </c>
      <c r="M2930">
        <v>820000</v>
      </c>
    </row>
    <row r="2931" spans="1:13" x14ac:dyDescent="0.25">
      <c r="A2931" t="s">
        <v>9884</v>
      </c>
      <c r="B2931" t="s">
        <v>9885</v>
      </c>
      <c r="C2931" t="s">
        <v>15</v>
      </c>
      <c r="D2931" t="s">
        <v>9886</v>
      </c>
      <c r="E2931" t="s">
        <v>7757</v>
      </c>
      <c r="F2931" t="s">
        <v>636</v>
      </c>
      <c r="G2931" t="s">
        <v>9887</v>
      </c>
      <c r="H2931" t="str">
        <f>HYPERLINK("https://baanknet.com/view-property/245025/1E25FFA1B635643103C0D69330B8E827F63842F8D4FC8F602FDAA24027CEA616", "https://baanknet.com/view-property/245025/1E25FFA1B635643103C0D69330B8E827F63842F8D4FC8F602FDAA24027CEA616")</f>
        <v>https://baanknet.com/view-property/245025/1E25FFA1B635643103C0D69330B8E827F63842F8D4FC8F602FDAA24027CEA616</v>
      </c>
      <c r="I2931" t="str">
        <f>HYPERLINK("https://baanknet.com/view-property/245025/1E25FFA1B635643103C0D69330B8E827F63842F8D4FC8F602FDAA24027CEA616", "Open")</f>
        <v>Open</v>
      </c>
      <c r="J2931" t="s">
        <v>3803</v>
      </c>
      <c r="L2931">
        <v>2745000</v>
      </c>
      <c r="M2931">
        <v>274500</v>
      </c>
    </row>
    <row r="2932" spans="1:13" x14ac:dyDescent="0.25">
      <c r="A2932" t="s">
        <v>9888</v>
      </c>
      <c r="B2932" t="s">
        <v>9889</v>
      </c>
      <c r="C2932" t="s">
        <v>15</v>
      </c>
      <c r="D2932" t="s">
        <v>1488</v>
      </c>
      <c r="E2932" t="s">
        <v>7757</v>
      </c>
      <c r="F2932" t="s">
        <v>636</v>
      </c>
      <c r="G2932" t="s">
        <v>9890</v>
      </c>
      <c r="H2932" t="str">
        <f>HYPERLINK("https://baanknet.com/view-property/244032/F8DE604633C17275DDB85743F118099E704EB10C165BBF7D72323A18C390DDAE", "https://baanknet.com/view-property/244032/F8DE604633C17275DDB85743F118099E704EB10C165BBF7D72323A18C390DDAE")</f>
        <v>https://baanknet.com/view-property/244032/F8DE604633C17275DDB85743F118099E704EB10C165BBF7D72323A18C390DDAE</v>
      </c>
      <c r="I2932" t="str">
        <f>HYPERLINK("https://baanknet.com/view-property/244032/F8DE604633C17275DDB85743F118099E704EB10C165BBF7D72323A18C390DDAE", "Open")</f>
        <v>Open</v>
      </c>
      <c r="J2932" t="s">
        <v>3803</v>
      </c>
      <c r="L2932">
        <v>2618000</v>
      </c>
      <c r="M2932">
        <v>261800</v>
      </c>
    </row>
    <row r="2933" spans="1:13" x14ac:dyDescent="0.25">
      <c r="A2933" t="s">
        <v>9891</v>
      </c>
      <c r="B2933" t="s">
        <v>9892</v>
      </c>
      <c r="C2933" t="s">
        <v>15</v>
      </c>
      <c r="D2933" t="s">
        <v>2059</v>
      </c>
      <c r="E2933" t="s">
        <v>7757</v>
      </c>
      <c r="F2933" t="s">
        <v>636</v>
      </c>
      <c r="G2933" t="s">
        <v>9893</v>
      </c>
      <c r="H2933" t="str">
        <f>HYPERLINK("https://baanknet.com/view-property/244028/4E1B391FC2C562953BE6F163585AA3372730FF2F04EFCE85071AFDE5B7DAD2BD", "https://baanknet.com/view-property/244028/4E1B391FC2C562953BE6F163585AA3372730FF2F04EFCE85071AFDE5B7DAD2BD")</f>
        <v>https://baanknet.com/view-property/244028/4E1B391FC2C562953BE6F163585AA3372730FF2F04EFCE85071AFDE5B7DAD2BD</v>
      </c>
      <c r="I2933" t="str">
        <f>HYPERLINK("https://baanknet.com/view-property/244028/4E1B391FC2C562953BE6F163585AA3372730FF2F04EFCE85071AFDE5B7DAD2BD", "Open")</f>
        <v>Open</v>
      </c>
      <c r="J2933" t="s">
        <v>3803</v>
      </c>
      <c r="L2933">
        <v>2428000</v>
      </c>
      <c r="M2933">
        <v>242800</v>
      </c>
    </row>
    <row r="2934" spans="1:13" x14ac:dyDescent="0.25">
      <c r="A2934" t="s">
        <v>9894</v>
      </c>
      <c r="B2934" t="s">
        <v>9895</v>
      </c>
      <c r="C2934" t="s">
        <v>15</v>
      </c>
      <c r="D2934" t="s">
        <v>8942</v>
      </c>
      <c r="E2934" t="s">
        <v>7757</v>
      </c>
      <c r="F2934" t="s">
        <v>636</v>
      </c>
      <c r="G2934" t="s">
        <v>9896</v>
      </c>
      <c r="H2934" t="str">
        <f>HYPERLINK("https://baanknet.com/view-property/279773/4F6768E9AE148385E6D930A8C8F7F5AC6E8A53BF141E71E3B014F0FBFBA01273", "https://baanknet.com/view-property/279773/4F6768E9AE148385E6D930A8C8F7F5AC6E8A53BF141E71E3B014F0FBFBA01273")</f>
        <v>https://baanknet.com/view-property/279773/4F6768E9AE148385E6D930A8C8F7F5AC6E8A53BF141E71E3B014F0FBFBA01273</v>
      </c>
      <c r="I2934" t="str">
        <f>HYPERLINK("https://baanknet.com/view-property/279773/4F6768E9AE148385E6D930A8C8F7F5AC6E8A53BF141E71E3B014F0FBFBA01273", "Open")</f>
        <v>Open</v>
      </c>
      <c r="J2934" t="s">
        <v>3803</v>
      </c>
      <c r="L2934">
        <v>2480000</v>
      </c>
      <c r="M2934">
        <v>248000</v>
      </c>
    </row>
    <row r="2935" spans="1:13" x14ac:dyDescent="0.25">
      <c r="A2935" t="s">
        <v>9897</v>
      </c>
      <c r="B2935" t="s">
        <v>9898</v>
      </c>
      <c r="C2935" t="s">
        <v>15</v>
      </c>
      <c r="D2935" t="s">
        <v>9899</v>
      </c>
      <c r="E2935" t="s">
        <v>7757</v>
      </c>
      <c r="F2935" t="s">
        <v>636</v>
      </c>
      <c r="G2935" t="s">
        <v>9900</v>
      </c>
      <c r="H2935" t="str">
        <f>HYPERLINK("https://baanknet.com/view-property/241430/26E88866AC0C10F106D568604534164044EC592BD63824D6C4E7130B474178F5", "https://baanknet.com/view-property/241430/26E88866AC0C10F106D568604534164044EC592BD63824D6C4E7130B474178F5")</f>
        <v>https://baanknet.com/view-property/241430/26E88866AC0C10F106D568604534164044EC592BD63824D6C4E7130B474178F5</v>
      </c>
      <c r="I2935" t="str">
        <f>HYPERLINK("https://baanknet.com/view-property/241430/26E88866AC0C10F106D568604534164044EC592BD63824D6C4E7130B474178F5", "Open")</f>
        <v>Open</v>
      </c>
      <c r="J2935" t="s">
        <v>3803</v>
      </c>
      <c r="L2935">
        <v>1220000</v>
      </c>
      <c r="M2935">
        <v>122000</v>
      </c>
    </row>
    <row r="2936" spans="1:13" x14ac:dyDescent="0.25">
      <c r="A2936" t="s">
        <v>9901</v>
      </c>
      <c r="B2936" t="s">
        <v>9902</v>
      </c>
      <c r="C2936" t="s">
        <v>15</v>
      </c>
      <c r="D2936" t="s">
        <v>9903</v>
      </c>
      <c r="E2936" t="s">
        <v>7757</v>
      </c>
      <c r="F2936" t="s">
        <v>636</v>
      </c>
      <c r="G2936" t="s">
        <v>9904</v>
      </c>
      <c r="H2936" t="str">
        <f>HYPERLINK("https://baanknet.com/view-property/279867/6EAE32A76CACA3BF41B7EB0A32D06D4E7684C15A84E47494EB68C67D8CCEF329", "https://baanknet.com/view-property/279867/6EAE32A76CACA3BF41B7EB0A32D06D4E7684C15A84E47494EB68C67D8CCEF329")</f>
        <v>https://baanknet.com/view-property/279867/6EAE32A76CACA3BF41B7EB0A32D06D4E7684C15A84E47494EB68C67D8CCEF329</v>
      </c>
      <c r="I2936" t="str">
        <f>HYPERLINK("https://baanknet.com/view-property/279867/6EAE32A76CACA3BF41B7EB0A32D06D4E7684C15A84E47494EB68C67D8CCEF329", "Open")</f>
        <v>Open</v>
      </c>
      <c r="J2936" t="s">
        <v>3803</v>
      </c>
      <c r="L2936">
        <v>800000</v>
      </c>
      <c r="M2936">
        <v>80000</v>
      </c>
    </row>
    <row r="2937" spans="1:13" x14ac:dyDescent="0.25">
      <c r="A2937" t="s">
        <v>9905</v>
      </c>
      <c r="B2937" t="s">
        <v>9906</v>
      </c>
      <c r="C2937" t="s">
        <v>15</v>
      </c>
      <c r="D2937" t="s">
        <v>9907</v>
      </c>
      <c r="E2937" t="s">
        <v>7757</v>
      </c>
      <c r="F2937" t="s">
        <v>636</v>
      </c>
      <c r="G2937" t="s">
        <v>9908</v>
      </c>
      <c r="H2937" t="str">
        <f>HYPERLINK("https://baanknet.com/view-property/233773/51AFB8455627464763908A12937EB7E16612B0D445198F256902F8EF8F52605E", "https://baanknet.com/view-property/233773/51AFB8455627464763908A12937EB7E16612B0D445198F256902F8EF8F52605E")</f>
        <v>https://baanknet.com/view-property/233773/51AFB8455627464763908A12937EB7E16612B0D445198F256902F8EF8F52605E</v>
      </c>
      <c r="I2937" t="str">
        <f>HYPERLINK("https://baanknet.com/view-property/233773/51AFB8455627464763908A12937EB7E16612B0D445198F256902F8EF8F52605E", "Open")</f>
        <v>Open</v>
      </c>
      <c r="J2937" t="s">
        <v>3803</v>
      </c>
      <c r="L2937">
        <v>685000</v>
      </c>
      <c r="M2937">
        <v>68500</v>
      </c>
    </row>
    <row r="2938" spans="1:13" x14ac:dyDescent="0.25">
      <c r="A2938" t="s">
        <v>9909</v>
      </c>
      <c r="B2938" t="s">
        <v>9910</v>
      </c>
      <c r="C2938" t="s">
        <v>15</v>
      </c>
      <c r="D2938" t="s">
        <v>9911</v>
      </c>
      <c r="E2938" t="s">
        <v>7757</v>
      </c>
      <c r="F2938" t="s">
        <v>636</v>
      </c>
      <c r="G2938" t="s">
        <v>9912</v>
      </c>
      <c r="H2938" t="str">
        <f>HYPERLINK("https://baanknet.com/view-property/264235/6CD5F18C7ABBF2326A76A09C0192D1C9266B2C48F23ACCF813B55D42424AA9A5", "https://baanknet.com/view-property/264235/6CD5F18C7ABBF2326A76A09C0192D1C9266B2C48F23ACCF813B55D42424AA9A5")</f>
        <v>https://baanknet.com/view-property/264235/6CD5F18C7ABBF2326A76A09C0192D1C9266B2C48F23ACCF813B55D42424AA9A5</v>
      </c>
      <c r="I2938" t="str">
        <f>HYPERLINK("https://baanknet.com/view-property/264235/6CD5F18C7ABBF2326A76A09C0192D1C9266B2C48F23ACCF813B55D42424AA9A5", "Open")</f>
        <v>Open</v>
      </c>
      <c r="J2938" t="s">
        <v>3803</v>
      </c>
      <c r="L2938">
        <v>5450000</v>
      </c>
      <c r="M2938">
        <v>545000</v>
      </c>
    </row>
    <row r="2939" spans="1:13" x14ac:dyDescent="0.25">
      <c r="A2939" t="s">
        <v>9913</v>
      </c>
      <c r="B2939" t="s">
        <v>9914</v>
      </c>
      <c r="C2939" t="s">
        <v>15</v>
      </c>
      <c r="D2939" t="s">
        <v>9903</v>
      </c>
      <c r="E2939" t="s">
        <v>7757</v>
      </c>
      <c r="F2939" t="s">
        <v>636</v>
      </c>
      <c r="G2939" t="s">
        <v>9915</v>
      </c>
      <c r="H2939" t="str">
        <f>HYPERLINK("https://baanknet.com/view-property/278358/7A68C2AEE632408A95E7DE0B5EE71F36209F2D3C1577D1AEB0B2FCA7C0B2ABDD", "https://baanknet.com/view-property/278358/7A68C2AEE632408A95E7DE0B5EE71F36209F2D3C1577D1AEB0B2FCA7C0B2ABDD")</f>
        <v>https://baanknet.com/view-property/278358/7A68C2AEE632408A95E7DE0B5EE71F36209F2D3C1577D1AEB0B2FCA7C0B2ABDD</v>
      </c>
      <c r="I2939" t="str">
        <f>HYPERLINK("https://baanknet.com/view-property/278358/7A68C2AEE632408A95E7DE0B5EE71F36209F2D3C1577D1AEB0B2FCA7C0B2ABDD", "Open")</f>
        <v>Open</v>
      </c>
      <c r="J2939" t="s">
        <v>3803</v>
      </c>
      <c r="L2939">
        <v>6020000</v>
      </c>
      <c r="M2939">
        <v>602000</v>
      </c>
    </row>
    <row r="2940" spans="1:13" x14ac:dyDescent="0.25">
      <c r="A2940" t="s">
        <v>9916</v>
      </c>
      <c r="B2940" t="s">
        <v>9917</v>
      </c>
      <c r="C2940" t="s">
        <v>15</v>
      </c>
      <c r="D2940" t="s">
        <v>9918</v>
      </c>
      <c r="E2940" t="s">
        <v>7757</v>
      </c>
      <c r="F2940" t="s">
        <v>636</v>
      </c>
      <c r="G2940" t="s">
        <v>9919</v>
      </c>
      <c r="H2940" t="str">
        <f>HYPERLINK("https://baanknet.com/view-property/242576/DFA649C450DD02C4ABD7731EC4AA26E2DED4AE02B9255F7BE47201F46F36684D", "https://baanknet.com/view-property/242576/DFA649C450DD02C4ABD7731EC4AA26E2DED4AE02B9255F7BE47201F46F36684D")</f>
        <v>https://baanknet.com/view-property/242576/DFA649C450DD02C4ABD7731EC4AA26E2DED4AE02B9255F7BE47201F46F36684D</v>
      </c>
      <c r="I2940" t="str">
        <f>HYPERLINK("https://baanknet.com/view-property/242576/DFA649C450DD02C4ABD7731EC4AA26E2DED4AE02B9255F7BE47201F46F36684D", "Open")</f>
        <v>Open</v>
      </c>
      <c r="J2940" t="s">
        <v>3803</v>
      </c>
      <c r="L2940">
        <v>304000</v>
      </c>
      <c r="M2940">
        <v>30400</v>
      </c>
    </row>
    <row r="2941" spans="1:13" x14ac:dyDescent="0.25">
      <c r="A2941" t="s">
        <v>9920</v>
      </c>
      <c r="B2941" t="s">
        <v>9921</v>
      </c>
      <c r="C2941" t="s">
        <v>15</v>
      </c>
      <c r="D2941" t="s">
        <v>3760</v>
      </c>
      <c r="E2941" t="s">
        <v>7757</v>
      </c>
      <c r="F2941" t="s">
        <v>636</v>
      </c>
      <c r="G2941" t="s">
        <v>9922</v>
      </c>
      <c r="H2941" t="str">
        <f>HYPERLINK("https://baanknet.com/view-property/272072/CB2FADF9D1A80E7D420BB28EF76BDCA0923AD5271E129DA04192AF72F9F16B1F", "https://baanknet.com/view-property/272072/CB2FADF9D1A80E7D420BB28EF76BDCA0923AD5271E129DA04192AF72F9F16B1F")</f>
        <v>https://baanknet.com/view-property/272072/CB2FADF9D1A80E7D420BB28EF76BDCA0923AD5271E129DA04192AF72F9F16B1F</v>
      </c>
      <c r="I2941" t="str">
        <f>HYPERLINK("https://baanknet.com/view-property/272072/CB2FADF9D1A80E7D420BB28EF76BDCA0923AD5271E129DA04192AF72F9F16B1F", "Open")</f>
        <v>Open</v>
      </c>
      <c r="J2941" t="s">
        <v>3803</v>
      </c>
      <c r="L2941">
        <v>2180000</v>
      </c>
      <c r="M2941">
        <v>218000</v>
      </c>
    </row>
    <row r="2942" spans="1:13" x14ac:dyDescent="0.25">
      <c r="A2942" t="s">
        <v>9923</v>
      </c>
      <c r="B2942" t="s">
        <v>9924</v>
      </c>
      <c r="C2942" t="s">
        <v>15</v>
      </c>
      <c r="D2942" t="s">
        <v>9925</v>
      </c>
      <c r="E2942" t="s">
        <v>7757</v>
      </c>
      <c r="F2942" t="s">
        <v>636</v>
      </c>
      <c r="G2942" t="s">
        <v>9926</v>
      </c>
      <c r="H2942" t="str">
        <f>HYPERLINK("https://baanknet.com/view-property/274324/75A3862C398606E8F0C3A3EA2191C6F2CFD5D019EC6832D874C4B6DF2B893DE1", "https://baanknet.com/view-property/274324/75A3862C398606E8F0C3A3EA2191C6F2CFD5D019EC6832D874C4B6DF2B893DE1")</f>
        <v>https://baanknet.com/view-property/274324/75A3862C398606E8F0C3A3EA2191C6F2CFD5D019EC6832D874C4B6DF2B893DE1</v>
      </c>
      <c r="I2942" t="str">
        <f>HYPERLINK("https://baanknet.com/view-property/274324/75A3862C398606E8F0C3A3EA2191C6F2CFD5D019EC6832D874C4B6DF2B893DE1", "Open")</f>
        <v>Open</v>
      </c>
      <c r="J2942" t="s">
        <v>3803</v>
      </c>
      <c r="L2942">
        <v>2328000</v>
      </c>
      <c r="M2942">
        <v>232800</v>
      </c>
    </row>
    <row r="2943" spans="1:13" x14ac:dyDescent="0.25">
      <c r="A2943" t="s">
        <v>9927</v>
      </c>
      <c r="B2943" t="s">
        <v>9928</v>
      </c>
      <c r="C2943" t="s">
        <v>15</v>
      </c>
      <c r="D2943" t="s">
        <v>9929</v>
      </c>
      <c r="E2943" t="s">
        <v>7757</v>
      </c>
      <c r="F2943" t="s">
        <v>636</v>
      </c>
      <c r="G2943" t="s">
        <v>9930</v>
      </c>
      <c r="H2943" t="str">
        <f>HYPERLINK("https://baanknet.com/view-property/246503/1813DCDB845D5D22D2414E4338C64627EECF299445C66F4EC44178F005BE52A3", "https://baanknet.com/view-property/246503/1813DCDB845D5D22D2414E4338C64627EECF299445C66F4EC44178F005BE52A3")</f>
        <v>https://baanknet.com/view-property/246503/1813DCDB845D5D22D2414E4338C64627EECF299445C66F4EC44178F005BE52A3</v>
      </c>
      <c r="I2943" t="str">
        <f>HYPERLINK("https://baanknet.com/view-property/246503/1813DCDB845D5D22D2414E4338C64627EECF299445C66F4EC44178F005BE52A3", "Open")</f>
        <v>Open</v>
      </c>
      <c r="J2943" t="s">
        <v>3803</v>
      </c>
      <c r="L2943">
        <v>920000</v>
      </c>
      <c r="M2943">
        <v>92000</v>
      </c>
    </row>
    <row r="2944" spans="1:13" x14ac:dyDescent="0.25">
      <c r="A2944" t="s">
        <v>9931</v>
      </c>
      <c r="B2944" t="s">
        <v>9932</v>
      </c>
      <c r="C2944" t="s">
        <v>15</v>
      </c>
      <c r="D2944" t="s">
        <v>9929</v>
      </c>
      <c r="E2944" t="s">
        <v>7757</v>
      </c>
      <c r="F2944" t="s">
        <v>636</v>
      </c>
      <c r="G2944" t="s">
        <v>9933</v>
      </c>
      <c r="H2944" t="str">
        <f>HYPERLINK("https://baanknet.com/view-property/233647/A3A297249FCEDA4E8AB543FB57F8350D9BA2CD73D58B3A5B7755960892164C04", "https://baanknet.com/view-property/233647/A3A297249FCEDA4E8AB543FB57F8350D9BA2CD73D58B3A5B7755960892164C04")</f>
        <v>https://baanknet.com/view-property/233647/A3A297249FCEDA4E8AB543FB57F8350D9BA2CD73D58B3A5B7755960892164C04</v>
      </c>
      <c r="I2944" t="str">
        <f>HYPERLINK("https://baanknet.com/view-property/233647/A3A297249FCEDA4E8AB543FB57F8350D9BA2CD73D58B3A5B7755960892164C04", "Open")</f>
        <v>Open</v>
      </c>
      <c r="J2944" t="s">
        <v>3803</v>
      </c>
      <c r="L2944">
        <v>1970000</v>
      </c>
      <c r="M2944">
        <v>197000</v>
      </c>
    </row>
    <row r="2945" spans="1:13" x14ac:dyDescent="0.25">
      <c r="A2945" t="s">
        <v>9934</v>
      </c>
      <c r="B2945" t="s">
        <v>9935</v>
      </c>
      <c r="C2945" t="s">
        <v>15</v>
      </c>
      <c r="D2945" t="s">
        <v>7106</v>
      </c>
      <c r="E2945" t="s">
        <v>7757</v>
      </c>
      <c r="F2945" t="s">
        <v>636</v>
      </c>
      <c r="G2945" t="s">
        <v>9936</v>
      </c>
      <c r="H2945" t="str">
        <f>HYPERLINK("https://baanknet.com/view-property/205799/0A1FDE091C67E3C7A508DC7D4986A58F8BB668E5D2D3F84F2E323EEE0A01B211", "https://baanknet.com/view-property/205799/0A1FDE091C67E3C7A508DC7D4986A58F8BB668E5D2D3F84F2E323EEE0A01B211")</f>
        <v>https://baanknet.com/view-property/205799/0A1FDE091C67E3C7A508DC7D4986A58F8BB668E5D2D3F84F2E323EEE0A01B211</v>
      </c>
      <c r="I2945" t="str">
        <f>HYPERLINK("https://baanknet.com/view-property/205799/0A1FDE091C67E3C7A508DC7D4986A58F8BB668E5D2D3F84F2E323EEE0A01B211", "Open")</f>
        <v>Open</v>
      </c>
      <c r="J2945" t="s">
        <v>3803</v>
      </c>
      <c r="L2945">
        <v>6659000</v>
      </c>
      <c r="M2945">
        <v>665900</v>
      </c>
    </row>
    <row r="2946" spans="1:13" x14ac:dyDescent="0.25">
      <c r="A2946" t="s">
        <v>9937</v>
      </c>
      <c r="B2946" t="s">
        <v>9938</v>
      </c>
      <c r="C2946" t="s">
        <v>15</v>
      </c>
      <c r="D2946" t="s">
        <v>9939</v>
      </c>
      <c r="E2946" t="s">
        <v>7757</v>
      </c>
      <c r="F2946" t="s">
        <v>636</v>
      </c>
      <c r="G2946" t="s">
        <v>9940</v>
      </c>
      <c r="H2946" t="str">
        <f>HYPERLINK("https://baanknet.com/view-property/190252/C66F877E309CDA2DA391A56A1DC028796C40EF727595D362C27653F69E09CB6E", "https://baanknet.com/view-property/190252/C66F877E309CDA2DA391A56A1DC028796C40EF727595D362C27653F69E09CB6E")</f>
        <v>https://baanknet.com/view-property/190252/C66F877E309CDA2DA391A56A1DC028796C40EF727595D362C27653F69E09CB6E</v>
      </c>
      <c r="I2946" t="str">
        <f>HYPERLINK("https://baanknet.com/view-property/190252/C66F877E309CDA2DA391A56A1DC028796C40EF727595D362C27653F69E09CB6E", "Open")</f>
        <v>Open</v>
      </c>
      <c r="J2946" t="s">
        <v>3803</v>
      </c>
      <c r="L2946">
        <v>2200000</v>
      </c>
      <c r="M2946">
        <v>220000</v>
      </c>
    </row>
    <row r="2947" spans="1:13" x14ac:dyDescent="0.25">
      <c r="A2947" t="s">
        <v>9941</v>
      </c>
      <c r="B2947" t="s">
        <v>9942</v>
      </c>
      <c r="C2947" t="s">
        <v>15</v>
      </c>
      <c r="D2947" t="s">
        <v>9943</v>
      </c>
      <c r="E2947" t="s">
        <v>7757</v>
      </c>
      <c r="F2947" t="s">
        <v>636</v>
      </c>
      <c r="G2947" t="s">
        <v>9944</v>
      </c>
      <c r="H2947" t="str">
        <f>HYPERLINK("https://baanknet.com/view-property/190267/73F09A7D3E539E404E4993D0278F1F548390A7C5C2B7C5356FCA7FA81D1CBEC6", "https://baanknet.com/view-property/190267/73F09A7D3E539E404E4993D0278F1F548390A7C5C2B7C5356FCA7FA81D1CBEC6")</f>
        <v>https://baanknet.com/view-property/190267/73F09A7D3E539E404E4993D0278F1F548390A7C5C2B7C5356FCA7FA81D1CBEC6</v>
      </c>
      <c r="I2947" t="str">
        <f>HYPERLINK("https://baanknet.com/view-property/190267/73F09A7D3E539E404E4993D0278F1F548390A7C5C2B7C5356FCA7FA81D1CBEC6", "Open")</f>
        <v>Open</v>
      </c>
      <c r="J2947" t="s">
        <v>3803</v>
      </c>
      <c r="L2947">
        <v>1303000</v>
      </c>
      <c r="M2947">
        <v>130300</v>
      </c>
    </row>
    <row r="2948" spans="1:13" x14ac:dyDescent="0.25">
      <c r="A2948" t="s">
        <v>9945</v>
      </c>
      <c r="B2948" t="s">
        <v>9946</v>
      </c>
      <c r="C2948" t="s">
        <v>15</v>
      </c>
      <c r="D2948" t="s">
        <v>9925</v>
      </c>
      <c r="E2948" t="s">
        <v>7757</v>
      </c>
      <c r="F2948" t="s">
        <v>636</v>
      </c>
      <c r="G2948" t="s">
        <v>9947</v>
      </c>
      <c r="H2948" t="str">
        <f>HYPERLINK("https://baanknet.com/view-property/227232/2B70C44EB7DDADA7D6A4E384C5AE67668F7641AEE891D9F0F6DD44828B1D703E", "https://baanknet.com/view-property/227232/2B70C44EB7DDADA7D6A4E384C5AE67668F7641AEE891D9F0F6DD44828B1D703E")</f>
        <v>https://baanknet.com/view-property/227232/2B70C44EB7DDADA7D6A4E384C5AE67668F7641AEE891D9F0F6DD44828B1D703E</v>
      </c>
      <c r="I2948" t="str">
        <f>HYPERLINK("https://baanknet.com/view-property/227232/2B70C44EB7DDADA7D6A4E384C5AE67668F7641AEE891D9F0F6DD44828B1D703E", "Open")</f>
        <v>Open</v>
      </c>
      <c r="J2948" t="s">
        <v>3803</v>
      </c>
      <c r="L2948">
        <v>51400000</v>
      </c>
      <c r="M2948">
        <v>5140000</v>
      </c>
    </row>
    <row r="2949" spans="1:13" x14ac:dyDescent="0.25">
      <c r="A2949" t="s">
        <v>9948</v>
      </c>
      <c r="B2949" t="s">
        <v>9949</v>
      </c>
      <c r="C2949" t="s">
        <v>15</v>
      </c>
      <c r="D2949" t="s">
        <v>960</v>
      </c>
      <c r="E2949" t="s">
        <v>7757</v>
      </c>
      <c r="F2949" t="s">
        <v>636</v>
      </c>
      <c r="G2949" t="s">
        <v>9950</v>
      </c>
      <c r="H2949" t="str">
        <f>HYPERLINK("https://baanknet.com/view-property/265632/F86D3A97804D21CCC5F84D85632C667E3BE08EFEE142B16EF71D2C89FA617452", "https://baanknet.com/view-property/265632/F86D3A97804D21CCC5F84D85632C667E3BE08EFEE142B16EF71D2C89FA617452")</f>
        <v>https://baanknet.com/view-property/265632/F86D3A97804D21CCC5F84D85632C667E3BE08EFEE142B16EF71D2C89FA617452</v>
      </c>
      <c r="I2949" t="str">
        <f>HYPERLINK("https://baanknet.com/view-property/265632/F86D3A97804D21CCC5F84D85632C667E3BE08EFEE142B16EF71D2C89FA617452", "Open")</f>
        <v>Open</v>
      </c>
      <c r="J2949" t="s">
        <v>3803</v>
      </c>
      <c r="L2949">
        <v>2322000</v>
      </c>
      <c r="M2949">
        <v>232200</v>
      </c>
    </row>
    <row r="2950" spans="1:13" x14ac:dyDescent="0.25">
      <c r="A2950" t="s">
        <v>9951</v>
      </c>
      <c r="B2950" t="s">
        <v>9952</v>
      </c>
      <c r="C2950" t="s">
        <v>15</v>
      </c>
      <c r="D2950" t="s">
        <v>960</v>
      </c>
      <c r="E2950" t="s">
        <v>7757</v>
      </c>
      <c r="F2950" t="s">
        <v>636</v>
      </c>
      <c r="G2950" t="s">
        <v>9953</v>
      </c>
      <c r="H2950" t="str">
        <f>HYPERLINK("https://baanknet.com/view-property/265633/7CA8716586C736DD7B654E7D58E803BDAC2B3232C25CBA170BBA7F98F21B3633", "https://baanknet.com/view-property/265633/7CA8716586C736DD7B654E7D58E803BDAC2B3232C25CBA170BBA7F98F21B3633")</f>
        <v>https://baanknet.com/view-property/265633/7CA8716586C736DD7B654E7D58E803BDAC2B3232C25CBA170BBA7F98F21B3633</v>
      </c>
      <c r="I2950" t="str">
        <f>HYPERLINK("https://baanknet.com/view-property/265633/7CA8716586C736DD7B654E7D58E803BDAC2B3232C25CBA170BBA7F98F21B3633", "Open")</f>
        <v>Open</v>
      </c>
      <c r="J2950" t="s">
        <v>3803</v>
      </c>
      <c r="L2950">
        <v>1898000</v>
      </c>
      <c r="M2950">
        <v>189800</v>
      </c>
    </row>
    <row r="2951" spans="1:13" x14ac:dyDescent="0.25">
      <c r="A2951" t="s">
        <v>9954</v>
      </c>
      <c r="B2951" t="s">
        <v>9955</v>
      </c>
      <c r="C2951" t="s">
        <v>15</v>
      </c>
      <c r="D2951" t="s">
        <v>960</v>
      </c>
      <c r="E2951" t="s">
        <v>7757</v>
      </c>
      <c r="F2951" t="s">
        <v>636</v>
      </c>
      <c r="G2951" t="s">
        <v>9956</v>
      </c>
      <c r="H2951" t="str">
        <f>HYPERLINK("https://baanknet.com/view-property/284251/AE06A3AC797E0C7C5F6AB111369A3BBE0C9FD40157BA70A43400ED066F53D544", "https://baanknet.com/view-property/284251/AE06A3AC797E0C7C5F6AB111369A3BBE0C9FD40157BA70A43400ED066F53D544")</f>
        <v>https://baanknet.com/view-property/284251/AE06A3AC797E0C7C5F6AB111369A3BBE0C9FD40157BA70A43400ED066F53D544</v>
      </c>
      <c r="I2951" t="str">
        <f>HYPERLINK("https://baanknet.com/view-property/284251/AE06A3AC797E0C7C5F6AB111369A3BBE0C9FD40157BA70A43400ED066F53D544", "Open")</f>
        <v>Open</v>
      </c>
      <c r="J2951" t="s">
        <v>3803</v>
      </c>
      <c r="L2951">
        <v>2685000</v>
      </c>
      <c r="M2951">
        <v>268500</v>
      </c>
    </row>
    <row r="2952" spans="1:13" x14ac:dyDescent="0.25">
      <c r="A2952" t="s">
        <v>9957</v>
      </c>
      <c r="B2952" t="s">
        <v>9958</v>
      </c>
      <c r="C2952" t="s">
        <v>15</v>
      </c>
      <c r="D2952" t="s">
        <v>1246</v>
      </c>
      <c r="E2952" t="s">
        <v>7757</v>
      </c>
      <c r="F2952" t="s">
        <v>636</v>
      </c>
      <c r="G2952" t="s">
        <v>9959</v>
      </c>
      <c r="H2952" t="str">
        <f>HYPERLINK("https://baanknet.com/view-property/282367/C1730CF2DF00E59A75C377608866A9ACF6D8D686DCC6F96E3B80427325928C9B", "https://baanknet.com/view-property/282367/C1730CF2DF00E59A75C377608866A9ACF6D8D686DCC6F96E3B80427325928C9B")</f>
        <v>https://baanknet.com/view-property/282367/C1730CF2DF00E59A75C377608866A9ACF6D8D686DCC6F96E3B80427325928C9B</v>
      </c>
      <c r="I2952" t="str">
        <f>HYPERLINK("https://baanknet.com/view-property/282367/C1730CF2DF00E59A75C377608866A9ACF6D8D686DCC6F96E3B80427325928C9B", "Open")</f>
        <v>Open</v>
      </c>
      <c r="J2952" t="s">
        <v>3803</v>
      </c>
      <c r="L2952">
        <v>10815000</v>
      </c>
      <c r="M2952">
        <v>1081500</v>
      </c>
    </row>
    <row r="2953" spans="1:13" x14ac:dyDescent="0.25">
      <c r="A2953" t="s">
        <v>9960</v>
      </c>
      <c r="B2953" t="s">
        <v>9961</v>
      </c>
      <c r="C2953" t="s">
        <v>15</v>
      </c>
      <c r="D2953" t="s">
        <v>9962</v>
      </c>
      <c r="E2953" t="s">
        <v>7757</v>
      </c>
      <c r="F2953" t="s">
        <v>636</v>
      </c>
      <c r="G2953" t="s">
        <v>9963</v>
      </c>
      <c r="H2953" t="str">
        <f>HYPERLINK("https://baanknet.com/view-property/274321/F9820148FA8E4443D22E12AE0B6958391426B85907F0800C20D7365AE37BA2A7", "https://baanknet.com/view-property/274321/F9820148FA8E4443D22E12AE0B6958391426B85907F0800C20D7365AE37BA2A7")</f>
        <v>https://baanknet.com/view-property/274321/F9820148FA8E4443D22E12AE0B6958391426B85907F0800C20D7365AE37BA2A7</v>
      </c>
      <c r="I2953" t="str">
        <f>HYPERLINK("https://baanknet.com/view-property/274321/F9820148FA8E4443D22E12AE0B6958391426B85907F0800C20D7365AE37BA2A7", "Open")</f>
        <v>Open</v>
      </c>
      <c r="J2953" t="s">
        <v>3803</v>
      </c>
      <c r="L2953">
        <v>4327000</v>
      </c>
      <c r="M2953">
        <v>432700</v>
      </c>
    </row>
    <row r="2954" spans="1:13" x14ac:dyDescent="0.25">
      <c r="A2954" t="s">
        <v>9964</v>
      </c>
      <c r="B2954" t="s">
        <v>9965</v>
      </c>
      <c r="C2954" t="s">
        <v>15</v>
      </c>
      <c r="D2954" t="s">
        <v>9939</v>
      </c>
      <c r="E2954" t="s">
        <v>7757</v>
      </c>
      <c r="F2954" t="s">
        <v>636</v>
      </c>
      <c r="G2954" t="s">
        <v>9966</v>
      </c>
      <c r="H2954" t="str">
        <f>HYPERLINK("https://baanknet.com/view-property/265639/DDDE6D700023F484D463D71D1F0AF0B14090FBE2CDB9A66A29208E49A43CEFB3", "https://baanknet.com/view-property/265639/DDDE6D700023F484D463D71D1F0AF0B14090FBE2CDB9A66A29208E49A43CEFB3")</f>
        <v>https://baanknet.com/view-property/265639/DDDE6D700023F484D463D71D1F0AF0B14090FBE2CDB9A66A29208E49A43CEFB3</v>
      </c>
      <c r="I2954" t="str">
        <f>HYPERLINK("https://baanknet.com/view-property/265639/DDDE6D700023F484D463D71D1F0AF0B14090FBE2CDB9A66A29208E49A43CEFB3", "Open")</f>
        <v>Open</v>
      </c>
      <c r="J2954" t="s">
        <v>3803</v>
      </c>
      <c r="L2954">
        <v>13686000</v>
      </c>
      <c r="M2954">
        <v>1368600</v>
      </c>
    </row>
    <row r="2955" spans="1:13" x14ac:dyDescent="0.25">
      <c r="A2955" t="s">
        <v>9967</v>
      </c>
      <c r="B2955" t="s">
        <v>9968</v>
      </c>
      <c r="C2955" t="s">
        <v>15</v>
      </c>
      <c r="D2955" t="s">
        <v>9969</v>
      </c>
      <c r="E2955" t="s">
        <v>7757</v>
      </c>
      <c r="F2955" t="s">
        <v>636</v>
      </c>
      <c r="G2955" t="s">
        <v>9970</v>
      </c>
      <c r="H2955" t="str">
        <f>HYPERLINK("https://baanknet.com/view-property/265635/1D1CEED0EC24EBCED37C00B21A941C8B395B893F77730ACD5C097CBE3EF3B21B", "https://baanknet.com/view-property/265635/1D1CEED0EC24EBCED37C00B21A941C8B395B893F77730ACD5C097CBE3EF3B21B")</f>
        <v>https://baanknet.com/view-property/265635/1D1CEED0EC24EBCED37C00B21A941C8B395B893F77730ACD5C097CBE3EF3B21B</v>
      </c>
      <c r="I2955" t="str">
        <f>HYPERLINK("https://baanknet.com/view-property/265635/1D1CEED0EC24EBCED37C00B21A941C8B395B893F77730ACD5C097CBE3EF3B21B", "Open")</f>
        <v>Open</v>
      </c>
      <c r="J2955" t="s">
        <v>3803</v>
      </c>
      <c r="L2955">
        <v>5950000</v>
      </c>
      <c r="M2955">
        <v>595000</v>
      </c>
    </row>
    <row r="2956" spans="1:13" x14ac:dyDescent="0.25">
      <c r="A2956" t="s">
        <v>9971</v>
      </c>
      <c r="B2956" t="s">
        <v>9972</v>
      </c>
      <c r="C2956" t="s">
        <v>15</v>
      </c>
      <c r="D2956" t="s">
        <v>9939</v>
      </c>
      <c r="E2956" t="s">
        <v>7757</v>
      </c>
      <c r="F2956" t="s">
        <v>636</v>
      </c>
      <c r="G2956" t="s">
        <v>9973</v>
      </c>
      <c r="H2956" t="str">
        <f>HYPERLINK("https://baanknet.com/view-property/265638/DAD9286E00797F70D7483E33CDAD7E2B5C39C6C068454137F4560ED46200C83C", "https://baanknet.com/view-property/265638/DAD9286E00797F70D7483E33CDAD7E2B5C39C6C068454137F4560ED46200C83C")</f>
        <v>https://baanknet.com/view-property/265638/DAD9286E00797F70D7483E33CDAD7E2B5C39C6C068454137F4560ED46200C83C</v>
      </c>
      <c r="I2956" t="str">
        <f>HYPERLINK("https://baanknet.com/view-property/265638/DAD9286E00797F70D7483E33CDAD7E2B5C39C6C068454137F4560ED46200C83C", "Open")</f>
        <v>Open</v>
      </c>
      <c r="J2956" t="s">
        <v>3803</v>
      </c>
      <c r="L2956">
        <v>2880000</v>
      </c>
      <c r="M2956">
        <v>288000</v>
      </c>
    </row>
    <row r="2957" spans="1:13" x14ac:dyDescent="0.25">
      <c r="A2957" t="s">
        <v>9974</v>
      </c>
      <c r="B2957" t="s">
        <v>9975</v>
      </c>
      <c r="C2957" t="s">
        <v>15</v>
      </c>
      <c r="D2957" t="s">
        <v>9939</v>
      </c>
      <c r="E2957" t="s">
        <v>7757</v>
      </c>
      <c r="F2957" t="s">
        <v>636</v>
      </c>
      <c r="G2957" t="s">
        <v>9976</v>
      </c>
      <c r="H2957" t="str">
        <f>HYPERLINK("https://baanknet.com/view-property/265636/2003087E6CEBA95EDF87F14C10CA0E639CDCED4C38C60C170D78E4593EF502D5", "https://baanknet.com/view-property/265636/2003087E6CEBA95EDF87F14C10CA0E639CDCED4C38C60C170D78E4593EF502D5")</f>
        <v>https://baanknet.com/view-property/265636/2003087E6CEBA95EDF87F14C10CA0E639CDCED4C38C60C170D78E4593EF502D5</v>
      </c>
      <c r="I2957" t="str">
        <f>HYPERLINK("https://baanknet.com/view-property/265636/2003087E6CEBA95EDF87F14C10CA0E639CDCED4C38C60C170D78E4593EF502D5", "Open")</f>
        <v>Open</v>
      </c>
      <c r="J2957" t="s">
        <v>3803</v>
      </c>
      <c r="L2957">
        <v>5047000</v>
      </c>
      <c r="M2957">
        <v>504700</v>
      </c>
    </row>
    <row r="2958" spans="1:13" x14ac:dyDescent="0.25">
      <c r="A2958" t="s">
        <v>9977</v>
      </c>
      <c r="B2958" t="s">
        <v>9978</v>
      </c>
      <c r="C2958" t="s">
        <v>15</v>
      </c>
      <c r="D2958" t="s">
        <v>9979</v>
      </c>
      <c r="E2958" t="s">
        <v>7757</v>
      </c>
      <c r="F2958" t="s">
        <v>636</v>
      </c>
      <c r="G2958" t="s">
        <v>9980</v>
      </c>
      <c r="H2958" t="str">
        <f>HYPERLINK("https://baanknet.com/view-property/207481/343F9D458FA001F694242B31620B9E2EA50F072B42F5C601C378A0183029BA58", "https://baanknet.com/view-property/207481/343F9D458FA001F694242B31620B9E2EA50F072B42F5C601C378A0183029BA58")</f>
        <v>https://baanknet.com/view-property/207481/343F9D458FA001F694242B31620B9E2EA50F072B42F5C601C378A0183029BA58</v>
      </c>
      <c r="I2958" t="str">
        <f>HYPERLINK("https://baanknet.com/view-property/207481/343F9D458FA001F694242B31620B9E2EA50F072B42F5C601C378A0183029BA58", "Open")</f>
        <v>Open</v>
      </c>
      <c r="J2958" t="s">
        <v>3803</v>
      </c>
      <c r="L2958">
        <v>2632000</v>
      </c>
      <c r="M2958">
        <v>263200</v>
      </c>
    </row>
    <row r="2959" spans="1:13" x14ac:dyDescent="0.25">
      <c r="A2959" t="s">
        <v>9981</v>
      </c>
      <c r="B2959" t="s">
        <v>9982</v>
      </c>
      <c r="C2959" t="s">
        <v>15</v>
      </c>
      <c r="D2959" t="s">
        <v>9979</v>
      </c>
      <c r="E2959" t="s">
        <v>7757</v>
      </c>
      <c r="F2959" t="s">
        <v>636</v>
      </c>
      <c r="G2959" t="s">
        <v>9983</v>
      </c>
      <c r="H2959" t="str">
        <f>HYPERLINK("https://baanknet.com/view-property/190346/9AB0F48989309E4C8290D3F59AD0E8F040E0621A96F48D33016B26CBBB1D6168", "https://baanknet.com/view-property/190346/9AB0F48989309E4C8290D3F59AD0E8F040E0621A96F48D33016B26CBBB1D6168")</f>
        <v>https://baanknet.com/view-property/190346/9AB0F48989309E4C8290D3F59AD0E8F040E0621A96F48D33016B26CBBB1D6168</v>
      </c>
      <c r="I2959" t="str">
        <f>HYPERLINK("https://baanknet.com/view-property/190346/9AB0F48989309E4C8290D3F59AD0E8F040E0621A96F48D33016B26CBBB1D6168", "Open")</f>
        <v>Open</v>
      </c>
      <c r="J2959" t="s">
        <v>3803</v>
      </c>
      <c r="L2959">
        <v>12799000</v>
      </c>
      <c r="M2959">
        <v>1279900</v>
      </c>
    </row>
    <row r="2960" spans="1:13" x14ac:dyDescent="0.25">
      <c r="A2960" t="s">
        <v>9984</v>
      </c>
      <c r="B2960" t="s">
        <v>9985</v>
      </c>
      <c r="C2960" t="s">
        <v>15</v>
      </c>
      <c r="D2960" t="s">
        <v>9986</v>
      </c>
      <c r="E2960" t="s">
        <v>7757</v>
      </c>
      <c r="F2960" t="s">
        <v>636</v>
      </c>
      <c r="G2960" t="s">
        <v>9987</v>
      </c>
      <c r="H2960" t="str">
        <f>HYPERLINK("https://baanknet.com/view-property/282128/D87EE0B5F2893D3F40B043975CD895DE3C9D196131AA116CF863C0EF7EAB1051", "https://baanknet.com/view-property/282128/D87EE0B5F2893D3F40B043975CD895DE3C9D196131AA116CF863C0EF7EAB1051")</f>
        <v>https://baanknet.com/view-property/282128/D87EE0B5F2893D3F40B043975CD895DE3C9D196131AA116CF863C0EF7EAB1051</v>
      </c>
      <c r="I2960" t="str">
        <f>HYPERLINK("https://baanknet.com/view-property/282128/D87EE0B5F2893D3F40B043975CD895DE3C9D196131AA116CF863C0EF7EAB1051", "Open")</f>
        <v>Open</v>
      </c>
      <c r="J2960" t="s">
        <v>3803</v>
      </c>
      <c r="L2960">
        <v>2850000</v>
      </c>
      <c r="M2960">
        <v>285000</v>
      </c>
    </row>
    <row r="2961" spans="1:13" x14ac:dyDescent="0.25">
      <c r="A2961" t="s">
        <v>9988</v>
      </c>
      <c r="B2961" t="s">
        <v>9989</v>
      </c>
      <c r="C2961" t="s">
        <v>15</v>
      </c>
      <c r="D2961" t="s">
        <v>9776</v>
      </c>
      <c r="E2961" t="s">
        <v>7757</v>
      </c>
      <c r="F2961" t="s">
        <v>636</v>
      </c>
      <c r="G2961" t="s">
        <v>9990</v>
      </c>
      <c r="H2961" t="str">
        <f>HYPERLINK("https://baanknet.com/view-property/279180/9B5D927E4D7234822AE52C38EA54061CB1C9402192A6A6B13A33C4E92D6DB4D4", "https://baanknet.com/view-property/279180/9B5D927E4D7234822AE52C38EA54061CB1C9402192A6A6B13A33C4E92D6DB4D4")</f>
        <v>https://baanknet.com/view-property/279180/9B5D927E4D7234822AE52C38EA54061CB1C9402192A6A6B13A33C4E92D6DB4D4</v>
      </c>
      <c r="I2961" t="str">
        <f>HYPERLINK("https://baanknet.com/view-property/279180/9B5D927E4D7234822AE52C38EA54061CB1C9402192A6A6B13A33C4E92D6DB4D4", "Open")</f>
        <v>Open</v>
      </c>
      <c r="J2961" t="s">
        <v>3803</v>
      </c>
      <c r="L2961">
        <v>3250000</v>
      </c>
      <c r="M2961">
        <v>325000</v>
      </c>
    </row>
    <row r="2962" spans="1:13" x14ac:dyDescent="0.25">
      <c r="A2962" t="s">
        <v>9991</v>
      </c>
      <c r="B2962" t="s">
        <v>9992</v>
      </c>
      <c r="C2962" t="s">
        <v>15</v>
      </c>
      <c r="D2962" t="s">
        <v>9993</v>
      </c>
      <c r="E2962" t="s">
        <v>7757</v>
      </c>
      <c r="F2962" t="s">
        <v>636</v>
      </c>
      <c r="G2962" t="s">
        <v>9994</v>
      </c>
      <c r="H2962" t="str">
        <f>HYPERLINK("https://baanknet.com/view-property/275752/FD3FC0B38D1F0E896137594358A186E2510A83899D7FB715F3A02DE43DE2A751", "https://baanknet.com/view-property/275752/FD3FC0B38D1F0E896137594358A186E2510A83899D7FB715F3A02DE43DE2A751")</f>
        <v>https://baanknet.com/view-property/275752/FD3FC0B38D1F0E896137594358A186E2510A83899D7FB715F3A02DE43DE2A751</v>
      </c>
      <c r="I2962" t="str">
        <f>HYPERLINK("https://baanknet.com/view-property/275752/FD3FC0B38D1F0E896137594358A186E2510A83899D7FB715F3A02DE43DE2A751", "Open")</f>
        <v>Open</v>
      </c>
      <c r="J2962" t="s">
        <v>3803</v>
      </c>
      <c r="L2962">
        <v>3850000</v>
      </c>
      <c r="M2962">
        <v>385000</v>
      </c>
    </row>
    <row r="2963" spans="1:13" x14ac:dyDescent="0.25">
      <c r="A2963" t="s">
        <v>9995</v>
      </c>
      <c r="B2963" t="s">
        <v>9996</v>
      </c>
      <c r="C2963" t="s">
        <v>15</v>
      </c>
      <c r="D2963" t="s">
        <v>9997</v>
      </c>
      <c r="E2963" t="s">
        <v>7757</v>
      </c>
      <c r="F2963" t="s">
        <v>636</v>
      </c>
      <c r="G2963" t="s">
        <v>9998</v>
      </c>
      <c r="H2963" t="str">
        <f>HYPERLINK("https://baanknet.com/view-property/279182/FA8C6D72FC96E5B25EC855F30E87E24B20E997A5603BEFE7D2C27C10D14739A2", "https://baanknet.com/view-property/279182/FA8C6D72FC96E5B25EC855F30E87E24B20E997A5603BEFE7D2C27C10D14739A2")</f>
        <v>https://baanknet.com/view-property/279182/FA8C6D72FC96E5B25EC855F30E87E24B20E997A5603BEFE7D2C27C10D14739A2</v>
      </c>
      <c r="I2963" t="str">
        <f>HYPERLINK("https://baanknet.com/view-property/279182/FA8C6D72FC96E5B25EC855F30E87E24B20E997A5603BEFE7D2C27C10D14739A2", "Open")</f>
        <v>Open</v>
      </c>
      <c r="J2963" t="s">
        <v>3803</v>
      </c>
      <c r="L2963">
        <v>3490000</v>
      </c>
      <c r="M2963">
        <v>349000</v>
      </c>
    </row>
    <row r="2964" spans="1:13" x14ac:dyDescent="0.25">
      <c r="A2964" t="s">
        <v>9999</v>
      </c>
      <c r="B2964" t="s">
        <v>10000</v>
      </c>
      <c r="C2964" t="s">
        <v>15</v>
      </c>
      <c r="D2964" t="s">
        <v>1463</v>
      </c>
      <c r="E2964" t="s">
        <v>7757</v>
      </c>
      <c r="F2964" t="s">
        <v>636</v>
      </c>
      <c r="G2964" t="s">
        <v>10001</v>
      </c>
      <c r="H2964" t="str">
        <f>HYPERLINK("https://baanknet.com/view-property/279354/9CA2785B6CE96942C85B5AF8BBEF6625E201D39E741CB0885484741BD10FEFCA", "https://baanknet.com/view-property/279354/9CA2785B6CE96942C85B5AF8BBEF6625E201D39E741CB0885484741BD10FEFCA")</f>
        <v>https://baanknet.com/view-property/279354/9CA2785B6CE96942C85B5AF8BBEF6625E201D39E741CB0885484741BD10FEFCA</v>
      </c>
      <c r="I2964" t="str">
        <f>HYPERLINK("https://baanknet.com/view-property/279354/9CA2785B6CE96942C85B5AF8BBEF6625E201D39E741CB0885484741BD10FEFCA", "Open")</f>
        <v>Open</v>
      </c>
      <c r="J2964" t="s">
        <v>3803</v>
      </c>
      <c r="L2964">
        <v>1070000</v>
      </c>
      <c r="M2964">
        <v>107000</v>
      </c>
    </row>
    <row r="2965" spans="1:13" x14ac:dyDescent="0.25">
      <c r="A2965" t="s">
        <v>10002</v>
      </c>
      <c r="B2965" t="s">
        <v>10003</v>
      </c>
      <c r="C2965" t="s">
        <v>15</v>
      </c>
      <c r="D2965" t="s">
        <v>1488</v>
      </c>
      <c r="E2965" t="s">
        <v>7757</v>
      </c>
      <c r="F2965" t="s">
        <v>636</v>
      </c>
      <c r="G2965" t="s">
        <v>10004</v>
      </c>
      <c r="H2965" t="str">
        <f>HYPERLINK("https://baanknet.com/view-property/279371/001EDBD555199367A56BBEE3A21AE79910B5BF377A2FF578CBF8EBA964EF66F1", "https://baanknet.com/view-property/279371/001EDBD555199367A56BBEE3A21AE79910B5BF377A2FF578CBF8EBA964EF66F1")</f>
        <v>https://baanknet.com/view-property/279371/001EDBD555199367A56BBEE3A21AE79910B5BF377A2FF578CBF8EBA964EF66F1</v>
      </c>
      <c r="I2965" t="str">
        <f>HYPERLINK("https://baanknet.com/view-property/279371/001EDBD555199367A56BBEE3A21AE79910B5BF377A2FF578CBF8EBA964EF66F1", "Open")</f>
        <v>Open</v>
      </c>
      <c r="J2965" t="s">
        <v>3803</v>
      </c>
      <c r="L2965">
        <v>4130000</v>
      </c>
      <c r="M2965">
        <v>413000</v>
      </c>
    </row>
    <row r="2966" spans="1:13" x14ac:dyDescent="0.25">
      <c r="A2966" t="s">
        <v>10005</v>
      </c>
      <c r="B2966" t="s">
        <v>10006</v>
      </c>
      <c r="C2966" t="s">
        <v>15</v>
      </c>
      <c r="D2966" t="s">
        <v>3968</v>
      </c>
      <c r="E2966" t="s">
        <v>7757</v>
      </c>
      <c r="F2966" t="s">
        <v>636</v>
      </c>
      <c r="G2966" t="s">
        <v>10007</v>
      </c>
      <c r="H2966" t="str">
        <f>HYPERLINK("https://baanknet.com/view-property/241012/92BC5AF25BFDFA9A289B2D1B47A1FFEB9C10BE4424CFA9730BA1D4CECCDB4870", "https://baanknet.com/view-property/241012/92BC5AF25BFDFA9A289B2D1B47A1FFEB9C10BE4424CFA9730BA1D4CECCDB4870")</f>
        <v>https://baanknet.com/view-property/241012/92BC5AF25BFDFA9A289B2D1B47A1FFEB9C10BE4424CFA9730BA1D4CECCDB4870</v>
      </c>
      <c r="I2966" t="str">
        <f>HYPERLINK("https://baanknet.com/view-property/241012/92BC5AF25BFDFA9A289B2D1B47A1FFEB9C10BE4424CFA9730BA1D4CECCDB4870", "Open")</f>
        <v>Open</v>
      </c>
      <c r="J2966" t="s">
        <v>3803</v>
      </c>
      <c r="L2966">
        <v>13500000</v>
      </c>
      <c r="M2966">
        <v>1350000</v>
      </c>
    </row>
    <row r="2967" spans="1:13" x14ac:dyDescent="0.25">
      <c r="A2967" t="s">
        <v>10008</v>
      </c>
      <c r="B2967" t="s">
        <v>10009</v>
      </c>
      <c r="C2967" t="s">
        <v>15</v>
      </c>
      <c r="D2967" t="s">
        <v>3968</v>
      </c>
      <c r="E2967" t="s">
        <v>7757</v>
      </c>
      <c r="F2967" t="s">
        <v>636</v>
      </c>
      <c r="G2967" t="s">
        <v>10010</v>
      </c>
      <c r="H2967" t="str">
        <f>HYPERLINK("https://baanknet.com/view-property/241011/1D248750F3D7048196C726B603BF3A3F44FEE531F83D3753A384CB6A81C3C45E", "https://baanknet.com/view-property/241011/1D248750F3D7048196C726B603BF3A3F44FEE531F83D3753A384CB6A81C3C45E")</f>
        <v>https://baanknet.com/view-property/241011/1D248750F3D7048196C726B603BF3A3F44FEE531F83D3753A384CB6A81C3C45E</v>
      </c>
      <c r="I2967" t="str">
        <f>HYPERLINK("https://baanknet.com/view-property/241011/1D248750F3D7048196C726B603BF3A3F44FEE531F83D3753A384CB6A81C3C45E", "Open")</f>
        <v>Open</v>
      </c>
      <c r="J2967" t="s">
        <v>3803</v>
      </c>
      <c r="L2967">
        <v>9200000</v>
      </c>
      <c r="M2967">
        <v>920000</v>
      </c>
    </row>
    <row r="2968" spans="1:13" x14ac:dyDescent="0.25">
      <c r="A2968" t="s">
        <v>10011</v>
      </c>
      <c r="B2968" t="s">
        <v>10012</v>
      </c>
      <c r="C2968" t="s">
        <v>15</v>
      </c>
      <c r="D2968" t="s">
        <v>8942</v>
      </c>
      <c r="E2968" t="s">
        <v>7757</v>
      </c>
      <c r="F2968" t="s">
        <v>636</v>
      </c>
      <c r="G2968" t="s">
        <v>10013</v>
      </c>
      <c r="H2968" t="str">
        <f>HYPERLINK("https://baanknet.com/view-property/254813/69D42AA6DCC0B3C73E01BE09CC9BC6B376CEA68A625E48990A96FDCFF0E3226A", "https://baanknet.com/view-property/254813/69D42AA6DCC0B3C73E01BE09CC9BC6B376CEA68A625E48990A96FDCFF0E3226A")</f>
        <v>https://baanknet.com/view-property/254813/69D42AA6DCC0B3C73E01BE09CC9BC6B376CEA68A625E48990A96FDCFF0E3226A</v>
      </c>
      <c r="I2968" t="str">
        <f>HYPERLINK("https://baanknet.com/view-property/254813/69D42AA6DCC0B3C73E01BE09CC9BC6B376CEA68A625E48990A96FDCFF0E3226A", "Open")</f>
        <v>Open</v>
      </c>
      <c r="J2968" t="s">
        <v>3803</v>
      </c>
      <c r="L2968">
        <v>1710000</v>
      </c>
      <c r="M2968">
        <v>171000</v>
      </c>
    </row>
    <row r="2969" spans="1:13" x14ac:dyDescent="0.25">
      <c r="A2969" t="s">
        <v>10014</v>
      </c>
      <c r="B2969" t="s">
        <v>10015</v>
      </c>
      <c r="C2969" t="s">
        <v>15</v>
      </c>
      <c r="D2969" t="s">
        <v>8942</v>
      </c>
      <c r="E2969" t="s">
        <v>7757</v>
      </c>
      <c r="F2969" t="s">
        <v>636</v>
      </c>
      <c r="G2969" t="s">
        <v>10016</v>
      </c>
      <c r="H2969" t="str">
        <f>HYPERLINK("https://baanknet.com/view-property/262480/D3B183FA0A8A6F0299E50BD020751D2B3919E73E308FD9C63FAEFB23AB776417", "https://baanknet.com/view-property/262480/D3B183FA0A8A6F0299E50BD020751D2B3919E73E308FD9C63FAEFB23AB776417")</f>
        <v>https://baanknet.com/view-property/262480/D3B183FA0A8A6F0299E50BD020751D2B3919E73E308FD9C63FAEFB23AB776417</v>
      </c>
      <c r="I2969" t="str">
        <f>HYPERLINK("https://baanknet.com/view-property/262480/D3B183FA0A8A6F0299E50BD020751D2B3919E73E308FD9C63FAEFB23AB776417", "Open")</f>
        <v>Open</v>
      </c>
      <c r="J2969" t="s">
        <v>3803</v>
      </c>
      <c r="L2969">
        <v>11400000</v>
      </c>
      <c r="M2969">
        <v>1140000</v>
      </c>
    </row>
    <row r="2970" spans="1:13" x14ac:dyDescent="0.25">
      <c r="A2970" t="s">
        <v>10017</v>
      </c>
      <c r="B2970" t="s">
        <v>10018</v>
      </c>
      <c r="C2970" t="s">
        <v>15</v>
      </c>
      <c r="D2970" t="s">
        <v>68</v>
      </c>
      <c r="E2970" t="s">
        <v>7757</v>
      </c>
      <c r="F2970" t="s">
        <v>636</v>
      </c>
      <c r="G2970" t="s">
        <v>10019</v>
      </c>
      <c r="H2970" t="str">
        <f>HYPERLINK("https://baanknet.com/view-property/284731/C2AC637C037B6F6E6105366BDEB655F22AAB6533FAC057FC2C5D6855E4760FB9", "https://baanknet.com/view-property/284731/C2AC637C037B6F6E6105366BDEB655F22AAB6533FAC057FC2C5D6855E4760FB9")</f>
        <v>https://baanknet.com/view-property/284731/C2AC637C037B6F6E6105366BDEB655F22AAB6533FAC057FC2C5D6855E4760FB9</v>
      </c>
      <c r="I2970" t="str">
        <f>HYPERLINK("https://baanknet.com/view-property/284731/C2AC637C037B6F6E6105366BDEB655F22AAB6533FAC057FC2C5D6855E4760FB9", "Open")</f>
        <v>Open</v>
      </c>
      <c r="J2970" t="s">
        <v>3803</v>
      </c>
      <c r="L2970">
        <v>3600000</v>
      </c>
      <c r="M2970">
        <v>360000</v>
      </c>
    </row>
    <row r="2971" spans="1:13" x14ac:dyDescent="0.25">
      <c r="A2971" t="s">
        <v>10020</v>
      </c>
      <c r="B2971" t="s">
        <v>10021</v>
      </c>
      <c r="C2971" t="s">
        <v>15</v>
      </c>
      <c r="D2971" t="s">
        <v>10022</v>
      </c>
      <c r="E2971" t="s">
        <v>7757</v>
      </c>
      <c r="F2971" t="s">
        <v>636</v>
      </c>
      <c r="G2971" t="s">
        <v>10023</v>
      </c>
      <c r="H2971" t="str">
        <f>HYPERLINK("https://baanknet.com/view-property/252388/AA8F622DF4954EF791FC6B97E1A11B65AA2BD301619300F7C27FFE7AB026836E", "https://baanknet.com/view-property/252388/AA8F622DF4954EF791FC6B97E1A11B65AA2BD301619300F7C27FFE7AB026836E")</f>
        <v>https://baanknet.com/view-property/252388/AA8F622DF4954EF791FC6B97E1A11B65AA2BD301619300F7C27FFE7AB026836E</v>
      </c>
      <c r="I2971" t="str">
        <f>HYPERLINK("https://baanknet.com/view-property/252388/AA8F622DF4954EF791FC6B97E1A11B65AA2BD301619300F7C27FFE7AB026836E", "Open")</f>
        <v>Open</v>
      </c>
      <c r="J2971" t="s">
        <v>3803</v>
      </c>
      <c r="L2971">
        <v>26400000</v>
      </c>
      <c r="M2971">
        <v>2640000</v>
      </c>
    </row>
    <row r="2972" spans="1:13" x14ac:dyDescent="0.25">
      <c r="A2972" t="s">
        <v>10024</v>
      </c>
      <c r="B2972" t="s">
        <v>10025</v>
      </c>
      <c r="C2972" t="s">
        <v>15</v>
      </c>
      <c r="D2972" t="s">
        <v>52</v>
      </c>
      <c r="E2972" t="s">
        <v>7757</v>
      </c>
      <c r="F2972" t="s">
        <v>636</v>
      </c>
      <c r="G2972" t="s">
        <v>10026</v>
      </c>
      <c r="H2972" t="str">
        <f>HYPERLINK("https://baanknet.com/view-property/252029/2DBA38D9B313D39D0B39B8A42349B08C23D5DA6E5D8D08756FA13AB238AA3A9A", "https://baanknet.com/view-property/252029/2DBA38D9B313D39D0B39B8A42349B08C23D5DA6E5D8D08756FA13AB238AA3A9A")</f>
        <v>https://baanknet.com/view-property/252029/2DBA38D9B313D39D0B39B8A42349B08C23D5DA6E5D8D08756FA13AB238AA3A9A</v>
      </c>
      <c r="I2972" t="str">
        <f>HYPERLINK("https://baanknet.com/view-property/252029/2DBA38D9B313D39D0B39B8A42349B08C23D5DA6E5D8D08756FA13AB238AA3A9A", "Open")</f>
        <v>Open</v>
      </c>
      <c r="J2972" t="s">
        <v>3803</v>
      </c>
      <c r="L2972">
        <v>8910000</v>
      </c>
      <c r="M2972">
        <v>891000</v>
      </c>
    </row>
    <row r="2973" spans="1:13" x14ac:dyDescent="0.25">
      <c r="A2973" t="s">
        <v>10027</v>
      </c>
      <c r="B2973" t="s">
        <v>10028</v>
      </c>
      <c r="C2973" t="s">
        <v>15</v>
      </c>
      <c r="D2973" t="s">
        <v>8928</v>
      </c>
      <c r="E2973" t="s">
        <v>7757</v>
      </c>
      <c r="F2973" t="s">
        <v>636</v>
      </c>
      <c r="G2973" t="s">
        <v>10029</v>
      </c>
      <c r="H2973" t="str">
        <f>HYPERLINK("https://baanknet.com/view-property/271291/C84BC08988B9D01A618E8D44515DB00D28163073A8E2AC34B230A2BD5C13B26D", "https://baanknet.com/view-property/271291/C84BC08988B9D01A618E8D44515DB00D28163073A8E2AC34B230A2BD5C13B26D")</f>
        <v>https://baanknet.com/view-property/271291/C84BC08988B9D01A618E8D44515DB00D28163073A8E2AC34B230A2BD5C13B26D</v>
      </c>
      <c r="I2973" t="str">
        <f>HYPERLINK("https://baanknet.com/view-property/271291/C84BC08988B9D01A618E8D44515DB00D28163073A8E2AC34B230A2BD5C13B26D", "Open")</f>
        <v>Open</v>
      </c>
      <c r="J2973" t="s">
        <v>3803</v>
      </c>
      <c r="L2973">
        <v>4100000</v>
      </c>
      <c r="M2973">
        <v>410000</v>
      </c>
    </row>
    <row r="2974" spans="1:13" x14ac:dyDescent="0.25">
      <c r="A2974" t="s">
        <v>10030</v>
      </c>
      <c r="B2974" t="s">
        <v>10031</v>
      </c>
      <c r="C2974" t="s">
        <v>15</v>
      </c>
      <c r="D2974" t="s">
        <v>52</v>
      </c>
      <c r="E2974" t="s">
        <v>7757</v>
      </c>
      <c r="F2974" t="s">
        <v>636</v>
      </c>
      <c r="G2974" t="s">
        <v>10032</v>
      </c>
      <c r="H2974" t="str">
        <f>HYPERLINK("https://baanknet.com/view-property/252038/31519D7759DC87FDF40C835B69F37334855F1B6D9F3FC6543B65780A89BBA169", "https://baanknet.com/view-property/252038/31519D7759DC87FDF40C835B69F37334855F1B6D9F3FC6543B65780A89BBA169")</f>
        <v>https://baanknet.com/view-property/252038/31519D7759DC87FDF40C835B69F37334855F1B6D9F3FC6543B65780A89BBA169</v>
      </c>
      <c r="I2974" t="str">
        <f>HYPERLINK("https://baanknet.com/view-property/252038/31519D7759DC87FDF40C835B69F37334855F1B6D9F3FC6543B65780A89BBA169", "Open")</f>
        <v>Open</v>
      </c>
      <c r="J2974" t="s">
        <v>3803</v>
      </c>
      <c r="L2974">
        <v>4820000</v>
      </c>
      <c r="M2974">
        <v>482000</v>
      </c>
    </row>
    <row r="2975" spans="1:13" x14ac:dyDescent="0.25">
      <c r="A2975" t="s">
        <v>10033</v>
      </c>
      <c r="B2975" t="s">
        <v>10034</v>
      </c>
      <c r="C2975" t="s">
        <v>15</v>
      </c>
      <c r="D2975" t="s">
        <v>4947</v>
      </c>
      <c r="E2975" t="s">
        <v>7757</v>
      </c>
      <c r="F2975" t="s">
        <v>636</v>
      </c>
      <c r="G2975" t="s">
        <v>10035</v>
      </c>
      <c r="H2975" t="str">
        <f>HYPERLINK("https://baanknet.com/view-property/221511/F99F15197F48149C54C0695F530803B2B9742428DFA33A7E8C03BB29515B5816", "https://baanknet.com/view-property/221511/F99F15197F48149C54C0695F530803B2B9742428DFA33A7E8C03BB29515B5816")</f>
        <v>https://baanknet.com/view-property/221511/F99F15197F48149C54C0695F530803B2B9742428DFA33A7E8C03BB29515B5816</v>
      </c>
      <c r="I2975" t="str">
        <f>HYPERLINK("https://baanknet.com/view-property/221511/F99F15197F48149C54C0695F530803B2B9742428DFA33A7E8C03BB29515B5816", "Open")</f>
        <v>Open</v>
      </c>
      <c r="J2975" t="s">
        <v>3803</v>
      </c>
      <c r="L2975">
        <v>4630000</v>
      </c>
      <c r="M2975">
        <v>463000</v>
      </c>
    </row>
    <row r="2976" spans="1:13" x14ac:dyDescent="0.25">
      <c r="A2976" t="s">
        <v>10036</v>
      </c>
      <c r="B2976" t="s">
        <v>10037</v>
      </c>
      <c r="C2976" t="s">
        <v>15</v>
      </c>
      <c r="D2976" t="s">
        <v>4679</v>
      </c>
      <c r="E2976" t="s">
        <v>7757</v>
      </c>
      <c r="F2976" t="s">
        <v>636</v>
      </c>
      <c r="G2976" t="s">
        <v>10038</v>
      </c>
      <c r="H2976" t="str">
        <f>HYPERLINK("https://baanknet.com/view-property/202389/9219CD786ADA8A8B2ACAC5EF8CD50F6FA125950D64566806F7490482837487A1", "https://baanknet.com/view-property/202389/9219CD786ADA8A8B2ACAC5EF8CD50F6FA125950D64566806F7490482837487A1")</f>
        <v>https://baanknet.com/view-property/202389/9219CD786ADA8A8B2ACAC5EF8CD50F6FA125950D64566806F7490482837487A1</v>
      </c>
      <c r="I2976" t="str">
        <f>HYPERLINK("https://baanknet.com/view-property/202389/9219CD786ADA8A8B2ACAC5EF8CD50F6FA125950D64566806F7490482837487A1", "Open")</f>
        <v>Open</v>
      </c>
      <c r="J2976" t="s">
        <v>3803</v>
      </c>
      <c r="L2976">
        <v>11885000</v>
      </c>
      <c r="M2976">
        <v>1188500</v>
      </c>
    </row>
    <row r="2977" spans="1:13" x14ac:dyDescent="0.25">
      <c r="A2977" t="s">
        <v>10039</v>
      </c>
      <c r="B2977" t="s">
        <v>10040</v>
      </c>
      <c r="C2977" t="s">
        <v>15</v>
      </c>
      <c r="D2977" t="s">
        <v>4947</v>
      </c>
      <c r="E2977" t="s">
        <v>7757</v>
      </c>
      <c r="F2977" t="s">
        <v>636</v>
      </c>
      <c r="G2977" t="s">
        <v>10041</v>
      </c>
      <c r="H2977" t="str">
        <f>HYPERLINK("https://baanknet.com/view-property/221509/0BB10D27FAEA92398CED3DFB67A90548C495EB16EE5753F63A5EE62CEBD7593F", "https://baanknet.com/view-property/221509/0BB10D27FAEA92398CED3DFB67A90548C495EB16EE5753F63A5EE62CEBD7593F")</f>
        <v>https://baanknet.com/view-property/221509/0BB10D27FAEA92398CED3DFB67A90548C495EB16EE5753F63A5EE62CEBD7593F</v>
      </c>
      <c r="I2977" t="str">
        <f>HYPERLINK("https://baanknet.com/view-property/221509/0BB10D27FAEA92398CED3DFB67A90548C495EB16EE5753F63A5EE62CEBD7593F", "Open")</f>
        <v>Open</v>
      </c>
      <c r="J2977" t="s">
        <v>3803</v>
      </c>
      <c r="L2977">
        <v>2445000</v>
      </c>
      <c r="M2977">
        <v>244500</v>
      </c>
    </row>
    <row r="2978" spans="1:13" x14ac:dyDescent="0.25">
      <c r="A2978" t="s">
        <v>10042</v>
      </c>
      <c r="B2978" t="s">
        <v>10043</v>
      </c>
      <c r="C2978" t="s">
        <v>15</v>
      </c>
      <c r="D2978" t="s">
        <v>10044</v>
      </c>
      <c r="E2978" t="s">
        <v>7757</v>
      </c>
      <c r="F2978" t="s">
        <v>636</v>
      </c>
      <c r="G2978" t="s">
        <v>10045</v>
      </c>
      <c r="H2978" t="str">
        <f>HYPERLINK("https://baanknet.com/view-property/255585/A92E70BF64AD531C2240FBE69560DFCF18D427E53DE4C1C893F3C7A1BBD45A1E", "https://baanknet.com/view-property/255585/A92E70BF64AD531C2240FBE69560DFCF18D427E53DE4C1C893F3C7A1BBD45A1E")</f>
        <v>https://baanknet.com/view-property/255585/A92E70BF64AD531C2240FBE69560DFCF18D427E53DE4C1C893F3C7A1BBD45A1E</v>
      </c>
      <c r="I2978" t="str">
        <f>HYPERLINK("https://baanknet.com/view-property/255585/A92E70BF64AD531C2240FBE69560DFCF18D427E53DE4C1C893F3C7A1BBD45A1E", "Open")</f>
        <v>Open</v>
      </c>
      <c r="J2978" t="s">
        <v>3803</v>
      </c>
      <c r="L2978">
        <v>10700000</v>
      </c>
      <c r="M2978">
        <v>1070000</v>
      </c>
    </row>
    <row r="2979" spans="1:13" x14ac:dyDescent="0.25">
      <c r="A2979" t="s">
        <v>10046</v>
      </c>
      <c r="B2979" t="s">
        <v>10047</v>
      </c>
      <c r="C2979" t="s">
        <v>15</v>
      </c>
      <c r="D2979" t="s">
        <v>1246</v>
      </c>
      <c r="E2979" t="s">
        <v>7757</v>
      </c>
      <c r="F2979" t="s">
        <v>636</v>
      </c>
      <c r="G2979" t="s">
        <v>10048</v>
      </c>
      <c r="H2979" t="str">
        <f>HYPERLINK("https://baanknet.com/view-property/280031/D6931214982F78AFC3E13781CF73460154B502847A1305ED58645EE225957680", "https://baanknet.com/view-property/280031/D6931214982F78AFC3E13781CF73460154B502847A1305ED58645EE225957680")</f>
        <v>https://baanknet.com/view-property/280031/D6931214982F78AFC3E13781CF73460154B502847A1305ED58645EE225957680</v>
      </c>
      <c r="I2979" t="str">
        <f>HYPERLINK("https://baanknet.com/view-property/280031/D6931214982F78AFC3E13781CF73460154B502847A1305ED58645EE225957680", "Open")</f>
        <v>Open</v>
      </c>
      <c r="J2979" t="s">
        <v>3803</v>
      </c>
      <c r="L2979">
        <v>8825000</v>
      </c>
      <c r="M2979">
        <v>882500</v>
      </c>
    </row>
    <row r="2980" spans="1:13" x14ac:dyDescent="0.25">
      <c r="A2980" t="s">
        <v>10049</v>
      </c>
      <c r="B2980" t="s">
        <v>10050</v>
      </c>
      <c r="C2980" t="s">
        <v>15</v>
      </c>
      <c r="D2980" t="s">
        <v>1246</v>
      </c>
      <c r="E2980" t="s">
        <v>7757</v>
      </c>
      <c r="F2980" t="s">
        <v>636</v>
      </c>
      <c r="G2980" t="s">
        <v>10051</v>
      </c>
      <c r="H2980" t="str">
        <f>HYPERLINK("https://baanknet.com/view-property/271281/6DF818AECB648C651F41274DD60C4C692126A3E1AEB0073B44F8C1026B12988E", "https://baanknet.com/view-property/271281/6DF818AECB648C651F41274DD60C4C692126A3E1AEB0073B44F8C1026B12988E")</f>
        <v>https://baanknet.com/view-property/271281/6DF818AECB648C651F41274DD60C4C692126A3E1AEB0073B44F8C1026B12988E</v>
      </c>
      <c r="I2980" t="str">
        <f>HYPERLINK("https://baanknet.com/view-property/271281/6DF818AECB648C651F41274DD60C4C692126A3E1AEB0073B44F8C1026B12988E", "Open")</f>
        <v>Open</v>
      </c>
      <c r="J2980" t="s">
        <v>3803</v>
      </c>
      <c r="L2980">
        <v>1900000</v>
      </c>
      <c r="M2980">
        <v>190000</v>
      </c>
    </row>
    <row r="2981" spans="1:13" x14ac:dyDescent="0.25">
      <c r="A2981" t="s">
        <v>10052</v>
      </c>
      <c r="B2981" t="s">
        <v>10053</v>
      </c>
      <c r="C2981" t="s">
        <v>15</v>
      </c>
      <c r="D2981" t="s">
        <v>10054</v>
      </c>
      <c r="E2981" t="s">
        <v>7757</v>
      </c>
      <c r="F2981" t="s">
        <v>636</v>
      </c>
      <c r="G2981" t="s">
        <v>10055</v>
      </c>
      <c r="H2981" t="str">
        <f>HYPERLINK("https://baanknet.com/view-property/254999/9C24CDF5CE7654486E0E66CA78FD2FA727004AC17635C2F920BF14708E44FCF3", "https://baanknet.com/view-property/254999/9C24CDF5CE7654486E0E66CA78FD2FA727004AC17635C2F920BF14708E44FCF3")</f>
        <v>https://baanknet.com/view-property/254999/9C24CDF5CE7654486E0E66CA78FD2FA727004AC17635C2F920BF14708E44FCF3</v>
      </c>
      <c r="I2981" t="str">
        <f>HYPERLINK("https://baanknet.com/view-property/254999/9C24CDF5CE7654486E0E66CA78FD2FA727004AC17635C2F920BF14708E44FCF3", "Open")</f>
        <v>Open</v>
      </c>
      <c r="J2981" t="s">
        <v>3803</v>
      </c>
      <c r="L2981">
        <v>1915000</v>
      </c>
      <c r="M2981">
        <v>191500</v>
      </c>
    </row>
    <row r="2982" spans="1:13" x14ac:dyDescent="0.25">
      <c r="A2982" t="s">
        <v>10056</v>
      </c>
      <c r="B2982" t="s">
        <v>10057</v>
      </c>
      <c r="C2982" t="s">
        <v>15</v>
      </c>
      <c r="D2982" t="s">
        <v>10058</v>
      </c>
      <c r="E2982" t="s">
        <v>7757</v>
      </c>
      <c r="F2982" t="s">
        <v>636</v>
      </c>
      <c r="G2982" t="s">
        <v>10059</v>
      </c>
      <c r="H2982" t="str">
        <f>HYPERLINK("https://baanknet.com/view-property/248345/44B20173C8B35FA665BE9BD9ABC1B4087F2EBF4128703F8565BDFB20D79ADA2B", "https://baanknet.com/view-property/248345/44B20173C8B35FA665BE9BD9ABC1B4087F2EBF4128703F8565BDFB20D79ADA2B")</f>
        <v>https://baanknet.com/view-property/248345/44B20173C8B35FA665BE9BD9ABC1B4087F2EBF4128703F8565BDFB20D79ADA2B</v>
      </c>
      <c r="I2982" t="str">
        <f>HYPERLINK("https://baanknet.com/view-property/248345/44B20173C8B35FA665BE9BD9ABC1B4087F2EBF4128703F8565BDFB20D79ADA2B", "Open")</f>
        <v>Open</v>
      </c>
      <c r="J2982" t="s">
        <v>3803</v>
      </c>
      <c r="L2982">
        <v>5445000</v>
      </c>
      <c r="M2982">
        <v>544500</v>
      </c>
    </row>
    <row r="2983" spans="1:13" x14ac:dyDescent="0.25">
      <c r="A2983" t="s">
        <v>10060</v>
      </c>
      <c r="B2983" t="s">
        <v>10061</v>
      </c>
      <c r="C2983" t="s">
        <v>15</v>
      </c>
      <c r="D2983" t="s">
        <v>1246</v>
      </c>
      <c r="E2983" t="s">
        <v>7757</v>
      </c>
      <c r="F2983" t="s">
        <v>636</v>
      </c>
      <c r="G2983" t="s">
        <v>10062</v>
      </c>
      <c r="H2983" t="str">
        <f>HYPERLINK("https://baanknet.com/view-property/276879/CC8CC033D922AE2E9C544E15F3D288DACBB61DD9969123D905C7A21FCAA33F01", "https://baanknet.com/view-property/276879/CC8CC033D922AE2E9C544E15F3D288DACBB61DD9969123D905C7A21FCAA33F01")</f>
        <v>https://baanknet.com/view-property/276879/CC8CC033D922AE2E9C544E15F3D288DACBB61DD9969123D905C7A21FCAA33F01</v>
      </c>
      <c r="I2983" t="str">
        <f>HYPERLINK("https://baanknet.com/view-property/276879/CC8CC033D922AE2E9C544E15F3D288DACBB61DD9969123D905C7A21FCAA33F01", "Open")</f>
        <v>Open</v>
      </c>
      <c r="J2983" t="s">
        <v>3803</v>
      </c>
      <c r="L2983">
        <v>7030000</v>
      </c>
      <c r="M2983">
        <v>703000</v>
      </c>
    </row>
    <row r="2984" spans="1:13" x14ac:dyDescent="0.25">
      <c r="A2984" t="s">
        <v>10063</v>
      </c>
      <c r="B2984" t="s">
        <v>10064</v>
      </c>
      <c r="C2984" t="s">
        <v>15</v>
      </c>
      <c r="D2984" t="s">
        <v>1246</v>
      </c>
      <c r="E2984" t="s">
        <v>7757</v>
      </c>
      <c r="F2984" t="s">
        <v>636</v>
      </c>
      <c r="G2984" t="s">
        <v>10065</v>
      </c>
      <c r="H2984" t="str">
        <f>HYPERLINK("https://baanknet.com/view-property/278333/9633BF2887E96FE7A6ECA4BBCFC7654118D1F34EF3F6215E42E7F24B90C3A146", "https://baanknet.com/view-property/278333/9633BF2887E96FE7A6ECA4BBCFC7654118D1F34EF3F6215E42E7F24B90C3A146")</f>
        <v>https://baanknet.com/view-property/278333/9633BF2887E96FE7A6ECA4BBCFC7654118D1F34EF3F6215E42E7F24B90C3A146</v>
      </c>
      <c r="I2984" t="str">
        <f>HYPERLINK("https://baanknet.com/view-property/278333/9633BF2887E96FE7A6ECA4BBCFC7654118D1F34EF3F6215E42E7F24B90C3A146", "Open")</f>
        <v>Open</v>
      </c>
      <c r="J2984" t="s">
        <v>3803</v>
      </c>
      <c r="L2984">
        <v>9450000</v>
      </c>
      <c r="M2984">
        <v>945000</v>
      </c>
    </row>
    <row r="2985" spans="1:13" x14ac:dyDescent="0.25">
      <c r="A2985" t="s">
        <v>10066</v>
      </c>
      <c r="B2985" t="s">
        <v>10067</v>
      </c>
      <c r="C2985" t="s">
        <v>15</v>
      </c>
      <c r="D2985" t="s">
        <v>1246</v>
      </c>
      <c r="E2985" t="s">
        <v>7757</v>
      </c>
      <c r="F2985" t="s">
        <v>636</v>
      </c>
      <c r="G2985" t="s">
        <v>10068</v>
      </c>
      <c r="H2985" t="str">
        <f>HYPERLINK("https://baanknet.com/view-property/276870/C512F5D27B8978EAC828EC89B3E59ED62FD1658D3C3820B7E3851E77BFCCD37C", "https://baanknet.com/view-property/276870/C512F5D27B8978EAC828EC89B3E59ED62FD1658D3C3820B7E3851E77BFCCD37C")</f>
        <v>https://baanknet.com/view-property/276870/C512F5D27B8978EAC828EC89B3E59ED62FD1658D3C3820B7E3851E77BFCCD37C</v>
      </c>
      <c r="I2985" t="str">
        <f>HYPERLINK("https://baanknet.com/view-property/276870/C512F5D27B8978EAC828EC89B3E59ED62FD1658D3C3820B7E3851E77BFCCD37C", "Open")</f>
        <v>Open</v>
      </c>
      <c r="J2985" t="s">
        <v>3803</v>
      </c>
      <c r="L2985">
        <v>7030000</v>
      </c>
      <c r="M2985">
        <v>703000</v>
      </c>
    </row>
    <row r="2986" spans="1:13" x14ac:dyDescent="0.25">
      <c r="A2986" t="s">
        <v>10069</v>
      </c>
      <c r="B2986" t="s">
        <v>10070</v>
      </c>
      <c r="C2986" t="s">
        <v>15</v>
      </c>
      <c r="D2986" t="s">
        <v>10071</v>
      </c>
      <c r="E2986" t="s">
        <v>7757</v>
      </c>
      <c r="F2986" t="s">
        <v>636</v>
      </c>
      <c r="G2986" t="s">
        <v>10072</v>
      </c>
      <c r="H2986" t="str">
        <f>HYPERLINK("https://baanknet.com/view-property/287480/2B0C5F41899685E8556D140AF9C096FBD5945FB23A2AE606F04D8EA5F57CFFF7", "https://baanknet.com/view-property/287480/2B0C5F41899685E8556D140AF9C096FBD5945FB23A2AE606F04D8EA5F57CFFF7")</f>
        <v>https://baanknet.com/view-property/287480/2B0C5F41899685E8556D140AF9C096FBD5945FB23A2AE606F04D8EA5F57CFFF7</v>
      </c>
      <c r="I2986" t="str">
        <f>HYPERLINK("https://baanknet.com/view-property/287480/2B0C5F41899685E8556D140AF9C096FBD5945FB23A2AE606F04D8EA5F57CFFF7", "Open")</f>
        <v>Open</v>
      </c>
      <c r="J2986" t="s">
        <v>3803</v>
      </c>
      <c r="L2986">
        <v>20340000</v>
      </c>
      <c r="M2986">
        <v>2034000</v>
      </c>
    </row>
    <row r="2987" spans="1:13" x14ac:dyDescent="0.25">
      <c r="A2987" t="s">
        <v>10073</v>
      </c>
      <c r="B2987" t="s">
        <v>10074</v>
      </c>
      <c r="C2987" t="s">
        <v>15</v>
      </c>
      <c r="D2987" t="s">
        <v>10075</v>
      </c>
      <c r="E2987" t="s">
        <v>7757</v>
      </c>
      <c r="F2987" t="s">
        <v>636</v>
      </c>
      <c r="G2987" t="s">
        <v>10076</v>
      </c>
      <c r="H2987" t="str">
        <f>HYPERLINK("https://baanknet.com/view-property/244238/F323B596D275FC8BAA25B51BFE61367E4FAF00AB97057AD4569B6FA9A82A1EB4", "https://baanknet.com/view-property/244238/F323B596D275FC8BAA25B51BFE61367E4FAF00AB97057AD4569B6FA9A82A1EB4")</f>
        <v>https://baanknet.com/view-property/244238/F323B596D275FC8BAA25B51BFE61367E4FAF00AB97057AD4569B6FA9A82A1EB4</v>
      </c>
      <c r="I2987" t="str">
        <f>HYPERLINK("https://baanknet.com/view-property/244238/F323B596D275FC8BAA25B51BFE61367E4FAF00AB97057AD4569B6FA9A82A1EB4", "Open")</f>
        <v>Open</v>
      </c>
      <c r="J2987" t="s">
        <v>3803</v>
      </c>
      <c r="L2987">
        <v>1800000</v>
      </c>
      <c r="M2987">
        <v>180000</v>
      </c>
    </row>
    <row r="2988" spans="1:13" x14ac:dyDescent="0.25">
      <c r="A2988" t="s">
        <v>10077</v>
      </c>
      <c r="B2988" t="s">
        <v>10078</v>
      </c>
      <c r="C2988" t="s">
        <v>15</v>
      </c>
      <c r="D2988" t="s">
        <v>10075</v>
      </c>
      <c r="E2988" t="s">
        <v>7757</v>
      </c>
      <c r="F2988" t="s">
        <v>636</v>
      </c>
      <c r="G2988" t="s">
        <v>10079</v>
      </c>
      <c r="H2988" t="str">
        <f>HYPERLINK("https://baanknet.com/view-property/244230/C57EC68E0F64E16D6795EE9A609732259DA1CFCB9BF685058CC1FCB79FF37299", "https://baanknet.com/view-property/244230/C57EC68E0F64E16D6795EE9A609732259DA1CFCB9BF685058CC1FCB79FF37299")</f>
        <v>https://baanknet.com/view-property/244230/C57EC68E0F64E16D6795EE9A609732259DA1CFCB9BF685058CC1FCB79FF37299</v>
      </c>
      <c r="I2988" t="str">
        <f>HYPERLINK("https://baanknet.com/view-property/244230/C57EC68E0F64E16D6795EE9A609732259DA1CFCB9BF685058CC1FCB79FF37299", "Open")</f>
        <v>Open</v>
      </c>
      <c r="J2988" t="s">
        <v>3803</v>
      </c>
      <c r="L2988">
        <v>1800000</v>
      </c>
      <c r="M2988">
        <v>180000</v>
      </c>
    </row>
    <row r="2989" spans="1:13" x14ac:dyDescent="0.25">
      <c r="A2989" t="s">
        <v>10080</v>
      </c>
      <c r="B2989" t="s">
        <v>10081</v>
      </c>
      <c r="C2989" t="s">
        <v>15</v>
      </c>
      <c r="D2989" t="s">
        <v>10082</v>
      </c>
      <c r="E2989" t="s">
        <v>7757</v>
      </c>
      <c r="F2989" t="s">
        <v>636</v>
      </c>
      <c r="G2989" t="s">
        <v>10083</v>
      </c>
      <c r="H2989" t="str">
        <f>HYPERLINK("https://baanknet.com/view-property/281853/68B9E3C64BA90160C746244B0B37F0617482DABA3A70375A97C6209963AC7365", "https://baanknet.com/view-property/281853/68B9E3C64BA90160C746244B0B37F0617482DABA3A70375A97C6209963AC7365")</f>
        <v>https://baanknet.com/view-property/281853/68B9E3C64BA90160C746244B0B37F0617482DABA3A70375A97C6209963AC7365</v>
      </c>
      <c r="I2989" t="str">
        <f>HYPERLINK("https://baanknet.com/view-property/281853/68B9E3C64BA90160C746244B0B37F0617482DABA3A70375A97C6209963AC7365", "Open")</f>
        <v>Open</v>
      </c>
      <c r="J2989" t="s">
        <v>3803</v>
      </c>
      <c r="L2989">
        <v>9868000</v>
      </c>
      <c r="M2989">
        <v>986800</v>
      </c>
    </row>
    <row r="2990" spans="1:13" x14ac:dyDescent="0.25">
      <c r="A2990" t="s">
        <v>10084</v>
      </c>
      <c r="B2990" t="s">
        <v>10085</v>
      </c>
      <c r="C2990" t="s">
        <v>15</v>
      </c>
      <c r="D2990" t="s">
        <v>8115</v>
      </c>
      <c r="E2990" t="s">
        <v>7757</v>
      </c>
      <c r="F2990" t="s">
        <v>636</v>
      </c>
      <c r="G2990" t="s">
        <v>10086</v>
      </c>
      <c r="H2990" t="str">
        <f>HYPERLINK("https://baanknet.com/view-property/283201/7E4021768416C5AB769512A5D6E32FD6B833DB587D1E4F0F84E3476EDF0890E2", "https://baanknet.com/view-property/283201/7E4021768416C5AB769512A5D6E32FD6B833DB587D1E4F0F84E3476EDF0890E2")</f>
        <v>https://baanknet.com/view-property/283201/7E4021768416C5AB769512A5D6E32FD6B833DB587D1E4F0F84E3476EDF0890E2</v>
      </c>
      <c r="I2990" t="str">
        <f>HYPERLINK("https://baanknet.com/view-property/283201/7E4021768416C5AB769512A5D6E32FD6B833DB587D1E4F0F84E3476EDF0890E2", "Open")</f>
        <v>Open</v>
      </c>
      <c r="J2990" t="s">
        <v>3803</v>
      </c>
      <c r="L2990">
        <v>10220000</v>
      </c>
      <c r="M2990">
        <v>1022000</v>
      </c>
    </row>
    <row r="2991" spans="1:13" x14ac:dyDescent="0.25">
      <c r="A2991" t="s">
        <v>10087</v>
      </c>
      <c r="B2991" t="s">
        <v>10088</v>
      </c>
      <c r="C2991" t="s">
        <v>15</v>
      </c>
      <c r="D2991" t="s">
        <v>10089</v>
      </c>
      <c r="E2991" t="s">
        <v>7757</v>
      </c>
      <c r="F2991" t="s">
        <v>636</v>
      </c>
      <c r="G2991" t="s">
        <v>10090</v>
      </c>
      <c r="H2991" t="str">
        <f>HYPERLINK("https://baanknet.com/view-property/281858/3A6C61D54E0A6431CC78B3DF51EBD46654B0608279A6A904F39942021DAF636B", "https://baanknet.com/view-property/281858/3A6C61D54E0A6431CC78B3DF51EBD46654B0608279A6A904F39942021DAF636B")</f>
        <v>https://baanknet.com/view-property/281858/3A6C61D54E0A6431CC78B3DF51EBD46654B0608279A6A904F39942021DAF636B</v>
      </c>
      <c r="I2991" t="str">
        <f>HYPERLINK("https://baanknet.com/view-property/281858/3A6C61D54E0A6431CC78B3DF51EBD46654B0608279A6A904F39942021DAF636B", "Open")</f>
        <v>Open</v>
      </c>
      <c r="J2991" t="s">
        <v>3803</v>
      </c>
      <c r="L2991">
        <v>1892000</v>
      </c>
      <c r="M2991">
        <v>189200</v>
      </c>
    </row>
    <row r="2992" spans="1:13" x14ac:dyDescent="0.25">
      <c r="A2992" t="s">
        <v>10091</v>
      </c>
      <c r="B2992" t="s">
        <v>10092</v>
      </c>
      <c r="C2992" t="s">
        <v>15</v>
      </c>
      <c r="D2992" t="s">
        <v>4679</v>
      </c>
      <c r="E2992" t="s">
        <v>7757</v>
      </c>
      <c r="F2992" t="s">
        <v>636</v>
      </c>
      <c r="G2992" t="s">
        <v>10093</v>
      </c>
      <c r="H2992" t="str">
        <f>HYPERLINK("https://baanknet.com/view-property/247213/CE0ACF6C0D908450DB4FE244A9437224B7D64FBB1332B3F5D7578ACF8E85F213", "https://baanknet.com/view-property/247213/CE0ACF6C0D908450DB4FE244A9437224B7D64FBB1332B3F5D7578ACF8E85F213")</f>
        <v>https://baanknet.com/view-property/247213/CE0ACF6C0D908450DB4FE244A9437224B7D64FBB1332B3F5D7578ACF8E85F213</v>
      </c>
      <c r="I2992" t="str">
        <f>HYPERLINK("https://baanknet.com/view-property/247213/CE0ACF6C0D908450DB4FE244A9437224B7D64FBB1332B3F5D7578ACF8E85F213", "Open")</f>
        <v>Open</v>
      </c>
      <c r="J2992" t="s">
        <v>3803</v>
      </c>
      <c r="L2992">
        <v>6210000</v>
      </c>
      <c r="M2992">
        <v>621000</v>
      </c>
    </row>
    <row r="2993" spans="1:13" x14ac:dyDescent="0.25">
      <c r="A2993" t="s">
        <v>10094</v>
      </c>
      <c r="B2993" t="s">
        <v>10095</v>
      </c>
      <c r="C2993" t="s">
        <v>15</v>
      </c>
      <c r="D2993" t="s">
        <v>1246</v>
      </c>
      <c r="E2993" t="s">
        <v>7757</v>
      </c>
      <c r="F2993" t="s">
        <v>636</v>
      </c>
      <c r="G2993" t="s">
        <v>10096</v>
      </c>
      <c r="H2993" t="str">
        <f>HYPERLINK("https://baanknet.com/view-property/255271/167CDF705F1CECBE23C8D2EE210D1DEEAFCDD86D765435D0C3646F25643B5494", "https://baanknet.com/view-property/255271/167CDF705F1CECBE23C8D2EE210D1DEEAFCDD86D765435D0C3646F25643B5494")</f>
        <v>https://baanknet.com/view-property/255271/167CDF705F1CECBE23C8D2EE210D1DEEAFCDD86D765435D0C3646F25643B5494</v>
      </c>
      <c r="I2993" t="str">
        <f>HYPERLINK("https://baanknet.com/view-property/255271/167CDF705F1CECBE23C8D2EE210D1DEEAFCDD86D765435D0C3646F25643B5494", "Open")</f>
        <v>Open</v>
      </c>
      <c r="J2993" t="s">
        <v>3803</v>
      </c>
      <c r="L2993">
        <v>7800000</v>
      </c>
      <c r="M2993">
        <v>780000</v>
      </c>
    </row>
    <row r="2994" spans="1:13" x14ac:dyDescent="0.25">
      <c r="A2994" t="s">
        <v>10097</v>
      </c>
      <c r="B2994" t="s">
        <v>10098</v>
      </c>
      <c r="C2994" t="s">
        <v>15</v>
      </c>
      <c r="D2994" t="s">
        <v>7909</v>
      </c>
      <c r="E2994" t="s">
        <v>7757</v>
      </c>
      <c r="F2994" t="s">
        <v>636</v>
      </c>
      <c r="G2994" t="s">
        <v>10099</v>
      </c>
      <c r="H2994" t="str">
        <f>HYPERLINK("https://baanknet.com/view-property/255268/E578282A91D62C939CA4AA0E4730B79EEB13EFE1BC445A74AAA241062E489701", "https://baanknet.com/view-property/255268/E578282A91D62C939CA4AA0E4730B79EEB13EFE1BC445A74AAA241062E489701")</f>
        <v>https://baanknet.com/view-property/255268/E578282A91D62C939CA4AA0E4730B79EEB13EFE1BC445A74AAA241062E489701</v>
      </c>
      <c r="I2994" t="str">
        <f>HYPERLINK("https://baanknet.com/view-property/255268/E578282A91D62C939CA4AA0E4730B79EEB13EFE1BC445A74AAA241062E489701", "Open")</f>
        <v>Open</v>
      </c>
      <c r="J2994" t="s">
        <v>3803</v>
      </c>
      <c r="L2994">
        <v>11750000</v>
      </c>
      <c r="M2994">
        <v>1175000</v>
      </c>
    </row>
    <row r="2995" spans="1:13" x14ac:dyDescent="0.25">
      <c r="A2995" t="s">
        <v>10100</v>
      </c>
      <c r="B2995" t="s">
        <v>10101</v>
      </c>
      <c r="C2995" t="s">
        <v>15</v>
      </c>
      <c r="D2995" t="s">
        <v>2425</v>
      </c>
      <c r="E2995" t="s">
        <v>7757</v>
      </c>
      <c r="F2995" t="s">
        <v>636</v>
      </c>
      <c r="G2995" t="s">
        <v>10102</v>
      </c>
      <c r="H2995" t="str">
        <f>HYPERLINK("https://baanknet.com/view-property/243773/F56B8964175BBD8CFDCC350CF52B6822FA6816B2F6479784B16C0AE89A0CFAC9", "https://baanknet.com/view-property/243773/F56B8964175BBD8CFDCC350CF52B6822FA6816B2F6479784B16C0AE89A0CFAC9")</f>
        <v>https://baanknet.com/view-property/243773/F56B8964175BBD8CFDCC350CF52B6822FA6816B2F6479784B16C0AE89A0CFAC9</v>
      </c>
      <c r="I2995" t="str">
        <f>HYPERLINK("https://baanknet.com/view-property/243773/F56B8964175BBD8CFDCC350CF52B6822FA6816B2F6479784B16C0AE89A0CFAC9", "Open")</f>
        <v>Open</v>
      </c>
      <c r="J2995" t="s">
        <v>3803</v>
      </c>
      <c r="L2995">
        <v>3375000</v>
      </c>
      <c r="M2995">
        <v>337500</v>
      </c>
    </row>
    <row r="2996" spans="1:13" x14ac:dyDescent="0.25">
      <c r="A2996" t="s">
        <v>10103</v>
      </c>
      <c r="B2996" t="s">
        <v>10104</v>
      </c>
      <c r="C2996" t="s">
        <v>15</v>
      </c>
      <c r="D2996" t="s">
        <v>7466</v>
      </c>
      <c r="E2996" t="s">
        <v>7757</v>
      </c>
      <c r="F2996" t="s">
        <v>636</v>
      </c>
      <c r="G2996" t="s">
        <v>10105</v>
      </c>
      <c r="H2996" t="str">
        <f>HYPERLINK("https://baanknet.com/view-property/243764/F4B39242101BE532ACB4955B04171EFFCC2357822AC583AA2D26960BD158D020", "https://baanknet.com/view-property/243764/F4B39242101BE532ACB4955B04171EFFCC2357822AC583AA2D26960BD158D020")</f>
        <v>https://baanknet.com/view-property/243764/F4B39242101BE532ACB4955B04171EFFCC2357822AC583AA2D26960BD158D020</v>
      </c>
      <c r="I2996" t="str">
        <f>HYPERLINK("https://baanknet.com/view-property/243764/F4B39242101BE532ACB4955B04171EFFCC2357822AC583AA2D26960BD158D020", "Open")</f>
        <v>Open</v>
      </c>
      <c r="J2996" t="s">
        <v>3803</v>
      </c>
      <c r="L2996">
        <v>8770000</v>
      </c>
      <c r="M2996">
        <v>877000</v>
      </c>
    </row>
    <row r="2997" spans="1:13" x14ac:dyDescent="0.25">
      <c r="A2997" t="s">
        <v>10106</v>
      </c>
      <c r="B2997" t="s">
        <v>10107</v>
      </c>
      <c r="C2997" t="s">
        <v>15</v>
      </c>
      <c r="D2997" t="s">
        <v>1246</v>
      </c>
      <c r="E2997" t="s">
        <v>7757</v>
      </c>
      <c r="F2997" t="s">
        <v>636</v>
      </c>
      <c r="G2997" t="s">
        <v>10108</v>
      </c>
      <c r="H2997" t="str">
        <f>HYPERLINK("https://baanknet.com/view-property/202579/A520A72439415BF4E4B647FD32992C5B91EDDB982CE30AF787E6A78091B1B2CD", "https://baanknet.com/view-property/202579/A520A72439415BF4E4B647FD32992C5B91EDDB982CE30AF787E6A78091B1B2CD")</f>
        <v>https://baanknet.com/view-property/202579/A520A72439415BF4E4B647FD32992C5B91EDDB982CE30AF787E6A78091B1B2CD</v>
      </c>
      <c r="I2997" t="str">
        <f>HYPERLINK("https://baanknet.com/view-property/202579/A520A72439415BF4E4B647FD32992C5B91EDDB982CE30AF787E6A78091B1B2CD", "Open")</f>
        <v>Open</v>
      </c>
      <c r="J2997" t="s">
        <v>3803</v>
      </c>
      <c r="L2997">
        <v>11305000</v>
      </c>
      <c r="M2997">
        <v>1130500</v>
      </c>
    </row>
    <row r="2998" spans="1:13" x14ac:dyDescent="0.25">
      <c r="A2998" t="s">
        <v>10109</v>
      </c>
      <c r="B2998" t="s">
        <v>10110</v>
      </c>
      <c r="C2998" t="s">
        <v>15</v>
      </c>
      <c r="D2998" t="s">
        <v>10111</v>
      </c>
      <c r="E2998" t="s">
        <v>7757</v>
      </c>
      <c r="F2998" t="s">
        <v>636</v>
      </c>
      <c r="G2998" t="s">
        <v>10112</v>
      </c>
      <c r="H2998" t="str">
        <f>HYPERLINK("https://baanknet.com/view-property/259692/B5A623B253A7BDCA5DD909A1249269428EE647B8A170688DE79EC4A9289D0790", "https://baanknet.com/view-property/259692/B5A623B253A7BDCA5DD909A1249269428EE647B8A170688DE79EC4A9289D0790")</f>
        <v>https://baanknet.com/view-property/259692/B5A623B253A7BDCA5DD909A1249269428EE647B8A170688DE79EC4A9289D0790</v>
      </c>
      <c r="I2998" t="str">
        <f>HYPERLINK("https://baanknet.com/view-property/259692/B5A623B253A7BDCA5DD909A1249269428EE647B8A170688DE79EC4A9289D0790", "Open")</f>
        <v>Open</v>
      </c>
      <c r="J2998" t="s">
        <v>3803</v>
      </c>
      <c r="L2998">
        <v>6320000</v>
      </c>
      <c r="M2998">
        <v>632000</v>
      </c>
    </row>
    <row r="2999" spans="1:13" x14ac:dyDescent="0.25">
      <c r="A2999" t="s">
        <v>10113</v>
      </c>
      <c r="B2999" t="s">
        <v>10114</v>
      </c>
      <c r="C2999" t="s">
        <v>15</v>
      </c>
      <c r="D2999" t="s">
        <v>4228</v>
      </c>
      <c r="E2999" t="s">
        <v>7757</v>
      </c>
      <c r="F2999" t="s">
        <v>636</v>
      </c>
      <c r="G2999" t="s">
        <v>10115</v>
      </c>
      <c r="H2999" t="str">
        <f>HYPERLINK("https://baanknet.com/view-property/254018/C321DB10E6B8641D6656720DEEB045886342F0B9399A6408E15BF38009140C07", "https://baanknet.com/view-property/254018/C321DB10E6B8641D6656720DEEB045886342F0B9399A6408E15BF38009140C07")</f>
        <v>https://baanknet.com/view-property/254018/C321DB10E6B8641D6656720DEEB045886342F0B9399A6408E15BF38009140C07</v>
      </c>
      <c r="I2999" t="str">
        <f>HYPERLINK("https://baanknet.com/view-property/254018/C321DB10E6B8641D6656720DEEB045886342F0B9399A6408E15BF38009140C07", "Open")</f>
        <v>Open</v>
      </c>
      <c r="J2999" t="s">
        <v>3803</v>
      </c>
      <c r="L2999">
        <v>3510000</v>
      </c>
      <c r="M2999">
        <v>351000</v>
      </c>
    </row>
    <row r="3000" spans="1:13" x14ac:dyDescent="0.25">
      <c r="A3000" t="s">
        <v>10116</v>
      </c>
      <c r="B3000" t="s">
        <v>10117</v>
      </c>
      <c r="C3000" t="s">
        <v>15</v>
      </c>
      <c r="D3000" t="s">
        <v>10118</v>
      </c>
      <c r="E3000" t="s">
        <v>7757</v>
      </c>
      <c r="F3000" t="s">
        <v>637</v>
      </c>
      <c r="G3000" t="s">
        <v>10119</v>
      </c>
      <c r="H3000" t="str">
        <f>HYPERLINK("https://baanknet.com/view-property/266660/FBE8FEC5C44FB6C2D4FADCF4EBDA3670A782635D0566C655C7D79A878208A05A", "https://baanknet.com/view-property/266660/FBE8FEC5C44FB6C2D4FADCF4EBDA3670A782635D0566C655C7D79A878208A05A")</f>
        <v>https://baanknet.com/view-property/266660/FBE8FEC5C44FB6C2D4FADCF4EBDA3670A782635D0566C655C7D79A878208A05A</v>
      </c>
      <c r="I3000" t="str">
        <f>HYPERLINK("https://baanknet.com/view-property/266660/FBE8FEC5C44FB6C2D4FADCF4EBDA3670A782635D0566C655C7D79A878208A05A", "Open")</f>
        <v>Open</v>
      </c>
      <c r="J3000" t="s">
        <v>3803</v>
      </c>
      <c r="L3000">
        <v>22600000</v>
      </c>
      <c r="M3000">
        <v>2260000</v>
      </c>
    </row>
    <row r="3001" spans="1:13" x14ac:dyDescent="0.25">
      <c r="A3001" t="s">
        <v>10120</v>
      </c>
      <c r="B3001" t="s">
        <v>10121</v>
      </c>
      <c r="C3001" t="s">
        <v>15</v>
      </c>
      <c r="D3001" t="s">
        <v>10118</v>
      </c>
      <c r="E3001" t="s">
        <v>7757</v>
      </c>
      <c r="F3001" t="s">
        <v>637</v>
      </c>
      <c r="G3001" t="s">
        <v>10122</v>
      </c>
      <c r="H3001" t="str">
        <f>HYPERLINK("https://baanknet.com/view-property/265763/3BA868685C6D83D7D9DD85840AC3D9F9CB463BF5F2189852FD480327264CCD4D", "https://baanknet.com/view-property/265763/3BA868685C6D83D7D9DD85840AC3D9F9CB463BF5F2189852FD480327264CCD4D")</f>
        <v>https://baanknet.com/view-property/265763/3BA868685C6D83D7D9DD85840AC3D9F9CB463BF5F2189852FD480327264CCD4D</v>
      </c>
      <c r="I3001" t="str">
        <f>HYPERLINK("https://baanknet.com/view-property/265763/3BA868685C6D83D7D9DD85840AC3D9F9CB463BF5F2189852FD480327264CCD4D", "Open")</f>
        <v>Open</v>
      </c>
      <c r="J3001" t="s">
        <v>3803</v>
      </c>
      <c r="L3001">
        <v>3050000</v>
      </c>
      <c r="M3001">
        <v>305000</v>
      </c>
    </row>
    <row r="3002" spans="1:13" x14ac:dyDescent="0.25">
      <c r="A3002" t="s">
        <v>10123</v>
      </c>
      <c r="B3002" t="s">
        <v>10124</v>
      </c>
      <c r="C3002" t="s">
        <v>15</v>
      </c>
      <c r="D3002" t="s">
        <v>10125</v>
      </c>
      <c r="E3002" t="s">
        <v>7757</v>
      </c>
      <c r="F3002" t="s">
        <v>637</v>
      </c>
      <c r="G3002" t="s">
        <v>10126</v>
      </c>
      <c r="H3002" t="str">
        <f>HYPERLINK("https://baanknet.com/view-property/267191/F85F74362AA1F318302C1091758F65B57435EEAD33353D251DB1DD88C233CAF4", "https://baanknet.com/view-property/267191/F85F74362AA1F318302C1091758F65B57435EEAD33353D251DB1DD88C233CAF4")</f>
        <v>https://baanknet.com/view-property/267191/F85F74362AA1F318302C1091758F65B57435EEAD33353D251DB1DD88C233CAF4</v>
      </c>
      <c r="I3002" t="str">
        <f>HYPERLINK("https://baanknet.com/view-property/267191/F85F74362AA1F318302C1091758F65B57435EEAD33353D251DB1DD88C233CAF4", "Open")</f>
        <v>Open</v>
      </c>
      <c r="J3002" t="s">
        <v>3803</v>
      </c>
      <c r="L3002">
        <v>1590000</v>
      </c>
      <c r="M3002">
        <v>159000</v>
      </c>
    </row>
    <row r="3003" spans="1:13" x14ac:dyDescent="0.25">
      <c r="A3003" t="s">
        <v>10127</v>
      </c>
      <c r="B3003" t="s">
        <v>10128</v>
      </c>
      <c r="C3003" t="s">
        <v>15</v>
      </c>
      <c r="D3003" t="s">
        <v>9939</v>
      </c>
      <c r="E3003" t="s">
        <v>7757</v>
      </c>
      <c r="F3003" t="s">
        <v>637</v>
      </c>
      <c r="G3003" t="s">
        <v>10129</v>
      </c>
      <c r="H3003" t="str">
        <f>HYPERLINK("https://baanknet.com/view-property/270813/D95498E5444309A5CCCF051B2DC2DCCA3CDF936B6C1888E861C44F79A17D4060", "https://baanknet.com/view-property/270813/D95498E5444309A5CCCF051B2DC2DCCA3CDF936B6C1888E861C44F79A17D4060")</f>
        <v>https://baanknet.com/view-property/270813/D95498E5444309A5CCCF051B2DC2DCCA3CDF936B6C1888E861C44F79A17D4060</v>
      </c>
      <c r="I3003" t="str">
        <f>HYPERLINK("https://baanknet.com/view-property/270813/D95498E5444309A5CCCF051B2DC2DCCA3CDF936B6C1888E861C44F79A17D4060", "Open")</f>
        <v>Open</v>
      </c>
      <c r="J3003" t="s">
        <v>3803</v>
      </c>
      <c r="L3003">
        <v>2240000</v>
      </c>
      <c r="M3003">
        <v>224000</v>
      </c>
    </row>
    <row r="3004" spans="1:13" x14ac:dyDescent="0.25">
      <c r="A3004" t="s">
        <v>10130</v>
      </c>
      <c r="B3004" t="s">
        <v>10131</v>
      </c>
      <c r="C3004" t="s">
        <v>15</v>
      </c>
      <c r="D3004" t="s">
        <v>10132</v>
      </c>
      <c r="E3004" t="s">
        <v>7757</v>
      </c>
      <c r="F3004" t="s">
        <v>637</v>
      </c>
      <c r="G3004" t="s">
        <v>10133</v>
      </c>
      <c r="H3004" t="str">
        <f>HYPERLINK("https://baanknet.com/view-property/267179/C9A645275B20D3C51C3A26D580EB6D809338CF36FD6D334A58E4441C4ACE031D", "https://baanknet.com/view-property/267179/C9A645275B20D3C51C3A26D580EB6D809338CF36FD6D334A58E4441C4ACE031D")</f>
        <v>https://baanknet.com/view-property/267179/C9A645275B20D3C51C3A26D580EB6D809338CF36FD6D334A58E4441C4ACE031D</v>
      </c>
      <c r="I3004" t="str">
        <f>HYPERLINK("https://baanknet.com/view-property/267179/C9A645275B20D3C51C3A26D580EB6D809338CF36FD6D334A58E4441C4ACE031D", "Open")</f>
        <v>Open</v>
      </c>
      <c r="J3004" t="s">
        <v>3803</v>
      </c>
      <c r="L3004">
        <v>1080000</v>
      </c>
      <c r="M3004">
        <v>108000</v>
      </c>
    </row>
    <row r="3005" spans="1:13" x14ac:dyDescent="0.25">
      <c r="A3005" t="s">
        <v>10134</v>
      </c>
      <c r="B3005" t="s">
        <v>10135</v>
      </c>
      <c r="C3005" t="s">
        <v>15</v>
      </c>
      <c r="D3005" t="s">
        <v>10136</v>
      </c>
      <c r="E3005" t="s">
        <v>7757</v>
      </c>
      <c r="F3005" t="s">
        <v>637</v>
      </c>
      <c r="G3005" t="s">
        <v>10137</v>
      </c>
      <c r="H3005" t="str">
        <f>HYPERLINK("https://baanknet.com/view-property/267187/92045984488A8EB2728B4346BAAB8A8E873B1F88AE30F0BE39F9C10C1AC3A5C6", "https://baanknet.com/view-property/267187/92045984488A8EB2728B4346BAAB8A8E873B1F88AE30F0BE39F9C10C1AC3A5C6")</f>
        <v>https://baanknet.com/view-property/267187/92045984488A8EB2728B4346BAAB8A8E873B1F88AE30F0BE39F9C10C1AC3A5C6</v>
      </c>
      <c r="I3005" t="str">
        <f>HYPERLINK("https://baanknet.com/view-property/267187/92045984488A8EB2728B4346BAAB8A8E873B1F88AE30F0BE39F9C10C1AC3A5C6", "Open")</f>
        <v>Open</v>
      </c>
      <c r="J3005" t="s">
        <v>3803</v>
      </c>
      <c r="L3005">
        <v>2290000</v>
      </c>
      <c r="M3005">
        <v>229000</v>
      </c>
    </row>
    <row r="3006" spans="1:13" x14ac:dyDescent="0.25">
      <c r="A3006" t="s">
        <v>10138</v>
      </c>
      <c r="B3006" t="s">
        <v>10139</v>
      </c>
      <c r="C3006" t="s">
        <v>15</v>
      </c>
      <c r="D3006" t="s">
        <v>10140</v>
      </c>
      <c r="E3006" t="s">
        <v>7757</v>
      </c>
      <c r="F3006" t="s">
        <v>637</v>
      </c>
      <c r="G3006" t="s">
        <v>10141</v>
      </c>
      <c r="H3006" t="str">
        <f>HYPERLINK("https://baanknet.com/view-property/278995/EAD7FBD0EB2F9AA946721B1E6A3EDE1470B6709E32EC8161D00D365F3E6CA0E6", "https://baanknet.com/view-property/278995/EAD7FBD0EB2F9AA946721B1E6A3EDE1470B6709E32EC8161D00D365F3E6CA0E6")</f>
        <v>https://baanknet.com/view-property/278995/EAD7FBD0EB2F9AA946721B1E6A3EDE1470B6709E32EC8161D00D365F3E6CA0E6</v>
      </c>
      <c r="I3006" t="str">
        <f>HYPERLINK("https://baanknet.com/view-property/278995/EAD7FBD0EB2F9AA946721B1E6A3EDE1470B6709E32EC8161D00D365F3E6CA0E6", "Open")</f>
        <v>Open</v>
      </c>
      <c r="J3006" t="s">
        <v>3803</v>
      </c>
      <c r="L3006">
        <v>1280000</v>
      </c>
      <c r="M3006">
        <v>128000</v>
      </c>
    </row>
    <row r="3007" spans="1:13" x14ac:dyDescent="0.25">
      <c r="A3007" t="s">
        <v>10142</v>
      </c>
      <c r="B3007" t="s">
        <v>10143</v>
      </c>
      <c r="C3007" t="s">
        <v>15</v>
      </c>
      <c r="D3007" t="s">
        <v>10136</v>
      </c>
      <c r="E3007" t="s">
        <v>7757</v>
      </c>
      <c r="F3007" t="s">
        <v>637</v>
      </c>
      <c r="G3007" t="s">
        <v>10144</v>
      </c>
      <c r="H3007" t="str">
        <f>HYPERLINK("https://baanknet.com/view-property/279686/259400B39FBCD88B2D5AF9A0D907362F786FB349682DC7A97A41C545AE9E4490", "https://baanknet.com/view-property/279686/259400B39FBCD88B2D5AF9A0D907362F786FB349682DC7A97A41C545AE9E4490")</f>
        <v>https://baanknet.com/view-property/279686/259400B39FBCD88B2D5AF9A0D907362F786FB349682DC7A97A41C545AE9E4490</v>
      </c>
      <c r="I3007" t="str">
        <f>HYPERLINK("https://baanknet.com/view-property/279686/259400B39FBCD88B2D5AF9A0D907362F786FB349682DC7A97A41C545AE9E4490", "Open")</f>
        <v>Open</v>
      </c>
      <c r="J3007" t="s">
        <v>3803</v>
      </c>
      <c r="L3007">
        <v>490000</v>
      </c>
      <c r="M3007">
        <v>49000</v>
      </c>
    </row>
    <row r="3008" spans="1:13" x14ac:dyDescent="0.25">
      <c r="A3008" t="s">
        <v>10145</v>
      </c>
      <c r="B3008" t="s">
        <v>10146</v>
      </c>
      <c r="C3008" t="s">
        <v>15</v>
      </c>
      <c r="D3008" t="s">
        <v>9939</v>
      </c>
      <c r="E3008" t="s">
        <v>7757</v>
      </c>
      <c r="F3008" t="s">
        <v>637</v>
      </c>
      <c r="G3008" t="s">
        <v>10147</v>
      </c>
      <c r="H3008" t="str">
        <f>HYPERLINK("https://baanknet.com/view-property/279690/F85D64DE7CFBB1D4120E2C8E1502D047B609B6A5464D93E06FD8799D38562F4E", "https://baanknet.com/view-property/279690/F85D64DE7CFBB1D4120E2C8E1502D047B609B6A5464D93E06FD8799D38562F4E")</f>
        <v>https://baanknet.com/view-property/279690/F85D64DE7CFBB1D4120E2C8E1502D047B609B6A5464D93E06FD8799D38562F4E</v>
      </c>
      <c r="I3008" t="str">
        <f>HYPERLINK("https://baanknet.com/view-property/279690/F85D64DE7CFBB1D4120E2C8E1502D047B609B6A5464D93E06FD8799D38562F4E", "Open")</f>
        <v>Open</v>
      </c>
      <c r="J3008" t="s">
        <v>3803</v>
      </c>
      <c r="L3008">
        <v>1540000</v>
      </c>
      <c r="M3008">
        <v>154000</v>
      </c>
    </row>
    <row r="3009" spans="1:13" x14ac:dyDescent="0.25">
      <c r="A3009" t="s">
        <v>10148</v>
      </c>
      <c r="B3009" t="s">
        <v>10149</v>
      </c>
      <c r="C3009" t="s">
        <v>15</v>
      </c>
      <c r="D3009" t="s">
        <v>9939</v>
      </c>
      <c r="E3009" t="s">
        <v>7757</v>
      </c>
      <c r="F3009" t="s">
        <v>637</v>
      </c>
      <c r="G3009" t="s">
        <v>10150</v>
      </c>
      <c r="H3009" t="str">
        <f>HYPERLINK("https://baanknet.com/view-property/279698/C901FF1D41EE81048B1925DF653EA8E3FD81C2B0D30D293DF1E08FA01604DBDB", "https://baanknet.com/view-property/279698/C901FF1D41EE81048B1925DF653EA8E3FD81C2B0D30D293DF1E08FA01604DBDB")</f>
        <v>https://baanknet.com/view-property/279698/C901FF1D41EE81048B1925DF653EA8E3FD81C2B0D30D293DF1E08FA01604DBDB</v>
      </c>
      <c r="I3009" t="str">
        <f>HYPERLINK("https://baanknet.com/view-property/279698/C901FF1D41EE81048B1925DF653EA8E3FD81C2B0D30D293DF1E08FA01604DBDB", "Open")</f>
        <v>Open</v>
      </c>
      <c r="J3009" t="s">
        <v>3803</v>
      </c>
      <c r="L3009">
        <v>5680000</v>
      </c>
      <c r="M3009">
        <v>568000</v>
      </c>
    </row>
    <row r="3010" spans="1:13" x14ac:dyDescent="0.25">
      <c r="A3010" t="s">
        <v>10151</v>
      </c>
      <c r="B3010" t="s">
        <v>10152</v>
      </c>
      <c r="C3010" t="s">
        <v>15</v>
      </c>
      <c r="D3010" t="s">
        <v>10132</v>
      </c>
      <c r="E3010" t="s">
        <v>7757</v>
      </c>
      <c r="F3010" t="s">
        <v>637</v>
      </c>
      <c r="G3010" t="s">
        <v>10153</v>
      </c>
      <c r="H3010" t="str">
        <f>HYPERLINK("https://baanknet.com/view-property/250322/406AA1DEED9D1DFB33192776D35CE003D50C2FBE7E9836A1EB2C37634E6EB619", "https://baanknet.com/view-property/250322/406AA1DEED9D1DFB33192776D35CE003D50C2FBE7E9836A1EB2C37634E6EB619")</f>
        <v>https://baanknet.com/view-property/250322/406AA1DEED9D1DFB33192776D35CE003D50C2FBE7E9836A1EB2C37634E6EB619</v>
      </c>
      <c r="I3010" t="str">
        <f>HYPERLINK("https://baanknet.com/view-property/250322/406AA1DEED9D1DFB33192776D35CE003D50C2FBE7E9836A1EB2C37634E6EB619", "Open")</f>
        <v>Open</v>
      </c>
      <c r="J3010" t="s">
        <v>3803</v>
      </c>
      <c r="L3010">
        <v>2440000</v>
      </c>
      <c r="M3010">
        <v>244000</v>
      </c>
    </row>
    <row r="3011" spans="1:13" x14ac:dyDescent="0.25">
      <c r="A3011" t="s">
        <v>10154</v>
      </c>
      <c r="B3011" t="s">
        <v>10155</v>
      </c>
      <c r="C3011" t="s">
        <v>15</v>
      </c>
      <c r="D3011" t="s">
        <v>10132</v>
      </c>
      <c r="E3011" t="s">
        <v>7757</v>
      </c>
      <c r="F3011" t="s">
        <v>637</v>
      </c>
      <c r="G3011" t="s">
        <v>10156</v>
      </c>
      <c r="H3011" t="str">
        <f>HYPERLINK("https://baanknet.com/view-property/252094/98042DC8087ED6ABFB92F57C746661908FF9C0230F291FA6ED0CCEB1FCC2B468", "https://baanknet.com/view-property/252094/98042DC8087ED6ABFB92F57C746661908FF9C0230F291FA6ED0CCEB1FCC2B468")</f>
        <v>https://baanknet.com/view-property/252094/98042DC8087ED6ABFB92F57C746661908FF9C0230F291FA6ED0CCEB1FCC2B468</v>
      </c>
      <c r="I3011" t="str">
        <f>HYPERLINK("https://baanknet.com/view-property/252094/98042DC8087ED6ABFB92F57C746661908FF9C0230F291FA6ED0CCEB1FCC2B468", "Open")</f>
        <v>Open</v>
      </c>
      <c r="J3011" t="s">
        <v>3803</v>
      </c>
      <c r="L3011">
        <v>940000</v>
      </c>
      <c r="M3011">
        <v>94000</v>
      </c>
    </row>
    <row r="3012" spans="1:13" x14ac:dyDescent="0.25">
      <c r="A3012" t="s">
        <v>10157</v>
      </c>
      <c r="B3012" t="s">
        <v>10158</v>
      </c>
      <c r="C3012" t="s">
        <v>15</v>
      </c>
      <c r="D3012" t="s">
        <v>9969</v>
      </c>
      <c r="E3012" t="s">
        <v>7757</v>
      </c>
      <c r="F3012" t="s">
        <v>637</v>
      </c>
      <c r="G3012" t="s">
        <v>10159</v>
      </c>
      <c r="H3012" t="str">
        <f>HYPERLINK("https://baanknet.com/view-property/252097/6BC55978DF08A163235FD507335FD67ADC53C174E795D24B774FA3CDD901F656", "https://baanknet.com/view-property/252097/6BC55978DF08A163235FD507335FD67ADC53C174E795D24B774FA3CDD901F656")</f>
        <v>https://baanknet.com/view-property/252097/6BC55978DF08A163235FD507335FD67ADC53C174E795D24B774FA3CDD901F656</v>
      </c>
      <c r="I3012" t="str">
        <f>HYPERLINK("https://baanknet.com/view-property/252097/6BC55978DF08A163235FD507335FD67ADC53C174E795D24B774FA3CDD901F656", "Open")</f>
        <v>Open</v>
      </c>
      <c r="J3012" t="s">
        <v>3803</v>
      </c>
      <c r="L3012">
        <v>1300000</v>
      </c>
      <c r="M3012">
        <v>130000</v>
      </c>
    </row>
    <row r="3013" spans="1:13" x14ac:dyDescent="0.25">
      <c r="A3013" t="s">
        <v>10160</v>
      </c>
      <c r="B3013" t="s">
        <v>10161</v>
      </c>
      <c r="C3013" t="s">
        <v>15</v>
      </c>
      <c r="D3013" t="s">
        <v>9939</v>
      </c>
      <c r="E3013" t="s">
        <v>7757</v>
      </c>
      <c r="F3013" t="s">
        <v>637</v>
      </c>
      <c r="G3013" t="s">
        <v>10162</v>
      </c>
      <c r="H3013" t="str">
        <f>HYPERLINK("https://baanknet.com/view-property/264761/23B9F4F3591DA3178029B474020D3521D467560204842B5D9D8A7B8301F04E9A", "https://baanknet.com/view-property/264761/23B9F4F3591DA3178029B474020D3521D467560204842B5D9D8A7B8301F04E9A")</f>
        <v>https://baanknet.com/view-property/264761/23B9F4F3591DA3178029B474020D3521D467560204842B5D9D8A7B8301F04E9A</v>
      </c>
      <c r="I3013" t="str">
        <f>HYPERLINK("https://baanknet.com/view-property/264761/23B9F4F3591DA3178029B474020D3521D467560204842B5D9D8A7B8301F04E9A", "Open")</f>
        <v>Open</v>
      </c>
      <c r="J3013" t="s">
        <v>3803</v>
      </c>
      <c r="L3013">
        <v>860000</v>
      </c>
      <c r="M3013">
        <v>86000</v>
      </c>
    </row>
    <row r="3014" spans="1:13" x14ac:dyDescent="0.25">
      <c r="A3014" t="s">
        <v>10163</v>
      </c>
      <c r="B3014" t="s">
        <v>10164</v>
      </c>
      <c r="C3014" t="s">
        <v>15</v>
      </c>
      <c r="D3014" t="s">
        <v>5171</v>
      </c>
      <c r="E3014" t="s">
        <v>7757</v>
      </c>
      <c r="F3014" t="s">
        <v>637</v>
      </c>
      <c r="G3014" t="s">
        <v>10165</v>
      </c>
      <c r="H3014" t="str">
        <f>HYPERLINK("https://baanknet.com/view-property/205444/BDB7B110769D3238944DD227820C311BCA00DDE125B6CD600A9A7D0E476E15B8", "https://baanknet.com/view-property/205444/BDB7B110769D3238944DD227820C311BCA00DDE125B6CD600A9A7D0E476E15B8")</f>
        <v>https://baanknet.com/view-property/205444/BDB7B110769D3238944DD227820C311BCA00DDE125B6CD600A9A7D0E476E15B8</v>
      </c>
      <c r="I3014" t="str">
        <f>HYPERLINK("https://baanknet.com/view-property/205444/BDB7B110769D3238944DD227820C311BCA00DDE125B6CD600A9A7D0E476E15B8", "Open")</f>
        <v>Open</v>
      </c>
      <c r="J3014" t="s">
        <v>3803</v>
      </c>
      <c r="L3014">
        <v>5060000</v>
      </c>
      <c r="M3014">
        <v>506000</v>
      </c>
    </row>
    <row r="3015" spans="1:13" x14ac:dyDescent="0.25">
      <c r="A3015" t="s">
        <v>10166</v>
      </c>
      <c r="B3015" t="s">
        <v>10167</v>
      </c>
      <c r="C3015" t="s">
        <v>15</v>
      </c>
      <c r="D3015" t="s">
        <v>9939</v>
      </c>
      <c r="E3015" t="s">
        <v>7757</v>
      </c>
      <c r="F3015" t="s">
        <v>637</v>
      </c>
      <c r="G3015" t="s">
        <v>10168</v>
      </c>
      <c r="H3015" t="str">
        <f>HYPERLINK("https://baanknet.com/view-property/224889/8610EA7643290D57CCD0525B58CC331F2E5BCB9C5352CF4D6287A0553E72DE56", "https://baanknet.com/view-property/224889/8610EA7643290D57CCD0525B58CC331F2E5BCB9C5352CF4D6287A0553E72DE56")</f>
        <v>https://baanknet.com/view-property/224889/8610EA7643290D57CCD0525B58CC331F2E5BCB9C5352CF4D6287A0553E72DE56</v>
      </c>
      <c r="I3015" t="str">
        <f>HYPERLINK("https://baanknet.com/view-property/224889/8610EA7643290D57CCD0525B58CC331F2E5BCB9C5352CF4D6287A0553E72DE56", "Open")</f>
        <v>Open</v>
      </c>
      <c r="J3015" t="s">
        <v>3803</v>
      </c>
      <c r="L3015">
        <v>2340000</v>
      </c>
      <c r="M3015">
        <v>234000</v>
      </c>
    </row>
    <row r="3016" spans="1:13" x14ac:dyDescent="0.25">
      <c r="A3016" t="s">
        <v>10169</v>
      </c>
      <c r="B3016" t="s">
        <v>10170</v>
      </c>
      <c r="C3016" t="s">
        <v>15</v>
      </c>
      <c r="D3016" t="s">
        <v>9939</v>
      </c>
      <c r="E3016" t="s">
        <v>7757</v>
      </c>
      <c r="F3016" t="s">
        <v>637</v>
      </c>
      <c r="G3016" t="s">
        <v>10171</v>
      </c>
      <c r="H3016" t="str">
        <f>HYPERLINK("https://baanknet.com/view-property/235692/3C9057657A3E50A4B6F9EB3A309AEB25DCBBA956B237C09F4DE7BA56FBC582D1", "https://baanknet.com/view-property/235692/3C9057657A3E50A4B6F9EB3A309AEB25DCBBA956B237C09F4DE7BA56FBC582D1")</f>
        <v>https://baanknet.com/view-property/235692/3C9057657A3E50A4B6F9EB3A309AEB25DCBBA956B237C09F4DE7BA56FBC582D1</v>
      </c>
      <c r="I3016" t="str">
        <f>HYPERLINK("https://baanknet.com/view-property/235692/3C9057657A3E50A4B6F9EB3A309AEB25DCBBA956B237C09F4DE7BA56FBC582D1", "Open")</f>
        <v>Open</v>
      </c>
      <c r="J3016" t="s">
        <v>3803</v>
      </c>
      <c r="L3016">
        <v>525000</v>
      </c>
      <c r="M3016">
        <v>52500</v>
      </c>
    </row>
    <row r="3017" spans="1:13" x14ac:dyDescent="0.25">
      <c r="A3017" t="s">
        <v>10172</v>
      </c>
      <c r="B3017" t="s">
        <v>10173</v>
      </c>
      <c r="C3017" t="s">
        <v>15</v>
      </c>
      <c r="D3017" t="s">
        <v>157</v>
      </c>
      <c r="E3017" t="s">
        <v>7757</v>
      </c>
      <c r="F3017" t="s">
        <v>637</v>
      </c>
      <c r="G3017" t="s">
        <v>10174</v>
      </c>
      <c r="H3017" t="str">
        <f>HYPERLINK("https://baanknet.com/view-property/245388/212FA64EEE32EEC24D9F0B0E96D03C91ACB31AFBEB8DCAD0BA845FAF8BCE894A", "https://baanknet.com/view-property/245388/212FA64EEE32EEC24D9F0B0E96D03C91ACB31AFBEB8DCAD0BA845FAF8BCE894A")</f>
        <v>https://baanknet.com/view-property/245388/212FA64EEE32EEC24D9F0B0E96D03C91ACB31AFBEB8DCAD0BA845FAF8BCE894A</v>
      </c>
      <c r="I3017" t="str">
        <f>HYPERLINK("https://baanknet.com/view-property/245388/212FA64EEE32EEC24D9F0B0E96D03C91ACB31AFBEB8DCAD0BA845FAF8BCE894A", "Open")</f>
        <v>Open</v>
      </c>
      <c r="J3017" t="s">
        <v>3803</v>
      </c>
      <c r="L3017">
        <v>1060000</v>
      </c>
      <c r="M3017">
        <v>106000</v>
      </c>
    </row>
    <row r="3018" spans="1:13" x14ac:dyDescent="0.25">
      <c r="A3018" t="s">
        <v>10175</v>
      </c>
      <c r="B3018" t="s">
        <v>10176</v>
      </c>
      <c r="C3018" t="s">
        <v>15</v>
      </c>
      <c r="D3018" t="s">
        <v>10177</v>
      </c>
      <c r="E3018" t="s">
        <v>7757</v>
      </c>
      <c r="F3018" t="s">
        <v>637</v>
      </c>
      <c r="G3018" t="s">
        <v>10178</v>
      </c>
      <c r="H3018" t="str">
        <f>HYPERLINK("https://baanknet.com/view-property/207903/58E4AB33E6C3A82EDEE0C1D3661DE70794DA80F7F4A9CFF17DD91B58C14C7D6D", "https://baanknet.com/view-property/207903/58E4AB33E6C3A82EDEE0C1D3661DE70794DA80F7F4A9CFF17DD91B58C14C7D6D")</f>
        <v>https://baanknet.com/view-property/207903/58E4AB33E6C3A82EDEE0C1D3661DE70794DA80F7F4A9CFF17DD91B58C14C7D6D</v>
      </c>
      <c r="I3018" t="str">
        <f>HYPERLINK("https://baanknet.com/view-property/207903/58E4AB33E6C3A82EDEE0C1D3661DE70794DA80F7F4A9CFF17DD91B58C14C7D6D", "Open")</f>
        <v>Open</v>
      </c>
      <c r="J3018" t="s">
        <v>3803</v>
      </c>
      <c r="L3018">
        <v>400000</v>
      </c>
      <c r="M3018">
        <v>40000</v>
      </c>
    </row>
    <row r="3019" spans="1:13" x14ac:dyDescent="0.25">
      <c r="A3019" t="s">
        <v>10179</v>
      </c>
      <c r="B3019" t="s">
        <v>10180</v>
      </c>
      <c r="C3019" t="s">
        <v>15</v>
      </c>
      <c r="D3019" t="s">
        <v>2920</v>
      </c>
      <c r="E3019" t="s">
        <v>7757</v>
      </c>
      <c r="F3019" t="s">
        <v>637</v>
      </c>
      <c r="G3019" t="s">
        <v>10181</v>
      </c>
      <c r="H3019" t="str">
        <f>HYPERLINK("https://baanknet.com/view-property/245356/3F317E1A568638B6030BACD5A1118DCB945FD9CC550F851CCD500AC763FFD240", "https://baanknet.com/view-property/245356/3F317E1A568638B6030BACD5A1118DCB945FD9CC550F851CCD500AC763FFD240")</f>
        <v>https://baanknet.com/view-property/245356/3F317E1A568638B6030BACD5A1118DCB945FD9CC550F851CCD500AC763FFD240</v>
      </c>
      <c r="I3019" t="str">
        <f>HYPERLINK("https://baanknet.com/view-property/245356/3F317E1A568638B6030BACD5A1118DCB945FD9CC550F851CCD500AC763FFD240", "Open")</f>
        <v>Open</v>
      </c>
      <c r="J3019" t="s">
        <v>3803</v>
      </c>
      <c r="L3019">
        <v>1150000</v>
      </c>
      <c r="M3019">
        <v>115000</v>
      </c>
    </row>
    <row r="3020" spans="1:13" x14ac:dyDescent="0.25">
      <c r="A3020" t="s">
        <v>10182</v>
      </c>
      <c r="B3020" t="s">
        <v>10183</v>
      </c>
      <c r="C3020" t="s">
        <v>15</v>
      </c>
      <c r="D3020" t="s">
        <v>9939</v>
      </c>
      <c r="E3020" t="s">
        <v>7757</v>
      </c>
      <c r="F3020" t="s">
        <v>637</v>
      </c>
      <c r="G3020" t="s">
        <v>10184</v>
      </c>
      <c r="H3020" t="str">
        <f>HYPERLINK("https://baanknet.com/view-property/201741/5127F3DB25B927AE8E808CB6EBA8F6A9521F6C49A7689A9116965AE81A9D8E9A", "https://baanknet.com/view-property/201741/5127F3DB25B927AE8E808CB6EBA8F6A9521F6C49A7689A9116965AE81A9D8E9A")</f>
        <v>https://baanknet.com/view-property/201741/5127F3DB25B927AE8E808CB6EBA8F6A9521F6C49A7689A9116965AE81A9D8E9A</v>
      </c>
      <c r="I3020" t="str">
        <f>HYPERLINK("https://baanknet.com/view-property/201741/5127F3DB25B927AE8E808CB6EBA8F6A9521F6C49A7689A9116965AE81A9D8E9A", "Open")</f>
        <v>Open</v>
      </c>
      <c r="J3020" t="s">
        <v>3803</v>
      </c>
      <c r="L3020">
        <v>1710000</v>
      </c>
      <c r="M3020">
        <v>171000</v>
      </c>
    </row>
    <row r="3021" spans="1:13" x14ac:dyDescent="0.25">
      <c r="A3021" t="s">
        <v>10185</v>
      </c>
      <c r="B3021" t="s">
        <v>10186</v>
      </c>
      <c r="C3021" t="s">
        <v>15</v>
      </c>
      <c r="D3021" t="s">
        <v>9939</v>
      </c>
      <c r="E3021" t="s">
        <v>7757</v>
      </c>
      <c r="F3021" t="s">
        <v>637</v>
      </c>
      <c r="G3021" t="s">
        <v>10187</v>
      </c>
      <c r="H3021" t="str">
        <f>HYPERLINK("https://baanknet.com/view-property/201728/A761E1A158C092852BDE84C62C53EC2DC6944102C9848512F543988F8DAA2E9A", "https://baanknet.com/view-property/201728/A761E1A158C092852BDE84C62C53EC2DC6944102C9848512F543988F8DAA2E9A")</f>
        <v>https://baanknet.com/view-property/201728/A761E1A158C092852BDE84C62C53EC2DC6944102C9848512F543988F8DAA2E9A</v>
      </c>
      <c r="I3021" t="str">
        <f>HYPERLINK("https://baanknet.com/view-property/201728/A761E1A158C092852BDE84C62C53EC2DC6944102C9848512F543988F8DAA2E9A", "Open")</f>
        <v>Open</v>
      </c>
      <c r="J3021" t="s">
        <v>3803</v>
      </c>
      <c r="L3021">
        <v>990000</v>
      </c>
      <c r="M3021">
        <v>99000</v>
      </c>
    </row>
    <row r="3022" spans="1:13" x14ac:dyDescent="0.25">
      <c r="A3022" t="s">
        <v>10188</v>
      </c>
      <c r="B3022" t="s">
        <v>10189</v>
      </c>
      <c r="C3022" t="s">
        <v>15</v>
      </c>
      <c r="D3022" t="s">
        <v>10190</v>
      </c>
      <c r="E3022" t="s">
        <v>7757</v>
      </c>
      <c r="F3022" t="s">
        <v>637</v>
      </c>
      <c r="G3022" t="s">
        <v>10191</v>
      </c>
      <c r="H3022" t="str">
        <f>HYPERLINK("https://baanknet.com/view-property/285749/EBCC664E15028A7F96837E46FFF0C78F0D64DBF2BA848A691CD5AD15718182EB", "https://baanknet.com/view-property/285749/EBCC664E15028A7F96837E46FFF0C78F0D64DBF2BA848A691CD5AD15718182EB")</f>
        <v>https://baanknet.com/view-property/285749/EBCC664E15028A7F96837E46FFF0C78F0D64DBF2BA848A691CD5AD15718182EB</v>
      </c>
      <c r="I3022" t="str">
        <f>HYPERLINK("https://baanknet.com/view-property/285749/EBCC664E15028A7F96837E46FFF0C78F0D64DBF2BA848A691CD5AD15718182EB", "Open")</f>
        <v>Open</v>
      </c>
      <c r="J3022" t="s">
        <v>3803</v>
      </c>
      <c r="L3022">
        <v>2300000</v>
      </c>
      <c r="M3022">
        <v>230000</v>
      </c>
    </row>
    <row r="3023" spans="1:13" x14ac:dyDescent="0.25">
      <c r="A3023" t="s">
        <v>10192</v>
      </c>
      <c r="B3023" t="s">
        <v>10193</v>
      </c>
      <c r="C3023" t="s">
        <v>15</v>
      </c>
      <c r="D3023" t="s">
        <v>2097</v>
      </c>
      <c r="E3023" t="s">
        <v>7757</v>
      </c>
      <c r="F3023" t="s">
        <v>637</v>
      </c>
      <c r="G3023" t="s">
        <v>10194</v>
      </c>
      <c r="H3023" t="str">
        <f>HYPERLINK("https://baanknet.com/view-property/285769/ABC3BB72F9744018AAC79B8A93E548A6ED7C2898AF6BA13724872E87578BF490", "https://baanknet.com/view-property/285769/ABC3BB72F9744018AAC79B8A93E548A6ED7C2898AF6BA13724872E87578BF490")</f>
        <v>https://baanknet.com/view-property/285769/ABC3BB72F9744018AAC79B8A93E548A6ED7C2898AF6BA13724872E87578BF490</v>
      </c>
      <c r="I3023" t="str">
        <f>HYPERLINK("https://baanknet.com/view-property/285769/ABC3BB72F9744018AAC79B8A93E548A6ED7C2898AF6BA13724872E87578BF490", "Open")</f>
        <v>Open</v>
      </c>
      <c r="J3023" t="s">
        <v>3803</v>
      </c>
      <c r="L3023">
        <v>2445000</v>
      </c>
      <c r="M3023">
        <v>244500</v>
      </c>
    </row>
    <row r="3024" spans="1:13" x14ac:dyDescent="0.25">
      <c r="A3024" t="s">
        <v>10195</v>
      </c>
      <c r="B3024" t="s">
        <v>10196</v>
      </c>
      <c r="C3024" t="s">
        <v>15</v>
      </c>
      <c r="D3024" t="s">
        <v>10197</v>
      </c>
      <c r="E3024" t="s">
        <v>7757</v>
      </c>
      <c r="F3024" t="s">
        <v>637</v>
      </c>
      <c r="G3024" t="s">
        <v>10198</v>
      </c>
      <c r="H3024" t="str">
        <f>HYPERLINK("https://baanknet.com/view-property/266463/B04DE6C4FDB52177CB2551125B757A9B2BE6FC5B80DE6778FB3CBB590176BA51", "https://baanknet.com/view-property/266463/B04DE6C4FDB52177CB2551125B757A9B2BE6FC5B80DE6778FB3CBB590176BA51")</f>
        <v>https://baanknet.com/view-property/266463/B04DE6C4FDB52177CB2551125B757A9B2BE6FC5B80DE6778FB3CBB590176BA51</v>
      </c>
      <c r="I3024" t="str">
        <f>HYPERLINK("https://baanknet.com/view-property/266463/B04DE6C4FDB52177CB2551125B757A9B2BE6FC5B80DE6778FB3CBB590176BA51", "Open")</f>
        <v>Open</v>
      </c>
      <c r="J3024" t="s">
        <v>3803</v>
      </c>
      <c r="L3024">
        <v>3361000</v>
      </c>
      <c r="M3024">
        <v>336100</v>
      </c>
    </row>
    <row r="3025" spans="1:13" x14ac:dyDescent="0.25">
      <c r="A3025" t="s">
        <v>10199</v>
      </c>
      <c r="B3025" t="s">
        <v>10200</v>
      </c>
      <c r="C3025" t="s">
        <v>15</v>
      </c>
      <c r="D3025" t="s">
        <v>7102</v>
      </c>
      <c r="E3025" t="s">
        <v>7757</v>
      </c>
      <c r="F3025" t="s">
        <v>637</v>
      </c>
      <c r="G3025" t="s">
        <v>10201</v>
      </c>
      <c r="H3025" t="str">
        <f>HYPERLINK("https://baanknet.com/view-property/266462/303B3A9C8A8CB1C7DFF16B663E2047D42642EE782ED5056472FA0B18C4B8AE07", "https://baanknet.com/view-property/266462/303B3A9C8A8CB1C7DFF16B663E2047D42642EE782ED5056472FA0B18C4B8AE07")</f>
        <v>https://baanknet.com/view-property/266462/303B3A9C8A8CB1C7DFF16B663E2047D42642EE782ED5056472FA0B18C4B8AE07</v>
      </c>
      <c r="I3025" t="str">
        <f>HYPERLINK("https://baanknet.com/view-property/266462/303B3A9C8A8CB1C7DFF16B663E2047D42642EE782ED5056472FA0B18C4B8AE07", "Open")</f>
        <v>Open</v>
      </c>
      <c r="J3025" t="s">
        <v>3803</v>
      </c>
      <c r="L3025">
        <v>4023000</v>
      </c>
      <c r="M3025">
        <v>402300</v>
      </c>
    </row>
    <row r="3026" spans="1:13" x14ac:dyDescent="0.25">
      <c r="A3026" t="s">
        <v>10202</v>
      </c>
      <c r="B3026" t="s">
        <v>10203</v>
      </c>
      <c r="C3026" t="s">
        <v>15</v>
      </c>
      <c r="D3026" t="s">
        <v>10204</v>
      </c>
      <c r="E3026" t="s">
        <v>7757</v>
      </c>
      <c r="F3026" t="s">
        <v>637</v>
      </c>
      <c r="G3026" t="s">
        <v>10205</v>
      </c>
      <c r="H3026" t="str">
        <f>HYPERLINK("https://baanknet.com/view-property/267215/6628D52D9E11AF27B6F969961EF53A2972A76C9B1CB0AB38B0F8C1FC90EFF088", "https://baanknet.com/view-property/267215/6628D52D9E11AF27B6F969961EF53A2972A76C9B1CB0AB38B0F8C1FC90EFF088")</f>
        <v>https://baanknet.com/view-property/267215/6628D52D9E11AF27B6F969961EF53A2972A76C9B1CB0AB38B0F8C1FC90EFF088</v>
      </c>
      <c r="I3026" t="str">
        <f>HYPERLINK("https://baanknet.com/view-property/267215/6628D52D9E11AF27B6F969961EF53A2972A76C9B1CB0AB38B0F8C1FC90EFF088", "Open")</f>
        <v>Open</v>
      </c>
      <c r="J3026" t="s">
        <v>3803</v>
      </c>
      <c r="L3026">
        <v>7000000</v>
      </c>
      <c r="M3026">
        <v>700000</v>
      </c>
    </row>
    <row r="3027" spans="1:13" x14ac:dyDescent="0.25">
      <c r="A3027" t="s">
        <v>10206</v>
      </c>
      <c r="B3027" t="s">
        <v>10207</v>
      </c>
      <c r="C3027" t="s">
        <v>15</v>
      </c>
      <c r="D3027" t="s">
        <v>10208</v>
      </c>
      <c r="E3027" t="s">
        <v>7757</v>
      </c>
      <c r="F3027" t="s">
        <v>637</v>
      </c>
      <c r="G3027" t="s">
        <v>10209</v>
      </c>
      <c r="H3027" t="str">
        <f>HYPERLINK("https://baanknet.com/view-property/246744/46B0CB26AAE928ECED1A920D19AE017CDF24E59795020B10FC0E45CD9021937C", "https://baanknet.com/view-property/246744/46B0CB26AAE928ECED1A920D19AE017CDF24E59795020B10FC0E45CD9021937C")</f>
        <v>https://baanknet.com/view-property/246744/46B0CB26AAE928ECED1A920D19AE017CDF24E59795020B10FC0E45CD9021937C</v>
      </c>
      <c r="I3027" t="str">
        <f>HYPERLINK("https://baanknet.com/view-property/246744/46B0CB26AAE928ECED1A920D19AE017CDF24E59795020B10FC0E45CD9021937C", "Open")</f>
        <v>Open</v>
      </c>
      <c r="J3027" t="s">
        <v>3803</v>
      </c>
      <c r="L3027">
        <v>2300000</v>
      </c>
      <c r="M3027">
        <v>230000</v>
      </c>
    </row>
    <row r="3028" spans="1:13" x14ac:dyDescent="0.25">
      <c r="A3028" t="s">
        <v>10210</v>
      </c>
      <c r="B3028" t="s">
        <v>10211</v>
      </c>
      <c r="C3028" t="s">
        <v>15</v>
      </c>
      <c r="D3028" t="s">
        <v>7106</v>
      </c>
      <c r="E3028" t="s">
        <v>7757</v>
      </c>
      <c r="F3028" t="s">
        <v>637</v>
      </c>
      <c r="G3028" t="s">
        <v>10212</v>
      </c>
      <c r="H3028" t="str">
        <f>HYPERLINK("https://baanknet.com/view-property/246756/59ABE9F0CD2F062782695FC7540E8F384192D47688B654939447DBB2FF62186B", "https://baanknet.com/view-property/246756/59ABE9F0CD2F062782695FC7540E8F384192D47688B654939447DBB2FF62186B")</f>
        <v>https://baanknet.com/view-property/246756/59ABE9F0CD2F062782695FC7540E8F384192D47688B654939447DBB2FF62186B</v>
      </c>
      <c r="I3028" t="str">
        <f>HYPERLINK("https://baanknet.com/view-property/246756/59ABE9F0CD2F062782695FC7540E8F384192D47688B654939447DBB2FF62186B", "Open")</f>
        <v>Open</v>
      </c>
      <c r="J3028" t="s">
        <v>3803</v>
      </c>
      <c r="L3028">
        <v>1750000</v>
      </c>
      <c r="M3028">
        <v>175000</v>
      </c>
    </row>
    <row r="3029" spans="1:13" x14ac:dyDescent="0.25">
      <c r="A3029" t="s">
        <v>10213</v>
      </c>
      <c r="B3029" t="s">
        <v>10214</v>
      </c>
      <c r="C3029" t="s">
        <v>15</v>
      </c>
      <c r="D3029" t="s">
        <v>2883</v>
      </c>
      <c r="E3029" t="s">
        <v>7757</v>
      </c>
      <c r="F3029" t="s">
        <v>637</v>
      </c>
      <c r="G3029" t="s">
        <v>10215</v>
      </c>
      <c r="H3029" t="str">
        <f>HYPERLINK("https://baanknet.com/view-property/199758/F03AA582FA4C9DC8C19E04737D96B61978A9730E9275F1FB05F5275E2C14CAFF", "https://baanknet.com/view-property/199758/F03AA582FA4C9DC8C19E04737D96B61978A9730E9275F1FB05F5275E2C14CAFF")</f>
        <v>https://baanknet.com/view-property/199758/F03AA582FA4C9DC8C19E04737D96B61978A9730E9275F1FB05F5275E2C14CAFF</v>
      </c>
      <c r="I3029" t="str">
        <f>HYPERLINK("https://baanknet.com/view-property/199758/F03AA582FA4C9DC8C19E04737D96B61978A9730E9275F1FB05F5275E2C14CAFF", "Open")</f>
        <v>Open</v>
      </c>
      <c r="J3029" t="s">
        <v>3803</v>
      </c>
      <c r="L3029">
        <v>1250000</v>
      </c>
      <c r="M3029">
        <v>125000</v>
      </c>
    </row>
    <row r="3030" spans="1:13" x14ac:dyDescent="0.25">
      <c r="A3030" t="s">
        <v>10216</v>
      </c>
      <c r="B3030" t="s">
        <v>10217</v>
      </c>
      <c r="C3030" t="s">
        <v>15</v>
      </c>
      <c r="D3030" t="s">
        <v>2883</v>
      </c>
      <c r="E3030" t="s">
        <v>7757</v>
      </c>
      <c r="F3030" t="s">
        <v>637</v>
      </c>
      <c r="G3030" t="s">
        <v>10218</v>
      </c>
      <c r="H3030" t="str">
        <f>HYPERLINK("https://baanknet.com/view-property/265699/A287F7E48F2A29E4E2D864776C7A1E6936E734CBE9BFED98E9A140EC9634CF9A", "https://baanknet.com/view-property/265699/A287F7E48F2A29E4E2D864776C7A1E6936E734CBE9BFED98E9A140EC9634CF9A")</f>
        <v>https://baanknet.com/view-property/265699/A287F7E48F2A29E4E2D864776C7A1E6936E734CBE9BFED98E9A140EC9634CF9A</v>
      </c>
      <c r="I3030" t="str">
        <f>HYPERLINK("https://baanknet.com/view-property/265699/A287F7E48F2A29E4E2D864776C7A1E6936E734CBE9BFED98E9A140EC9634CF9A", "Open")</f>
        <v>Open</v>
      </c>
      <c r="J3030" t="s">
        <v>3803</v>
      </c>
      <c r="L3030">
        <v>2660000</v>
      </c>
      <c r="M3030">
        <v>266000</v>
      </c>
    </row>
    <row r="3031" spans="1:13" x14ac:dyDescent="0.25">
      <c r="A3031" t="s">
        <v>10219</v>
      </c>
      <c r="B3031" t="s">
        <v>10220</v>
      </c>
      <c r="C3031" t="s">
        <v>15</v>
      </c>
      <c r="D3031" t="s">
        <v>2341</v>
      </c>
      <c r="E3031" t="s">
        <v>7757</v>
      </c>
      <c r="F3031" t="s">
        <v>637</v>
      </c>
      <c r="G3031" t="s">
        <v>10221</v>
      </c>
      <c r="H3031" t="str">
        <f>HYPERLINK("https://baanknet.com/view-property/265784/FBD7886E39F3D18CCEDAB1003328E730CA984513BF97171B5E5E725C553CC992", "https://baanknet.com/view-property/265784/FBD7886E39F3D18CCEDAB1003328E730CA984513BF97171B5E5E725C553CC992")</f>
        <v>https://baanknet.com/view-property/265784/FBD7886E39F3D18CCEDAB1003328E730CA984513BF97171B5E5E725C553CC992</v>
      </c>
      <c r="I3031" t="str">
        <f>HYPERLINK("https://baanknet.com/view-property/265784/FBD7886E39F3D18CCEDAB1003328E730CA984513BF97171B5E5E725C553CC992", "Open")</f>
        <v>Open</v>
      </c>
      <c r="J3031" t="s">
        <v>3803</v>
      </c>
      <c r="L3031">
        <v>1730000</v>
      </c>
      <c r="M3031">
        <v>173000</v>
      </c>
    </row>
    <row r="3032" spans="1:13" x14ac:dyDescent="0.25">
      <c r="A3032" t="s">
        <v>10222</v>
      </c>
      <c r="B3032" t="s">
        <v>10223</v>
      </c>
      <c r="C3032" t="s">
        <v>15</v>
      </c>
      <c r="D3032" t="s">
        <v>2920</v>
      </c>
      <c r="E3032" t="s">
        <v>7757</v>
      </c>
      <c r="F3032" t="s">
        <v>637</v>
      </c>
      <c r="G3032" t="s">
        <v>10224</v>
      </c>
      <c r="H3032" t="str">
        <f>HYPERLINK("https://baanknet.com/view-property/199394/365B0CCC3497532E9DECDB31367E87C77F002426ED1309F689F70905CDD9A95F", "https://baanknet.com/view-property/199394/365B0CCC3497532E9DECDB31367E87C77F002426ED1309F689F70905CDD9A95F")</f>
        <v>https://baanknet.com/view-property/199394/365B0CCC3497532E9DECDB31367E87C77F002426ED1309F689F70905CDD9A95F</v>
      </c>
      <c r="I3032" t="str">
        <f>HYPERLINK("https://baanknet.com/view-property/199394/365B0CCC3497532E9DECDB31367E87C77F002426ED1309F689F70905CDD9A95F", "Open")</f>
        <v>Open</v>
      </c>
      <c r="J3032" t="s">
        <v>3803</v>
      </c>
      <c r="L3032">
        <v>3670000</v>
      </c>
      <c r="M3032">
        <v>367000</v>
      </c>
    </row>
    <row r="3033" spans="1:13" x14ac:dyDescent="0.25">
      <c r="A3033" t="s">
        <v>10225</v>
      </c>
      <c r="B3033" t="s">
        <v>10226</v>
      </c>
      <c r="C3033" t="s">
        <v>15</v>
      </c>
      <c r="D3033" t="s">
        <v>157</v>
      </c>
      <c r="E3033" t="s">
        <v>7757</v>
      </c>
      <c r="F3033" t="s">
        <v>637</v>
      </c>
      <c r="G3033" t="s">
        <v>10227</v>
      </c>
      <c r="H3033" t="str">
        <f>HYPERLINK("https://baanknet.com/view-property/265694/1FEDBDE83D486CFF130AE4B62192C4C700B4F79B4D71A2B9741BDDF5DAC490DD", "https://baanknet.com/view-property/265694/1FEDBDE83D486CFF130AE4B62192C4C700B4F79B4D71A2B9741BDDF5DAC490DD")</f>
        <v>https://baanknet.com/view-property/265694/1FEDBDE83D486CFF130AE4B62192C4C700B4F79B4D71A2B9741BDDF5DAC490DD</v>
      </c>
      <c r="I3033" t="str">
        <f>HYPERLINK("https://baanknet.com/view-property/265694/1FEDBDE83D486CFF130AE4B62192C4C700B4F79B4D71A2B9741BDDF5DAC490DD", "Open")</f>
        <v>Open</v>
      </c>
      <c r="J3033" t="s">
        <v>3803</v>
      </c>
      <c r="L3033">
        <v>1810000</v>
      </c>
      <c r="M3033">
        <v>181000</v>
      </c>
    </row>
    <row r="3034" spans="1:13" x14ac:dyDescent="0.25">
      <c r="A3034" t="s">
        <v>10228</v>
      </c>
      <c r="B3034" t="s">
        <v>10229</v>
      </c>
      <c r="C3034" t="s">
        <v>15</v>
      </c>
      <c r="D3034" t="s">
        <v>2883</v>
      </c>
      <c r="E3034" t="s">
        <v>7757</v>
      </c>
      <c r="F3034" t="s">
        <v>637</v>
      </c>
      <c r="G3034" t="s">
        <v>10230</v>
      </c>
      <c r="H3034" t="str">
        <f>HYPERLINK("https://baanknet.com/view-property/199773/45DE4AC3B6EBDE0FC78249C9E79ED7CD8641B543110C28D42778F3222F47F338", "https://baanknet.com/view-property/199773/45DE4AC3B6EBDE0FC78249C9E79ED7CD8641B543110C28D42778F3222F47F338")</f>
        <v>https://baanknet.com/view-property/199773/45DE4AC3B6EBDE0FC78249C9E79ED7CD8641B543110C28D42778F3222F47F338</v>
      </c>
      <c r="I3034" t="str">
        <f>HYPERLINK("https://baanknet.com/view-property/199773/45DE4AC3B6EBDE0FC78249C9E79ED7CD8641B543110C28D42778F3222F47F338", "Open")</f>
        <v>Open</v>
      </c>
      <c r="J3034" t="s">
        <v>3803</v>
      </c>
      <c r="L3034">
        <v>570000</v>
      </c>
      <c r="M3034">
        <v>57000</v>
      </c>
    </row>
    <row r="3035" spans="1:13" x14ac:dyDescent="0.25">
      <c r="A3035" t="s">
        <v>10231</v>
      </c>
      <c r="B3035" t="s">
        <v>10232</v>
      </c>
      <c r="C3035" t="s">
        <v>15</v>
      </c>
      <c r="D3035" t="s">
        <v>2866</v>
      </c>
      <c r="E3035" t="s">
        <v>7757</v>
      </c>
      <c r="F3035" t="s">
        <v>637</v>
      </c>
      <c r="G3035" t="s">
        <v>10233</v>
      </c>
      <c r="H3035" t="str">
        <f>HYPERLINK("https://baanknet.com/view-property/197855/2C6514A59C475FDEED3B63DE032325F9F08E96B9E149D2EB4BCB076DDE95D024", "https://baanknet.com/view-property/197855/2C6514A59C475FDEED3B63DE032325F9F08E96B9E149D2EB4BCB076DDE95D024")</f>
        <v>https://baanknet.com/view-property/197855/2C6514A59C475FDEED3B63DE032325F9F08E96B9E149D2EB4BCB076DDE95D024</v>
      </c>
      <c r="I3035" t="str">
        <f>HYPERLINK("https://baanknet.com/view-property/197855/2C6514A59C475FDEED3B63DE032325F9F08E96B9E149D2EB4BCB076DDE95D024", "Open")</f>
        <v>Open</v>
      </c>
      <c r="J3035" t="s">
        <v>3803</v>
      </c>
      <c r="L3035">
        <v>3230000</v>
      </c>
      <c r="M3035">
        <v>323000</v>
      </c>
    </row>
    <row r="3036" spans="1:13" x14ac:dyDescent="0.25">
      <c r="A3036" t="s">
        <v>10234</v>
      </c>
      <c r="B3036" t="s">
        <v>10235</v>
      </c>
      <c r="C3036" t="s">
        <v>15</v>
      </c>
      <c r="D3036" t="s">
        <v>2883</v>
      </c>
      <c r="E3036" t="s">
        <v>7757</v>
      </c>
      <c r="F3036" t="s">
        <v>637</v>
      </c>
      <c r="G3036" t="s">
        <v>10236</v>
      </c>
      <c r="H3036" t="str">
        <f>HYPERLINK("https://baanknet.com/view-property/246978/BD39A7285EB6D04C9D23D4134AC83514BD80A0A1FA6D463F3F7F3F708FC71D63", "https://baanknet.com/view-property/246978/BD39A7285EB6D04C9D23D4134AC83514BD80A0A1FA6D463F3F7F3F708FC71D63")</f>
        <v>https://baanknet.com/view-property/246978/BD39A7285EB6D04C9D23D4134AC83514BD80A0A1FA6D463F3F7F3F708FC71D63</v>
      </c>
      <c r="I3036" t="str">
        <f>HYPERLINK("https://baanknet.com/view-property/246978/BD39A7285EB6D04C9D23D4134AC83514BD80A0A1FA6D463F3F7F3F708FC71D63", "Open")</f>
        <v>Open</v>
      </c>
      <c r="J3036" t="s">
        <v>3803</v>
      </c>
      <c r="L3036">
        <v>1270000</v>
      </c>
      <c r="M3036">
        <v>127000</v>
      </c>
    </row>
    <row r="3037" spans="1:13" x14ac:dyDescent="0.25">
      <c r="A3037" t="s">
        <v>10237</v>
      </c>
      <c r="B3037" t="s">
        <v>10238</v>
      </c>
      <c r="C3037" t="s">
        <v>15</v>
      </c>
      <c r="D3037" t="s">
        <v>10239</v>
      </c>
      <c r="E3037" t="s">
        <v>7757</v>
      </c>
      <c r="F3037" t="s">
        <v>637</v>
      </c>
      <c r="G3037" t="s">
        <v>10240</v>
      </c>
      <c r="H3037" t="str">
        <f>HYPERLINK("https://baanknet.com/view-property/197880/CEBFBE6D7E5131A2268E29FB3E3E420A90CBE3C58862D95B25F474880D287DE8", "https://baanknet.com/view-property/197880/CEBFBE6D7E5131A2268E29FB3E3E420A90CBE3C58862D95B25F474880D287DE8")</f>
        <v>https://baanknet.com/view-property/197880/CEBFBE6D7E5131A2268E29FB3E3E420A90CBE3C58862D95B25F474880D287DE8</v>
      </c>
      <c r="I3037" t="str">
        <f>HYPERLINK("https://baanknet.com/view-property/197880/CEBFBE6D7E5131A2268E29FB3E3E420A90CBE3C58862D95B25F474880D287DE8", "Open")</f>
        <v>Open</v>
      </c>
      <c r="J3037" t="s">
        <v>3803</v>
      </c>
      <c r="L3037">
        <v>910000</v>
      </c>
      <c r="M3037">
        <v>91000</v>
      </c>
    </row>
    <row r="3038" spans="1:13" x14ac:dyDescent="0.25">
      <c r="A3038" t="s">
        <v>10241</v>
      </c>
      <c r="B3038" t="s">
        <v>10242</v>
      </c>
      <c r="C3038" t="s">
        <v>15</v>
      </c>
      <c r="D3038" t="s">
        <v>1059</v>
      </c>
      <c r="E3038" t="s">
        <v>7757</v>
      </c>
      <c r="F3038" t="s">
        <v>637</v>
      </c>
      <c r="G3038" t="s">
        <v>10243</v>
      </c>
      <c r="H3038" t="str">
        <f>HYPERLINK("https://baanknet.com/view-property/201770/278DB238702404B9FE56FFC5555BDAA84D3E98D808F5352680409452E1A3199D", "https://baanknet.com/view-property/201770/278DB238702404B9FE56FFC5555BDAA84D3E98D808F5352680409452E1A3199D")</f>
        <v>https://baanknet.com/view-property/201770/278DB238702404B9FE56FFC5555BDAA84D3E98D808F5352680409452E1A3199D</v>
      </c>
      <c r="I3038" t="str">
        <f>HYPERLINK("https://baanknet.com/view-property/201770/278DB238702404B9FE56FFC5555BDAA84D3E98D808F5352680409452E1A3199D", "Open")</f>
        <v>Open</v>
      </c>
      <c r="J3038" t="s">
        <v>3803</v>
      </c>
      <c r="L3038">
        <v>1121000</v>
      </c>
      <c r="M3038">
        <v>112100</v>
      </c>
    </row>
    <row r="3039" spans="1:13" x14ac:dyDescent="0.25">
      <c r="A3039" t="s">
        <v>10244</v>
      </c>
      <c r="B3039" t="s">
        <v>10245</v>
      </c>
      <c r="C3039" t="s">
        <v>15</v>
      </c>
      <c r="D3039" t="s">
        <v>10246</v>
      </c>
      <c r="E3039" t="s">
        <v>7757</v>
      </c>
      <c r="F3039" t="s">
        <v>637</v>
      </c>
      <c r="G3039" t="s">
        <v>10247</v>
      </c>
      <c r="H3039" t="str">
        <f>HYPERLINK("https://baanknet.com/view-property/271903/8D8CE5507D7D0A4058A71B69C2AE9F69591690D8D0398EC69000ADDF037DA3A6", "https://baanknet.com/view-property/271903/8D8CE5507D7D0A4058A71B69C2AE9F69591690D8D0398EC69000ADDF037DA3A6")</f>
        <v>https://baanknet.com/view-property/271903/8D8CE5507D7D0A4058A71B69C2AE9F69591690D8D0398EC69000ADDF037DA3A6</v>
      </c>
      <c r="I3039" t="str">
        <f>HYPERLINK("https://baanknet.com/view-property/271903/8D8CE5507D7D0A4058A71B69C2AE9F69591690D8D0398EC69000ADDF037DA3A6", "Open")</f>
        <v>Open</v>
      </c>
      <c r="J3039" t="s">
        <v>3803</v>
      </c>
      <c r="L3039">
        <v>1490000</v>
      </c>
      <c r="M3039">
        <v>149000</v>
      </c>
    </row>
    <row r="3040" spans="1:13" x14ac:dyDescent="0.25">
      <c r="A3040" t="s">
        <v>10248</v>
      </c>
      <c r="B3040" t="s">
        <v>10249</v>
      </c>
      <c r="C3040" t="s">
        <v>15</v>
      </c>
      <c r="D3040" t="s">
        <v>1402</v>
      </c>
      <c r="E3040" t="s">
        <v>7757</v>
      </c>
      <c r="F3040" t="s">
        <v>637</v>
      </c>
      <c r="G3040" t="s">
        <v>10250</v>
      </c>
      <c r="H3040" t="str">
        <f>HYPERLINK("https://baanknet.com/view-property/199398/EC333EB6439E6BFFE5C70938796FF22DFBC4A54CF73F3626384C89776B2CE26B", "https://baanknet.com/view-property/199398/EC333EB6439E6BFFE5C70938796FF22DFBC4A54CF73F3626384C89776B2CE26B")</f>
        <v>https://baanknet.com/view-property/199398/EC333EB6439E6BFFE5C70938796FF22DFBC4A54CF73F3626384C89776B2CE26B</v>
      </c>
      <c r="I3040" t="str">
        <f>HYPERLINK("https://baanknet.com/view-property/199398/EC333EB6439E6BFFE5C70938796FF22DFBC4A54CF73F3626384C89776B2CE26B", "Open")</f>
        <v>Open</v>
      </c>
      <c r="J3040" t="s">
        <v>3803</v>
      </c>
      <c r="L3040">
        <v>1100000</v>
      </c>
      <c r="M3040">
        <v>110000</v>
      </c>
    </row>
    <row r="3041" spans="1:13" x14ac:dyDescent="0.25">
      <c r="A3041" t="s">
        <v>10251</v>
      </c>
      <c r="B3041" t="s">
        <v>10252</v>
      </c>
      <c r="C3041" t="s">
        <v>15</v>
      </c>
      <c r="D3041" t="s">
        <v>157</v>
      </c>
      <c r="E3041" t="s">
        <v>7757</v>
      </c>
      <c r="F3041" t="s">
        <v>637</v>
      </c>
      <c r="G3041" t="s">
        <v>10253</v>
      </c>
      <c r="H3041" t="str">
        <f>HYPERLINK("https://baanknet.com/view-property/230863/70800D96D92ED59F4ACEEABB0B241175563517A4E9124D83FB48F11D19755C65", "https://baanknet.com/view-property/230863/70800D96D92ED59F4ACEEABB0B241175563517A4E9124D83FB48F11D19755C65")</f>
        <v>https://baanknet.com/view-property/230863/70800D96D92ED59F4ACEEABB0B241175563517A4E9124D83FB48F11D19755C65</v>
      </c>
      <c r="I3041" t="str">
        <f>HYPERLINK("https://baanknet.com/view-property/230863/70800D96D92ED59F4ACEEABB0B241175563517A4E9124D83FB48F11D19755C65", "Open")</f>
        <v>Open</v>
      </c>
      <c r="J3041" t="s">
        <v>3803</v>
      </c>
      <c r="L3041">
        <v>2060000</v>
      </c>
      <c r="M3041">
        <v>206000</v>
      </c>
    </row>
    <row r="3042" spans="1:13" x14ac:dyDescent="0.25">
      <c r="A3042" t="s">
        <v>10254</v>
      </c>
      <c r="B3042" t="s">
        <v>10255</v>
      </c>
      <c r="C3042" t="s">
        <v>15</v>
      </c>
      <c r="D3042" t="s">
        <v>157</v>
      </c>
      <c r="E3042" t="s">
        <v>7757</v>
      </c>
      <c r="F3042" t="s">
        <v>637</v>
      </c>
      <c r="G3042" t="s">
        <v>10256</v>
      </c>
      <c r="H3042" t="str">
        <f>HYPERLINK("https://baanknet.com/view-property/199146/72D2101C6DE5146F1F70F7AA26F252B2B7CBC5C32AA352C9970A78450471FD5F", "https://baanknet.com/view-property/199146/72D2101C6DE5146F1F70F7AA26F252B2B7CBC5C32AA352C9970A78450471FD5F")</f>
        <v>https://baanknet.com/view-property/199146/72D2101C6DE5146F1F70F7AA26F252B2B7CBC5C32AA352C9970A78450471FD5F</v>
      </c>
      <c r="I3042" t="str">
        <f>HYPERLINK("https://baanknet.com/view-property/199146/72D2101C6DE5146F1F70F7AA26F252B2B7CBC5C32AA352C9970A78450471FD5F", "Open")</f>
        <v>Open</v>
      </c>
      <c r="J3042" t="s">
        <v>3803</v>
      </c>
      <c r="L3042">
        <v>6000000</v>
      </c>
      <c r="M3042">
        <v>600000</v>
      </c>
    </row>
    <row r="3043" spans="1:13" x14ac:dyDescent="0.25">
      <c r="A3043" t="s">
        <v>10257</v>
      </c>
      <c r="B3043" t="s">
        <v>10258</v>
      </c>
      <c r="C3043" t="s">
        <v>83</v>
      </c>
      <c r="D3043" t="s">
        <v>10259</v>
      </c>
      <c r="E3043" t="s">
        <v>7517</v>
      </c>
      <c r="F3043" t="s">
        <v>7521</v>
      </c>
      <c r="G3043" t="s">
        <v>10260</v>
      </c>
      <c r="H3043" t="str">
        <f>HYPERLINK("https://baanknet.com/view-property/57963/4F70B155E11C5A5388BC34A2A251E4393BAC9B7A7D035B853B6B7924118C2373", "https://baanknet.com/view-property/57963/4F70B155E11C5A5388BC34A2A251E4393BAC9B7A7D035B853B6B7924118C2373")</f>
        <v>https://baanknet.com/view-property/57963/4F70B155E11C5A5388BC34A2A251E4393BAC9B7A7D035B853B6B7924118C2373</v>
      </c>
      <c r="I3043" t="str">
        <f>HYPERLINK("https://baanknet.com/view-property/57963/4F70B155E11C5A5388BC34A2A251E4393BAC9B7A7D035B853B6B7924118C2373", "Open")</f>
        <v>Open</v>
      </c>
      <c r="J3043" t="s">
        <v>3803</v>
      </c>
      <c r="L3043">
        <v>2800000</v>
      </c>
      <c r="M3043">
        <v>280000</v>
      </c>
    </row>
    <row r="3044" spans="1:13" x14ac:dyDescent="0.25">
      <c r="A3044" t="s">
        <v>10261</v>
      </c>
      <c r="B3044" t="s">
        <v>10262</v>
      </c>
      <c r="C3044" t="s">
        <v>83</v>
      </c>
      <c r="D3044" t="s">
        <v>10259</v>
      </c>
      <c r="E3044" t="s">
        <v>7517</v>
      </c>
      <c r="F3044" t="s">
        <v>7521</v>
      </c>
      <c r="G3044" t="s">
        <v>10263</v>
      </c>
      <c r="H3044" t="str">
        <f>HYPERLINK("https://baanknet.com/view-property/29875/84E0AB8BF8B86929B3BF4B25FD17E34C606E48CF1E3AE7C182360F0161A1FA2E", "https://baanknet.com/view-property/29875/84E0AB8BF8B86929B3BF4B25FD17E34C606E48CF1E3AE7C182360F0161A1FA2E")</f>
        <v>https://baanknet.com/view-property/29875/84E0AB8BF8B86929B3BF4B25FD17E34C606E48CF1E3AE7C182360F0161A1FA2E</v>
      </c>
      <c r="I3044" t="str">
        <f>HYPERLINK("https://baanknet.com/view-property/29875/84E0AB8BF8B86929B3BF4B25FD17E34C606E48CF1E3AE7C182360F0161A1FA2E", "Open")</f>
        <v>Open</v>
      </c>
      <c r="J3044" t="s">
        <v>3803</v>
      </c>
      <c r="L3044">
        <v>1650000</v>
      </c>
      <c r="M3044">
        <v>165000</v>
      </c>
    </row>
    <row r="3045" spans="1:13" x14ac:dyDescent="0.25">
      <c r="A3045" t="s">
        <v>10264</v>
      </c>
      <c r="B3045" t="s">
        <v>10265</v>
      </c>
      <c r="C3045" t="s">
        <v>83</v>
      </c>
      <c r="D3045" t="s">
        <v>10259</v>
      </c>
      <c r="E3045" t="s">
        <v>7517</v>
      </c>
      <c r="F3045" t="s">
        <v>7521</v>
      </c>
      <c r="G3045" t="s">
        <v>10266</v>
      </c>
      <c r="H3045" t="str">
        <f>HYPERLINK("https://baanknet.com/view-property/35135/CFB317B52E14702ED7144FC59B0C57443AC4DF48AFC98C1F9EC16161C0601F72", "https://baanknet.com/view-property/35135/CFB317B52E14702ED7144FC59B0C57443AC4DF48AFC98C1F9EC16161C0601F72")</f>
        <v>https://baanknet.com/view-property/35135/CFB317B52E14702ED7144FC59B0C57443AC4DF48AFC98C1F9EC16161C0601F72</v>
      </c>
      <c r="I3045" t="str">
        <f>HYPERLINK("https://baanknet.com/view-property/35135/CFB317B52E14702ED7144FC59B0C57443AC4DF48AFC98C1F9EC16161C0601F72", "Open")</f>
        <v>Open</v>
      </c>
      <c r="J3045" t="s">
        <v>3803</v>
      </c>
      <c r="L3045">
        <v>950000</v>
      </c>
      <c r="M3045">
        <v>95000</v>
      </c>
    </row>
    <row r="3046" spans="1:13" x14ac:dyDescent="0.25">
      <c r="A3046" t="s">
        <v>10267</v>
      </c>
      <c r="B3046" t="s">
        <v>10268</v>
      </c>
      <c r="C3046" t="s">
        <v>83</v>
      </c>
      <c r="D3046" t="s">
        <v>10259</v>
      </c>
      <c r="E3046" t="s">
        <v>7517</v>
      </c>
      <c r="F3046" t="s">
        <v>7521</v>
      </c>
      <c r="G3046" t="s">
        <v>10269</v>
      </c>
      <c r="H3046" t="str">
        <f>HYPERLINK("https://baanknet.com/view-property/81717/23D2D969F2D363D6F88637044551CF4F9F0C3A7167EBFC92F137FC24A56CF132", "https://baanknet.com/view-property/81717/23D2D969F2D363D6F88637044551CF4F9F0C3A7167EBFC92F137FC24A56CF132")</f>
        <v>https://baanknet.com/view-property/81717/23D2D969F2D363D6F88637044551CF4F9F0C3A7167EBFC92F137FC24A56CF132</v>
      </c>
      <c r="I3046" t="str">
        <f>HYPERLINK("https://baanknet.com/view-property/81717/23D2D969F2D363D6F88637044551CF4F9F0C3A7167EBFC92F137FC24A56CF132", "Open")</f>
        <v>Open</v>
      </c>
      <c r="J3046" t="s">
        <v>3803</v>
      </c>
      <c r="L3046">
        <v>750000</v>
      </c>
      <c r="M3046">
        <v>75000</v>
      </c>
    </row>
    <row r="3047" spans="1:13" x14ac:dyDescent="0.25">
      <c r="A3047" t="s">
        <v>10270</v>
      </c>
      <c r="B3047" t="s">
        <v>10271</v>
      </c>
      <c r="C3047" t="s">
        <v>83</v>
      </c>
      <c r="D3047" t="s">
        <v>10259</v>
      </c>
      <c r="E3047" t="s">
        <v>7517</v>
      </c>
      <c r="F3047" t="s">
        <v>7521</v>
      </c>
      <c r="G3047" t="s">
        <v>10272</v>
      </c>
      <c r="H3047" t="str">
        <f>HYPERLINK("https://baanknet.com/view-property/15717/1D489F4D7143017C711FD8C9467E79B0E38A2C253405082FDDE6CD505793EC75", "https://baanknet.com/view-property/15717/1D489F4D7143017C711FD8C9467E79B0E38A2C253405082FDDE6CD505793EC75")</f>
        <v>https://baanknet.com/view-property/15717/1D489F4D7143017C711FD8C9467E79B0E38A2C253405082FDDE6CD505793EC75</v>
      </c>
      <c r="I3047" t="str">
        <f>HYPERLINK("https://baanknet.com/view-property/15717/1D489F4D7143017C711FD8C9467E79B0E38A2C253405082FDDE6CD505793EC75", "Open")</f>
        <v>Open</v>
      </c>
      <c r="J3047" t="s">
        <v>3803</v>
      </c>
      <c r="L3047">
        <v>270000</v>
      </c>
      <c r="M3047">
        <v>27000</v>
      </c>
    </row>
    <row r="3048" spans="1:13" x14ac:dyDescent="0.25">
      <c r="A3048" t="s">
        <v>10273</v>
      </c>
      <c r="B3048" t="s">
        <v>10274</v>
      </c>
      <c r="C3048" t="s">
        <v>83</v>
      </c>
      <c r="D3048" t="s">
        <v>10259</v>
      </c>
      <c r="E3048" t="s">
        <v>7517</v>
      </c>
      <c r="F3048" t="s">
        <v>7521</v>
      </c>
      <c r="G3048" t="s">
        <v>10275</v>
      </c>
      <c r="H3048" t="str">
        <f>HYPERLINK("https://baanknet.com/view-property/33685/F9D00F01DA2B21790F3493E3B9080A3787CBDB24CE14ACDFF7E726E01E6BA916", "https://baanknet.com/view-property/33685/F9D00F01DA2B21790F3493E3B9080A3787CBDB24CE14ACDFF7E726E01E6BA916")</f>
        <v>https://baanknet.com/view-property/33685/F9D00F01DA2B21790F3493E3B9080A3787CBDB24CE14ACDFF7E726E01E6BA916</v>
      </c>
      <c r="I3048" t="str">
        <f>HYPERLINK("https://baanknet.com/view-property/33685/F9D00F01DA2B21790F3493E3B9080A3787CBDB24CE14ACDFF7E726E01E6BA916", "Open")</f>
        <v>Open</v>
      </c>
      <c r="J3048" t="s">
        <v>3803</v>
      </c>
      <c r="L3048">
        <v>160000</v>
      </c>
      <c r="M3048">
        <v>16000</v>
      </c>
    </row>
    <row r="3049" spans="1:13" x14ac:dyDescent="0.25">
      <c r="A3049" t="s">
        <v>10276</v>
      </c>
      <c r="B3049" t="s">
        <v>10277</v>
      </c>
      <c r="C3049" t="s">
        <v>15</v>
      </c>
      <c r="D3049" t="s">
        <v>10204</v>
      </c>
      <c r="E3049" t="s">
        <v>7517</v>
      </c>
      <c r="F3049" t="s">
        <v>7521</v>
      </c>
      <c r="G3049" t="s">
        <v>10278</v>
      </c>
      <c r="H3049" t="str">
        <f>HYPERLINK("https://baanknet.com/view-property/191411/D0250C8F66DCCE8CC322FDB7959C0E605D4A26564D686749BFA39F202FE17648", "https://baanknet.com/view-property/191411/D0250C8F66DCCE8CC322FDB7959C0E605D4A26564D686749BFA39F202FE17648")</f>
        <v>https://baanknet.com/view-property/191411/D0250C8F66DCCE8CC322FDB7959C0E605D4A26564D686749BFA39F202FE17648</v>
      </c>
      <c r="I3049" t="str">
        <f>HYPERLINK("https://baanknet.com/view-property/191411/D0250C8F66DCCE8CC322FDB7959C0E605D4A26564D686749BFA39F202FE17648", "Open")</f>
        <v>Open</v>
      </c>
      <c r="J3049" t="s">
        <v>3803</v>
      </c>
      <c r="L3049">
        <v>729000</v>
      </c>
      <c r="M3049">
        <v>72900</v>
      </c>
    </row>
    <row r="3050" spans="1:13" x14ac:dyDescent="0.25">
      <c r="A3050" t="s">
        <v>10279</v>
      </c>
      <c r="B3050" t="s">
        <v>10280</v>
      </c>
      <c r="C3050" t="s">
        <v>15</v>
      </c>
      <c r="D3050" t="s">
        <v>9841</v>
      </c>
      <c r="E3050" t="s">
        <v>7517</v>
      </c>
      <c r="F3050" t="s">
        <v>7521</v>
      </c>
      <c r="G3050" t="s">
        <v>10281</v>
      </c>
      <c r="H3050" t="str">
        <f>HYPERLINK("https://baanknet.com/view-property/248258/72E2930581990CC53C15E29DA09D65A1D1EF0CBBB601979F65FA5F582054FB1D", "https://baanknet.com/view-property/248258/72E2930581990CC53C15E29DA09D65A1D1EF0CBBB601979F65FA5F582054FB1D")</f>
        <v>https://baanknet.com/view-property/248258/72E2930581990CC53C15E29DA09D65A1D1EF0CBBB601979F65FA5F582054FB1D</v>
      </c>
      <c r="I3050" t="str">
        <f>HYPERLINK("https://baanknet.com/view-property/248258/72E2930581990CC53C15E29DA09D65A1D1EF0CBBB601979F65FA5F582054FB1D", "Open")</f>
        <v>Open</v>
      </c>
      <c r="J3050" t="s">
        <v>3803</v>
      </c>
      <c r="L3050">
        <v>880000</v>
      </c>
      <c r="M3050">
        <v>88000</v>
      </c>
    </row>
    <row r="3051" spans="1:13" x14ac:dyDescent="0.25">
      <c r="A3051" t="s">
        <v>10282</v>
      </c>
      <c r="B3051" t="s">
        <v>10283</v>
      </c>
      <c r="C3051" t="s">
        <v>15</v>
      </c>
      <c r="D3051" t="s">
        <v>10204</v>
      </c>
      <c r="E3051" t="s">
        <v>7517</v>
      </c>
      <c r="F3051" t="s">
        <v>7521</v>
      </c>
      <c r="G3051" t="s">
        <v>10284</v>
      </c>
      <c r="H3051" t="str">
        <f>HYPERLINK("https://baanknet.com/view-property/256070/C7A40907221A2C2DDDC64C53B15607B582CCCB7B2BBD540C6EE61690102C21C2", "https://baanknet.com/view-property/256070/C7A40907221A2C2DDDC64C53B15607B582CCCB7B2BBD540C6EE61690102C21C2")</f>
        <v>https://baanknet.com/view-property/256070/C7A40907221A2C2DDDC64C53B15607B582CCCB7B2BBD540C6EE61690102C21C2</v>
      </c>
      <c r="I3051" t="str">
        <f>HYPERLINK("https://baanknet.com/view-property/256070/C7A40907221A2C2DDDC64C53B15607B582CCCB7B2BBD540C6EE61690102C21C2", "Open")</f>
        <v>Open</v>
      </c>
      <c r="J3051" t="s">
        <v>3803</v>
      </c>
      <c r="L3051">
        <v>1400000</v>
      </c>
      <c r="M3051">
        <v>140000</v>
      </c>
    </row>
    <row r="3052" spans="1:13" x14ac:dyDescent="0.25">
      <c r="A3052" t="s">
        <v>10285</v>
      </c>
      <c r="B3052" t="s">
        <v>10286</v>
      </c>
      <c r="C3052" t="s">
        <v>15</v>
      </c>
      <c r="D3052" t="s">
        <v>10287</v>
      </c>
      <c r="E3052" t="s">
        <v>7517</v>
      </c>
      <c r="F3052" t="s">
        <v>7521</v>
      </c>
      <c r="G3052" t="s">
        <v>10288</v>
      </c>
      <c r="H3052" t="str">
        <f>HYPERLINK("https://baanknet.com/view-property/256033/B761726CF032564212BD3CEDB348A821D80BECAC70EBB0DCA383DFC81BB172AF", "https://baanknet.com/view-property/256033/B761726CF032564212BD3CEDB348A821D80BECAC70EBB0DCA383DFC81BB172AF")</f>
        <v>https://baanknet.com/view-property/256033/B761726CF032564212BD3CEDB348A821D80BECAC70EBB0DCA383DFC81BB172AF</v>
      </c>
      <c r="I3052" t="str">
        <f>HYPERLINK("https://baanknet.com/view-property/256033/B761726CF032564212BD3CEDB348A821D80BECAC70EBB0DCA383DFC81BB172AF", "Open")</f>
        <v>Open</v>
      </c>
      <c r="J3052" t="s">
        <v>3803</v>
      </c>
      <c r="L3052">
        <v>1136000</v>
      </c>
      <c r="M3052">
        <v>113600</v>
      </c>
    </row>
    <row r="3053" spans="1:13" x14ac:dyDescent="0.25">
      <c r="A3053" t="s">
        <v>10289</v>
      </c>
      <c r="B3053" t="s">
        <v>10290</v>
      </c>
      <c r="C3053" t="s">
        <v>15</v>
      </c>
      <c r="D3053" t="s">
        <v>5545</v>
      </c>
      <c r="E3053" t="s">
        <v>7517</v>
      </c>
      <c r="F3053" t="s">
        <v>7521</v>
      </c>
      <c r="G3053" t="s">
        <v>10291</v>
      </c>
      <c r="H3053" t="str">
        <f>HYPERLINK("https://baanknet.com/view-property/262290/9B079FEE83BB1E7B322782BAEDD806618861224B5A3965E3F719001FA7E80FEA", "https://baanknet.com/view-property/262290/9B079FEE83BB1E7B322782BAEDD806618861224B5A3965E3F719001FA7E80FEA")</f>
        <v>https://baanknet.com/view-property/262290/9B079FEE83BB1E7B322782BAEDD806618861224B5A3965E3F719001FA7E80FEA</v>
      </c>
      <c r="I3053" t="str">
        <f>HYPERLINK("https://baanknet.com/view-property/262290/9B079FEE83BB1E7B322782BAEDD806618861224B5A3965E3F719001FA7E80FEA", "Open")</f>
        <v>Open</v>
      </c>
      <c r="J3053" t="s">
        <v>3803</v>
      </c>
      <c r="L3053">
        <v>1850000</v>
      </c>
      <c r="M3053">
        <v>185000</v>
      </c>
    </row>
    <row r="3054" spans="1:13" x14ac:dyDescent="0.25">
      <c r="A3054" t="s">
        <v>10292</v>
      </c>
      <c r="B3054" t="s">
        <v>10293</v>
      </c>
      <c r="C3054" t="s">
        <v>15</v>
      </c>
      <c r="D3054" t="s">
        <v>9841</v>
      </c>
      <c r="E3054" t="s">
        <v>7517</v>
      </c>
      <c r="F3054" t="s">
        <v>7521</v>
      </c>
      <c r="G3054" t="s">
        <v>10294</v>
      </c>
      <c r="H3054" t="str">
        <f>HYPERLINK("https://baanknet.com/view-property/191704/D1E5B8F51785787A8C5EC7BCAC53D3DCC726AC410ADD54D359DD638D65B505B7", "https://baanknet.com/view-property/191704/D1E5B8F51785787A8C5EC7BCAC53D3DCC726AC410ADD54D359DD638D65B505B7")</f>
        <v>https://baanknet.com/view-property/191704/D1E5B8F51785787A8C5EC7BCAC53D3DCC726AC410ADD54D359DD638D65B505B7</v>
      </c>
      <c r="I3054" t="str">
        <f>HYPERLINK("https://baanknet.com/view-property/191704/D1E5B8F51785787A8C5EC7BCAC53D3DCC726AC410ADD54D359DD638D65B505B7", "Open")</f>
        <v>Open</v>
      </c>
      <c r="J3054" t="s">
        <v>3803</v>
      </c>
      <c r="L3054">
        <v>475000</v>
      </c>
      <c r="M3054">
        <v>47500</v>
      </c>
    </row>
    <row r="3055" spans="1:13" x14ac:dyDescent="0.25">
      <c r="A3055" t="s">
        <v>10295</v>
      </c>
      <c r="B3055" t="s">
        <v>10296</v>
      </c>
      <c r="C3055" t="s">
        <v>15</v>
      </c>
      <c r="D3055" t="s">
        <v>9841</v>
      </c>
      <c r="E3055" t="s">
        <v>7517</v>
      </c>
      <c r="F3055" t="s">
        <v>7521</v>
      </c>
      <c r="G3055" t="s">
        <v>10297</v>
      </c>
      <c r="H3055" t="str">
        <f>HYPERLINK("https://baanknet.com/view-property/191690/E3BA8E37891350EED7DF9C50D4504CFB06CD77B835407C23EE6A789666290257", "https://baanknet.com/view-property/191690/E3BA8E37891350EED7DF9C50D4504CFB06CD77B835407C23EE6A789666290257")</f>
        <v>https://baanknet.com/view-property/191690/E3BA8E37891350EED7DF9C50D4504CFB06CD77B835407C23EE6A789666290257</v>
      </c>
      <c r="I3055" t="str">
        <f>HYPERLINK("https://baanknet.com/view-property/191690/E3BA8E37891350EED7DF9C50D4504CFB06CD77B835407C23EE6A789666290257", "Open")</f>
        <v>Open</v>
      </c>
      <c r="J3055" t="s">
        <v>3803</v>
      </c>
      <c r="L3055">
        <v>1658000</v>
      </c>
      <c r="M3055">
        <v>165800</v>
      </c>
    </row>
    <row r="3056" spans="1:13" x14ac:dyDescent="0.25">
      <c r="A3056" t="s">
        <v>10298</v>
      </c>
      <c r="B3056" t="s">
        <v>10299</v>
      </c>
      <c r="C3056" t="s">
        <v>15</v>
      </c>
      <c r="D3056" t="s">
        <v>9841</v>
      </c>
      <c r="E3056" t="s">
        <v>7517</v>
      </c>
      <c r="F3056" t="s">
        <v>7521</v>
      </c>
      <c r="G3056" t="s">
        <v>10300</v>
      </c>
      <c r="H3056" t="str">
        <f>HYPERLINK("https://baanknet.com/view-property/256069/81B91D054B48101D20FC90A5BE63ED0CB3B83C75C57C920DA3D2D559C0D5AE53", "https://baanknet.com/view-property/256069/81B91D054B48101D20FC90A5BE63ED0CB3B83C75C57C920DA3D2D559C0D5AE53")</f>
        <v>https://baanknet.com/view-property/256069/81B91D054B48101D20FC90A5BE63ED0CB3B83C75C57C920DA3D2D559C0D5AE53</v>
      </c>
      <c r="I3056" t="str">
        <f>HYPERLINK("https://baanknet.com/view-property/256069/81B91D054B48101D20FC90A5BE63ED0CB3B83C75C57C920DA3D2D559C0D5AE53", "Open")</f>
        <v>Open</v>
      </c>
      <c r="J3056" t="s">
        <v>3803</v>
      </c>
      <c r="L3056">
        <v>706000</v>
      </c>
      <c r="M3056">
        <v>70600</v>
      </c>
    </row>
    <row r="3057" spans="1:13" x14ac:dyDescent="0.25">
      <c r="A3057" t="s">
        <v>10301</v>
      </c>
      <c r="B3057" t="s">
        <v>10302</v>
      </c>
      <c r="C3057" t="s">
        <v>15</v>
      </c>
      <c r="D3057" t="s">
        <v>9841</v>
      </c>
      <c r="E3057" t="s">
        <v>7517</v>
      </c>
      <c r="F3057" t="s">
        <v>7521</v>
      </c>
      <c r="G3057" t="s">
        <v>10303</v>
      </c>
      <c r="H3057" t="str">
        <f>HYPERLINK("https://baanknet.com/view-property/256058/AA3308C560F67642AE2B1278793D71382853C1C2FFD1AFE39A15A77AA47205F2", "https://baanknet.com/view-property/256058/AA3308C560F67642AE2B1278793D71382853C1C2FFD1AFE39A15A77AA47205F2")</f>
        <v>https://baanknet.com/view-property/256058/AA3308C560F67642AE2B1278793D71382853C1C2FFD1AFE39A15A77AA47205F2</v>
      </c>
      <c r="I3057" t="str">
        <f>HYPERLINK("https://baanknet.com/view-property/256058/AA3308C560F67642AE2B1278793D71382853C1C2FFD1AFE39A15A77AA47205F2", "Open")</f>
        <v>Open</v>
      </c>
      <c r="J3057" t="s">
        <v>3803</v>
      </c>
      <c r="L3057">
        <v>2250000</v>
      </c>
      <c r="M3057">
        <v>225000</v>
      </c>
    </row>
    <row r="3058" spans="1:13" x14ac:dyDescent="0.25">
      <c r="A3058" t="s">
        <v>10304</v>
      </c>
      <c r="B3058" t="s">
        <v>10305</v>
      </c>
      <c r="C3058" t="s">
        <v>15</v>
      </c>
      <c r="D3058" t="s">
        <v>10306</v>
      </c>
      <c r="E3058" t="s">
        <v>7517</v>
      </c>
      <c r="F3058" t="s">
        <v>7521</v>
      </c>
      <c r="G3058" t="s">
        <v>10307</v>
      </c>
      <c r="H3058" t="str">
        <f>HYPERLINK("https://baanknet.com/view-property/256078/AD20B941C4B503E5C1317D44B6D68322452266957E7249CEA1DD4E6DC4A7D8EC", "https://baanknet.com/view-property/256078/AD20B941C4B503E5C1317D44B6D68322452266957E7249CEA1DD4E6DC4A7D8EC")</f>
        <v>https://baanknet.com/view-property/256078/AD20B941C4B503E5C1317D44B6D68322452266957E7249CEA1DD4E6DC4A7D8EC</v>
      </c>
      <c r="I3058" t="str">
        <f>HYPERLINK("https://baanknet.com/view-property/256078/AD20B941C4B503E5C1317D44B6D68322452266957E7249CEA1DD4E6DC4A7D8EC", "Open")</f>
        <v>Open</v>
      </c>
      <c r="J3058" t="s">
        <v>3803</v>
      </c>
      <c r="L3058">
        <v>618000</v>
      </c>
      <c r="M3058">
        <v>61800</v>
      </c>
    </row>
    <row r="3059" spans="1:13" x14ac:dyDescent="0.25">
      <c r="A3059" t="s">
        <v>10308</v>
      </c>
      <c r="B3059" t="s">
        <v>10309</v>
      </c>
      <c r="C3059" t="s">
        <v>15</v>
      </c>
      <c r="D3059" t="s">
        <v>10310</v>
      </c>
      <c r="E3059" t="s">
        <v>7517</v>
      </c>
      <c r="F3059" t="s">
        <v>7521</v>
      </c>
      <c r="G3059" t="s">
        <v>10311</v>
      </c>
      <c r="H3059" t="str">
        <f>HYPERLINK("https://baanknet.com/view-property/203422/02E2BF03217FB6063EE95F0CB0B1752572C4FC90A518E9223E55EC2135B06627", "https://baanknet.com/view-property/203422/02E2BF03217FB6063EE95F0CB0B1752572C4FC90A518E9223E55EC2135B06627")</f>
        <v>https://baanknet.com/view-property/203422/02E2BF03217FB6063EE95F0CB0B1752572C4FC90A518E9223E55EC2135B06627</v>
      </c>
      <c r="I3059" t="str">
        <f>HYPERLINK("https://baanknet.com/view-property/203422/02E2BF03217FB6063EE95F0CB0B1752572C4FC90A518E9223E55EC2135B06627", "Open")</f>
        <v>Open</v>
      </c>
      <c r="J3059" t="s">
        <v>3803</v>
      </c>
      <c r="L3059">
        <v>810000</v>
      </c>
      <c r="M3059">
        <v>81000</v>
      </c>
    </row>
    <row r="3060" spans="1:13" x14ac:dyDescent="0.25">
      <c r="A3060" t="s">
        <v>10312</v>
      </c>
      <c r="B3060" t="s">
        <v>10313</v>
      </c>
      <c r="C3060" t="s">
        <v>15</v>
      </c>
      <c r="D3060" t="s">
        <v>309</v>
      </c>
      <c r="E3060" t="s">
        <v>7517</v>
      </c>
      <c r="F3060" t="s">
        <v>7521</v>
      </c>
      <c r="G3060" t="s">
        <v>10314</v>
      </c>
      <c r="H3060" t="str">
        <f>HYPERLINK("https://baanknet.com/view-property/181551/4E8A857BF37721DDF8E05CEB8FF8485C590256178B05E83AC9B9F794B55E842F", "https://baanknet.com/view-property/181551/4E8A857BF37721DDF8E05CEB8FF8485C590256178B05E83AC9B9F794B55E842F")</f>
        <v>https://baanknet.com/view-property/181551/4E8A857BF37721DDF8E05CEB8FF8485C590256178B05E83AC9B9F794B55E842F</v>
      </c>
      <c r="I3060" t="str">
        <f>HYPERLINK("https://baanknet.com/view-property/181551/4E8A857BF37721DDF8E05CEB8FF8485C590256178B05E83AC9B9F794B55E842F", "Open")</f>
        <v>Open</v>
      </c>
      <c r="J3060" t="s">
        <v>3803</v>
      </c>
      <c r="L3060">
        <v>345000</v>
      </c>
      <c r="M3060">
        <v>34500</v>
      </c>
    </row>
    <row r="3061" spans="1:13" x14ac:dyDescent="0.25">
      <c r="A3061" t="s">
        <v>10315</v>
      </c>
      <c r="B3061" t="s">
        <v>10316</v>
      </c>
      <c r="C3061" t="s">
        <v>15</v>
      </c>
      <c r="D3061" t="s">
        <v>5887</v>
      </c>
      <c r="E3061" t="s">
        <v>7517</v>
      </c>
      <c r="F3061" t="s">
        <v>7521</v>
      </c>
      <c r="G3061" t="s">
        <v>10317</v>
      </c>
      <c r="H3061" t="str">
        <f>HYPERLINK("https://baanknet.com/view-property/204116/1B4847DBD6C11752829D718B22B691A8C7BF969EEB5877F08824F0FAFC9C837E", "https://baanknet.com/view-property/204116/1B4847DBD6C11752829D718B22B691A8C7BF969EEB5877F08824F0FAFC9C837E")</f>
        <v>https://baanknet.com/view-property/204116/1B4847DBD6C11752829D718B22B691A8C7BF969EEB5877F08824F0FAFC9C837E</v>
      </c>
      <c r="I3061" t="str">
        <f>HYPERLINK("https://baanknet.com/view-property/204116/1B4847DBD6C11752829D718B22B691A8C7BF969EEB5877F08824F0FAFC9C837E", "Open")</f>
        <v>Open</v>
      </c>
      <c r="J3061" t="s">
        <v>3803</v>
      </c>
      <c r="L3061">
        <v>740000</v>
      </c>
      <c r="M3061">
        <v>74000</v>
      </c>
    </row>
    <row r="3062" spans="1:13" x14ac:dyDescent="0.25">
      <c r="A3062" t="s">
        <v>10318</v>
      </c>
      <c r="B3062" t="s">
        <v>10319</v>
      </c>
      <c r="C3062" t="s">
        <v>15</v>
      </c>
      <c r="D3062" t="s">
        <v>309</v>
      </c>
      <c r="E3062" t="s">
        <v>7517</v>
      </c>
      <c r="F3062" t="s">
        <v>7521</v>
      </c>
      <c r="G3062" t="s">
        <v>10320</v>
      </c>
      <c r="H3062" t="str">
        <f>HYPERLINK("https://baanknet.com/view-property/254090/ACA64E2B636616ECA5597A6A5C5ECA8141694474476E9BC7C0975181FF27DBF2", "https://baanknet.com/view-property/254090/ACA64E2B636616ECA5597A6A5C5ECA8141694474476E9BC7C0975181FF27DBF2")</f>
        <v>https://baanknet.com/view-property/254090/ACA64E2B636616ECA5597A6A5C5ECA8141694474476E9BC7C0975181FF27DBF2</v>
      </c>
      <c r="I3062" t="str">
        <f>HYPERLINK("https://baanknet.com/view-property/254090/ACA64E2B636616ECA5597A6A5C5ECA8141694474476E9BC7C0975181FF27DBF2", "Open")</f>
        <v>Open</v>
      </c>
      <c r="J3062" t="s">
        <v>3803</v>
      </c>
      <c r="L3062">
        <v>2900000</v>
      </c>
      <c r="M3062">
        <v>290000</v>
      </c>
    </row>
    <row r="3063" spans="1:13" x14ac:dyDescent="0.25">
      <c r="A3063" t="s">
        <v>10321</v>
      </c>
      <c r="B3063" t="s">
        <v>10322</v>
      </c>
      <c r="C3063" t="s">
        <v>15</v>
      </c>
      <c r="D3063" t="s">
        <v>10323</v>
      </c>
      <c r="E3063" t="s">
        <v>7517</v>
      </c>
      <c r="F3063" t="s">
        <v>7521</v>
      </c>
      <c r="G3063" t="s">
        <v>10324</v>
      </c>
      <c r="H3063" t="str">
        <f>HYPERLINK("https://baanknet.com/view-property/203050/0B31C01AB06AA90D9C4A3EBE079CC363ABD1542E75FBB6F2E9233C31BADF3574", "https://baanknet.com/view-property/203050/0B31C01AB06AA90D9C4A3EBE079CC363ABD1542E75FBB6F2E9233C31BADF3574")</f>
        <v>https://baanknet.com/view-property/203050/0B31C01AB06AA90D9C4A3EBE079CC363ABD1542E75FBB6F2E9233C31BADF3574</v>
      </c>
      <c r="I3063" t="str">
        <f>HYPERLINK("https://baanknet.com/view-property/203050/0B31C01AB06AA90D9C4A3EBE079CC363ABD1542E75FBB6F2E9233C31BADF3574", "Open")</f>
        <v>Open</v>
      </c>
      <c r="J3063" t="s">
        <v>3803</v>
      </c>
      <c r="L3063">
        <v>355000</v>
      </c>
      <c r="M3063">
        <v>35500</v>
      </c>
    </row>
    <row r="3064" spans="1:13" x14ac:dyDescent="0.25">
      <c r="A3064" t="s">
        <v>10325</v>
      </c>
      <c r="B3064" t="s">
        <v>10326</v>
      </c>
      <c r="C3064" t="s">
        <v>15</v>
      </c>
      <c r="D3064" t="s">
        <v>10323</v>
      </c>
      <c r="E3064" t="s">
        <v>7517</v>
      </c>
      <c r="F3064" t="s">
        <v>7521</v>
      </c>
      <c r="G3064" t="s">
        <v>10327</v>
      </c>
      <c r="H3064" t="str">
        <f>HYPERLINK("https://baanknet.com/view-property/242383/E79FCEAF91C5D0D8C29206295BF951EADC558B68E2DA9DC75B7ADED7A8DD53C6", "https://baanknet.com/view-property/242383/E79FCEAF91C5D0D8C29206295BF951EADC558B68E2DA9DC75B7ADED7A8DD53C6")</f>
        <v>https://baanknet.com/view-property/242383/E79FCEAF91C5D0D8C29206295BF951EADC558B68E2DA9DC75B7ADED7A8DD53C6</v>
      </c>
      <c r="I3064" t="str">
        <f>HYPERLINK("https://baanknet.com/view-property/242383/E79FCEAF91C5D0D8C29206295BF951EADC558B68E2DA9DC75B7ADED7A8DD53C6", "Open")</f>
        <v>Open</v>
      </c>
      <c r="J3064" t="s">
        <v>3803</v>
      </c>
      <c r="L3064">
        <v>1080000</v>
      </c>
      <c r="M3064">
        <v>108000</v>
      </c>
    </row>
    <row r="3065" spans="1:13" x14ac:dyDescent="0.25">
      <c r="A3065" t="s">
        <v>10328</v>
      </c>
      <c r="B3065" t="s">
        <v>10329</v>
      </c>
      <c r="C3065" t="s">
        <v>15</v>
      </c>
      <c r="D3065" t="s">
        <v>10330</v>
      </c>
      <c r="E3065" t="s">
        <v>7517</v>
      </c>
      <c r="F3065" t="s">
        <v>7521</v>
      </c>
      <c r="G3065" t="s">
        <v>10331</v>
      </c>
      <c r="H3065" t="str">
        <f>HYPERLINK("https://baanknet.com/view-property/203186/B814B9F45648A71F2F7308236908AAA99F4CBB0B0E0B85B3642F08429B96CA08", "https://baanknet.com/view-property/203186/B814B9F45648A71F2F7308236908AAA99F4CBB0B0E0B85B3642F08429B96CA08")</f>
        <v>https://baanknet.com/view-property/203186/B814B9F45648A71F2F7308236908AAA99F4CBB0B0E0B85B3642F08429B96CA08</v>
      </c>
      <c r="I3065" t="str">
        <f>HYPERLINK("https://baanknet.com/view-property/203186/B814B9F45648A71F2F7308236908AAA99F4CBB0B0E0B85B3642F08429B96CA08", "Open")</f>
        <v>Open</v>
      </c>
      <c r="J3065" t="s">
        <v>3803</v>
      </c>
      <c r="L3065">
        <v>670000</v>
      </c>
      <c r="M3065">
        <v>67000</v>
      </c>
    </row>
    <row r="3066" spans="1:13" x14ac:dyDescent="0.25">
      <c r="A3066" t="s">
        <v>10332</v>
      </c>
      <c r="B3066" t="s">
        <v>10333</v>
      </c>
      <c r="C3066" t="s">
        <v>15</v>
      </c>
      <c r="D3066" t="s">
        <v>10334</v>
      </c>
      <c r="E3066" t="s">
        <v>7517</v>
      </c>
      <c r="F3066" t="s">
        <v>7521</v>
      </c>
      <c r="G3066" t="s">
        <v>10335</v>
      </c>
      <c r="H3066" t="str">
        <f>HYPERLINK("https://baanknet.com/view-property/243072/FBE6FBBE9C85EAD43BFD2160C854FA5CDDE78D8E1C8CFF16D3D489C9D3EC4472", "https://baanknet.com/view-property/243072/FBE6FBBE9C85EAD43BFD2160C854FA5CDDE78D8E1C8CFF16D3D489C9D3EC4472")</f>
        <v>https://baanknet.com/view-property/243072/FBE6FBBE9C85EAD43BFD2160C854FA5CDDE78D8E1C8CFF16D3D489C9D3EC4472</v>
      </c>
      <c r="I3066" t="str">
        <f>HYPERLINK("https://baanknet.com/view-property/243072/FBE6FBBE9C85EAD43BFD2160C854FA5CDDE78D8E1C8CFF16D3D489C9D3EC4472", "Open")</f>
        <v>Open</v>
      </c>
      <c r="J3066" t="s">
        <v>3803</v>
      </c>
      <c r="L3066">
        <v>2420000</v>
      </c>
      <c r="M3066">
        <v>242000</v>
      </c>
    </row>
    <row r="3067" spans="1:13" x14ac:dyDescent="0.25">
      <c r="A3067" t="s">
        <v>10336</v>
      </c>
      <c r="B3067" t="s">
        <v>10337</v>
      </c>
      <c r="C3067" t="s">
        <v>15</v>
      </c>
      <c r="D3067" t="s">
        <v>5901</v>
      </c>
      <c r="E3067" t="s">
        <v>7517</v>
      </c>
      <c r="F3067" t="s">
        <v>7521</v>
      </c>
      <c r="G3067" t="s">
        <v>10338</v>
      </c>
      <c r="H3067" t="str">
        <f>HYPERLINK("https://baanknet.com/view-property/242375/0CB21904460F0E0F560DCB020600D258BA56793717CCB9CF1BBFD0455B3D69C0", "https://baanknet.com/view-property/242375/0CB21904460F0E0F560DCB020600D258BA56793717CCB9CF1BBFD0455B3D69C0")</f>
        <v>https://baanknet.com/view-property/242375/0CB21904460F0E0F560DCB020600D258BA56793717CCB9CF1BBFD0455B3D69C0</v>
      </c>
      <c r="I3067" t="str">
        <f>HYPERLINK("https://baanknet.com/view-property/242375/0CB21904460F0E0F560DCB020600D258BA56793717CCB9CF1BBFD0455B3D69C0", "Open")</f>
        <v>Open</v>
      </c>
      <c r="J3067" t="s">
        <v>3803</v>
      </c>
      <c r="L3067">
        <v>610000</v>
      </c>
      <c r="M3067">
        <v>61000</v>
      </c>
    </row>
    <row r="3068" spans="1:13" x14ac:dyDescent="0.25">
      <c r="A3068" t="s">
        <v>10339</v>
      </c>
      <c r="B3068" t="s">
        <v>10340</v>
      </c>
      <c r="C3068" t="s">
        <v>15</v>
      </c>
      <c r="D3068" t="s">
        <v>5901</v>
      </c>
      <c r="E3068" t="s">
        <v>7517</v>
      </c>
      <c r="F3068" t="s">
        <v>7521</v>
      </c>
      <c r="G3068" t="s">
        <v>10341</v>
      </c>
      <c r="H3068" t="str">
        <f>HYPERLINK("https://baanknet.com/view-property/283169/30781E34228AC8015947B936E5ED7E3A7282C887BE5573C03EAA8714ED250329", "https://baanknet.com/view-property/283169/30781E34228AC8015947B936E5ED7E3A7282C887BE5573C03EAA8714ED250329")</f>
        <v>https://baanknet.com/view-property/283169/30781E34228AC8015947B936E5ED7E3A7282C887BE5573C03EAA8714ED250329</v>
      </c>
      <c r="I3068" t="str">
        <f>HYPERLINK("https://baanknet.com/view-property/283169/30781E34228AC8015947B936E5ED7E3A7282C887BE5573C03EAA8714ED250329", "Open")</f>
        <v>Open</v>
      </c>
      <c r="J3068" t="s">
        <v>3803</v>
      </c>
      <c r="L3068">
        <v>3230000</v>
      </c>
      <c r="M3068">
        <v>323000</v>
      </c>
    </row>
    <row r="3069" spans="1:13" x14ac:dyDescent="0.25">
      <c r="A3069" t="s">
        <v>10342</v>
      </c>
      <c r="B3069" t="s">
        <v>10343</v>
      </c>
      <c r="C3069" t="s">
        <v>15</v>
      </c>
      <c r="D3069" t="s">
        <v>309</v>
      </c>
      <c r="E3069" t="s">
        <v>7517</v>
      </c>
      <c r="F3069" t="s">
        <v>7521</v>
      </c>
      <c r="G3069" t="s">
        <v>10344</v>
      </c>
      <c r="H3069" t="str">
        <f>HYPERLINK("https://baanknet.com/view-property/263236/DE1410EA1FF5B80447F12FCB607D07B2AF6BAA28B06024F0CD8377D2919D9873", "https://baanknet.com/view-property/263236/DE1410EA1FF5B80447F12FCB607D07B2AF6BAA28B06024F0CD8377D2919D9873")</f>
        <v>https://baanknet.com/view-property/263236/DE1410EA1FF5B80447F12FCB607D07B2AF6BAA28B06024F0CD8377D2919D9873</v>
      </c>
      <c r="I3069" t="str">
        <f>HYPERLINK("https://baanknet.com/view-property/263236/DE1410EA1FF5B80447F12FCB607D07B2AF6BAA28B06024F0CD8377D2919D9873", "Open")</f>
        <v>Open</v>
      </c>
      <c r="J3069" t="s">
        <v>3803</v>
      </c>
      <c r="L3069">
        <v>1305000</v>
      </c>
      <c r="M3069">
        <v>130500</v>
      </c>
    </row>
    <row r="3070" spans="1:13" x14ac:dyDescent="0.25">
      <c r="A3070" t="s">
        <v>10345</v>
      </c>
      <c r="B3070" t="s">
        <v>10346</v>
      </c>
      <c r="C3070" t="s">
        <v>15</v>
      </c>
      <c r="D3070" t="s">
        <v>309</v>
      </c>
      <c r="E3070" t="s">
        <v>7517</v>
      </c>
      <c r="F3070" t="s">
        <v>7521</v>
      </c>
      <c r="G3070" t="s">
        <v>10347</v>
      </c>
      <c r="H3070" t="str">
        <f>HYPERLINK("https://baanknet.com/view-property/189623/1F9374BE8FF132A96CFE12141DFA39A1723D91DF691F2F9900587645BA4B57B7", "https://baanknet.com/view-property/189623/1F9374BE8FF132A96CFE12141DFA39A1723D91DF691F2F9900587645BA4B57B7")</f>
        <v>https://baanknet.com/view-property/189623/1F9374BE8FF132A96CFE12141DFA39A1723D91DF691F2F9900587645BA4B57B7</v>
      </c>
      <c r="I3070" t="str">
        <f>HYPERLINK("https://baanknet.com/view-property/189623/1F9374BE8FF132A96CFE12141DFA39A1723D91DF691F2F9900587645BA4B57B7", "Open")</f>
        <v>Open</v>
      </c>
      <c r="J3070" t="s">
        <v>3803</v>
      </c>
      <c r="L3070">
        <v>280000</v>
      </c>
      <c r="M3070">
        <v>28000</v>
      </c>
    </row>
    <row r="3071" spans="1:13" x14ac:dyDescent="0.25">
      <c r="A3071" t="s">
        <v>10348</v>
      </c>
      <c r="B3071" t="s">
        <v>10349</v>
      </c>
      <c r="C3071" t="s">
        <v>15</v>
      </c>
      <c r="D3071" t="s">
        <v>309</v>
      </c>
      <c r="E3071" t="s">
        <v>7517</v>
      </c>
      <c r="F3071" t="s">
        <v>7521</v>
      </c>
      <c r="G3071" t="s">
        <v>10350</v>
      </c>
      <c r="H3071" t="str">
        <f>HYPERLINK("https://baanknet.com/view-property/233412/A4EF9A2469C6D20B2173C118973544E8342484596E535142DEF9FAD5CDFDB72D", "https://baanknet.com/view-property/233412/A4EF9A2469C6D20B2173C118973544E8342484596E535142DEF9FAD5CDFDB72D")</f>
        <v>https://baanknet.com/view-property/233412/A4EF9A2469C6D20B2173C118973544E8342484596E535142DEF9FAD5CDFDB72D</v>
      </c>
      <c r="I3071" t="str">
        <f>HYPERLINK("https://baanknet.com/view-property/233412/A4EF9A2469C6D20B2173C118973544E8342484596E535142DEF9FAD5CDFDB72D", "Open")</f>
        <v>Open</v>
      </c>
      <c r="J3071" t="s">
        <v>3803</v>
      </c>
      <c r="L3071">
        <v>1215000</v>
      </c>
      <c r="M3071">
        <v>121500</v>
      </c>
    </row>
    <row r="3072" spans="1:13" x14ac:dyDescent="0.25">
      <c r="A3072" t="s">
        <v>10351</v>
      </c>
      <c r="B3072" t="s">
        <v>10352</v>
      </c>
      <c r="C3072" t="s">
        <v>15</v>
      </c>
      <c r="D3072" t="s">
        <v>309</v>
      </c>
      <c r="E3072" t="s">
        <v>7517</v>
      </c>
      <c r="F3072" t="s">
        <v>7521</v>
      </c>
      <c r="G3072" t="s">
        <v>10353</v>
      </c>
      <c r="H3072" t="str">
        <f>HYPERLINK("https://baanknet.com/view-property/202812/7D1FE2D8DDBC0E151C2A42E9D431C630055316DB73BF400B45E0E7695291046D", "https://baanknet.com/view-property/202812/7D1FE2D8DDBC0E151C2A42E9D431C630055316DB73BF400B45E0E7695291046D")</f>
        <v>https://baanknet.com/view-property/202812/7D1FE2D8DDBC0E151C2A42E9D431C630055316DB73BF400B45E0E7695291046D</v>
      </c>
      <c r="I3072" t="str">
        <f>HYPERLINK("https://baanknet.com/view-property/202812/7D1FE2D8DDBC0E151C2A42E9D431C630055316DB73BF400B45E0E7695291046D", "Open")</f>
        <v>Open</v>
      </c>
      <c r="J3072" t="s">
        <v>3803</v>
      </c>
      <c r="L3072">
        <v>1498000</v>
      </c>
      <c r="M3072">
        <v>149800</v>
      </c>
    </row>
    <row r="3073" spans="1:13" x14ac:dyDescent="0.25">
      <c r="A3073" t="s">
        <v>10354</v>
      </c>
      <c r="B3073" t="s">
        <v>10355</v>
      </c>
      <c r="C3073" t="s">
        <v>15</v>
      </c>
      <c r="D3073" t="s">
        <v>309</v>
      </c>
      <c r="E3073" t="s">
        <v>7517</v>
      </c>
      <c r="F3073" t="s">
        <v>7521</v>
      </c>
      <c r="G3073" t="s">
        <v>10356</v>
      </c>
      <c r="H3073" t="str">
        <f>HYPERLINK("https://baanknet.com/view-property/203675/A9BFA13092CF6C3A1D23ADE1BC9DD882F48CF990972B0D897D7D37A928B7E413", "https://baanknet.com/view-property/203675/A9BFA13092CF6C3A1D23ADE1BC9DD882F48CF990972B0D897D7D37A928B7E413")</f>
        <v>https://baanknet.com/view-property/203675/A9BFA13092CF6C3A1D23ADE1BC9DD882F48CF990972B0D897D7D37A928B7E413</v>
      </c>
      <c r="I3073" t="str">
        <f>HYPERLINK("https://baanknet.com/view-property/203675/A9BFA13092CF6C3A1D23ADE1BC9DD882F48CF990972B0D897D7D37A928B7E413", "Open")</f>
        <v>Open</v>
      </c>
      <c r="J3073" t="s">
        <v>3803</v>
      </c>
      <c r="L3073">
        <v>1450000</v>
      </c>
      <c r="M3073">
        <v>145000</v>
      </c>
    </row>
    <row r="3074" spans="1:13" x14ac:dyDescent="0.25">
      <c r="A3074" t="s">
        <v>10357</v>
      </c>
      <c r="B3074" t="s">
        <v>10358</v>
      </c>
      <c r="C3074" t="s">
        <v>15</v>
      </c>
      <c r="D3074" t="s">
        <v>309</v>
      </c>
      <c r="E3074" t="s">
        <v>7517</v>
      </c>
      <c r="F3074" t="s">
        <v>7521</v>
      </c>
      <c r="G3074" t="s">
        <v>10359</v>
      </c>
      <c r="H3074" t="str">
        <f>HYPERLINK("https://baanknet.com/view-property/243074/75BE10705442A586B48699D67E8E90C78DEF3ECA16170453BFA74E8BFBF81418", "https://baanknet.com/view-property/243074/75BE10705442A586B48699D67E8E90C78DEF3ECA16170453BFA74E8BFBF81418")</f>
        <v>https://baanknet.com/view-property/243074/75BE10705442A586B48699D67E8E90C78DEF3ECA16170453BFA74E8BFBF81418</v>
      </c>
      <c r="I3074" t="str">
        <f>HYPERLINK("https://baanknet.com/view-property/243074/75BE10705442A586B48699D67E8E90C78DEF3ECA16170453BFA74E8BFBF81418", "Open")</f>
        <v>Open</v>
      </c>
      <c r="J3074" t="s">
        <v>3803</v>
      </c>
      <c r="L3074">
        <v>1090000</v>
      </c>
      <c r="M3074">
        <v>109000</v>
      </c>
    </row>
    <row r="3075" spans="1:13" x14ac:dyDescent="0.25">
      <c r="A3075" t="s">
        <v>10360</v>
      </c>
      <c r="B3075" t="s">
        <v>10361</v>
      </c>
      <c r="C3075" t="s">
        <v>15</v>
      </c>
      <c r="D3075" t="s">
        <v>309</v>
      </c>
      <c r="E3075" t="s">
        <v>7517</v>
      </c>
      <c r="F3075" t="s">
        <v>7521</v>
      </c>
      <c r="G3075" t="s">
        <v>10362</v>
      </c>
      <c r="H3075" t="str">
        <f>HYPERLINK("https://baanknet.com/view-property/228932/5B1E9E138CF5E360E72A6E3767C7DD8E696BA4F386CD45C7427F78DD693F9974", "https://baanknet.com/view-property/228932/5B1E9E138CF5E360E72A6E3767C7DD8E696BA4F386CD45C7427F78DD693F9974")</f>
        <v>https://baanknet.com/view-property/228932/5B1E9E138CF5E360E72A6E3767C7DD8E696BA4F386CD45C7427F78DD693F9974</v>
      </c>
      <c r="I3075" t="str">
        <f>HYPERLINK("https://baanknet.com/view-property/228932/5B1E9E138CF5E360E72A6E3767C7DD8E696BA4F386CD45C7427F78DD693F9974", "Open")</f>
        <v>Open</v>
      </c>
      <c r="J3075" t="s">
        <v>3803</v>
      </c>
      <c r="L3075">
        <v>655000</v>
      </c>
      <c r="M3075">
        <v>65500</v>
      </c>
    </row>
    <row r="3076" spans="1:13" x14ac:dyDescent="0.25">
      <c r="A3076" t="s">
        <v>10363</v>
      </c>
      <c r="B3076" t="s">
        <v>10364</v>
      </c>
      <c r="C3076" t="s">
        <v>15</v>
      </c>
      <c r="D3076" t="s">
        <v>5793</v>
      </c>
      <c r="E3076" t="s">
        <v>7517</v>
      </c>
      <c r="F3076" t="s">
        <v>7521</v>
      </c>
      <c r="G3076" t="s">
        <v>10365</v>
      </c>
      <c r="H3076" t="str">
        <f>HYPERLINK("https://baanknet.com/view-property/272284/3E87CFA85C108844FF6FAE959D73978E63FD4923FE9E0EEF5351C8D612B67F95", "https://baanknet.com/view-property/272284/3E87CFA85C108844FF6FAE959D73978E63FD4923FE9E0EEF5351C8D612B67F95")</f>
        <v>https://baanknet.com/view-property/272284/3E87CFA85C108844FF6FAE959D73978E63FD4923FE9E0EEF5351C8D612B67F95</v>
      </c>
      <c r="I3076" t="str">
        <f>HYPERLINK("https://baanknet.com/view-property/272284/3E87CFA85C108844FF6FAE959D73978E63FD4923FE9E0EEF5351C8D612B67F95", "Open")</f>
        <v>Open</v>
      </c>
      <c r="J3076" t="s">
        <v>3803</v>
      </c>
      <c r="L3076">
        <v>12650000</v>
      </c>
      <c r="M3076">
        <v>1265000</v>
      </c>
    </row>
    <row r="3077" spans="1:13" x14ac:dyDescent="0.25">
      <c r="A3077" t="s">
        <v>10366</v>
      </c>
      <c r="B3077" t="s">
        <v>10367</v>
      </c>
      <c r="C3077" t="s">
        <v>525</v>
      </c>
      <c r="D3077" t="s">
        <v>10368</v>
      </c>
      <c r="E3077" t="s">
        <v>7517</v>
      </c>
      <c r="F3077" t="s">
        <v>8355</v>
      </c>
      <c r="G3077" t="s">
        <v>10369</v>
      </c>
      <c r="H3077" t="str">
        <f>HYPERLINK("https://baanknet.com/view-property/267526/448132F3E12779175209F3090D963551C45D80AEC39CA274BA7EBF89879C0C83", "https://baanknet.com/view-property/267526/448132F3E12779175209F3090D963551C45D80AEC39CA274BA7EBF89879C0C83")</f>
        <v>https://baanknet.com/view-property/267526/448132F3E12779175209F3090D963551C45D80AEC39CA274BA7EBF89879C0C83</v>
      </c>
      <c r="I3077" t="str">
        <f>HYPERLINK("https://baanknet.com/view-property/267526/448132F3E12779175209F3090D963551C45D80AEC39CA274BA7EBF89879C0C83", "Open")</f>
        <v>Open</v>
      </c>
      <c r="J3077" t="s">
        <v>3803</v>
      </c>
      <c r="L3077">
        <v>1350000</v>
      </c>
      <c r="M3077">
        <v>135000</v>
      </c>
    </row>
    <row r="3078" spans="1:13" x14ac:dyDescent="0.25">
      <c r="A3078" t="s">
        <v>10370</v>
      </c>
      <c r="B3078" t="s">
        <v>10371</v>
      </c>
      <c r="C3078" t="s">
        <v>525</v>
      </c>
      <c r="D3078" t="s">
        <v>2798</v>
      </c>
      <c r="E3078" t="s">
        <v>7517</v>
      </c>
      <c r="F3078" t="s">
        <v>8355</v>
      </c>
      <c r="G3078" t="s">
        <v>10372</v>
      </c>
      <c r="H3078" t="str">
        <f>HYPERLINK("https://baanknet.com/view-property/268640/ABA03D379D642B0585D97617859E48C8C9B5DCE44DC24F531102C7E9A09A9AAF", "https://baanknet.com/view-property/268640/ABA03D379D642B0585D97617859E48C8C9B5DCE44DC24F531102C7E9A09A9AAF")</f>
        <v>https://baanknet.com/view-property/268640/ABA03D379D642B0585D97617859E48C8C9B5DCE44DC24F531102C7E9A09A9AAF</v>
      </c>
      <c r="I3078" t="str">
        <f>HYPERLINK("https://baanknet.com/view-property/268640/ABA03D379D642B0585D97617859E48C8C9B5DCE44DC24F531102C7E9A09A9AAF", "Open")</f>
        <v>Open</v>
      </c>
      <c r="J3078" t="s">
        <v>3803</v>
      </c>
      <c r="L3078">
        <v>2340000</v>
      </c>
      <c r="M3078">
        <v>234000</v>
      </c>
    </row>
    <row r="3079" spans="1:13" x14ac:dyDescent="0.25">
      <c r="A3079" t="s">
        <v>10373</v>
      </c>
      <c r="B3079" t="s">
        <v>10374</v>
      </c>
      <c r="C3079" t="s">
        <v>15</v>
      </c>
      <c r="D3079" t="s">
        <v>7628</v>
      </c>
      <c r="E3079" t="s">
        <v>7517</v>
      </c>
      <c r="F3079" t="s">
        <v>8355</v>
      </c>
      <c r="G3079" t="s">
        <v>10375</v>
      </c>
      <c r="H3079" t="str">
        <f>HYPERLINK("https://baanknet.com/view-property/283838/60ABB949AAF9F53E445D07B17CCFD9EA480BA700FB9F13805DE46DF47164D383", "https://baanknet.com/view-property/283838/60ABB949AAF9F53E445D07B17CCFD9EA480BA700FB9F13805DE46DF47164D383")</f>
        <v>https://baanknet.com/view-property/283838/60ABB949AAF9F53E445D07B17CCFD9EA480BA700FB9F13805DE46DF47164D383</v>
      </c>
      <c r="I3079" t="str">
        <f>HYPERLINK("https://baanknet.com/view-property/283838/60ABB949AAF9F53E445D07B17CCFD9EA480BA700FB9F13805DE46DF47164D383", "Open")</f>
        <v>Open</v>
      </c>
      <c r="J3079" t="s">
        <v>3803</v>
      </c>
      <c r="L3079">
        <v>5632000</v>
      </c>
      <c r="M3079">
        <v>563200</v>
      </c>
    </row>
    <row r="3080" spans="1:13" x14ac:dyDescent="0.25">
      <c r="A3080" t="s">
        <v>10376</v>
      </c>
      <c r="B3080" t="s">
        <v>10377</v>
      </c>
      <c r="C3080" t="s">
        <v>15</v>
      </c>
      <c r="D3080" t="s">
        <v>1896</v>
      </c>
      <c r="E3080" t="s">
        <v>7517</v>
      </c>
      <c r="F3080" t="s">
        <v>8355</v>
      </c>
      <c r="G3080" t="s">
        <v>10378</v>
      </c>
      <c r="H3080" t="str">
        <f>HYPERLINK("https://baanknet.com/view-property/284942/6CECC11AA5CC46B9FE0C62D6E06B0E0711F640974DE5AECF45529CD1973858C4", "https://baanknet.com/view-property/284942/6CECC11AA5CC46B9FE0C62D6E06B0E0711F640974DE5AECF45529CD1973858C4")</f>
        <v>https://baanknet.com/view-property/284942/6CECC11AA5CC46B9FE0C62D6E06B0E0711F640974DE5AECF45529CD1973858C4</v>
      </c>
      <c r="I3080" t="str">
        <f>HYPERLINK("https://baanknet.com/view-property/284942/6CECC11AA5CC46B9FE0C62D6E06B0E0711F640974DE5AECF45529CD1973858C4", "Open")</f>
        <v>Open</v>
      </c>
      <c r="J3080" t="s">
        <v>3803</v>
      </c>
      <c r="L3080">
        <v>8410000</v>
      </c>
      <c r="M3080">
        <v>841000</v>
      </c>
    </row>
    <row r="3081" spans="1:13" x14ac:dyDescent="0.25">
      <c r="A3081" t="s">
        <v>10379</v>
      </c>
      <c r="B3081" t="s">
        <v>10380</v>
      </c>
      <c r="C3081" t="s">
        <v>15</v>
      </c>
      <c r="D3081" t="s">
        <v>10381</v>
      </c>
      <c r="E3081" t="s">
        <v>7517</v>
      </c>
      <c r="F3081" t="s">
        <v>8355</v>
      </c>
      <c r="G3081" t="s">
        <v>10382</v>
      </c>
      <c r="H3081" t="str">
        <f>HYPERLINK("https://baanknet.com/view-property/204958/33430D16D7E03D1BF86AC1E9D31168BAA88A90594A8584BFEAE41E5BFAFB94CC", "https://baanknet.com/view-property/204958/33430D16D7E03D1BF86AC1E9D31168BAA88A90594A8584BFEAE41E5BFAFB94CC")</f>
        <v>https://baanknet.com/view-property/204958/33430D16D7E03D1BF86AC1E9D31168BAA88A90594A8584BFEAE41E5BFAFB94CC</v>
      </c>
      <c r="I3081" t="str">
        <f>HYPERLINK("https://baanknet.com/view-property/204958/33430D16D7E03D1BF86AC1E9D31168BAA88A90594A8584BFEAE41E5BFAFB94CC", "Open")</f>
        <v>Open</v>
      </c>
      <c r="J3081" t="s">
        <v>3803</v>
      </c>
      <c r="L3081">
        <v>345000</v>
      </c>
      <c r="M3081">
        <v>34500</v>
      </c>
    </row>
    <row r="3082" spans="1:13" x14ac:dyDescent="0.25">
      <c r="A3082" t="s">
        <v>10383</v>
      </c>
      <c r="B3082" t="s">
        <v>10384</v>
      </c>
      <c r="C3082" t="s">
        <v>15</v>
      </c>
      <c r="D3082" t="s">
        <v>857</v>
      </c>
      <c r="E3082" t="s">
        <v>7517</v>
      </c>
      <c r="F3082" t="s">
        <v>8355</v>
      </c>
      <c r="G3082" t="s">
        <v>10385</v>
      </c>
      <c r="H3082" t="str">
        <f>HYPERLINK("https://baanknet.com/view-property/243980/B1DFCD71321540C819383D6313164C560BB37A21B82463A68F906F67781D165C", "https://baanknet.com/view-property/243980/B1DFCD71321540C819383D6313164C560BB37A21B82463A68F906F67781D165C")</f>
        <v>https://baanknet.com/view-property/243980/B1DFCD71321540C819383D6313164C560BB37A21B82463A68F906F67781D165C</v>
      </c>
      <c r="I3082" t="str">
        <f>HYPERLINK("https://baanknet.com/view-property/243980/B1DFCD71321540C819383D6313164C560BB37A21B82463A68F906F67781D165C", "Open")</f>
        <v>Open</v>
      </c>
      <c r="J3082" t="s">
        <v>3803</v>
      </c>
      <c r="L3082">
        <v>71000000</v>
      </c>
      <c r="M3082">
        <v>7100000</v>
      </c>
    </row>
    <row r="3083" spans="1:13" x14ac:dyDescent="0.25">
      <c r="A3083" t="s">
        <v>10386</v>
      </c>
      <c r="B3083" t="s">
        <v>10387</v>
      </c>
      <c r="C3083" t="s">
        <v>387</v>
      </c>
      <c r="D3083" t="s">
        <v>10388</v>
      </c>
      <c r="E3083" t="s">
        <v>7517</v>
      </c>
      <c r="F3083" t="s">
        <v>7577</v>
      </c>
      <c r="G3083" t="s">
        <v>10389</v>
      </c>
      <c r="H3083" t="str">
        <f>HYPERLINK("https://baanknet.com/view-property/185630/96F8F43E1D30508E837E42356B9E5B78507DEAFA814D8C73B097C077E6885730", "https://baanknet.com/view-property/185630/96F8F43E1D30508E837E42356B9E5B78507DEAFA814D8C73B097C077E6885730")</f>
        <v>https://baanknet.com/view-property/185630/96F8F43E1D30508E837E42356B9E5B78507DEAFA814D8C73B097C077E6885730</v>
      </c>
      <c r="I3083" t="str">
        <f>HYPERLINK("https://baanknet.com/view-property/185630/96F8F43E1D30508E837E42356B9E5B78507DEAFA814D8C73B097C077E6885730", "Open")</f>
        <v>Open</v>
      </c>
      <c r="J3083" t="s">
        <v>3803</v>
      </c>
      <c r="L3083">
        <v>2814000</v>
      </c>
      <c r="M3083">
        <v>281400</v>
      </c>
    </row>
    <row r="3084" spans="1:13" x14ac:dyDescent="0.25">
      <c r="A3084" t="s">
        <v>10390</v>
      </c>
      <c r="B3084" t="s">
        <v>10391</v>
      </c>
      <c r="C3084" t="s">
        <v>571</v>
      </c>
      <c r="D3084" t="s">
        <v>5323</v>
      </c>
      <c r="E3084" t="s">
        <v>7517</v>
      </c>
      <c r="F3084" t="s">
        <v>7577</v>
      </c>
      <c r="G3084" t="s">
        <v>10392</v>
      </c>
      <c r="H3084" t="str">
        <f>HYPERLINK("https://baanknet.com/view-property/21519/027BABC7A94804D12E0CC753341D337F1B553543ABF621F0B6358C95DDE789D6", "https://baanknet.com/view-property/21519/027BABC7A94804D12E0CC753341D337F1B553543ABF621F0B6358C95DDE789D6")</f>
        <v>https://baanknet.com/view-property/21519/027BABC7A94804D12E0CC753341D337F1B553543ABF621F0B6358C95DDE789D6</v>
      </c>
      <c r="I3084" t="str">
        <f>HYPERLINK("https://baanknet.com/view-property/21519/027BABC7A94804D12E0CC753341D337F1B553543ABF621F0B6358C95DDE789D6", "Open")</f>
        <v>Open</v>
      </c>
      <c r="J3084" t="s">
        <v>3803</v>
      </c>
      <c r="L3084">
        <v>8400000</v>
      </c>
      <c r="M3084">
        <v>840000</v>
      </c>
    </row>
    <row r="3085" spans="1:13" x14ac:dyDescent="0.25">
      <c r="A3085" t="s">
        <v>10393</v>
      </c>
      <c r="B3085" t="s">
        <v>10394</v>
      </c>
      <c r="C3085" t="s">
        <v>332</v>
      </c>
      <c r="D3085" t="s">
        <v>10395</v>
      </c>
      <c r="E3085" t="s">
        <v>7517</v>
      </c>
      <c r="F3085" t="s">
        <v>7577</v>
      </c>
      <c r="G3085" t="s">
        <v>10396</v>
      </c>
      <c r="H3085" t="str">
        <f>HYPERLINK("https://baanknet.com/view-property/282203/D831EA6F378D1EA98A4F0B6AA375B1F200B94F3D1116A3FB33435F37E5141BC9", "https://baanknet.com/view-property/282203/D831EA6F378D1EA98A4F0B6AA375B1F200B94F3D1116A3FB33435F37E5141BC9")</f>
        <v>https://baanknet.com/view-property/282203/D831EA6F378D1EA98A4F0B6AA375B1F200B94F3D1116A3FB33435F37E5141BC9</v>
      </c>
      <c r="I3085" t="str">
        <f>HYPERLINK("https://baanknet.com/view-property/282203/D831EA6F378D1EA98A4F0B6AA375B1F200B94F3D1116A3FB33435F37E5141BC9", "Open")</f>
        <v>Open</v>
      </c>
      <c r="J3085" t="s">
        <v>3803</v>
      </c>
      <c r="L3085">
        <v>3055000</v>
      </c>
      <c r="M3085">
        <v>305500</v>
      </c>
    </row>
    <row r="3086" spans="1:13" x14ac:dyDescent="0.25">
      <c r="A3086" t="s">
        <v>10397</v>
      </c>
      <c r="B3086" t="s">
        <v>10398</v>
      </c>
      <c r="C3086" t="s">
        <v>83</v>
      </c>
      <c r="D3086" t="s">
        <v>533</v>
      </c>
      <c r="E3086" t="s">
        <v>7517</v>
      </c>
      <c r="F3086" t="s">
        <v>7577</v>
      </c>
      <c r="G3086" t="s">
        <v>10399</v>
      </c>
      <c r="H3086" t="str">
        <f>HYPERLINK("https://baanknet.com/view-property/227419/3BC7F3199396EF3D18C1518C1796553E041EECC77BA9B4654355B7CD243770B2", "https://baanknet.com/view-property/227419/3BC7F3199396EF3D18C1518C1796553E041EECC77BA9B4654355B7CD243770B2")</f>
        <v>https://baanknet.com/view-property/227419/3BC7F3199396EF3D18C1518C1796553E041EECC77BA9B4654355B7CD243770B2</v>
      </c>
      <c r="I3086" t="str">
        <f>HYPERLINK("https://baanknet.com/view-property/227419/3BC7F3199396EF3D18C1518C1796553E041EECC77BA9B4654355B7CD243770B2", "Open")</f>
        <v>Open</v>
      </c>
      <c r="J3086" t="s">
        <v>3803</v>
      </c>
      <c r="L3086">
        <v>3600000</v>
      </c>
      <c r="M3086">
        <v>360000</v>
      </c>
    </row>
    <row r="3087" spans="1:13" x14ac:dyDescent="0.25">
      <c r="A3087" t="s">
        <v>10400</v>
      </c>
      <c r="B3087" t="s">
        <v>10401</v>
      </c>
      <c r="C3087" t="s">
        <v>83</v>
      </c>
      <c r="D3087" t="s">
        <v>533</v>
      </c>
      <c r="E3087" t="s">
        <v>7517</v>
      </c>
      <c r="F3087" t="s">
        <v>7577</v>
      </c>
      <c r="G3087" t="s">
        <v>10402</v>
      </c>
      <c r="H3087" t="str">
        <f>HYPERLINK("https://baanknet.com/view-property/273684/ABFB142557AC94CD28B712F426506A2D5F4A2C66E85A2647C80E5A3AD56645EE", "https://baanknet.com/view-property/273684/ABFB142557AC94CD28B712F426506A2D5F4A2C66E85A2647C80E5A3AD56645EE")</f>
        <v>https://baanknet.com/view-property/273684/ABFB142557AC94CD28B712F426506A2D5F4A2C66E85A2647C80E5A3AD56645EE</v>
      </c>
      <c r="I3087" t="str">
        <f>HYPERLINK("https://baanknet.com/view-property/273684/ABFB142557AC94CD28B712F426506A2D5F4A2C66E85A2647C80E5A3AD56645EE", "Open")</f>
        <v>Open</v>
      </c>
      <c r="J3087" t="s">
        <v>3803</v>
      </c>
      <c r="L3087">
        <v>3500000</v>
      </c>
      <c r="M3087">
        <v>350000</v>
      </c>
    </row>
    <row r="3088" spans="1:13" x14ac:dyDescent="0.25">
      <c r="A3088" t="s">
        <v>10403</v>
      </c>
      <c r="B3088" t="s">
        <v>10404</v>
      </c>
      <c r="C3088" t="s">
        <v>15</v>
      </c>
      <c r="D3088" t="s">
        <v>10405</v>
      </c>
      <c r="E3088" t="s">
        <v>636</v>
      </c>
      <c r="F3088" t="s">
        <v>637</v>
      </c>
      <c r="G3088" t="s">
        <v>10406</v>
      </c>
      <c r="H3088" t="str">
        <f>HYPERLINK("https://baanknet.com/view-property/284993/BA5E57A7BAAAFD27D4F7B4F9CF90E3B448E34454A09387EB9FCF3E94D1992B6D", "https://baanknet.com/view-property/284993/BA5E57A7BAAAFD27D4F7B4F9CF90E3B448E34454A09387EB9FCF3E94D1992B6D")</f>
        <v>https://baanknet.com/view-property/284993/BA5E57A7BAAAFD27D4F7B4F9CF90E3B448E34454A09387EB9FCF3E94D1992B6D</v>
      </c>
      <c r="I3088" t="str">
        <f>HYPERLINK("https://baanknet.com/view-property/284993/BA5E57A7BAAAFD27D4F7B4F9CF90E3B448E34454A09387EB9FCF3E94D1992B6D", "Open")</f>
        <v>Open</v>
      </c>
      <c r="J3088" t="s">
        <v>3803</v>
      </c>
      <c r="L3088">
        <v>2170000</v>
      </c>
      <c r="M3088">
        <v>217000</v>
      </c>
    </row>
    <row r="3089" spans="1:13" x14ac:dyDescent="0.25">
      <c r="A3089" t="s">
        <v>10407</v>
      </c>
      <c r="B3089" t="s">
        <v>10408</v>
      </c>
      <c r="C3089" t="s">
        <v>15</v>
      </c>
      <c r="D3089" t="s">
        <v>10409</v>
      </c>
      <c r="E3089" t="s">
        <v>636</v>
      </c>
      <c r="F3089" t="s">
        <v>637</v>
      </c>
      <c r="G3089" t="s">
        <v>10410</v>
      </c>
      <c r="H3089" t="str">
        <f>HYPERLINK("https://baanknet.com/view-property/245156/EB39856059E2D29CFB25B6450B4E7B5E8A95B20A06875A91C63326EB6AE0FE7C", "https://baanknet.com/view-property/245156/EB39856059E2D29CFB25B6450B4E7B5E8A95B20A06875A91C63326EB6AE0FE7C")</f>
        <v>https://baanknet.com/view-property/245156/EB39856059E2D29CFB25B6450B4E7B5E8A95B20A06875A91C63326EB6AE0FE7C</v>
      </c>
      <c r="I3089" t="str">
        <f>HYPERLINK("https://baanknet.com/view-property/245156/EB39856059E2D29CFB25B6450B4E7B5E8A95B20A06875A91C63326EB6AE0FE7C", "Open")</f>
        <v>Open</v>
      </c>
      <c r="J3089" t="s">
        <v>3803</v>
      </c>
      <c r="L3089">
        <v>6405000</v>
      </c>
      <c r="M3089">
        <v>640500</v>
      </c>
    </row>
    <row r="3090" spans="1:13" x14ac:dyDescent="0.25">
      <c r="A3090" t="s">
        <v>10411</v>
      </c>
      <c r="B3090" t="s">
        <v>10412</v>
      </c>
      <c r="C3090" t="s">
        <v>15</v>
      </c>
      <c r="D3090" t="s">
        <v>612</v>
      </c>
      <c r="E3090" t="s">
        <v>636</v>
      </c>
      <c r="F3090" t="s">
        <v>637</v>
      </c>
      <c r="G3090" t="s">
        <v>10413</v>
      </c>
      <c r="H3090" t="str">
        <f>HYPERLINK("https://baanknet.com/view-property/282979/8B2FF54308790AEBD1D73C8DBFC6F543C27D2744F73A6B7F0040578F79FBC83F", "https://baanknet.com/view-property/282979/8B2FF54308790AEBD1D73C8DBFC6F543C27D2744F73A6B7F0040578F79FBC83F")</f>
        <v>https://baanknet.com/view-property/282979/8B2FF54308790AEBD1D73C8DBFC6F543C27D2744F73A6B7F0040578F79FBC83F</v>
      </c>
      <c r="I3090" t="str">
        <f>HYPERLINK("https://baanknet.com/view-property/282979/8B2FF54308790AEBD1D73C8DBFC6F543C27D2744F73A6B7F0040578F79FBC83F", "Open")</f>
        <v>Open</v>
      </c>
      <c r="J3090" t="s">
        <v>3803</v>
      </c>
      <c r="L3090">
        <v>2610000</v>
      </c>
      <c r="M3090">
        <v>261000</v>
      </c>
    </row>
    <row r="3091" spans="1:13" x14ac:dyDescent="0.25">
      <c r="A3091" t="s">
        <v>10414</v>
      </c>
      <c r="B3091" t="s">
        <v>10415</v>
      </c>
      <c r="C3091" t="s">
        <v>15</v>
      </c>
      <c r="D3091" t="s">
        <v>436</v>
      </c>
      <c r="E3091" t="s">
        <v>636</v>
      </c>
      <c r="F3091" t="s">
        <v>637</v>
      </c>
      <c r="G3091" t="s">
        <v>10416</v>
      </c>
      <c r="H3091" t="str">
        <f>HYPERLINK("https://baanknet.com/view-property/246666/9F9B335CC1983F7BF4DB2303B4224E60293C4977AE5A4F35E4F008CCE3A535E1", "https://baanknet.com/view-property/246666/9F9B335CC1983F7BF4DB2303B4224E60293C4977AE5A4F35E4F008CCE3A535E1")</f>
        <v>https://baanknet.com/view-property/246666/9F9B335CC1983F7BF4DB2303B4224E60293C4977AE5A4F35E4F008CCE3A535E1</v>
      </c>
      <c r="I3091" t="str">
        <f>HYPERLINK("https://baanknet.com/view-property/246666/9F9B335CC1983F7BF4DB2303B4224E60293C4977AE5A4F35E4F008CCE3A535E1", "Open")</f>
        <v>Open</v>
      </c>
      <c r="J3091" t="s">
        <v>3803</v>
      </c>
      <c r="L3091">
        <v>1510000</v>
      </c>
      <c r="M3091">
        <v>151000</v>
      </c>
    </row>
    <row r="3092" spans="1:13" x14ac:dyDescent="0.25">
      <c r="A3092" t="s">
        <v>10417</v>
      </c>
      <c r="B3092" t="s">
        <v>10418</v>
      </c>
      <c r="C3092" t="s">
        <v>15</v>
      </c>
      <c r="D3092" t="s">
        <v>9350</v>
      </c>
      <c r="E3092" t="s">
        <v>636</v>
      </c>
      <c r="F3092" t="s">
        <v>637</v>
      </c>
      <c r="G3092" t="s">
        <v>10419</v>
      </c>
      <c r="H3092" t="str">
        <f>HYPERLINK("https://baanknet.com/view-property/243676/390077A1D5899A949D931E0221D735660BDCE15C4CC6C51B27D0F633B2E8B00E", "https://baanknet.com/view-property/243676/390077A1D5899A949D931E0221D735660BDCE15C4CC6C51B27D0F633B2E8B00E")</f>
        <v>https://baanknet.com/view-property/243676/390077A1D5899A949D931E0221D735660BDCE15C4CC6C51B27D0F633B2E8B00E</v>
      </c>
      <c r="I3092" t="str">
        <f>HYPERLINK("https://baanknet.com/view-property/243676/390077A1D5899A949D931E0221D735660BDCE15C4CC6C51B27D0F633B2E8B00E", "Open")</f>
        <v>Open</v>
      </c>
      <c r="J3092" t="s">
        <v>3803</v>
      </c>
      <c r="L3092">
        <v>3330000</v>
      </c>
      <c r="M3092">
        <v>333000</v>
      </c>
    </row>
    <row r="3093" spans="1:13" x14ac:dyDescent="0.25">
      <c r="A3093" t="s">
        <v>10420</v>
      </c>
      <c r="B3093" t="s">
        <v>10421</v>
      </c>
      <c r="C3093" t="s">
        <v>15</v>
      </c>
      <c r="D3093" t="s">
        <v>10422</v>
      </c>
      <c r="E3093" t="s">
        <v>636</v>
      </c>
      <c r="F3093" t="s">
        <v>637</v>
      </c>
      <c r="G3093" t="s">
        <v>10423</v>
      </c>
      <c r="H3093" t="str">
        <f>HYPERLINK("https://baanknet.com/view-property/228563/EA69D1C7B0D9B528908D616D5CF0C307B61363EC12FD9C2999E50EDE5C597ED2", "https://baanknet.com/view-property/228563/EA69D1C7B0D9B528908D616D5CF0C307B61363EC12FD9C2999E50EDE5C597ED2")</f>
        <v>https://baanknet.com/view-property/228563/EA69D1C7B0D9B528908D616D5CF0C307B61363EC12FD9C2999E50EDE5C597ED2</v>
      </c>
      <c r="I3093" t="str">
        <f>HYPERLINK("https://baanknet.com/view-property/228563/EA69D1C7B0D9B528908D616D5CF0C307B61363EC12FD9C2999E50EDE5C597ED2", "Open")</f>
        <v>Open</v>
      </c>
      <c r="J3093" t="s">
        <v>3803</v>
      </c>
      <c r="L3093">
        <v>275000</v>
      </c>
      <c r="M3093">
        <v>27500</v>
      </c>
    </row>
    <row r="3094" spans="1:13" x14ac:dyDescent="0.25">
      <c r="A3094" t="s">
        <v>10424</v>
      </c>
      <c r="B3094" t="s">
        <v>10425</v>
      </c>
      <c r="C3094" t="s">
        <v>15</v>
      </c>
      <c r="D3094" t="s">
        <v>612</v>
      </c>
      <c r="E3094" t="s">
        <v>636</v>
      </c>
      <c r="F3094" t="s">
        <v>637</v>
      </c>
      <c r="G3094" t="s">
        <v>10426</v>
      </c>
      <c r="H3094" t="str">
        <f>HYPERLINK("https://baanknet.com/view-property/247059/6EA0E6EA6607849A46ABD1326A0E6F79CFBE4778E1161B7BC5DD6A779C7F324E", "https://baanknet.com/view-property/247059/6EA0E6EA6607849A46ABD1326A0E6F79CFBE4778E1161B7BC5DD6A779C7F324E")</f>
        <v>https://baanknet.com/view-property/247059/6EA0E6EA6607849A46ABD1326A0E6F79CFBE4778E1161B7BC5DD6A779C7F324E</v>
      </c>
      <c r="I3094" t="str">
        <f>HYPERLINK("https://baanknet.com/view-property/247059/6EA0E6EA6607849A46ABD1326A0E6F79CFBE4778E1161B7BC5DD6A779C7F324E", "Open")</f>
        <v>Open</v>
      </c>
      <c r="J3094" t="s">
        <v>3803</v>
      </c>
      <c r="L3094">
        <v>1892000</v>
      </c>
      <c r="M3094">
        <v>189200</v>
      </c>
    </row>
    <row r="3095" spans="1:13" x14ac:dyDescent="0.25">
      <c r="A3095" t="s">
        <v>10427</v>
      </c>
      <c r="B3095" t="s">
        <v>10428</v>
      </c>
      <c r="C3095" t="s">
        <v>15</v>
      </c>
      <c r="D3095" t="s">
        <v>10422</v>
      </c>
      <c r="E3095" t="s">
        <v>636</v>
      </c>
      <c r="F3095" t="s">
        <v>637</v>
      </c>
      <c r="G3095" t="s">
        <v>10429</v>
      </c>
      <c r="H3095" t="str">
        <f>HYPERLINK("https://baanknet.com/view-property/206941/09FBD91D122F8CB6204AEBBA98B5F491A82609F3588571216C7831DDAE093645", "https://baanknet.com/view-property/206941/09FBD91D122F8CB6204AEBBA98B5F491A82609F3588571216C7831DDAE093645")</f>
        <v>https://baanknet.com/view-property/206941/09FBD91D122F8CB6204AEBBA98B5F491A82609F3588571216C7831DDAE093645</v>
      </c>
      <c r="I3095" t="str">
        <f>HYPERLINK("https://baanknet.com/view-property/206941/09FBD91D122F8CB6204AEBBA98B5F491A82609F3588571216C7831DDAE093645", "Open")</f>
        <v>Open</v>
      </c>
      <c r="J3095" t="s">
        <v>3803</v>
      </c>
      <c r="L3095">
        <v>796000</v>
      </c>
      <c r="M3095">
        <v>79600</v>
      </c>
    </row>
    <row r="3096" spans="1:13" x14ac:dyDescent="0.25">
      <c r="A3096" t="s">
        <v>10430</v>
      </c>
      <c r="B3096" t="s">
        <v>10431</v>
      </c>
      <c r="C3096" t="s">
        <v>15</v>
      </c>
      <c r="D3096" t="s">
        <v>10422</v>
      </c>
      <c r="E3096" t="s">
        <v>636</v>
      </c>
      <c r="F3096" t="s">
        <v>637</v>
      </c>
      <c r="G3096" t="s">
        <v>10432</v>
      </c>
      <c r="H3096" t="str">
        <f>HYPERLINK("https://baanknet.com/view-property/228584/2F4FB57B383C08AD21CDD4C76435BD2F8B08EDD8997F1AEAF5742FE7F7DF6261", "https://baanknet.com/view-property/228584/2F4FB57B383C08AD21CDD4C76435BD2F8B08EDD8997F1AEAF5742FE7F7DF6261")</f>
        <v>https://baanknet.com/view-property/228584/2F4FB57B383C08AD21CDD4C76435BD2F8B08EDD8997F1AEAF5742FE7F7DF6261</v>
      </c>
      <c r="I3096" t="str">
        <f>HYPERLINK("https://baanknet.com/view-property/228584/2F4FB57B383C08AD21CDD4C76435BD2F8B08EDD8997F1AEAF5742FE7F7DF6261", "Open")</f>
        <v>Open</v>
      </c>
      <c r="J3096" t="s">
        <v>3803</v>
      </c>
      <c r="L3096">
        <v>1760000</v>
      </c>
      <c r="M3096">
        <v>176000</v>
      </c>
    </row>
    <row r="3097" spans="1:13" x14ac:dyDescent="0.25">
      <c r="A3097" t="s">
        <v>10433</v>
      </c>
      <c r="B3097" t="s">
        <v>10434</v>
      </c>
      <c r="C3097" t="s">
        <v>15</v>
      </c>
      <c r="D3097" t="s">
        <v>526</v>
      </c>
      <c r="E3097" t="s">
        <v>636</v>
      </c>
      <c r="F3097" t="s">
        <v>637</v>
      </c>
      <c r="G3097" t="s">
        <v>10435</v>
      </c>
      <c r="H3097" t="str">
        <f>HYPERLINK("https://baanknet.com/view-property/188428/6277A4043357CF405868348A77107EEEE69ED54F560480ADFC50EB0D5699E885", "https://baanknet.com/view-property/188428/6277A4043357CF405868348A77107EEEE69ED54F560480ADFC50EB0D5699E885")</f>
        <v>https://baanknet.com/view-property/188428/6277A4043357CF405868348A77107EEEE69ED54F560480ADFC50EB0D5699E885</v>
      </c>
      <c r="I3097" t="str">
        <f>HYPERLINK("https://baanknet.com/view-property/188428/6277A4043357CF405868348A77107EEEE69ED54F560480ADFC50EB0D5699E885", "Open")</f>
        <v>Open</v>
      </c>
      <c r="J3097" t="s">
        <v>3803</v>
      </c>
      <c r="L3097">
        <v>2257000</v>
      </c>
      <c r="M3097">
        <v>225700</v>
      </c>
    </row>
    <row r="3098" spans="1:13" x14ac:dyDescent="0.25">
      <c r="A3098" t="s">
        <v>10436</v>
      </c>
      <c r="B3098" t="s">
        <v>10437</v>
      </c>
      <c r="C3098" t="s">
        <v>15</v>
      </c>
      <c r="D3098" t="s">
        <v>393</v>
      </c>
      <c r="E3098" t="s">
        <v>636</v>
      </c>
      <c r="F3098" t="s">
        <v>637</v>
      </c>
      <c r="G3098" t="s">
        <v>10438</v>
      </c>
      <c r="H3098" t="str">
        <f>HYPERLINK("https://baanknet.com/view-property/279404/FED5425CE729DF8BBF1DBB494ED5D88000E28093164576FBED9FC3A8415CE621", "https://baanknet.com/view-property/279404/FED5425CE729DF8BBF1DBB494ED5D88000E28093164576FBED9FC3A8415CE621")</f>
        <v>https://baanknet.com/view-property/279404/FED5425CE729DF8BBF1DBB494ED5D88000E28093164576FBED9FC3A8415CE621</v>
      </c>
      <c r="I3098" t="str">
        <f>HYPERLINK("https://baanknet.com/view-property/279404/FED5425CE729DF8BBF1DBB494ED5D88000E28093164576FBED9FC3A8415CE621", "Open")</f>
        <v>Open</v>
      </c>
      <c r="J3098" t="s">
        <v>3803</v>
      </c>
      <c r="L3098">
        <v>3742000</v>
      </c>
      <c r="M3098">
        <v>374200</v>
      </c>
    </row>
    <row r="3099" spans="1:13" x14ac:dyDescent="0.25">
      <c r="A3099" t="s">
        <v>10439</v>
      </c>
      <c r="B3099" t="s">
        <v>10440</v>
      </c>
      <c r="C3099" t="s">
        <v>15</v>
      </c>
      <c r="D3099" t="s">
        <v>9101</v>
      </c>
      <c r="E3099" t="s">
        <v>7521</v>
      </c>
      <c r="F3099" t="s">
        <v>8384</v>
      </c>
      <c r="G3099" t="s">
        <v>10441</v>
      </c>
      <c r="H3099" t="str">
        <f>HYPERLINK("https://baanknet.com/view-property/203302/F1B501D4B210A5B3AD8E44E6624C8715B5417787ABFA335641C9CA2B36E5C2F6", "https://baanknet.com/view-property/203302/F1B501D4B210A5B3AD8E44E6624C8715B5417787ABFA335641C9CA2B36E5C2F6")</f>
        <v>https://baanknet.com/view-property/203302/F1B501D4B210A5B3AD8E44E6624C8715B5417787ABFA335641C9CA2B36E5C2F6</v>
      </c>
      <c r="I3099" t="str">
        <f>HYPERLINK("https://baanknet.com/view-property/203302/F1B501D4B210A5B3AD8E44E6624C8715B5417787ABFA335641C9CA2B36E5C2F6", "Open")</f>
        <v>Open</v>
      </c>
      <c r="J3099" t="s">
        <v>3803</v>
      </c>
      <c r="L3099">
        <v>548000</v>
      </c>
      <c r="M3099">
        <v>54800</v>
      </c>
    </row>
    <row r="3100" spans="1:13" x14ac:dyDescent="0.25">
      <c r="A3100" t="s">
        <v>10442</v>
      </c>
      <c r="B3100" t="s">
        <v>10443</v>
      </c>
      <c r="C3100" t="s">
        <v>525</v>
      </c>
      <c r="D3100" t="s">
        <v>1267</v>
      </c>
      <c r="E3100" t="s">
        <v>7521</v>
      </c>
      <c r="F3100" t="s">
        <v>8384</v>
      </c>
      <c r="G3100" t="s">
        <v>10444</v>
      </c>
      <c r="H3100" t="str">
        <f>HYPERLINK("https://baanknet.com/view-property/285521/699D167BE3BCA0373EC295381475379939E0D12D1C29D765AA1C420724D4BE76", "https://baanknet.com/view-property/285521/699D167BE3BCA0373EC295381475379939E0D12D1C29D765AA1C420724D4BE76")</f>
        <v>https://baanknet.com/view-property/285521/699D167BE3BCA0373EC295381475379939E0D12D1C29D765AA1C420724D4BE76</v>
      </c>
      <c r="I3100" t="str">
        <f>HYPERLINK("https://baanknet.com/view-property/285521/699D167BE3BCA0373EC295381475379939E0D12D1C29D765AA1C420724D4BE76", "Open")</f>
        <v>Open</v>
      </c>
      <c r="J3100" t="s">
        <v>3803</v>
      </c>
      <c r="L3100">
        <v>1750000</v>
      </c>
      <c r="M3100">
        <v>175000</v>
      </c>
    </row>
    <row r="3101" spans="1:13" x14ac:dyDescent="0.25">
      <c r="A3101" t="s">
        <v>10445</v>
      </c>
      <c r="B3101" t="s">
        <v>10446</v>
      </c>
      <c r="C3101" t="s">
        <v>525</v>
      </c>
      <c r="D3101" t="s">
        <v>1267</v>
      </c>
      <c r="E3101" t="s">
        <v>7521</v>
      </c>
      <c r="F3101" t="s">
        <v>8384</v>
      </c>
      <c r="G3101" t="s">
        <v>10447</v>
      </c>
      <c r="H3101" t="str">
        <f>HYPERLINK("https://baanknet.com/view-property/285530/F39B1F27FFF3E472EDCA34C046DE580C573836F4A97C8D64F95FA5813EFFD31D", "https://baanknet.com/view-property/285530/F39B1F27FFF3E472EDCA34C046DE580C573836F4A97C8D64F95FA5813EFFD31D")</f>
        <v>https://baanknet.com/view-property/285530/F39B1F27FFF3E472EDCA34C046DE580C573836F4A97C8D64F95FA5813EFFD31D</v>
      </c>
      <c r="I3101" t="str">
        <f>HYPERLINK("https://baanknet.com/view-property/285530/F39B1F27FFF3E472EDCA34C046DE580C573836F4A97C8D64F95FA5813EFFD31D", "Open")</f>
        <v>Open</v>
      </c>
      <c r="J3101" t="s">
        <v>3803</v>
      </c>
      <c r="L3101">
        <v>1670000</v>
      </c>
      <c r="M3101">
        <v>167000</v>
      </c>
    </row>
    <row r="3102" spans="1:13" x14ac:dyDescent="0.25">
      <c r="A3102" t="s">
        <v>10448</v>
      </c>
      <c r="B3102" t="s">
        <v>10449</v>
      </c>
      <c r="C3102" t="s">
        <v>525</v>
      </c>
      <c r="D3102" t="s">
        <v>533</v>
      </c>
      <c r="E3102" t="s">
        <v>7521</v>
      </c>
      <c r="F3102" t="s">
        <v>8384</v>
      </c>
      <c r="G3102" t="s">
        <v>10450</v>
      </c>
      <c r="H3102" t="str">
        <f>HYPERLINK("https://baanknet.com/view-property/285721/9B56C68D475900BB56A0E61CCF97408837B4A4F4015B9A6C2D7CD71EC781D0A1", "https://baanknet.com/view-property/285721/9B56C68D475900BB56A0E61CCF97408837B4A4F4015B9A6C2D7CD71EC781D0A1")</f>
        <v>https://baanknet.com/view-property/285721/9B56C68D475900BB56A0E61CCF97408837B4A4F4015B9A6C2D7CD71EC781D0A1</v>
      </c>
      <c r="I3102" t="str">
        <f>HYPERLINK("https://baanknet.com/view-property/285721/9B56C68D475900BB56A0E61CCF97408837B4A4F4015B9A6C2D7CD71EC781D0A1", "Open")</f>
        <v>Open</v>
      </c>
      <c r="J3102" t="s">
        <v>3803</v>
      </c>
      <c r="L3102">
        <v>1800000</v>
      </c>
      <c r="M3102">
        <v>180000</v>
      </c>
    </row>
    <row r="3103" spans="1:13" x14ac:dyDescent="0.25">
      <c r="A3103" t="s">
        <v>10451</v>
      </c>
      <c r="B3103" t="s">
        <v>10452</v>
      </c>
      <c r="C3103" t="s">
        <v>525</v>
      </c>
      <c r="D3103" t="s">
        <v>533</v>
      </c>
      <c r="E3103" t="s">
        <v>7521</v>
      </c>
      <c r="F3103" t="s">
        <v>8384</v>
      </c>
      <c r="G3103" t="s">
        <v>10453</v>
      </c>
      <c r="H3103" t="str">
        <f>HYPERLINK("https://baanknet.com/view-property/285710/578096DC3ED32333362DC81CB27B17A7ED3A580960456D06F950DBA218F0D14C", "https://baanknet.com/view-property/285710/578096DC3ED32333362DC81CB27B17A7ED3A580960456D06F950DBA218F0D14C")</f>
        <v>https://baanknet.com/view-property/285710/578096DC3ED32333362DC81CB27B17A7ED3A580960456D06F950DBA218F0D14C</v>
      </c>
      <c r="I3103" t="str">
        <f>HYPERLINK("https://baanknet.com/view-property/285710/578096DC3ED32333362DC81CB27B17A7ED3A580960456D06F950DBA218F0D14C", "Open")</f>
        <v>Open</v>
      </c>
      <c r="J3103" t="s">
        <v>3803</v>
      </c>
      <c r="L3103">
        <v>2000000</v>
      </c>
      <c r="M3103">
        <v>200000</v>
      </c>
    </row>
    <row r="3104" spans="1:13" x14ac:dyDescent="0.25">
      <c r="A3104" t="s">
        <v>10454</v>
      </c>
      <c r="B3104" t="s">
        <v>10455</v>
      </c>
      <c r="C3104" t="s">
        <v>15</v>
      </c>
      <c r="D3104" t="s">
        <v>10456</v>
      </c>
      <c r="E3104" t="s">
        <v>7521</v>
      </c>
      <c r="F3104" t="s">
        <v>8384</v>
      </c>
      <c r="G3104" t="s">
        <v>10457</v>
      </c>
      <c r="H3104" t="str">
        <f>HYPERLINK("https://baanknet.com/view-property/269812/943B5D735B2E96EB2BE71CB6527D9E506CC830C907448327E117E832A5DBAF3B", "https://baanknet.com/view-property/269812/943B5D735B2E96EB2BE71CB6527D9E506CC830C907448327E117E832A5DBAF3B")</f>
        <v>https://baanknet.com/view-property/269812/943B5D735B2E96EB2BE71CB6527D9E506CC830C907448327E117E832A5DBAF3B</v>
      </c>
      <c r="I3104" t="str">
        <f>HYPERLINK("https://baanknet.com/view-property/269812/943B5D735B2E96EB2BE71CB6527D9E506CC830C907448327E117E832A5DBAF3B", "Open")</f>
        <v>Open</v>
      </c>
      <c r="J3104" t="s">
        <v>3803</v>
      </c>
      <c r="L3104">
        <v>1150000</v>
      </c>
      <c r="M3104">
        <v>115000</v>
      </c>
    </row>
    <row r="3105" spans="1:13" x14ac:dyDescent="0.25">
      <c r="A3105" t="s">
        <v>10458</v>
      </c>
      <c r="B3105" t="s">
        <v>10459</v>
      </c>
      <c r="C3105" t="s">
        <v>15</v>
      </c>
      <c r="D3105" t="s">
        <v>2824</v>
      </c>
      <c r="E3105" t="s">
        <v>7521</v>
      </c>
      <c r="F3105" t="s">
        <v>8384</v>
      </c>
      <c r="G3105" t="s">
        <v>10460</v>
      </c>
      <c r="H3105" t="str">
        <f>HYPERLINK("https://baanknet.com/view-property/274342/E64A02D842CDF87E6B26ACF0FD635B163AD4E760B49EF753723F72E49C7BDDF9", "https://baanknet.com/view-property/274342/E64A02D842CDF87E6B26ACF0FD635B163AD4E760B49EF753723F72E49C7BDDF9")</f>
        <v>https://baanknet.com/view-property/274342/E64A02D842CDF87E6B26ACF0FD635B163AD4E760B49EF753723F72E49C7BDDF9</v>
      </c>
      <c r="I3105" t="str">
        <f>HYPERLINK("https://baanknet.com/view-property/274342/E64A02D842CDF87E6B26ACF0FD635B163AD4E760B49EF753723F72E49C7BDDF9", "Open")</f>
        <v>Open</v>
      </c>
      <c r="J3105" t="s">
        <v>3803</v>
      </c>
      <c r="L3105">
        <v>1870000</v>
      </c>
      <c r="M3105">
        <v>187000</v>
      </c>
    </row>
    <row r="3106" spans="1:13" x14ac:dyDescent="0.25">
      <c r="A3106" t="s">
        <v>10461</v>
      </c>
      <c r="B3106" t="s">
        <v>10462</v>
      </c>
      <c r="C3106" t="s">
        <v>15</v>
      </c>
      <c r="D3106" t="s">
        <v>10463</v>
      </c>
      <c r="E3106" t="s">
        <v>7521</v>
      </c>
      <c r="F3106" t="s">
        <v>8384</v>
      </c>
      <c r="G3106" t="s">
        <v>10464</v>
      </c>
      <c r="H3106" t="str">
        <f>HYPERLINK("https://baanknet.com/view-property/281844/62BFB3C386AB850A8FE3F2FA9CB79C8F3632F455D025A7F3AF5F2E9FA3E5B271", "https://baanknet.com/view-property/281844/62BFB3C386AB850A8FE3F2FA9CB79C8F3632F455D025A7F3AF5F2E9FA3E5B271")</f>
        <v>https://baanknet.com/view-property/281844/62BFB3C386AB850A8FE3F2FA9CB79C8F3632F455D025A7F3AF5F2E9FA3E5B271</v>
      </c>
      <c r="I3106" t="str">
        <f>HYPERLINK("https://baanknet.com/view-property/281844/62BFB3C386AB850A8FE3F2FA9CB79C8F3632F455D025A7F3AF5F2E9FA3E5B271", "Open")</f>
        <v>Open</v>
      </c>
      <c r="J3106" t="s">
        <v>3803</v>
      </c>
      <c r="L3106">
        <v>1620000</v>
      </c>
      <c r="M3106">
        <v>162000</v>
      </c>
    </row>
    <row r="3107" spans="1:13" x14ac:dyDescent="0.25">
      <c r="A3107" t="s">
        <v>10465</v>
      </c>
      <c r="B3107" t="s">
        <v>10466</v>
      </c>
      <c r="C3107" t="s">
        <v>15</v>
      </c>
      <c r="D3107" t="s">
        <v>1619</v>
      </c>
      <c r="E3107" t="s">
        <v>7521</v>
      </c>
      <c r="F3107" t="s">
        <v>8384</v>
      </c>
      <c r="G3107" t="s">
        <v>10467</v>
      </c>
      <c r="H3107" t="str">
        <f>HYPERLINK("https://baanknet.com/view-property/282199/4C4C57976DA608A720B9B9C0C114B66B2BA81F2CD46686AEAE0875FA42B3609D", "https://baanknet.com/view-property/282199/4C4C57976DA608A720B9B9C0C114B66B2BA81F2CD46686AEAE0875FA42B3609D")</f>
        <v>https://baanknet.com/view-property/282199/4C4C57976DA608A720B9B9C0C114B66B2BA81F2CD46686AEAE0875FA42B3609D</v>
      </c>
      <c r="I3107" t="str">
        <f>HYPERLINK("https://baanknet.com/view-property/282199/4C4C57976DA608A720B9B9C0C114B66B2BA81F2CD46686AEAE0875FA42B3609D", "Open")</f>
        <v>Open</v>
      </c>
      <c r="J3107" t="s">
        <v>3803</v>
      </c>
      <c r="L3107">
        <v>1863000</v>
      </c>
      <c r="M3107">
        <v>186300</v>
      </c>
    </row>
    <row r="3108" spans="1:13" x14ac:dyDescent="0.25">
      <c r="A3108" t="s">
        <v>10468</v>
      </c>
      <c r="B3108" t="s">
        <v>10469</v>
      </c>
      <c r="C3108" t="s">
        <v>15</v>
      </c>
      <c r="D3108" t="s">
        <v>282</v>
      </c>
      <c r="E3108" t="s">
        <v>7521</v>
      </c>
      <c r="F3108" t="s">
        <v>8384</v>
      </c>
      <c r="G3108" t="s">
        <v>10470</v>
      </c>
      <c r="H3108" t="str">
        <f>HYPERLINK("https://baanknet.com/view-property/276563/472C12AE6FD5F70118ADF7B41C061AF1C810FC0FA14CD23E33463CD0B6AF085B", "https://baanknet.com/view-property/276563/472C12AE6FD5F70118ADF7B41C061AF1C810FC0FA14CD23E33463CD0B6AF085B")</f>
        <v>https://baanknet.com/view-property/276563/472C12AE6FD5F70118ADF7B41C061AF1C810FC0FA14CD23E33463CD0B6AF085B</v>
      </c>
      <c r="I3108" t="str">
        <f>HYPERLINK("https://baanknet.com/view-property/276563/472C12AE6FD5F70118ADF7B41C061AF1C810FC0FA14CD23E33463CD0B6AF085B", "Open")</f>
        <v>Open</v>
      </c>
      <c r="J3108" t="s">
        <v>3803</v>
      </c>
      <c r="L3108">
        <v>3240000</v>
      </c>
      <c r="M3108">
        <v>324000</v>
      </c>
    </row>
    <row r="3109" spans="1:13" x14ac:dyDescent="0.25">
      <c r="A3109" t="s">
        <v>10471</v>
      </c>
      <c r="B3109" t="s">
        <v>10472</v>
      </c>
      <c r="C3109" t="s">
        <v>15</v>
      </c>
      <c r="D3109" t="s">
        <v>282</v>
      </c>
      <c r="E3109" t="s">
        <v>7521</v>
      </c>
      <c r="F3109" t="s">
        <v>8384</v>
      </c>
      <c r="G3109" t="s">
        <v>10473</v>
      </c>
      <c r="H3109" t="str">
        <f>HYPERLINK("https://baanknet.com/view-property/269806/3A54A8CA8221C2F2298AAAAD4B8026FC33F462BA10C5B22657E63A967062431C", "https://baanknet.com/view-property/269806/3A54A8CA8221C2F2298AAAAD4B8026FC33F462BA10C5B22657E63A967062431C")</f>
        <v>https://baanknet.com/view-property/269806/3A54A8CA8221C2F2298AAAAD4B8026FC33F462BA10C5B22657E63A967062431C</v>
      </c>
      <c r="I3109" t="str">
        <f>HYPERLINK("https://baanknet.com/view-property/269806/3A54A8CA8221C2F2298AAAAD4B8026FC33F462BA10C5B22657E63A967062431C", "Open")</f>
        <v>Open</v>
      </c>
      <c r="J3109" t="s">
        <v>3803</v>
      </c>
      <c r="L3109">
        <v>2457000</v>
      </c>
      <c r="M3109">
        <v>245700</v>
      </c>
    </row>
    <row r="3110" spans="1:13" x14ac:dyDescent="0.25">
      <c r="A3110" t="s">
        <v>10474</v>
      </c>
      <c r="B3110" t="s">
        <v>10475</v>
      </c>
      <c r="C3110" t="s">
        <v>525</v>
      </c>
      <c r="D3110" t="s">
        <v>1267</v>
      </c>
      <c r="E3110" t="s">
        <v>7521</v>
      </c>
      <c r="F3110" t="s">
        <v>8384</v>
      </c>
      <c r="G3110" t="s">
        <v>10476</v>
      </c>
      <c r="H3110" t="str">
        <f>HYPERLINK("https://baanknet.com/view-property/285550/FEC8B4693B10E521BA39C77318D25BAC9BEE00CCAB19B090473556420D7D4712", "https://baanknet.com/view-property/285550/FEC8B4693B10E521BA39C77318D25BAC9BEE00CCAB19B090473556420D7D4712")</f>
        <v>https://baanknet.com/view-property/285550/FEC8B4693B10E521BA39C77318D25BAC9BEE00CCAB19B090473556420D7D4712</v>
      </c>
      <c r="I3110" t="str">
        <f>HYPERLINK("https://baanknet.com/view-property/285550/FEC8B4693B10E521BA39C77318D25BAC9BEE00CCAB19B090473556420D7D4712", "Open")</f>
        <v>Open</v>
      </c>
      <c r="J3110" t="s">
        <v>3803</v>
      </c>
      <c r="L3110">
        <v>4020000</v>
      </c>
      <c r="M3110">
        <v>402000</v>
      </c>
    </row>
    <row r="3111" spans="1:13" x14ac:dyDescent="0.25">
      <c r="A3111" t="s">
        <v>10477</v>
      </c>
      <c r="B3111" t="s">
        <v>10478</v>
      </c>
      <c r="C3111" t="s">
        <v>15</v>
      </c>
      <c r="D3111" t="s">
        <v>608</v>
      </c>
      <c r="E3111" t="s">
        <v>7521</v>
      </c>
      <c r="F3111" t="s">
        <v>8384</v>
      </c>
      <c r="G3111" t="s">
        <v>10479</v>
      </c>
      <c r="H3111" t="str">
        <f>HYPERLINK("https://baanknet.com/view-property/271779/A6D048FBD52966BB2937245F8E3A321058EE1FD4D0703ACCB49912E6ABF41F48", "https://baanknet.com/view-property/271779/A6D048FBD52966BB2937245F8E3A321058EE1FD4D0703ACCB49912E6ABF41F48")</f>
        <v>https://baanknet.com/view-property/271779/A6D048FBD52966BB2937245F8E3A321058EE1FD4D0703ACCB49912E6ABF41F48</v>
      </c>
      <c r="I3111" t="str">
        <f>HYPERLINK("https://baanknet.com/view-property/271779/A6D048FBD52966BB2937245F8E3A321058EE1FD4D0703ACCB49912E6ABF41F48", "Open")</f>
        <v>Open</v>
      </c>
      <c r="J3111" t="s">
        <v>3803</v>
      </c>
      <c r="L3111">
        <v>65792000</v>
      </c>
      <c r="M3111">
        <v>6579200</v>
      </c>
    </row>
    <row r="3112" spans="1:13" x14ac:dyDescent="0.25">
      <c r="A3112" t="s">
        <v>10480</v>
      </c>
      <c r="B3112" t="s">
        <v>10481</v>
      </c>
      <c r="C3112" t="s">
        <v>15</v>
      </c>
      <c r="D3112" t="s">
        <v>5955</v>
      </c>
      <c r="E3112" t="s">
        <v>7521</v>
      </c>
      <c r="F3112" t="s">
        <v>8384</v>
      </c>
      <c r="G3112" t="s">
        <v>10482</v>
      </c>
      <c r="H3112" t="str">
        <f>HYPERLINK("https://baanknet.com/view-property/240232/DDB4E265DFED5356006D10EE77624CDDA6AFC97015AD7D59D361B148A02DCF35", "https://baanknet.com/view-property/240232/DDB4E265DFED5356006D10EE77624CDDA6AFC97015AD7D59D361B148A02DCF35")</f>
        <v>https://baanknet.com/view-property/240232/DDB4E265DFED5356006D10EE77624CDDA6AFC97015AD7D59D361B148A02DCF35</v>
      </c>
      <c r="I3112" t="str">
        <f>HYPERLINK("https://baanknet.com/view-property/240232/DDB4E265DFED5356006D10EE77624CDDA6AFC97015AD7D59D361B148A02DCF35", "Open")</f>
        <v>Open</v>
      </c>
      <c r="J3112" t="s">
        <v>3803</v>
      </c>
      <c r="L3112">
        <v>3900000</v>
      </c>
      <c r="M3112">
        <v>390000</v>
      </c>
    </row>
    <row r="3113" spans="1:13" x14ac:dyDescent="0.25">
      <c r="A3113" t="s">
        <v>10483</v>
      </c>
      <c r="B3113" t="s">
        <v>10484</v>
      </c>
      <c r="C3113" t="s">
        <v>15</v>
      </c>
      <c r="D3113" t="s">
        <v>5955</v>
      </c>
      <c r="E3113" t="s">
        <v>7521</v>
      </c>
      <c r="F3113" t="s">
        <v>8384</v>
      </c>
      <c r="G3113" t="s">
        <v>10485</v>
      </c>
      <c r="H3113" t="str">
        <f>HYPERLINK("https://baanknet.com/view-property/240236/0DB4A4D4F7FFFB87F7D4E85A496834802B268CEBD1A3B84769460099C2338094", "https://baanknet.com/view-property/240236/0DB4A4D4F7FFFB87F7D4E85A496834802B268CEBD1A3B84769460099C2338094")</f>
        <v>https://baanknet.com/view-property/240236/0DB4A4D4F7FFFB87F7D4E85A496834802B268CEBD1A3B84769460099C2338094</v>
      </c>
      <c r="I3113" t="str">
        <f>HYPERLINK("https://baanknet.com/view-property/240236/0DB4A4D4F7FFFB87F7D4E85A496834802B268CEBD1A3B84769460099C2338094", "Open")</f>
        <v>Open</v>
      </c>
      <c r="J3113" t="s">
        <v>3803</v>
      </c>
      <c r="L3113">
        <v>4100000</v>
      </c>
      <c r="M3113">
        <v>410000</v>
      </c>
    </row>
    <row r="3114" spans="1:13" x14ac:dyDescent="0.25">
      <c r="A3114" t="s">
        <v>10486</v>
      </c>
      <c r="B3114" t="s">
        <v>10487</v>
      </c>
      <c r="C3114" t="s">
        <v>15</v>
      </c>
      <c r="D3114" t="s">
        <v>5955</v>
      </c>
      <c r="E3114" t="s">
        <v>7521</v>
      </c>
      <c r="F3114" t="s">
        <v>8384</v>
      </c>
      <c r="G3114" t="s">
        <v>10488</v>
      </c>
      <c r="H3114" t="str">
        <f>HYPERLINK("https://baanknet.com/view-property/240241/8DEEC482B76C9EC8BAE3681D80ADAFE6009B278C6033C0393E54486025439EFB", "https://baanknet.com/view-property/240241/8DEEC482B76C9EC8BAE3681D80ADAFE6009B278C6033C0393E54486025439EFB")</f>
        <v>https://baanknet.com/view-property/240241/8DEEC482B76C9EC8BAE3681D80ADAFE6009B278C6033C0393E54486025439EFB</v>
      </c>
      <c r="I3114" t="str">
        <f>HYPERLINK("https://baanknet.com/view-property/240241/8DEEC482B76C9EC8BAE3681D80ADAFE6009B278C6033C0393E54486025439EFB", "Open")</f>
        <v>Open</v>
      </c>
      <c r="J3114" t="s">
        <v>3803</v>
      </c>
      <c r="L3114">
        <v>4100000</v>
      </c>
      <c r="M3114">
        <v>410000</v>
      </c>
    </row>
    <row r="3115" spans="1:13" x14ac:dyDescent="0.25">
      <c r="A3115" t="s">
        <v>10489</v>
      </c>
      <c r="B3115" t="s">
        <v>10490</v>
      </c>
      <c r="C3115" t="s">
        <v>15</v>
      </c>
      <c r="D3115" t="s">
        <v>5955</v>
      </c>
      <c r="E3115" t="s">
        <v>7521</v>
      </c>
      <c r="F3115" t="s">
        <v>8384</v>
      </c>
      <c r="G3115" t="s">
        <v>10491</v>
      </c>
      <c r="H3115" t="str">
        <f>HYPERLINK("https://baanknet.com/view-property/240248/1811EBA45837A6C52E52ABFA9D8961E0E50BB3F8F2CECF92404A0903CFD0FA9E", "https://baanknet.com/view-property/240248/1811EBA45837A6C52E52ABFA9D8961E0E50BB3F8F2CECF92404A0903CFD0FA9E")</f>
        <v>https://baanknet.com/view-property/240248/1811EBA45837A6C52E52ABFA9D8961E0E50BB3F8F2CECF92404A0903CFD0FA9E</v>
      </c>
      <c r="I3115" t="str">
        <f>HYPERLINK("https://baanknet.com/view-property/240248/1811EBA45837A6C52E52ABFA9D8961E0E50BB3F8F2CECF92404A0903CFD0FA9E", "Open")</f>
        <v>Open</v>
      </c>
      <c r="J3115" t="s">
        <v>3803</v>
      </c>
      <c r="L3115">
        <v>5800000</v>
      </c>
      <c r="M3115">
        <v>580000</v>
      </c>
    </row>
    <row r="3116" spans="1:13" x14ac:dyDescent="0.25">
      <c r="A3116" t="s">
        <v>10492</v>
      </c>
      <c r="B3116" t="s">
        <v>10493</v>
      </c>
      <c r="C3116" t="s">
        <v>15</v>
      </c>
      <c r="D3116" t="s">
        <v>5955</v>
      </c>
      <c r="E3116" t="s">
        <v>7521</v>
      </c>
      <c r="F3116" t="s">
        <v>8384</v>
      </c>
      <c r="G3116" t="s">
        <v>10494</v>
      </c>
      <c r="H3116" t="str">
        <f>HYPERLINK("https://baanknet.com/view-property/240250/E258A4012387BFE0B4E5FFF10720B73F6DCC71E0D99B8809BA145E2816B8D584", "https://baanknet.com/view-property/240250/E258A4012387BFE0B4E5FFF10720B73F6DCC71E0D99B8809BA145E2816B8D584")</f>
        <v>https://baanknet.com/view-property/240250/E258A4012387BFE0B4E5FFF10720B73F6DCC71E0D99B8809BA145E2816B8D584</v>
      </c>
      <c r="I3116" t="str">
        <f>HYPERLINK("https://baanknet.com/view-property/240250/E258A4012387BFE0B4E5FFF10720B73F6DCC71E0D99B8809BA145E2816B8D584", "Open")</f>
        <v>Open</v>
      </c>
      <c r="J3116" t="s">
        <v>3803</v>
      </c>
      <c r="L3116">
        <v>2600000</v>
      </c>
      <c r="M3116">
        <v>260000</v>
      </c>
    </row>
    <row r="3117" spans="1:13" x14ac:dyDescent="0.25">
      <c r="A3117" t="s">
        <v>10495</v>
      </c>
      <c r="B3117" t="s">
        <v>10496</v>
      </c>
      <c r="C3117" t="s">
        <v>15</v>
      </c>
      <c r="D3117" t="s">
        <v>5955</v>
      </c>
      <c r="E3117" t="s">
        <v>7521</v>
      </c>
      <c r="F3117" t="s">
        <v>8384</v>
      </c>
      <c r="G3117" t="s">
        <v>10497</v>
      </c>
      <c r="H3117" t="str">
        <f>HYPERLINK("https://baanknet.com/view-property/240326/1093EBBAF5562382DB7C060B81F890376BC57B39359965E1BF9D2DBC31C14466", "https://baanknet.com/view-property/240326/1093EBBAF5562382DB7C060B81F890376BC57B39359965E1BF9D2DBC31C14466")</f>
        <v>https://baanknet.com/view-property/240326/1093EBBAF5562382DB7C060B81F890376BC57B39359965E1BF9D2DBC31C14466</v>
      </c>
      <c r="I3117" t="str">
        <f>HYPERLINK("https://baanknet.com/view-property/240326/1093EBBAF5562382DB7C060B81F890376BC57B39359965E1BF9D2DBC31C14466", "Open")</f>
        <v>Open</v>
      </c>
      <c r="J3117" t="s">
        <v>3803</v>
      </c>
      <c r="L3117">
        <v>1950000</v>
      </c>
      <c r="M3117">
        <v>195000</v>
      </c>
    </row>
    <row r="3118" spans="1:13" x14ac:dyDescent="0.25">
      <c r="A3118" t="s">
        <v>10498</v>
      </c>
      <c r="B3118" t="s">
        <v>10499</v>
      </c>
      <c r="C3118" t="s">
        <v>15</v>
      </c>
      <c r="D3118" t="s">
        <v>5955</v>
      </c>
      <c r="E3118" t="s">
        <v>7521</v>
      </c>
      <c r="F3118" t="s">
        <v>8384</v>
      </c>
      <c r="G3118" t="s">
        <v>10500</v>
      </c>
      <c r="H3118" t="str">
        <f>HYPERLINK("https://baanknet.com/view-property/240329/D3B5AD72F1C8E8380542A6BDFB055E4BE2293DA8F9E876DC8043F93152700036", "https://baanknet.com/view-property/240329/D3B5AD72F1C8E8380542A6BDFB055E4BE2293DA8F9E876DC8043F93152700036")</f>
        <v>https://baanknet.com/view-property/240329/D3B5AD72F1C8E8380542A6BDFB055E4BE2293DA8F9E876DC8043F93152700036</v>
      </c>
      <c r="I3118" t="str">
        <f>HYPERLINK("https://baanknet.com/view-property/240329/D3B5AD72F1C8E8380542A6BDFB055E4BE2293DA8F9E876DC8043F93152700036", "Open")</f>
        <v>Open</v>
      </c>
      <c r="J3118" t="s">
        <v>3803</v>
      </c>
      <c r="L3118">
        <v>3900000</v>
      </c>
      <c r="M3118">
        <v>390000</v>
      </c>
    </row>
    <row r="3119" spans="1:13" x14ac:dyDescent="0.25">
      <c r="A3119" t="s">
        <v>10501</v>
      </c>
      <c r="B3119" t="s">
        <v>10502</v>
      </c>
      <c r="C3119" t="s">
        <v>15</v>
      </c>
      <c r="D3119" t="s">
        <v>5955</v>
      </c>
      <c r="E3119" t="s">
        <v>7521</v>
      </c>
      <c r="F3119" t="s">
        <v>8384</v>
      </c>
      <c r="G3119" t="s">
        <v>10503</v>
      </c>
      <c r="H3119" t="str">
        <f>HYPERLINK("https://baanknet.com/view-property/240335/033B660F2560EDE1986B139AB144481D279ABE46A2AF1E17CB1499E5A5951EE7", "https://baanknet.com/view-property/240335/033B660F2560EDE1986B139AB144481D279ABE46A2AF1E17CB1499E5A5951EE7")</f>
        <v>https://baanknet.com/view-property/240335/033B660F2560EDE1986B139AB144481D279ABE46A2AF1E17CB1499E5A5951EE7</v>
      </c>
      <c r="I3119" t="str">
        <f>HYPERLINK("https://baanknet.com/view-property/240335/033B660F2560EDE1986B139AB144481D279ABE46A2AF1E17CB1499E5A5951EE7", "Open")</f>
        <v>Open</v>
      </c>
      <c r="J3119" t="s">
        <v>3803</v>
      </c>
      <c r="L3119">
        <v>2100000</v>
      </c>
      <c r="M3119">
        <v>210000</v>
      </c>
    </row>
    <row r="3120" spans="1:13" x14ac:dyDescent="0.25">
      <c r="A3120" t="s">
        <v>10504</v>
      </c>
      <c r="B3120" t="s">
        <v>10505</v>
      </c>
      <c r="C3120" t="s">
        <v>15</v>
      </c>
      <c r="D3120" t="s">
        <v>5955</v>
      </c>
      <c r="E3120" t="s">
        <v>7521</v>
      </c>
      <c r="F3120" t="s">
        <v>8384</v>
      </c>
      <c r="G3120" t="s">
        <v>10506</v>
      </c>
      <c r="H3120" t="str">
        <f>HYPERLINK("https://baanknet.com/view-property/240346/815A5D8F58507FA2670702CEED373EE98DC48B1503151F2360757D0D0042EF28", "https://baanknet.com/view-property/240346/815A5D8F58507FA2670702CEED373EE98DC48B1503151F2360757D0D0042EF28")</f>
        <v>https://baanknet.com/view-property/240346/815A5D8F58507FA2670702CEED373EE98DC48B1503151F2360757D0D0042EF28</v>
      </c>
      <c r="I3120" t="str">
        <f>HYPERLINK("https://baanknet.com/view-property/240346/815A5D8F58507FA2670702CEED373EE98DC48B1503151F2360757D0D0042EF28", "Open")</f>
        <v>Open</v>
      </c>
      <c r="J3120" t="s">
        <v>3803</v>
      </c>
      <c r="L3120">
        <v>4100000</v>
      </c>
      <c r="M3120">
        <v>410000</v>
      </c>
    </row>
    <row r="3121" spans="1:13" x14ac:dyDescent="0.25">
      <c r="A3121" t="s">
        <v>10507</v>
      </c>
      <c r="B3121" t="s">
        <v>10508</v>
      </c>
      <c r="C3121" t="s">
        <v>15</v>
      </c>
      <c r="D3121" t="s">
        <v>5955</v>
      </c>
      <c r="E3121" t="s">
        <v>7521</v>
      </c>
      <c r="F3121" t="s">
        <v>8384</v>
      </c>
      <c r="G3121" t="s">
        <v>10509</v>
      </c>
      <c r="H3121" t="str">
        <f>HYPERLINK("https://baanknet.com/view-property/240349/07267063D70A9ECCE33ED9BF7B550D74BC67E0CD12A806024DE957122BD4EECB", "https://baanknet.com/view-property/240349/07267063D70A9ECCE33ED9BF7B550D74BC67E0CD12A806024DE957122BD4EECB")</f>
        <v>https://baanknet.com/view-property/240349/07267063D70A9ECCE33ED9BF7B550D74BC67E0CD12A806024DE957122BD4EECB</v>
      </c>
      <c r="I3121" t="str">
        <f>HYPERLINK("https://baanknet.com/view-property/240349/07267063D70A9ECCE33ED9BF7B550D74BC67E0CD12A806024DE957122BD4EECB", "Open")</f>
        <v>Open</v>
      </c>
      <c r="J3121" t="s">
        <v>3803</v>
      </c>
      <c r="L3121">
        <v>4100000</v>
      </c>
      <c r="M3121">
        <v>410000</v>
      </c>
    </row>
    <row r="3122" spans="1:13" x14ac:dyDescent="0.25">
      <c r="A3122" t="s">
        <v>10510</v>
      </c>
      <c r="B3122" t="s">
        <v>10511</v>
      </c>
      <c r="C3122" t="s">
        <v>15</v>
      </c>
      <c r="D3122" t="s">
        <v>5955</v>
      </c>
      <c r="E3122" t="s">
        <v>7521</v>
      </c>
      <c r="F3122" t="s">
        <v>8384</v>
      </c>
      <c r="G3122" t="s">
        <v>10512</v>
      </c>
      <c r="H3122" t="str">
        <f>HYPERLINK("https://baanknet.com/view-property/240350/96D501B926971C46076EC36A320C17116F6467625F9F5CC14B17814E1C353A88", "https://baanknet.com/view-property/240350/96D501B926971C46076EC36A320C17116F6467625F9F5CC14B17814E1C353A88")</f>
        <v>https://baanknet.com/view-property/240350/96D501B926971C46076EC36A320C17116F6467625F9F5CC14B17814E1C353A88</v>
      </c>
      <c r="I3122" t="str">
        <f>HYPERLINK("https://baanknet.com/view-property/240350/96D501B926971C46076EC36A320C17116F6467625F9F5CC14B17814E1C353A88", "Open")</f>
        <v>Open</v>
      </c>
      <c r="J3122" t="s">
        <v>3803</v>
      </c>
      <c r="L3122">
        <v>4100000</v>
      </c>
      <c r="M3122">
        <v>410000</v>
      </c>
    </row>
    <row r="3123" spans="1:13" x14ac:dyDescent="0.25">
      <c r="A3123" t="s">
        <v>10513</v>
      </c>
      <c r="B3123" t="s">
        <v>10514</v>
      </c>
      <c r="C3123" t="s">
        <v>15</v>
      </c>
      <c r="D3123" t="s">
        <v>5955</v>
      </c>
      <c r="E3123" t="s">
        <v>7521</v>
      </c>
      <c r="F3123" t="s">
        <v>8384</v>
      </c>
      <c r="G3123" t="s">
        <v>10515</v>
      </c>
      <c r="H3123" t="str">
        <f>HYPERLINK("https://baanknet.com/view-property/240357/A27BC85765DC80FCA92D023556BA8DD0036B3B85974404D8D12E939A95C858F9", "https://baanknet.com/view-property/240357/A27BC85765DC80FCA92D023556BA8DD0036B3B85974404D8D12E939A95C858F9")</f>
        <v>https://baanknet.com/view-property/240357/A27BC85765DC80FCA92D023556BA8DD0036B3B85974404D8D12E939A95C858F9</v>
      </c>
      <c r="I3123" t="str">
        <f>HYPERLINK("https://baanknet.com/view-property/240357/A27BC85765DC80FCA92D023556BA8DD0036B3B85974404D8D12E939A95C858F9", "Open")</f>
        <v>Open</v>
      </c>
      <c r="J3123" t="s">
        <v>3803</v>
      </c>
      <c r="L3123">
        <v>4100000</v>
      </c>
      <c r="M3123">
        <v>410000</v>
      </c>
    </row>
    <row r="3124" spans="1:13" x14ac:dyDescent="0.25">
      <c r="A3124" t="s">
        <v>10516</v>
      </c>
      <c r="B3124" t="s">
        <v>10517</v>
      </c>
      <c r="C3124" t="s">
        <v>15</v>
      </c>
      <c r="D3124" t="s">
        <v>5955</v>
      </c>
      <c r="E3124" t="s">
        <v>7521</v>
      </c>
      <c r="F3124" t="s">
        <v>8384</v>
      </c>
      <c r="G3124" t="s">
        <v>10518</v>
      </c>
      <c r="H3124" t="str">
        <f>HYPERLINK("https://baanknet.com/view-property/240831/39C373746A8DB596043BD5C6972C13F47BAD866F5C26D83920DB619DC07FB5F7", "https://baanknet.com/view-property/240831/39C373746A8DB596043BD5C6972C13F47BAD866F5C26D83920DB619DC07FB5F7")</f>
        <v>https://baanknet.com/view-property/240831/39C373746A8DB596043BD5C6972C13F47BAD866F5C26D83920DB619DC07FB5F7</v>
      </c>
      <c r="I3124" t="str">
        <f>HYPERLINK("https://baanknet.com/view-property/240831/39C373746A8DB596043BD5C6972C13F47BAD866F5C26D83920DB619DC07FB5F7", "Open")</f>
        <v>Open</v>
      </c>
      <c r="J3124" t="s">
        <v>3803</v>
      </c>
      <c r="L3124">
        <v>4100000</v>
      </c>
      <c r="M3124">
        <v>410000</v>
      </c>
    </row>
    <row r="3125" spans="1:13" x14ac:dyDescent="0.25">
      <c r="A3125" t="s">
        <v>10519</v>
      </c>
      <c r="B3125" t="s">
        <v>10520</v>
      </c>
      <c r="C3125" t="s">
        <v>15</v>
      </c>
      <c r="D3125" t="s">
        <v>5955</v>
      </c>
      <c r="E3125" t="s">
        <v>7521</v>
      </c>
      <c r="F3125" t="s">
        <v>8384</v>
      </c>
      <c r="G3125" t="s">
        <v>10521</v>
      </c>
      <c r="H3125" t="str">
        <f>HYPERLINK("https://baanknet.com/view-property/240832/C42CC518171AA93617A85BCCFB1B6C4405C5344C4D9C57D103C371E4F6147FC7", "https://baanknet.com/view-property/240832/C42CC518171AA93617A85BCCFB1B6C4405C5344C4D9C57D103C371E4F6147FC7")</f>
        <v>https://baanknet.com/view-property/240832/C42CC518171AA93617A85BCCFB1B6C4405C5344C4D9C57D103C371E4F6147FC7</v>
      </c>
      <c r="I3125" t="str">
        <f>HYPERLINK("https://baanknet.com/view-property/240832/C42CC518171AA93617A85BCCFB1B6C4405C5344C4D9C57D103C371E4F6147FC7", "Open")</f>
        <v>Open</v>
      </c>
      <c r="J3125" t="s">
        <v>3803</v>
      </c>
      <c r="L3125">
        <v>4100000</v>
      </c>
      <c r="M3125">
        <v>410000</v>
      </c>
    </row>
    <row r="3126" spans="1:13" x14ac:dyDescent="0.25">
      <c r="A3126" t="s">
        <v>10522</v>
      </c>
      <c r="B3126" t="s">
        <v>10523</v>
      </c>
      <c r="C3126" t="s">
        <v>15</v>
      </c>
      <c r="D3126" t="s">
        <v>5955</v>
      </c>
      <c r="E3126" t="s">
        <v>7521</v>
      </c>
      <c r="F3126" t="s">
        <v>8384</v>
      </c>
      <c r="G3126" t="s">
        <v>10524</v>
      </c>
      <c r="H3126" t="str">
        <f>HYPERLINK("https://baanknet.com/view-property/240833/AE5CC93A959F28C5E332E5222A4B5A4C2FB0A5A17FA635F23F0601D825E0F928", "https://baanknet.com/view-property/240833/AE5CC93A959F28C5E332E5222A4B5A4C2FB0A5A17FA635F23F0601D825E0F928")</f>
        <v>https://baanknet.com/view-property/240833/AE5CC93A959F28C5E332E5222A4B5A4C2FB0A5A17FA635F23F0601D825E0F928</v>
      </c>
      <c r="I3126" t="str">
        <f>HYPERLINK("https://baanknet.com/view-property/240833/AE5CC93A959F28C5E332E5222A4B5A4C2FB0A5A17FA635F23F0601D825E0F928", "Open")</f>
        <v>Open</v>
      </c>
      <c r="J3126" t="s">
        <v>3803</v>
      </c>
      <c r="L3126">
        <v>4100000</v>
      </c>
      <c r="M3126">
        <v>410000</v>
      </c>
    </row>
    <row r="3127" spans="1:13" x14ac:dyDescent="0.25">
      <c r="A3127" t="s">
        <v>10525</v>
      </c>
      <c r="B3127" t="s">
        <v>10526</v>
      </c>
      <c r="C3127" t="s">
        <v>15</v>
      </c>
      <c r="D3127" t="s">
        <v>2828</v>
      </c>
      <c r="E3127" t="s">
        <v>7521</v>
      </c>
      <c r="F3127" t="s">
        <v>8384</v>
      </c>
      <c r="G3127" t="s">
        <v>10527</v>
      </c>
      <c r="H3127" t="str">
        <f>HYPERLINK("https://baanknet.com/view-property/228934/3179FB61BDFE1DB5C46277FBB7E79BB4E1F8C2F5DA11BFDBC1576BA5C0B55615", "https://baanknet.com/view-property/228934/3179FB61BDFE1DB5C46277FBB7E79BB4E1F8C2F5DA11BFDBC1576BA5C0B55615")</f>
        <v>https://baanknet.com/view-property/228934/3179FB61BDFE1DB5C46277FBB7E79BB4E1F8C2F5DA11BFDBC1576BA5C0B55615</v>
      </c>
      <c r="I3127" t="str">
        <f>HYPERLINK("https://baanknet.com/view-property/228934/3179FB61BDFE1DB5C46277FBB7E79BB4E1F8C2F5DA11BFDBC1576BA5C0B55615", "Open")</f>
        <v>Open</v>
      </c>
      <c r="J3127" t="s">
        <v>3803</v>
      </c>
      <c r="L3127">
        <v>696000</v>
      </c>
      <c r="M3127">
        <v>69600</v>
      </c>
    </row>
    <row r="3128" spans="1:13" x14ac:dyDescent="0.25">
      <c r="A3128" t="s">
        <v>10528</v>
      </c>
      <c r="B3128" t="s">
        <v>10529</v>
      </c>
      <c r="C3128" t="s">
        <v>15</v>
      </c>
      <c r="D3128" t="s">
        <v>7744</v>
      </c>
      <c r="E3128" t="s">
        <v>7521</v>
      </c>
      <c r="F3128" t="s">
        <v>8384</v>
      </c>
      <c r="G3128" t="s">
        <v>10530</v>
      </c>
      <c r="H3128" t="str">
        <f>HYPERLINK("https://baanknet.com/view-property/220244/09A52B52A4FBA999D6A53B60DAFFE53A54B0C6FCFB82D17FA83A464F0EEC3EDF", "https://baanknet.com/view-property/220244/09A52B52A4FBA999D6A53B60DAFFE53A54B0C6FCFB82D17FA83A464F0EEC3EDF")</f>
        <v>https://baanknet.com/view-property/220244/09A52B52A4FBA999D6A53B60DAFFE53A54B0C6FCFB82D17FA83A464F0EEC3EDF</v>
      </c>
      <c r="I3128" t="str">
        <f>HYPERLINK("https://baanknet.com/view-property/220244/09A52B52A4FBA999D6A53B60DAFFE53A54B0C6FCFB82D17FA83A464F0EEC3EDF", "Open")</f>
        <v>Open</v>
      </c>
      <c r="J3128" t="s">
        <v>3803</v>
      </c>
      <c r="L3128">
        <v>712000</v>
      </c>
      <c r="M3128">
        <v>71200</v>
      </c>
    </row>
    <row r="3129" spans="1:13" x14ac:dyDescent="0.25">
      <c r="A3129" t="s">
        <v>10531</v>
      </c>
      <c r="B3129" t="s">
        <v>10532</v>
      </c>
      <c r="C3129" t="s">
        <v>15</v>
      </c>
      <c r="D3129" t="s">
        <v>10533</v>
      </c>
      <c r="E3129" t="s">
        <v>7521</v>
      </c>
      <c r="F3129" t="s">
        <v>8384</v>
      </c>
      <c r="G3129" t="s">
        <v>10534</v>
      </c>
      <c r="H3129" t="str">
        <f>HYPERLINK("https://baanknet.com/view-property/278762/7D17D45CD2CF860FD240D9A0BFD3DBF383AE6F23EFD4392E711AAF7B4EBDDDE2", "https://baanknet.com/view-property/278762/7D17D45CD2CF860FD240D9A0BFD3DBF383AE6F23EFD4392E711AAF7B4EBDDDE2")</f>
        <v>https://baanknet.com/view-property/278762/7D17D45CD2CF860FD240D9A0BFD3DBF383AE6F23EFD4392E711AAF7B4EBDDDE2</v>
      </c>
      <c r="I3129" t="str">
        <f>HYPERLINK("https://baanknet.com/view-property/278762/7D17D45CD2CF860FD240D9A0BFD3DBF383AE6F23EFD4392E711AAF7B4EBDDDE2", "Open")</f>
        <v>Open</v>
      </c>
      <c r="J3129" t="s">
        <v>3803</v>
      </c>
      <c r="L3129">
        <v>1977000</v>
      </c>
      <c r="M3129">
        <v>197700</v>
      </c>
    </row>
    <row r="3130" spans="1:13" x14ac:dyDescent="0.25">
      <c r="A3130" t="s">
        <v>10535</v>
      </c>
      <c r="B3130" t="s">
        <v>10536</v>
      </c>
      <c r="C3130" t="s">
        <v>15</v>
      </c>
      <c r="D3130" t="s">
        <v>2828</v>
      </c>
      <c r="E3130" t="s">
        <v>7521</v>
      </c>
      <c r="F3130" t="s">
        <v>8384</v>
      </c>
      <c r="G3130" t="s">
        <v>10537</v>
      </c>
      <c r="H3130" t="str">
        <f>HYPERLINK("https://baanknet.com/view-property/227457/A865B51C21452EF75A4F8E54FB5F518E18789A43B5EE61DEEC0DFE0CF2ABDE70", "https://baanknet.com/view-property/227457/A865B51C21452EF75A4F8E54FB5F518E18789A43B5EE61DEEC0DFE0CF2ABDE70")</f>
        <v>https://baanknet.com/view-property/227457/A865B51C21452EF75A4F8E54FB5F518E18789A43B5EE61DEEC0DFE0CF2ABDE70</v>
      </c>
      <c r="I3130" t="str">
        <f>HYPERLINK("https://baanknet.com/view-property/227457/A865B51C21452EF75A4F8E54FB5F518E18789A43B5EE61DEEC0DFE0CF2ABDE70", "Open")</f>
        <v>Open</v>
      </c>
      <c r="J3130" t="s">
        <v>3803</v>
      </c>
      <c r="L3130">
        <v>414000</v>
      </c>
      <c r="M3130">
        <v>41400</v>
      </c>
    </row>
    <row r="3131" spans="1:13" x14ac:dyDescent="0.25">
      <c r="A3131" t="s">
        <v>10538</v>
      </c>
      <c r="B3131" t="s">
        <v>10539</v>
      </c>
      <c r="C3131" t="s">
        <v>15</v>
      </c>
      <c r="D3131" t="s">
        <v>10540</v>
      </c>
      <c r="E3131" t="s">
        <v>7521</v>
      </c>
      <c r="F3131" t="s">
        <v>8384</v>
      </c>
      <c r="G3131" t="s">
        <v>10541</v>
      </c>
      <c r="H3131" t="str">
        <f>HYPERLINK("https://baanknet.com/view-property/243520/2D8F86DE9A20E55F3E80792627DF42363FEDE0CCF42E6CBA91EEC333FDE64FD0", "https://baanknet.com/view-property/243520/2D8F86DE9A20E55F3E80792627DF42363FEDE0CCF42E6CBA91EEC333FDE64FD0")</f>
        <v>https://baanknet.com/view-property/243520/2D8F86DE9A20E55F3E80792627DF42363FEDE0CCF42E6CBA91EEC333FDE64FD0</v>
      </c>
      <c r="I3131" t="str">
        <f>HYPERLINK("https://baanknet.com/view-property/243520/2D8F86DE9A20E55F3E80792627DF42363FEDE0CCF42E6CBA91EEC333FDE64FD0", "Open")</f>
        <v>Open</v>
      </c>
      <c r="J3131" t="s">
        <v>3803</v>
      </c>
      <c r="L3131">
        <v>780000</v>
      </c>
      <c r="M3131">
        <v>78000</v>
      </c>
    </row>
    <row r="3132" spans="1:13" x14ac:dyDescent="0.25">
      <c r="A3132" t="s">
        <v>10542</v>
      </c>
      <c r="B3132" t="s">
        <v>10543</v>
      </c>
      <c r="C3132" t="s">
        <v>15</v>
      </c>
      <c r="D3132" t="s">
        <v>10544</v>
      </c>
      <c r="E3132" t="s">
        <v>7521</v>
      </c>
      <c r="F3132" t="s">
        <v>8384</v>
      </c>
      <c r="G3132" t="s">
        <v>10545</v>
      </c>
      <c r="H3132" t="str">
        <f>HYPERLINK("https://baanknet.com/view-property/185251/6BFC4A7068CA4B719364CAFA3018EB2702EACFDD1A172D2596AB805F70027693", "https://baanknet.com/view-property/185251/6BFC4A7068CA4B719364CAFA3018EB2702EACFDD1A172D2596AB805F70027693")</f>
        <v>https://baanknet.com/view-property/185251/6BFC4A7068CA4B719364CAFA3018EB2702EACFDD1A172D2596AB805F70027693</v>
      </c>
      <c r="I3132" t="str">
        <f>HYPERLINK("https://baanknet.com/view-property/185251/6BFC4A7068CA4B719364CAFA3018EB2702EACFDD1A172D2596AB805F70027693", "Open")</f>
        <v>Open</v>
      </c>
      <c r="J3132" t="s">
        <v>3803</v>
      </c>
      <c r="L3132">
        <v>667000</v>
      </c>
      <c r="M3132">
        <v>66700</v>
      </c>
    </row>
    <row r="3133" spans="1:13" x14ac:dyDescent="0.25">
      <c r="A3133" t="s">
        <v>10546</v>
      </c>
      <c r="B3133" t="s">
        <v>10547</v>
      </c>
      <c r="C3133" t="s">
        <v>15</v>
      </c>
      <c r="D3133" t="s">
        <v>9495</v>
      </c>
      <c r="E3133" t="s">
        <v>7521</v>
      </c>
      <c r="F3133" t="s">
        <v>8384</v>
      </c>
      <c r="G3133" t="s">
        <v>10548</v>
      </c>
      <c r="H3133" t="str">
        <f>HYPERLINK("https://baanknet.com/view-property/204351/26730CD8FB77AAA3904CA430EA4A9ADBAF0CADC24A9BE91E0B0C07A58732B67C", "https://baanknet.com/view-property/204351/26730CD8FB77AAA3904CA430EA4A9ADBAF0CADC24A9BE91E0B0C07A58732B67C")</f>
        <v>https://baanknet.com/view-property/204351/26730CD8FB77AAA3904CA430EA4A9ADBAF0CADC24A9BE91E0B0C07A58732B67C</v>
      </c>
      <c r="I3133" t="str">
        <f>HYPERLINK("https://baanknet.com/view-property/204351/26730CD8FB77AAA3904CA430EA4A9ADBAF0CADC24A9BE91E0B0C07A58732B67C", "Open")</f>
        <v>Open</v>
      </c>
      <c r="J3133" t="s">
        <v>3803</v>
      </c>
      <c r="L3133">
        <v>560000</v>
      </c>
      <c r="M3133">
        <v>56000</v>
      </c>
    </row>
    <row r="3134" spans="1:13" x14ac:dyDescent="0.25">
      <c r="A3134" t="s">
        <v>10549</v>
      </c>
      <c r="B3134" t="s">
        <v>10550</v>
      </c>
      <c r="C3134" t="s">
        <v>15</v>
      </c>
      <c r="D3134" t="s">
        <v>9495</v>
      </c>
      <c r="E3134" t="s">
        <v>7521</v>
      </c>
      <c r="F3134" t="s">
        <v>8384</v>
      </c>
      <c r="G3134" t="s">
        <v>10551</v>
      </c>
      <c r="H3134" t="str">
        <f>HYPERLINK("https://baanknet.com/view-property/188926/53FE197880C4B1227066D444FFC5BBB5F6C78815F4C848AC92887A4F2EF685D6", "https://baanknet.com/view-property/188926/53FE197880C4B1227066D444FFC5BBB5F6C78815F4C848AC92887A4F2EF685D6")</f>
        <v>https://baanknet.com/view-property/188926/53FE197880C4B1227066D444FFC5BBB5F6C78815F4C848AC92887A4F2EF685D6</v>
      </c>
      <c r="I3134" t="str">
        <f>HYPERLINK("https://baanknet.com/view-property/188926/53FE197880C4B1227066D444FFC5BBB5F6C78815F4C848AC92887A4F2EF685D6", "Open")</f>
        <v>Open</v>
      </c>
      <c r="J3134" t="s">
        <v>3803</v>
      </c>
      <c r="L3134">
        <v>619000</v>
      </c>
      <c r="M3134">
        <v>61900</v>
      </c>
    </row>
    <row r="3135" spans="1:13" x14ac:dyDescent="0.25">
      <c r="A3135" t="s">
        <v>10552</v>
      </c>
      <c r="B3135" t="s">
        <v>10553</v>
      </c>
      <c r="C3135" t="s">
        <v>15</v>
      </c>
      <c r="D3135" t="s">
        <v>2828</v>
      </c>
      <c r="E3135" t="s">
        <v>7521</v>
      </c>
      <c r="F3135" t="s">
        <v>8384</v>
      </c>
      <c r="G3135" t="s">
        <v>10554</v>
      </c>
      <c r="H3135" t="str">
        <f>HYPERLINK("https://baanknet.com/view-property/185206/434B8326F810790677B138FE7243CDAA16430A2FF1ADCD0102F8BDDAAD13D31B", "https://baanknet.com/view-property/185206/434B8326F810790677B138FE7243CDAA16430A2FF1ADCD0102F8BDDAAD13D31B")</f>
        <v>https://baanknet.com/view-property/185206/434B8326F810790677B138FE7243CDAA16430A2FF1ADCD0102F8BDDAAD13D31B</v>
      </c>
      <c r="I3135" t="str">
        <f>HYPERLINK("https://baanknet.com/view-property/185206/434B8326F810790677B138FE7243CDAA16430A2FF1ADCD0102F8BDDAAD13D31B", "Open")</f>
        <v>Open</v>
      </c>
      <c r="J3135" t="s">
        <v>3803</v>
      </c>
      <c r="L3135">
        <v>680000</v>
      </c>
      <c r="M3135">
        <v>68000</v>
      </c>
    </row>
    <row r="3136" spans="1:13" x14ac:dyDescent="0.25">
      <c r="A3136" t="s">
        <v>10555</v>
      </c>
      <c r="B3136" t="s">
        <v>10556</v>
      </c>
      <c r="C3136" t="s">
        <v>15</v>
      </c>
      <c r="D3136" t="s">
        <v>2824</v>
      </c>
      <c r="E3136" t="s">
        <v>7521</v>
      </c>
      <c r="F3136" t="s">
        <v>8384</v>
      </c>
      <c r="G3136" t="s">
        <v>10557</v>
      </c>
      <c r="H3136" t="str">
        <f>HYPERLINK("https://baanknet.com/view-property/280723/E412C2B3E5BC8E3D9B8AD5AB39AA8EC27A16BA6C50FC164BEDDC92B4688E579D", "https://baanknet.com/view-property/280723/E412C2B3E5BC8E3D9B8AD5AB39AA8EC27A16BA6C50FC164BEDDC92B4688E579D")</f>
        <v>https://baanknet.com/view-property/280723/E412C2B3E5BC8E3D9B8AD5AB39AA8EC27A16BA6C50FC164BEDDC92B4688E579D</v>
      </c>
      <c r="I3136" t="str">
        <f>HYPERLINK("https://baanknet.com/view-property/280723/E412C2B3E5BC8E3D9B8AD5AB39AA8EC27A16BA6C50FC164BEDDC92B4688E579D", "Open")</f>
        <v>Open</v>
      </c>
      <c r="J3136" t="s">
        <v>3803</v>
      </c>
      <c r="L3136">
        <v>1634000</v>
      </c>
      <c r="M3136">
        <v>163400</v>
      </c>
    </row>
    <row r="3137" spans="1:13" x14ac:dyDescent="0.25">
      <c r="A3137" t="s">
        <v>10558</v>
      </c>
      <c r="B3137" t="s">
        <v>10559</v>
      </c>
      <c r="C3137" t="s">
        <v>144</v>
      </c>
      <c r="D3137" t="s">
        <v>10560</v>
      </c>
      <c r="E3137" t="s">
        <v>7521</v>
      </c>
      <c r="F3137" t="s">
        <v>7577</v>
      </c>
      <c r="G3137" t="s">
        <v>10561</v>
      </c>
      <c r="H3137" t="str">
        <f>HYPERLINK("https://baanknet.com/view-property/262328/59353578DEF8889AE51D57462379FDEB9DF0FECB250888291E216F6C10359338", "https://baanknet.com/view-property/262328/59353578DEF8889AE51D57462379FDEB9DF0FECB250888291E216F6C10359338")</f>
        <v>https://baanknet.com/view-property/262328/59353578DEF8889AE51D57462379FDEB9DF0FECB250888291E216F6C10359338</v>
      </c>
      <c r="I3137" t="str">
        <f>HYPERLINK("https://baanknet.com/view-property/262328/59353578DEF8889AE51D57462379FDEB9DF0FECB250888291E216F6C10359338", "Open")</f>
        <v>Open</v>
      </c>
      <c r="J3137" t="s">
        <v>3803</v>
      </c>
      <c r="L3137">
        <v>1065000</v>
      </c>
      <c r="M3137">
        <v>106500</v>
      </c>
    </row>
    <row r="3138" spans="1:13" x14ac:dyDescent="0.25">
      <c r="A3138" t="s">
        <v>10562</v>
      </c>
      <c r="B3138" t="s">
        <v>10563</v>
      </c>
      <c r="C3138" t="s">
        <v>83</v>
      </c>
      <c r="D3138" t="s">
        <v>937</v>
      </c>
      <c r="E3138" t="s">
        <v>8355</v>
      </c>
      <c r="F3138" t="s">
        <v>7577</v>
      </c>
      <c r="G3138" t="s">
        <v>10564</v>
      </c>
      <c r="H3138" t="str">
        <f>HYPERLINK("https://baanknet.com/view-property/171183/6FA0458263D2B00997E429DBA7BD12DBC8A13ADE51C2F4EAE62C66DCF260757C", "https://baanknet.com/view-property/171183/6FA0458263D2B00997E429DBA7BD12DBC8A13ADE51C2F4EAE62C66DCF260757C")</f>
        <v>https://baanknet.com/view-property/171183/6FA0458263D2B00997E429DBA7BD12DBC8A13ADE51C2F4EAE62C66DCF260757C</v>
      </c>
      <c r="I3138" t="str">
        <f>HYPERLINK("https://baanknet.com/view-property/171183/6FA0458263D2B00997E429DBA7BD12DBC8A13ADE51C2F4EAE62C66DCF260757C", "Open")</f>
        <v>Open</v>
      </c>
      <c r="J3138" t="s">
        <v>3803</v>
      </c>
      <c r="L3138">
        <v>2371000</v>
      </c>
      <c r="M3138">
        <v>237100</v>
      </c>
    </row>
    <row r="3139" spans="1:13" x14ac:dyDescent="0.25">
      <c r="A3139" t="s">
        <v>10565</v>
      </c>
      <c r="B3139" t="s">
        <v>10566</v>
      </c>
      <c r="C3139" t="s">
        <v>832</v>
      </c>
      <c r="D3139" t="s">
        <v>1218</v>
      </c>
      <c r="E3139" t="s">
        <v>8355</v>
      </c>
      <c r="F3139" t="s">
        <v>7577</v>
      </c>
      <c r="G3139" t="s">
        <v>10567</v>
      </c>
      <c r="H3139" t="str">
        <f>HYPERLINK("https://baanknet.com/view-property/283677/41A749D3F3C1307590C422D011B6A3696327BD36DBDFF336DF7A4917265B0C53", "https://baanknet.com/view-property/283677/41A749D3F3C1307590C422D011B6A3696327BD36DBDFF336DF7A4917265B0C53")</f>
        <v>https://baanknet.com/view-property/283677/41A749D3F3C1307590C422D011B6A3696327BD36DBDFF336DF7A4917265B0C53</v>
      </c>
      <c r="I3139" t="str">
        <f>HYPERLINK("https://baanknet.com/view-property/283677/41A749D3F3C1307590C422D011B6A3696327BD36DBDFF336DF7A4917265B0C53", "Open")</f>
        <v>Open</v>
      </c>
      <c r="J3139" t="s">
        <v>3803</v>
      </c>
      <c r="L3139">
        <v>26808000</v>
      </c>
      <c r="M3139">
        <v>2680800</v>
      </c>
    </row>
    <row r="3140" spans="1:13" x14ac:dyDescent="0.25">
      <c r="A3140" t="s">
        <v>10568</v>
      </c>
      <c r="B3140" t="s">
        <v>10569</v>
      </c>
      <c r="C3140" t="s">
        <v>83</v>
      </c>
      <c r="D3140" t="s">
        <v>3351</v>
      </c>
      <c r="E3140" t="s">
        <v>8355</v>
      </c>
      <c r="F3140" t="s">
        <v>7577</v>
      </c>
      <c r="G3140" t="s">
        <v>10570</v>
      </c>
      <c r="H3140" t="str">
        <f>HYPERLINK("https://baanknet.com/view-property/285424/D8889C7857FE9E64280BA96D22416D94BB6CD8A85B7E560DD56BF71BB8ACF8EE", "https://baanknet.com/view-property/285424/D8889C7857FE9E64280BA96D22416D94BB6CD8A85B7E560DD56BF71BB8ACF8EE")</f>
        <v>https://baanknet.com/view-property/285424/D8889C7857FE9E64280BA96D22416D94BB6CD8A85B7E560DD56BF71BB8ACF8EE</v>
      </c>
      <c r="I3140" t="str">
        <f>HYPERLINK("https://baanknet.com/view-property/285424/D8889C7857FE9E64280BA96D22416D94BB6CD8A85B7E560DD56BF71BB8ACF8EE", "Open")</f>
        <v>Open</v>
      </c>
      <c r="J3140" t="s">
        <v>3803</v>
      </c>
      <c r="L3140">
        <v>3500000</v>
      </c>
      <c r="M3140">
        <v>350000</v>
      </c>
    </row>
    <row r="3141" spans="1:13" x14ac:dyDescent="0.25">
      <c r="A3141" t="s">
        <v>10571</v>
      </c>
      <c r="B3141" t="s">
        <v>10572</v>
      </c>
      <c r="C3141" t="s">
        <v>15</v>
      </c>
      <c r="D3141" t="s">
        <v>10573</v>
      </c>
      <c r="E3141" t="s">
        <v>8355</v>
      </c>
      <c r="F3141" t="s">
        <v>624</v>
      </c>
      <c r="G3141" t="s">
        <v>10574</v>
      </c>
      <c r="H3141" t="str">
        <f>HYPERLINK("https://baanknet.com/view-property/285257/7952D7192ECE7F14CFB5F7D3410488FE991C741395CFA24D9CB5C84FAB77D9B4", "https://baanknet.com/view-property/285257/7952D7192ECE7F14CFB5F7D3410488FE991C741395CFA24D9CB5C84FAB77D9B4")</f>
        <v>https://baanknet.com/view-property/285257/7952D7192ECE7F14CFB5F7D3410488FE991C741395CFA24D9CB5C84FAB77D9B4</v>
      </c>
      <c r="I3141" t="str">
        <f>HYPERLINK("https://baanknet.com/view-property/285257/7952D7192ECE7F14CFB5F7D3410488FE991C741395CFA24D9CB5C84FAB77D9B4", "Open")</f>
        <v>Open</v>
      </c>
      <c r="J3141" t="s">
        <v>3803</v>
      </c>
      <c r="L3141">
        <v>12767000</v>
      </c>
      <c r="M3141">
        <v>1276700</v>
      </c>
    </row>
    <row r="3142" spans="1:13" x14ac:dyDescent="0.25">
      <c r="A3142" t="s">
        <v>10575</v>
      </c>
      <c r="B3142" t="s">
        <v>10576</v>
      </c>
      <c r="C3142" t="s">
        <v>83</v>
      </c>
      <c r="D3142" t="s">
        <v>9911</v>
      </c>
      <c r="E3142" t="s">
        <v>8355</v>
      </c>
      <c r="F3142" t="s">
        <v>624</v>
      </c>
      <c r="G3142" t="s">
        <v>10577</v>
      </c>
      <c r="H3142" t="str">
        <f>HYPERLINK("https://baanknet.com/view-property/225902/D163BF676E3A5A3CAD79C957C4D565D3D0DC25B5733F90EE49E744F0F50D3609", "https://baanknet.com/view-property/225902/D163BF676E3A5A3CAD79C957C4D565D3D0DC25B5733F90EE49E744F0F50D3609")</f>
        <v>https://baanknet.com/view-property/225902/D163BF676E3A5A3CAD79C957C4D565D3D0DC25B5733F90EE49E744F0F50D3609</v>
      </c>
      <c r="I3142" t="str">
        <f>HYPERLINK("https://baanknet.com/view-property/225902/D163BF676E3A5A3CAD79C957C4D565D3D0DC25B5733F90EE49E744F0F50D3609", "Open")</f>
        <v>Open</v>
      </c>
      <c r="J3142" t="s">
        <v>3803</v>
      </c>
      <c r="L3142">
        <v>3656340</v>
      </c>
      <c r="M3142">
        <v>365634</v>
      </c>
    </row>
    <row r="3143" spans="1:13" x14ac:dyDescent="0.25">
      <c r="A3143" t="s">
        <v>10578</v>
      </c>
      <c r="B3143" t="s">
        <v>10579</v>
      </c>
      <c r="C3143" t="s">
        <v>83</v>
      </c>
      <c r="D3143" t="s">
        <v>9005</v>
      </c>
      <c r="E3143" t="s">
        <v>8355</v>
      </c>
      <c r="F3143" t="s">
        <v>624</v>
      </c>
      <c r="G3143" t="s">
        <v>10580</v>
      </c>
      <c r="H3143" t="str">
        <f>HYPERLINK("https://baanknet.com/view-property/287102/083A9173EE320ACE388C36CC9EA3BC75EDF11C07056111BA4611C9CE22ED3BB4", "https://baanknet.com/view-property/287102/083A9173EE320ACE388C36CC9EA3BC75EDF11C07056111BA4611C9CE22ED3BB4")</f>
        <v>https://baanknet.com/view-property/287102/083A9173EE320ACE388C36CC9EA3BC75EDF11C07056111BA4611C9CE22ED3BB4</v>
      </c>
      <c r="I3143" t="str">
        <f>HYPERLINK("https://baanknet.com/view-property/287102/083A9173EE320ACE388C36CC9EA3BC75EDF11C07056111BA4611C9CE22ED3BB4", "Open")</f>
        <v>Open</v>
      </c>
      <c r="J3143" t="s">
        <v>3803</v>
      </c>
      <c r="L3143">
        <v>2029770</v>
      </c>
      <c r="M3143">
        <v>202977</v>
      </c>
    </row>
    <row r="3144" spans="1:13" x14ac:dyDescent="0.25">
      <c r="A3144" t="s">
        <v>10581</v>
      </c>
      <c r="B3144" t="s">
        <v>10582</v>
      </c>
      <c r="C3144" t="s">
        <v>83</v>
      </c>
      <c r="D3144" t="s">
        <v>219</v>
      </c>
      <c r="E3144" t="s">
        <v>8355</v>
      </c>
      <c r="F3144" t="s">
        <v>7752</v>
      </c>
      <c r="G3144" t="s">
        <v>10583</v>
      </c>
      <c r="H3144" t="str">
        <f>HYPERLINK("https://baanknet.com/view-property/285486/F18845CEE3C6A9CF1E873FBC8351112FCA24BF08A7BB958377B04B6A5C2D7213", "https://baanknet.com/view-property/285486/F18845CEE3C6A9CF1E873FBC8351112FCA24BF08A7BB958377B04B6A5C2D7213")</f>
        <v>https://baanknet.com/view-property/285486/F18845CEE3C6A9CF1E873FBC8351112FCA24BF08A7BB958377B04B6A5C2D7213</v>
      </c>
      <c r="I3144" t="str">
        <f>HYPERLINK("https://baanknet.com/view-property/285486/F18845CEE3C6A9CF1E873FBC8351112FCA24BF08A7BB958377B04B6A5C2D7213", "Open")</f>
        <v>Open</v>
      </c>
      <c r="J3144" t="s">
        <v>3803</v>
      </c>
      <c r="L3144">
        <v>3338000</v>
      </c>
      <c r="M3144">
        <v>333800</v>
      </c>
    </row>
    <row r="3145" spans="1:13" x14ac:dyDescent="0.25">
      <c r="A3145" t="s">
        <v>10584</v>
      </c>
      <c r="B3145" t="s">
        <v>10585</v>
      </c>
      <c r="C3145" t="s">
        <v>83</v>
      </c>
      <c r="D3145" t="s">
        <v>1807</v>
      </c>
      <c r="E3145" t="s">
        <v>8355</v>
      </c>
      <c r="F3145" t="s">
        <v>7752</v>
      </c>
      <c r="G3145" t="s">
        <v>10586</v>
      </c>
      <c r="H3145" t="str">
        <f>HYPERLINK("https://baanknet.com/view-property/279509/D8ACFBCD2BBB72D21D43756F6A7D6994FF864167A53785E41DA0F199FB11F445", "https://baanknet.com/view-property/279509/D8ACFBCD2BBB72D21D43756F6A7D6994FF864167A53785E41DA0F199FB11F445")</f>
        <v>https://baanknet.com/view-property/279509/D8ACFBCD2BBB72D21D43756F6A7D6994FF864167A53785E41DA0F199FB11F445</v>
      </c>
      <c r="I3145" t="str">
        <f>HYPERLINK("https://baanknet.com/view-property/279509/D8ACFBCD2BBB72D21D43756F6A7D6994FF864167A53785E41DA0F199FB11F445", "Open")</f>
        <v>Open</v>
      </c>
      <c r="J3145" t="s">
        <v>3803</v>
      </c>
      <c r="L3145">
        <v>721395</v>
      </c>
      <c r="M3145">
        <v>72139.5</v>
      </c>
    </row>
    <row r="3146" spans="1:13" x14ac:dyDescent="0.25">
      <c r="A3146" t="s">
        <v>10587</v>
      </c>
      <c r="B3146" t="s">
        <v>10588</v>
      </c>
      <c r="C3146" t="s">
        <v>15</v>
      </c>
      <c r="D3146" t="s">
        <v>1481</v>
      </c>
      <c r="E3146" t="s">
        <v>10589</v>
      </c>
      <c r="F3146" t="s">
        <v>10590</v>
      </c>
      <c r="G3146" t="s">
        <v>10591</v>
      </c>
      <c r="H3146" t="str">
        <f>HYPERLINK("https://baanknet.com/view-property/279286/024216378CBD9FE768BA23F033146DA6DFE91857717EA7FA27CCB9DBE423AF04", "https://baanknet.com/view-property/279286/024216378CBD9FE768BA23F033146DA6DFE91857717EA7FA27CCB9DBE423AF04")</f>
        <v>https://baanknet.com/view-property/279286/024216378CBD9FE768BA23F033146DA6DFE91857717EA7FA27CCB9DBE423AF04</v>
      </c>
      <c r="I3146" t="str">
        <f>HYPERLINK("https://baanknet.com/view-property/279286/024216378CBD9FE768BA23F033146DA6DFE91857717EA7FA27CCB9DBE423AF04", "Open")</f>
        <v>Open</v>
      </c>
      <c r="J3146" t="s">
        <v>3803</v>
      </c>
      <c r="L3146">
        <v>6050000</v>
      </c>
      <c r="M3146">
        <v>605000</v>
      </c>
    </row>
    <row r="3147" spans="1:13" x14ac:dyDescent="0.25">
      <c r="A3147" t="s">
        <v>10592</v>
      </c>
      <c r="B3147" t="s">
        <v>10593</v>
      </c>
      <c r="C3147" t="s">
        <v>15</v>
      </c>
      <c r="D3147" t="s">
        <v>849</v>
      </c>
      <c r="E3147" t="s">
        <v>10589</v>
      </c>
      <c r="F3147" t="s">
        <v>10590</v>
      </c>
      <c r="G3147" t="s">
        <v>10594</v>
      </c>
      <c r="H3147" t="str">
        <f>HYPERLINK("https://baanknet.com/view-property/188981/F081EBFD2D5C7D7FF2A009C9D7482258650DC23B230DB117782E44FF06CF396C", "https://baanknet.com/view-property/188981/F081EBFD2D5C7D7FF2A009C9D7482258650DC23B230DB117782E44FF06CF396C")</f>
        <v>https://baanknet.com/view-property/188981/F081EBFD2D5C7D7FF2A009C9D7482258650DC23B230DB117782E44FF06CF396C</v>
      </c>
      <c r="I3147" t="str">
        <f>HYPERLINK("https://baanknet.com/view-property/188981/F081EBFD2D5C7D7FF2A009C9D7482258650DC23B230DB117782E44FF06CF396C", "Open")</f>
        <v>Open</v>
      </c>
      <c r="J3147" t="s">
        <v>3803</v>
      </c>
      <c r="L3147">
        <v>110000</v>
      </c>
      <c r="M3147">
        <v>11000</v>
      </c>
    </row>
    <row r="3148" spans="1:13" x14ac:dyDescent="0.25">
      <c r="A3148" t="s">
        <v>10595</v>
      </c>
      <c r="B3148" t="s">
        <v>10596</v>
      </c>
      <c r="C3148" t="s">
        <v>15</v>
      </c>
      <c r="D3148" t="s">
        <v>849</v>
      </c>
      <c r="E3148" t="s">
        <v>10589</v>
      </c>
      <c r="F3148" t="s">
        <v>10590</v>
      </c>
      <c r="G3148" t="s">
        <v>10597</v>
      </c>
      <c r="H3148" t="str">
        <f>HYPERLINK("https://baanknet.com/view-property/188973/330A7CA7C76E20D6F059FDB5856955D4E2163CC06D269898470CF880BC07B94F", "https://baanknet.com/view-property/188973/330A7CA7C76E20D6F059FDB5856955D4E2163CC06D269898470CF880BC07B94F")</f>
        <v>https://baanknet.com/view-property/188973/330A7CA7C76E20D6F059FDB5856955D4E2163CC06D269898470CF880BC07B94F</v>
      </c>
      <c r="I3148" t="str">
        <f>HYPERLINK("https://baanknet.com/view-property/188973/330A7CA7C76E20D6F059FDB5856955D4E2163CC06D269898470CF880BC07B94F", "Open")</f>
        <v>Open</v>
      </c>
      <c r="J3148" t="s">
        <v>3803</v>
      </c>
      <c r="L3148">
        <v>680000</v>
      </c>
      <c r="M3148">
        <v>68000</v>
      </c>
    </row>
    <row r="3149" spans="1:13" x14ac:dyDescent="0.25">
      <c r="A3149" t="s">
        <v>10598</v>
      </c>
      <c r="B3149" t="s">
        <v>10599</v>
      </c>
      <c r="C3149" t="s">
        <v>15</v>
      </c>
      <c r="D3149" t="s">
        <v>853</v>
      </c>
      <c r="E3149" t="s">
        <v>10589</v>
      </c>
      <c r="F3149" t="s">
        <v>10590</v>
      </c>
      <c r="G3149" t="s">
        <v>10600</v>
      </c>
      <c r="H3149" t="str">
        <f>HYPERLINK("https://baanknet.com/view-property/286663/5D685908463089337DC539876F59208C993F3751D0DFB0BB74BAEF9C4F152B3C", "https://baanknet.com/view-property/286663/5D685908463089337DC539876F59208C993F3751D0DFB0BB74BAEF9C4F152B3C")</f>
        <v>https://baanknet.com/view-property/286663/5D685908463089337DC539876F59208C993F3751D0DFB0BB74BAEF9C4F152B3C</v>
      </c>
      <c r="I3149" t="str">
        <f>HYPERLINK("https://baanknet.com/view-property/286663/5D685908463089337DC539876F59208C993F3751D0DFB0BB74BAEF9C4F152B3C", "Open")</f>
        <v>Open</v>
      </c>
      <c r="J3149" t="s">
        <v>3803</v>
      </c>
      <c r="L3149">
        <v>1420000</v>
      </c>
      <c r="M3149">
        <v>142000</v>
      </c>
    </row>
    <row r="3150" spans="1:13" x14ac:dyDescent="0.25">
      <c r="A3150" t="s">
        <v>10601</v>
      </c>
      <c r="B3150" t="s">
        <v>10602</v>
      </c>
      <c r="C3150" t="s">
        <v>144</v>
      </c>
      <c r="D3150" t="s">
        <v>10603</v>
      </c>
      <c r="E3150" t="s">
        <v>10589</v>
      </c>
      <c r="F3150" t="s">
        <v>10604</v>
      </c>
      <c r="G3150" t="s">
        <v>10605</v>
      </c>
      <c r="H3150" t="str">
        <f>HYPERLINK("https://baanknet.com/view-property/188318/D2FD091FB8A5581CC5A264CF6CF9EF8718222AF3825045A8CBB36789F00274AB", "https://baanknet.com/view-property/188318/D2FD091FB8A5581CC5A264CF6CF9EF8718222AF3825045A8CBB36789F00274AB")</f>
        <v>https://baanknet.com/view-property/188318/D2FD091FB8A5581CC5A264CF6CF9EF8718222AF3825045A8CBB36789F00274AB</v>
      </c>
      <c r="I3150" t="str">
        <f>HYPERLINK("https://baanknet.com/view-property/188318/D2FD091FB8A5581CC5A264CF6CF9EF8718222AF3825045A8CBB36789F00274AB", "Open")</f>
        <v>Open</v>
      </c>
      <c r="J3150" t="s">
        <v>3803</v>
      </c>
      <c r="L3150">
        <v>3220200</v>
      </c>
      <c r="M3150">
        <v>322020</v>
      </c>
    </row>
    <row r="3151" spans="1:13" x14ac:dyDescent="0.25">
      <c r="A3151" t="s">
        <v>10606</v>
      </c>
      <c r="B3151" t="s">
        <v>10607</v>
      </c>
      <c r="C3151" t="s">
        <v>144</v>
      </c>
      <c r="D3151" t="s">
        <v>10603</v>
      </c>
      <c r="E3151" t="s">
        <v>10589</v>
      </c>
      <c r="F3151" t="s">
        <v>10604</v>
      </c>
      <c r="G3151" t="s">
        <v>10608</v>
      </c>
      <c r="H3151" t="str">
        <f>HYPERLINK("https://baanknet.com/view-property/188308/E30586F67456616959F7CA487A87164797A3358EB76D9D0A5CE34EA0AB27F4F7", "https://baanknet.com/view-property/188308/E30586F67456616959F7CA487A87164797A3358EB76D9D0A5CE34EA0AB27F4F7")</f>
        <v>https://baanknet.com/view-property/188308/E30586F67456616959F7CA487A87164797A3358EB76D9D0A5CE34EA0AB27F4F7</v>
      </c>
      <c r="I3151" t="str">
        <f>HYPERLINK("https://baanknet.com/view-property/188308/E30586F67456616959F7CA487A87164797A3358EB76D9D0A5CE34EA0AB27F4F7", "Open")</f>
        <v>Open</v>
      </c>
      <c r="J3151" t="s">
        <v>3803</v>
      </c>
      <c r="L3151">
        <v>3220200</v>
      </c>
      <c r="M3151">
        <v>322020</v>
      </c>
    </row>
    <row r="3152" spans="1:13" x14ac:dyDescent="0.25">
      <c r="A3152" t="s">
        <v>10609</v>
      </c>
      <c r="B3152" t="s">
        <v>10610</v>
      </c>
      <c r="C3152" t="s">
        <v>144</v>
      </c>
      <c r="D3152" t="s">
        <v>10603</v>
      </c>
      <c r="E3152" t="s">
        <v>10589</v>
      </c>
      <c r="F3152" t="s">
        <v>10604</v>
      </c>
      <c r="G3152" t="s">
        <v>10611</v>
      </c>
      <c r="H3152" t="str">
        <f>HYPERLINK("https://baanknet.com/view-property/188301/3DEFD9232AF5CEC87CEA48721809611B02E17E0021CB06BA5EF5D8E2F2DBFF4F", "https://baanknet.com/view-property/188301/3DEFD9232AF5CEC87CEA48721809611B02E17E0021CB06BA5EF5D8E2F2DBFF4F")</f>
        <v>https://baanknet.com/view-property/188301/3DEFD9232AF5CEC87CEA48721809611B02E17E0021CB06BA5EF5D8E2F2DBFF4F</v>
      </c>
      <c r="I3152" t="str">
        <f>HYPERLINK("https://baanknet.com/view-property/188301/3DEFD9232AF5CEC87CEA48721809611B02E17E0021CB06BA5EF5D8E2F2DBFF4F", "Open")</f>
        <v>Open</v>
      </c>
      <c r="J3152" t="s">
        <v>3803</v>
      </c>
      <c r="L3152">
        <v>3220200</v>
      </c>
      <c r="M3152">
        <v>322020</v>
      </c>
    </row>
    <row r="3153" spans="1:13" x14ac:dyDescent="0.25">
      <c r="A3153" t="s">
        <v>10612</v>
      </c>
      <c r="B3153" t="s">
        <v>10613</v>
      </c>
      <c r="C3153" t="s">
        <v>144</v>
      </c>
      <c r="D3153" t="s">
        <v>10603</v>
      </c>
      <c r="E3153" t="s">
        <v>10589</v>
      </c>
      <c r="F3153" t="s">
        <v>10604</v>
      </c>
      <c r="G3153" t="s">
        <v>10614</v>
      </c>
      <c r="H3153" t="str">
        <f>HYPERLINK("https://baanknet.com/view-property/188289/710725C061846732F9C6A4D71554044CA29139FC69380FFA4BD1EB56BDA185C8", "https://baanknet.com/view-property/188289/710725C061846732F9C6A4D71554044CA29139FC69380FFA4BD1EB56BDA185C8")</f>
        <v>https://baanknet.com/view-property/188289/710725C061846732F9C6A4D71554044CA29139FC69380FFA4BD1EB56BDA185C8</v>
      </c>
      <c r="I3153" t="str">
        <f>HYPERLINK("https://baanknet.com/view-property/188289/710725C061846732F9C6A4D71554044CA29139FC69380FFA4BD1EB56BDA185C8", "Open")</f>
        <v>Open</v>
      </c>
      <c r="J3153" t="s">
        <v>3803</v>
      </c>
      <c r="L3153">
        <v>3220200</v>
      </c>
      <c r="M3153">
        <v>322020</v>
      </c>
    </row>
    <row r="3154" spans="1:13" x14ac:dyDescent="0.25">
      <c r="A3154" t="s">
        <v>10615</v>
      </c>
      <c r="B3154" t="s">
        <v>10616</v>
      </c>
      <c r="C3154" t="s">
        <v>571</v>
      </c>
      <c r="D3154" t="s">
        <v>153</v>
      </c>
      <c r="E3154" t="s">
        <v>10589</v>
      </c>
      <c r="F3154" t="s">
        <v>10604</v>
      </c>
      <c r="G3154" t="s">
        <v>10617</v>
      </c>
      <c r="H3154" t="str">
        <f>HYPERLINK("https://baanknet.com/view-property/287547/BA9FF443628FDBD03B5D0B31DA83AF846DED2577738D87C4C6851F21250C8C6E", "https://baanknet.com/view-property/287547/BA9FF443628FDBD03B5D0B31DA83AF846DED2577738D87C4C6851F21250C8C6E")</f>
        <v>https://baanknet.com/view-property/287547/BA9FF443628FDBD03B5D0B31DA83AF846DED2577738D87C4C6851F21250C8C6E</v>
      </c>
      <c r="I3154" t="str">
        <f>HYPERLINK("https://baanknet.com/view-property/287547/BA9FF443628FDBD03B5D0B31DA83AF846DED2577738D87C4C6851F21250C8C6E", "Open")</f>
        <v>Open</v>
      </c>
      <c r="J3154" t="s">
        <v>3803</v>
      </c>
      <c r="L3154">
        <v>7210000</v>
      </c>
      <c r="M3154">
        <v>721000</v>
      </c>
    </row>
    <row r="3155" spans="1:13" x14ac:dyDescent="0.25">
      <c r="A3155" t="s">
        <v>10618</v>
      </c>
      <c r="B3155" t="s">
        <v>10619</v>
      </c>
      <c r="C3155" t="s">
        <v>571</v>
      </c>
      <c r="D3155" t="s">
        <v>4317</v>
      </c>
      <c r="E3155" t="s">
        <v>10589</v>
      </c>
      <c r="F3155" t="s">
        <v>10604</v>
      </c>
      <c r="G3155" t="s">
        <v>10620</v>
      </c>
      <c r="H3155" t="str">
        <f>HYPERLINK("https://baanknet.com/view-property/253009/FF5B81BDA1A3FEAC8547283F4A092788FCECBC274144B1103D725FADB00C8039", "https://baanknet.com/view-property/253009/FF5B81BDA1A3FEAC8547283F4A092788FCECBC274144B1103D725FADB00C8039")</f>
        <v>https://baanknet.com/view-property/253009/FF5B81BDA1A3FEAC8547283F4A092788FCECBC274144B1103D725FADB00C8039</v>
      </c>
      <c r="I3155" t="str">
        <f>HYPERLINK("https://baanknet.com/view-property/253009/FF5B81BDA1A3FEAC8547283F4A092788FCECBC274144B1103D725FADB00C8039", "Open")</f>
        <v>Open</v>
      </c>
      <c r="J3155" t="s">
        <v>3803</v>
      </c>
      <c r="L3155">
        <v>2280150</v>
      </c>
      <c r="M3155">
        <v>228015</v>
      </c>
    </row>
    <row r="3156" spans="1:13" x14ac:dyDescent="0.25">
      <c r="A3156" t="s">
        <v>10621</v>
      </c>
      <c r="B3156" t="s">
        <v>10622</v>
      </c>
      <c r="C3156" t="s">
        <v>15</v>
      </c>
      <c r="D3156" t="s">
        <v>10623</v>
      </c>
      <c r="E3156" t="s">
        <v>10624</v>
      </c>
      <c r="F3156" t="s">
        <v>10625</v>
      </c>
      <c r="G3156" t="s">
        <v>10626</v>
      </c>
      <c r="H3156" t="str">
        <f>HYPERLINK("https://baanknet.com/view-property/285329/A2BF3FDAED9256575FC61B199010FE4A76BD7660CA243644C1F484A1465B7C62", "https://baanknet.com/view-property/285329/A2BF3FDAED9256575FC61B199010FE4A76BD7660CA243644C1F484A1465B7C62")</f>
        <v>https://baanknet.com/view-property/285329/A2BF3FDAED9256575FC61B199010FE4A76BD7660CA243644C1F484A1465B7C62</v>
      </c>
      <c r="I3156" t="str">
        <f>HYPERLINK("https://baanknet.com/view-property/285329/A2BF3FDAED9256575FC61B199010FE4A76BD7660CA243644C1F484A1465B7C62", "Open")</f>
        <v>Open</v>
      </c>
      <c r="J3156" t="s">
        <v>3803</v>
      </c>
      <c r="L3156">
        <v>7790000</v>
      </c>
      <c r="M3156">
        <v>779000</v>
      </c>
    </row>
    <row r="3157" spans="1:13" x14ac:dyDescent="0.25">
      <c r="A3157" t="s">
        <v>10627</v>
      </c>
      <c r="B3157" t="s">
        <v>10628</v>
      </c>
      <c r="C3157" t="s">
        <v>15</v>
      </c>
      <c r="D3157" t="s">
        <v>4925</v>
      </c>
      <c r="E3157" t="s">
        <v>10624</v>
      </c>
      <c r="F3157" t="s">
        <v>10625</v>
      </c>
      <c r="G3157" t="s">
        <v>10629</v>
      </c>
      <c r="H3157" t="str">
        <f>HYPERLINK("https://baanknet.com/view-property/254155/A26C98BA063952935C8ABF4C913FC4A9C35A6F40DC9E5C9DDB35CBDE06A591CA", "https://baanknet.com/view-property/254155/A26C98BA063952935C8ABF4C913FC4A9C35A6F40DC9E5C9DDB35CBDE06A591CA")</f>
        <v>https://baanknet.com/view-property/254155/A26C98BA063952935C8ABF4C913FC4A9C35A6F40DC9E5C9DDB35CBDE06A591CA</v>
      </c>
      <c r="I3157" t="str">
        <f>HYPERLINK("https://baanknet.com/view-property/254155/A26C98BA063952935C8ABF4C913FC4A9C35A6F40DC9E5C9DDB35CBDE06A591CA", "Open")</f>
        <v>Open</v>
      </c>
      <c r="J3157" t="s">
        <v>3803</v>
      </c>
      <c r="L3157">
        <v>4178000</v>
      </c>
      <c r="M3157">
        <v>417800</v>
      </c>
    </row>
    <row r="3158" spans="1:13" x14ac:dyDescent="0.25">
      <c r="A3158" t="s">
        <v>10630</v>
      </c>
      <c r="B3158" t="s">
        <v>10631</v>
      </c>
      <c r="C3158" t="s">
        <v>15</v>
      </c>
      <c r="D3158" t="s">
        <v>3243</v>
      </c>
      <c r="E3158" t="s">
        <v>3516</v>
      </c>
      <c r="F3158" t="s">
        <v>17</v>
      </c>
      <c r="G3158" t="s">
        <v>10632</v>
      </c>
      <c r="H3158" t="str">
        <f>HYPERLINK("https://baanknet.com/view-property/272562/D83553F0F6477DE289A990BD1A7BED7259356DD3E6C6E59755DA1FB106734881", "https://baanknet.com/view-property/272562/D83553F0F6477DE289A990BD1A7BED7259356DD3E6C6E59755DA1FB106734881")</f>
        <v>https://baanknet.com/view-property/272562/D83553F0F6477DE289A990BD1A7BED7259356DD3E6C6E59755DA1FB106734881</v>
      </c>
      <c r="I3158" t="str">
        <f>HYPERLINK("https://baanknet.com/view-property/272562/D83553F0F6477DE289A990BD1A7BED7259356DD3E6C6E59755DA1FB106734881", "Open")</f>
        <v>Open</v>
      </c>
      <c r="J3158" t="s">
        <v>20</v>
      </c>
      <c r="K3158" t="s">
        <v>21</v>
      </c>
      <c r="L3158">
        <v>3000000</v>
      </c>
      <c r="M3158">
        <v>300000</v>
      </c>
    </row>
    <row r="3159" spans="1:13" x14ac:dyDescent="0.25">
      <c r="A3159" t="s">
        <v>10633</v>
      </c>
      <c r="B3159" t="s">
        <v>10634</v>
      </c>
      <c r="C3159" t="s">
        <v>15</v>
      </c>
      <c r="D3159" t="s">
        <v>10635</v>
      </c>
      <c r="E3159" t="s">
        <v>10624</v>
      </c>
      <c r="F3159" t="s">
        <v>10625</v>
      </c>
      <c r="G3159" t="s">
        <v>10636</v>
      </c>
      <c r="H3159" t="str">
        <f>HYPERLINK("https://baanknet.com/view-property/208373/29AA40024718F6E1736C4E360398C7FCF7B971DE5DAF5F4CE990EFBB263CEDDA", "https://baanknet.com/view-property/208373/29AA40024718F6E1736C4E360398C7FCF7B971DE5DAF5F4CE990EFBB263CEDDA")</f>
        <v>https://baanknet.com/view-property/208373/29AA40024718F6E1736C4E360398C7FCF7B971DE5DAF5F4CE990EFBB263CEDDA</v>
      </c>
      <c r="I3159" t="str">
        <f>HYPERLINK("https://baanknet.com/view-property/208373/29AA40024718F6E1736C4E360398C7FCF7B971DE5DAF5F4CE990EFBB263CEDDA", "Open")</f>
        <v>Open</v>
      </c>
      <c r="J3159" t="s">
        <v>3803</v>
      </c>
      <c r="L3159">
        <v>492100</v>
      </c>
      <c r="M3159">
        <v>49300</v>
      </c>
    </row>
    <row r="3160" spans="1:13" x14ac:dyDescent="0.25">
      <c r="A3160" t="s">
        <v>10637</v>
      </c>
      <c r="B3160" t="s">
        <v>10638</v>
      </c>
      <c r="C3160" t="s">
        <v>15</v>
      </c>
      <c r="D3160" t="s">
        <v>10639</v>
      </c>
      <c r="E3160" t="s">
        <v>10624</v>
      </c>
      <c r="F3160" t="s">
        <v>10625</v>
      </c>
      <c r="G3160" t="s">
        <v>10640</v>
      </c>
      <c r="H3160" t="str">
        <f>HYPERLINK("https://baanknet.com/view-property/279173/5FDEB0AE0A1A989BE64CA0AB859CF5B565367772A1B8732212D7DDC2555B89FF", "https://baanknet.com/view-property/279173/5FDEB0AE0A1A989BE64CA0AB859CF5B565367772A1B8732212D7DDC2555B89FF")</f>
        <v>https://baanknet.com/view-property/279173/5FDEB0AE0A1A989BE64CA0AB859CF5B565367772A1B8732212D7DDC2555B89FF</v>
      </c>
      <c r="I3160" t="str">
        <f>HYPERLINK("https://baanknet.com/view-property/279173/5FDEB0AE0A1A989BE64CA0AB859CF5B565367772A1B8732212D7DDC2555B89FF", "Open")</f>
        <v>Open</v>
      </c>
      <c r="J3160" t="s">
        <v>3803</v>
      </c>
      <c r="L3160">
        <v>1740000</v>
      </c>
      <c r="M3160">
        <v>174000</v>
      </c>
    </row>
    <row r="3161" spans="1:13" x14ac:dyDescent="0.25">
      <c r="A3161" t="s">
        <v>10641</v>
      </c>
      <c r="B3161" t="s">
        <v>10642</v>
      </c>
      <c r="C3161" t="s">
        <v>15</v>
      </c>
      <c r="D3161" t="s">
        <v>4317</v>
      </c>
      <c r="E3161" t="s">
        <v>10624</v>
      </c>
      <c r="F3161" t="s">
        <v>10625</v>
      </c>
      <c r="G3161" t="s">
        <v>10643</v>
      </c>
      <c r="H3161" t="str">
        <f>HYPERLINK("https://baanknet.com/view-property/287584/A5AD8017EFC8A074087BD51C3429D08E22184D785DD1106D0C074D27F2B023AB", "https://baanknet.com/view-property/287584/A5AD8017EFC8A074087BD51C3429D08E22184D785DD1106D0C074D27F2B023AB")</f>
        <v>https://baanknet.com/view-property/287584/A5AD8017EFC8A074087BD51C3429D08E22184D785DD1106D0C074D27F2B023AB</v>
      </c>
      <c r="I3161" t="str">
        <f>HYPERLINK("https://baanknet.com/view-property/287584/A5AD8017EFC8A074087BD51C3429D08E22184D785DD1106D0C074D27F2B023AB", "Open")</f>
        <v>Open</v>
      </c>
      <c r="J3161" t="s">
        <v>3803</v>
      </c>
      <c r="L3161">
        <v>304000</v>
      </c>
      <c r="M3161">
        <v>30400</v>
      </c>
    </row>
    <row r="3162" spans="1:13" x14ac:dyDescent="0.25">
      <c r="A3162" t="s">
        <v>10644</v>
      </c>
      <c r="B3162" t="s">
        <v>10645</v>
      </c>
      <c r="C3162" t="s">
        <v>15</v>
      </c>
      <c r="D3162" t="s">
        <v>3289</v>
      </c>
      <c r="E3162" t="s">
        <v>10590</v>
      </c>
      <c r="F3162" t="s">
        <v>10646</v>
      </c>
      <c r="G3162" t="s">
        <v>10647</v>
      </c>
      <c r="H3162" t="str">
        <f>HYPERLINK("https://baanknet.com/view-property/263122/FBFAB391124C1D90D873F21A9B6715ED8AEB8FD139C45795B44A09A67E6FC4D7", "https://baanknet.com/view-property/263122/FBFAB391124C1D90D873F21A9B6715ED8AEB8FD139C45795B44A09A67E6FC4D7")</f>
        <v>https://baanknet.com/view-property/263122/FBFAB391124C1D90D873F21A9B6715ED8AEB8FD139C45795B44A09A67E6FC4D7</v>
      </c>
      <c r="I3162" t="str">
        <f>HYPERLINK("https://baanknet.com/view-property/263122/FBFAB391124C1D90D873F21A9B6715ED8AEB8FD139C45795B44A09A67E6FC4D7", "Open")</f>
        <v>Open</v>
      </c>
      <c r="J3162" t="s">
        <v>3803</v>
      </c>
      <c r="L3162">
        <v>2925000</v>
      </c>
      <c r="M3162">
        <v>292500</v>
      </c>
    </row>
    <row r="3163" spans="1:13" x14ac:dyDescent="0.25">
      <c r="A3163" t="s">
        <v>10648</v>
      </c>
      <c r="B3163" t="s">
        <v>10649</v>
      </c>
      <c r="C3163" t="s">
        <v>15</v>
      </c>
      <c r="D3163" t="s">
        <v>691</v>
      </c>
      <c r="E3163" t="s">
        <v>10590</v>
      </c>
      <c r="F3163" t="s">
        <v>10646</v>
      </c>
      <c r="G3163" t="s">
        <v>10650</v>
      </c>
      <c r="H3163" t="str">
        <f>HYPERLINK("https://baanknet.com/view-property/279676/B716BD1BF59B8B733A373C8554327EA57EDD2A07B7CAB85FE849819D0AAE30A6", "https://baanknet.com/view-property/279676/B716BD1BF59B8B733A373C8554327EA57EDD2A07B7CAB85FE849819D0AAE30A6")</f>
        <v>https://baanknet.com/view-property/279676/B716BD1BF59B8B733A373C8554327EA57EDD2A07B7CAB85FE849819D0AAE30A6</v>
      </c>
      <c r="I3163" t="str">
        <f>HYPERLINK("https://baanknet.com/view-property/279676/B716BD1BF59B8B733A373C8554327EA57EDD2A07B7CAB85FE849819D0AAE30A6", "Open")</f>
        <v>Open</v>
      </c>
      <c r="J3163" t="s">
        <v>3803</v>
      </c>
      <c r="L3163">
        <v>9600000</v>
      </c>
      <c r="M3163">
        <v>960000</v>
      </c>
    </row>
    <row r="3164" spans="1:13" x14ac:dyDescent="0.25">
      <c r="A3164" t="s">
        <v>10651</v>
      </c>
      <c r="B3164" t="s">
        <v>10652</v>
      </c>
      <c r="C3164" t="s">
        <v>15</v>
      </c>
      <c r="D3164" t="s">
        <v>10653</v>
      </c>
      <c r="E3164" t="s">
        <v>10590</v>
      </c>
      <c r="F3164" t="s">
        <v>10646</v>
      </c>
      <c r="G3164" t="s">
        <v>10654</v>
      </c>
      <c r="H3164" t="str">
        <f>HYPERLINK("https://baanknet.com/view-property/257677/B0A237C4AC08155B525C0D673FE46A3E343F96C17F2E0BA9509168442974675C", "https://baanknet.com/view-property/257677/B0A237C4AC08155B525C0D673FE46A3E343F96C17F2E0BA9509168442974675C")</f>
        <v>https://baanknet.com/view-property/257677/B0A237C4AC08155B525C0D673FE46A3E343F96C17F2E0BA9509168442974675C</v>
      </c>
      <c r="I3164" t="str">
        <f>HYPERLINK("https://baanknet.com/view-property/257677/B0A237C4AC08155B525C0D673FE46A3E343F96C17F2E0BA9509168442974675C", "Open")</f>
        <v>Open</v>
      </c>
      <c r="J3164" t="s">
        <v>3803</v>
      </c>
      <c r="L3164">
        <v>1180000</v>
      </c>
      <c r="M3164">
        <v>118000</v>
      </c>
    </row>
    <row r="3165" spans="1:13" x14ac:dyDescent="0.25">
      <c r="A3165" t="s">
        <v>10655</v>
      </c>
      <c r="B3165" t="s">
        <v>10656</v>
      </c>
      <c r="C3165" t="s">
        <v>15</v>
      </c>
      <c r="D3165" t="s">
        <v>10657</v>
      </c>
      <c r="E3165" t="s">
        <v>10590</v>
      </c>
      <c r="F3165" t="s">
        <v>10646</v>
      </c>
      <c r="G3165" t="s">
        <v>10658</v>
      </c>
      <c r="H3165" t="str">
        <f>HYPERLINK("https://baanknet.com/view-property/224961/93A784770043F7CDE2C1476A422C4F67BBF38FBAC8CF64FCE8B7591983555FD8", "https://baanknet.com/view-property/224961/93A784770043F7CDE2C1476A422C4F67BBF38FBAC8CF64FCE8B7591983555FD8")</f>
        <v>https://baanknet.com/view-property/224961/93A784770043F7CDE2C1476A422C4F67BBF38FBAC8CF64FCE8B7591983555FD8</v>
      </c>
      <c r="I3165" t="str">
        <f>HYPERLINK("https://baanknet.com/view-property/224961/93A784770043F7CDE2C1476A422C4F67BBF38FBAC8CF64FCE8B7591983555FD8", "Open")</f>
        <v>Open</v>
      </c>
      <c r="J3165" t="s">
        <v>3803</v>
      </c>
      <c r="L3165">
        <v>2200000</v>
      </c>
      <c r="M3165">
        <v>220000</v>
      </c>
    </row>
    <row r="3166" spans="1:13" x14ac:dyDescent="0.25">
      <c r="A3166" t="s">
        <v>10659</v>
      </c>
      <c r="B3166" t="s">
        <v>10660</v>
      </c>
      <c r="C3166" t="s">
        <v>15</v>
      </c>
      <c r="D3166" t="s">
        <v>10661</v>
      </c>
      <c r="E3166" t="s">
        <v>10590</v>
      </c>
      <c r="F3166" t="s">
        <v>10646</v>
      </c>
      <c r="G3166" t="s">
        <v>10662</v>
      </c>
      <c r="H3166" t="str">
        <f>HYPERLINK("https://baanknet.com/view-property/283420/473FE7BE4DE52AF4BE3F4E430538B4C3A1A5D8F3F58AD24503D2A2298E09EBE8", "https://baanknet.com/view-property/283420/473FE7BE4DE52AF4BE3F4E430538B4C3A1A5D8F3F58AD24503D2A2298E09EBE8")</f>
        <v>https://baanknet.com/view-property/283420/473FE7BE4DE52AF4BE3F4E430538B4C3A1A5D8F3F58AD24503D2A2298E09EBE8</v>
      </c>
      <c r="I3166" t="str">
        <f>HYPERLINK("https://baanknet.com/view-property/283420/473FE7BE4DE52AF4BE3F4E430538B4C3A1A5D8F3F58AD24503D2A2298E09EBE8", "Open")</f>
        <v>Open</v>
      </c>
      <c r="J3166" t="s">
        <v>3803</v>
      </c>
      <c r="L3166">
        <v>2550100</v>
      </c>
      <c r="M3166">
        <v>255010</v>
      </c>
    </row>
    <row r="3167" spans="1:13" x14ac:dyDescent="0.25">
      <c r="A3167" t="s">
        <v>10663</v>
      </c>
      <c r="B3167" t="s">
        <v>10664</v>
      </c>
      <c r="C3167" t="s">
        <v>15</v>
      </c>
      <c r="D3167" t="s">
        <v>10665</v>
      </c>
      <c r="E3167" t="s">
        <v>10590</v>
      </c>
      <c r="F3167" t="s">
        <v>10646</v>
      </c>
      <c r="G3167" t="s">
        <v>10666</v>
      </c>
      <c r="H3167" t="str">
        <f>HYPERLINK("https://baanknet.com/view-property/280710/999788EFFAECD0049B2DE3B1AE7D7063B33B99EC0AE680A5BB704D21A831A3AD", "https://baanknet.com/view-property/280710/999788EFFAECD0049B2DE3B1AE7D7063B33B99EC0AE680A5BB704D21A831A3AD")</f>
        <v>https://baanknet.com/view-property/280710/999788EFFAECD0049B2DE3B1AE7D7063B33B99EC0AE680A5BB704D21A831A3AD</v>
      </c>
      <c r="I3167" t="str">
        <f>HYPERLINK("https://baanknet.com/view-property/280710/999788EFFAECD0049B2DE3B1AE7D7063B33B99EC0AE680A5BB704D21A831A3AD", "Open")</f>
        <v>Open</v>
      </c>
      <c r="J3167" t="s">
        <v>3803</v>
      </c>
      <c r="L3167">
        <v>1071450</v>
      </c>
      <c r="M3167">
        <v>107145</v>
      </c>
    </row>
    <row r="3168" spans="1:13" x14ac:dyDescent="0.25">
      <c r="A3168" t="s">
        <v>10667</v>
      </c>
      <c r="B3168" t="s">
        <v>10668</v>
      </c>
      <c r="C3168" t="s">
        <v>15</v>
      </c>
      <c r="D3168" t="s">
        <v>10661</v>
      </c>
      <c r="E3168" t="s">
        <v>10590</v>
      </c>
      <c r="F3168" t="s">
        <v>10646</v>
      </c>
      <c r="G3168" t="s">
        <v>10669</v>
      </c>
      <c r="H3168" t="str">
        <f>HYPERLINK("https://baanknet.com/view-property/273455/F719239D58C9B0226382A29FBF17346948B1EC06F740561CCC92996A25240F30", "https://baanknet.com/view-property/273455/F719239D58C9B0226382A29FBF17346948B1EC06F740561CCC92996A25240F30")</f>
        <v>https://baanknet.com/view-property/273455/F719239D58C9B0226382A29FBF17346948B1EC06F740561CCC92996A25240F30</v>
      </c>
      <c r="I3168" t="str">
        <f>HYPERLINK("https://baanknet.com/view-property/273455/F719239D58C9B0226382A29FBF17346948B1EC06F740561CCC92996A25240F30", "Open")</f>
        <v>Open</v>
      </c>
      <c r="J3168" t="s">
        <v>3803</v>
      </c>
      <c r="L3168">
        <v>3470000</v>
      </c>
      <c r="M3168">
        <v>347000</v>
      </c>
    </row>
    <row r="3169" spans="1:13" x14ac:dyDescent="0.25">
      <c r="A3169" t="s">
        <v>10670</v>
      </c>
      <c r="B3169" t="s">
        <v>10671</v>
      </c>
      <c r="C3169" t="s">
        <v>15</v>
      </c>
      <c r="D3169" t="s">
        <v>10661</v>
      </c>
      <c r="E3169" t="s">
        <v>10590</v>
      </c>
      <c r="F3169" t="s">
        <v>10646</v>
      </c>
      <c r="G3169" t="s">
        <v>10672</v>
      </c>
      <c r="H3169" t="str">
        <f>HYPERLINK("https://baanknet.com/view-property/266799/BD9899BF5661E22CA6BEFA304EEF19F25A413578DC6977C4E51E1505A54CD22D", "https://baanknet.com/view-property/266799/BD9899BF5661E22CA6BEFA304EEF19F25A413578DC6977C4E51E1505A54CD22D")</f>
        <v>https://baanknet.com/view-property/266799/BD9899BF5661E22CA6BEFA304EEF19F25A413578DC6977C4E51E1505A54CD22D</v>
      </c>
      <c r="I3169" t="str">
        <f>HYPERLINK("https://baanknet.com/view-property/266799/BD9899BF5661E22CA6BEFA304EEF19F25A413578DC6977C4E51E1505A54CD22D", "Open")</f>
        <v>Open</v>
      </c>
      <c r="J3169" t="s">
        <v>3803</v>
      </c>
      <c r="L3169">
        <v>1811726</v>
      </c>
      <c r="M3169">
        <v>181172.6</v>
      </c>
    </row>
    <row r="3170" spans="1:13" x14ac:dyDescent="0.25">
      <c r="A3170" t="s">
        <v>10673</v>
      </c>
      <c r="B3170" t="s">
        <v>10674</v>
      </c>
      <c r="C3170" t="s">
        <v>15</v>
      </c>
      <c r="D3170" t="s">
        <v>10665</v>
      </c>
      <c r="E3170" t="s">
        <v>10590</v>
      </c>
      <c r="F3170" t="s">
        <v>10646</v>
      </c>
      <c r="G3170" t="s">
        <v>10675</v>
      </c>
      <c r="H3170" t="str">
        <f>HYPERLINK("https://baanknet.com/view-property/258892/E1B73D202E817423E8DA7A9F511E52DE986ED8EF4B5FAD53620D67320B40D19E", "https://baanknet.com/view-property/258892/E1B73D202E817423E8DA7A9F511E52DE986ED8EF4B5FAD53620D67320B40D19E")</f>
        <v>https://baanknet.com/view-property/258892/E1B73D202E817423E8DA7A9F511E52DE986ED8EF4B5FAD53620D67320B40D19E</v>
      </c>
      <c r="I3170" t="str">
        <f>HYPERLINK("https://baanknet.com/view-property/258892/E1B73D202E817423E8DA7A9F511E52DE986ED8EF4B5FAD53620D67320B40D19E", "Open")</f>
        <v>Open</v>
      </c>
      <c r="J3170" t="s">
        <v>3803</v>
      </c>
      <c r="L3170">
        <v>6457100</v>
      </c>
      <c r="M3170">
        <v>645710</v>
      </c>
    </row>
    <row r="3171" spans="1:13" x14ac:dyDescent="0.25">
      <c r="A3171" t="s">
        <v>10676</v>
      </c>
      <c r="B3171" t="s">
        <v>10677</v>
      </c>
      <c r="C3171" t="s">
        <v>15</v>
      </c>
      <c r="D3171" t="s">
        <v>10678</v>
      </c>
      <c r="E3171" t="s">
        <v>10590</v>
      </c>
      <c r="F3171" t="s">
        <v>10646</v>
      </c>
      <c r="G3171" t="s">
        <v>10679</v>
      </c>
      <c r="H3171" t="str">
        <f>HYPERLINK("https://baanknet.com/view-property/242550/A2E92335D0E57FBA70C29DC6C01C9508F0F8C77B6E00CB9AFC2A24DFBA31A4FC", "https://baanknet.com/view-property/242550/A2E92335D0E57FBA70C29DC6C01C9508F0F8C77B6E00CB9AFC2A24DFBA31A4FC")</f>
        <v>https://baanknet.com/view-property/242550/A2E92335D0E57FBA70C29DC6C01C9508F0F8C77B6E00CB9AFC2A24DFBA31A4FC</v>
      </c>
      <c r="I3171" t="str">
        <f>HYPERLINK("https://baanknet.com/view-property/242550/A2E92335D0E57FBA70C29DC6C01C9508F0F8C77B6E00CB9AFC2A24DFBA31A4FC", "Open")</f>
        <v>Open</v>
      </c>
      <c r="J3171" t="s">
        <v>3803</v>
      </c>
      <c r="L3171">
        <v>1481000</v>
      </c>
      <c r="M3171">
        <v>148100</v>
      </c>
    </row>
    <row r="3172" spans="1:13" x14ac:dyDescent="0.25">
      <c r="A3172" t="s">
        <v>10680</v>
      </c>
      <c r="B3172" t="s">
        <v>10681</v>
      </c>
      <c r="C3172" t="s">
        <v>15</v>
      </c>
      <c r="D3172" t="s">
        <v>10682</v>
      </c>
      <c r="E3172" t="s">
        <v>10590</v>
      </c>
      <c r="F3172" t="s">
        <v>10646</v>
      </c>
      <c r="G3172" t="s">
        <v>10683</v>
      </c>
      <c r="H3172" t="str">
        <f>HYPERLINK("https://baanknet.com/view-property/240766/981FCE7B4D77F811E160C2E26E0D9E406FFC3DA8290214210999B698689C8761", "https://baanknet.com/view-property/240766/981FCE7B4D77F811E160C2E26E0D9E406FFC3DA8290214210999B698689C8761")</f>
        <v>https://baanknet.com/view-property/240766/981FCE7B4D77F811E160C2E26E0D9E406FFC3DA8290214210999B698689C8761</v>
      </c>
      <c r="I3172" t="str">
        <f>HYPERLINK("https://baanknet.com/view-property/240766/981FCE7B4D77F811E160C2E26E0D9E406FFC3DA8290214210999B698689C8761", "Open")</f>
        <v>Open</v>
      </c>
      <c r="J3172" t="s">
        <v>3803</v>
      </c>
      <c r="L3172">
        <v>2378376</v>
      </c>
      <c r="M3172">
        <v>237837.6</v>
      </c>
    </row>
    <row r="3173" spans="1:13" x14ac:dyDescent="0.25">
      <c r="A3173" t="s">
        <v>10684</v>
      </c>
      <c r="B3173" t="s">
        <v>10685</v>
      </c>
      <c r="C3173" t="s">
        <v>15</v>
      </c>
      <c r="D3173" t="s">
        <v>10657</v>
      </c>
      <c r="E3173" t="s">
        <v>10590</v>
      </c>
      <c r="F3173" t="s">
        <v>10646</v>
      </c>
      <c r="G3173" t="s">
        <v>10686</v>
      </c>
      <c r="H3173" t="str">
        <f>HYPERLINK("https://baanknet.com/view-property/224948/477FD8503506318DE5C04F5D1195063DF25E4C965A738FBB0F5A46EF7EB81AA5", "https://baanknet.com/view-property/224948/477FD8503506318DE5C04F5D1195063DF25E4C965A738FBB0F5A46EF7EB81AA5")</f>
        <v>https://baanknet.com/view-property/224948/477FD8503506318DE5C04F5D1195063DF25E4C965A738FBB0F5A46EF7EB81AA5</v>
      </c>
      <c r="I3173" t="str">
        <f>HYPERLINK("https://baanknet.com/view-property/224948/477FD8503506318DE5C04F5D1195063DF25E4C965A738FBB0F5A46EF7EB81AA5", "Open")</f>
        <v>Open</v>
      </c>
      <c r="J3173" t="s">
        <v>3803</v>
      </c>
      <c r="L3173">
        <v>1280000</v>
      </c>
      <c r="M3173">
        <v>128000</v>
      </c>
    </row>
    <row r="3174" spans="1:13" x14ac:dyDescent="0.25">
      <c r="A3174" t="s">
        <v>10687</v>
      </c>
      <c r="B3174" t="s">
        <v>10688</v>
      </c>
      <c r="C3174" t="s">
        <v>15</v>
      </c>
      <c r="D3174" t="s">
        <v>2577</v>
      </c>
      <c r="E3174" t="s">
        <v>10590</v>
      </c>
      <c r="F3174" t="s">
        <v>10646</v>
      </c>
      <c r="G3174" t="s">
        <v>10689</v>
      </c>
      <c r="H3174" t="str">
        <f>HYPERLINK("https://baanknet.com/view-property/240759/4C11BC18F8CA4BDE856D7A79F7B05793EE5A802692F727E39CAF4313A11FAB72", "https://baanknet.com/view-property/240759/4C11BC18F8CA4BDE856D7A79F7B05793EE5A802692F727E39CAF4313A11FAB72")</f>
        <v>https://baanknet.com/view-property/240759/4C11BC18F8CA4BDE856D7A79F7B05793EE5A802692F727E39CAF4313A11FAB72</v>
      </c>
      <c r="I3174" t="str">
        <f>HYPERLINK("https://baanknet.com/view-property/240759/4C11BC18F8CA4BDE856D7A79F7B05793EE5A802692F727E39CAF4313A11FAB72", "Open")</f>
        <v>Open</v>
      </c>
      <c r="J3174" t="s">
        <v>3803</v>
      </c>
      <c r="L3174">
        <v>1620700</v>
      </c>
      <c r="M3174">
        <v>162070</v>
      </c>
    </row>
    <row r="3175" spans="1:13" x14ac:dyDescent="0.25">
      <c r="A3175" t="s">
        <v>10690</v>
      </c>
      <c r="B3175" t="s">
        <v>10691</v>
      </c>
      <c r="C3175" t="s">
        <v>15</v>
      </c>
      <c r="D3175" t="s">
        <v>2577</v>
      </c>
      <c r="E3175" t="s">
        <v>10590</v>
      </c>
      <c r="F3175" t="s">
        <v>10646</v>
      </c>
      <c r="G3175" t="s">
        <v>10692</v>
      </c>
      <c r="H3175" t="str">
        <f>HYPERLINK("https://baanknet.com/view-property/229733/F93F64EF145C8B5974D768D811BB802AB3B3E0910634311369755F5A882DB71F", "https://baanknet.com/view-property/229733/F93F64EF145C8B5974D768D811BB802AB3B3E0910634311369755F5A882DB71F")</f>
        <v>https://baanknet.com/view-property/229733/F93F64EF145C8B5974D768D811BB802AB3B3E0910634311369755F5A882DB71F</v>
      </c>
      <c r="I3175" t="str">
        <f>HYPERLINK("https://baanknet.com/view-property/229733/F93F64EF145C8B5974D768D811BB802AB3B3E0910634311369755F5A882DB71F", "Open")</f>
        <v>Open</v>
      </c>
      <c r="J3175" t="s">
        <v>3803</v>
      </c>
      <c r="L3175">
        <v>911000</v>
      </c>
      <c r="M3175">
        <v>91100</v>
      </c>
    </row>
    <row r="3176" spans="1:13" x14ac:dyDescent="0.25">
      <c r="A3176" t="s">
        <v>10693</v>
      </c>
      <c r="B3176" t="s">
        <v>10694</v>
      </c>
      <c r="C3176" t="s">
        <v>15</v>
      </c>
      <c r="D3176" t="s">
        <v>10695</v>
      </c>
      <c r="E3176" t="s">
        <v>10590</v>
      </c>
      <c r="F3176" t="s">
        <v>10646</v>
      </c>
      <c r="G3176" t="s">
        <v>10696</v>
      </c>
      <c r="H3176" t="str">
        <f>HYPERLINK("https://baanknet.com/view-property/223506/49BD39FC607C936F02B6F6F5E0BF8710D79C2BAAA6A9F4502D6A8EAA40345F99", "https://baanknet.com/view-property/223506/49BD39FC607C936F02B6F6F5E0BF8710D79C2BAAA6A9F4502D6A8EAA40345F99")</f>
        <v>https://baanknet.com/view-property/223506/49BD39FC607C936F02B6F6F5E0BF8710D79C2BAAA6A9F4502D6A8EAA40345F99</v>
      </c>
      <c r="I3176" t="str">
        <f>HYPERLINK("https://baanknet.com/view-property/223506/49BD39FC607C936F02B6F6F5E0BF8710D79C2BAAA6A9F4502D6A8EAA40345F99", "Open")</f>
        <v>Open</v>
      </c>
      <c r="J3176" t="s">
        <v>3803</v>
      </c>
      <c r="L3176">
        <v>2068200</v>
      </c>
      <c r="M3176">
        <v>206820</v>
      </c>
    </row>
    <row r="3177" spans="1:13" x14ac:dyDescent="0.25">
      <c r="A3177" t="s">
        <v>10697</v>
      </c>
      <c r="B3177" t="s">
        <v>10698</v>
      </c>
      <c r="C3177" t="s">
        <v>15</v>
      </c>
      <c r="D3177" t="s">
        <v>10699</v>
      </c>
      <c r="E3177" t="s">
        <v>10590</v>
      </c>
      <c r="F3177" t="s">
        <v>10646</v>
      </c>
      <c r="G3177" t="s">
        <v>10700</v>
      </c>
      <c r="H3177" t="str">
        <f>HYPERLINK("https://baanknet.com/view-property/223511/3FADB80E7782FB2C1134FFE7F4E0755A8FBE8D2502EB5886FA89A0913F3F03BD", "https://baanknet.com/view-property/223511/3FADB80E7782FB2C1134FFE7F4E0755A8FBE8D2502EB5886FA89A0913F3F03BD")</f>
        <v>https://baanknet.com/view-property/223511/3FADB80E7782FB2C1134FFE7F4E0755A8FBE8D2502EB5886FA89A0913F3F03BD</v>
      </c>
      <c r="I3177" t="str">
        <f>HYPERLINK("https://baanknet.com/view-property/223511/3FADB80E7782FB2C1134FFE7F4E0755A8FBE8D2502EB5886FA89A0913F3F03BD", "Open")</f>
        <v>Open</v>
      </c>
      <c r="J3177" t="s">
        <v>3803</v>
      </c>
      <c r="L3177">
        <v>1325970</v>
      </c>
      <c r="M3177">
        <v>132597</v>
      </c>
    </row>
    <row r="3178" spans="1:13" x14ac:dyDescent="0.25">
      <c r="A3178" t="s">
        <v>10701</v>
      </c>
      <c r="B3178" t="s">
        <v>10702</v>
      </c>
      <c r="C3178" t="s">
        <v>15</v>
      </c>
      <c r="D3178" t="s">
        <v>750</v>
      </c>
      <c r="E3178" t="s">
        <v>10590</v>
      </c>
      <c r="F3178" t="s">
        <v>10646</v>
      </c>
      <c r="G3178" t="s">
        <v>10703</v>
      </c>
      <c r="H3178" t="str">
        <f>HYPERLINK("https://baanknet.com/view-property/198821/D01E94745ADB45126975EFFCE05EF9839EEBE910B0E2E58EEF00E1A0A04FF0DE", "https://baanknet.com/view-property/198821/D01E94745ADB45126975EFFCE05EF9839EEBE910B0E2E58EEF00E1A0A04FF0DE")</f>
        <v>https://baanknet.com/view-property/198821/D01E94745ADB45126975EFFCE05EF9839EEBE910B0E2E58EEF00E1A0A04FF0DE</v>
      </c>
      <c r="I3178" t="str">
        <f>HYPERLINK("https://baanknet.com/view-property/198821/D01E94745ADB45126975EFFCE05EF9839EEBE910B0E2E58EEF00E1A0A04FF0DE", "Open")</f>
        <v>Open</v>
      </c>
      <c r="J3178" t="s">
        <v>3803</v>
      </c>
      <c r="L3178">
        <v>1716195.6</v>
      </c>
      <c r="M3178">
        <v>171619.56</v>
      </c>
    </row>
    <row r="3179" spans="1:13" x14ac:dyDescent="0.25">
      <c r="A3179" t="s">
        <v>10704</v>
      </c>
      <c r="B3179" t="s">
        <v>10705</v>
      </c>
      <c r="C3179" t="s">
        <v>15</v>
      </c>
      <c r="D3179" t="s">
        <v>10661</v>
      </c>
      <c r="E3179" t="s">
        <v>10590</v>
      </c>
      <c r="F3179" t="s">
        <v>10646</v>
      </c>
      <c r="G3179" t="s">
        <v>10706</v>
      </c>
      <c r="H3179" t="str">
        <f>HYPERLINK("https://baanknet.com/view-property/198846/53F94B3D698CAAD0C479861BC148A17ECB9C61EFF6E363CA649B43BED5328AE8", "https://baanknet.com/view-property/198846/53F94B3D698CAAD0C479861BC148A17ECB9C61EFF6E363CA649B43BED5328AE8")</f>
        <v>https://baanknet.com/view-property/198846/53F94B3D698CAAD0C479861BC148A17ECB9C61EFF6E363CA649B43BED5328AE8</v>
      </c>
      <c r="I3179" t="str">
        <f>HYPERLINK("https://baanknet.com/view-property/198846/53F94B3D698CAAD0C479861BC148A17ECB9C61EFF6E363CA649B43BED5328AE8", "Open")</f>
        <v>Open</v>
      </c>
      <c r="J3179" t="s">
        <v>3803</v>
      </c>
      <c r="L3179">
        <v>1335000</v>
      </c>
      <c r="M3179">
        <v>133500</v>
      </c>
    </row>
    <row r="3180" spans="1:13" x14ac:dyDescent="0.25">
      <c r="A3180" t="s">
        <v>10707</v>
      </c>
      <c r="B3180" t="s">
        <v>10708</v>
      </c>
      <c r="C3180" t="s">
        <v>15</v>
      </c>
      <c r="D3180" t="s">
        <v>750</v>
      </c>
      <c r="E3180" t="s">
        <v>10590</v>
      </c>
      <c r="F3180" t="s">
        <v>10646</v>
      </c>
      <c r="G3180" t="s">
        <v>10709</v>
      </c>
      <c r="H3180" t="str">
        <f>HYPERLINK("https://baanknet.com/view-property/198802/1D06DB6262D8AEA0EC07CDA428688F424C93320C3F63851CE5A35BB4F71A8750", "https://baanknet.com/view-property/198802/1D06DB6262D8AEA0EC07CDA428688F424C93320C3F63851CE5A35BB4F71A8750")</f>
        <v>https://baanknet.com/view-property/198802/1D06DB6262D8AEA0EC07CDA428688F424C93320C3F63851CE5A35BB4F71A8750</v>
      </c>
      <c r="I3180" t="str">
        <f>HYPERLINK("https://baanknet.com/view-property/198802/1D06DB6262D8AEA0EC07CDA428688F424C93320C3F63851CE5A35BB4F71A8750", "Open")</f>
        <v>Open</v>
      </c>
      <c r="J3180" t="s">
        <v>3803</v>
      </c>
      <c r="L3180">
        <v>802710</v>
      </c>
      <c r="M3180">
        <v>80271</v>
      </c>
    </row>
    <row r="3181" spans="1:13" x14ac:dyDescent="0.25">
      <c r="A3181" t="s">
        <v>10710</v>
      </c>
      <c r="B3181" t="s">
        <v>10711</v>
      </c>
      <c r="C3181" t="s">
        <v>15</v>
      </c>
      <c r="D3181" t="s">
        <v>2577</v>
      </c>
      <c r="E3181" t="s">
        <v>10590</v>
      </c>
      <c r="F3181" t="s">
        <v>10646</v>
      </c>
      <c r="G3181" t="s">
        <v>10712</v>
      </c>
      <c r="H3181" t="str">
        <f>HYPERLINK("https://baanknet.com/view-property/187774/A84C2B29066D34F73D3250F70586A43DDF14FE018CA7D7717F9C4E5F52F091A2", "https://baanknet.com/view-property/187774/A84C2B29066D34F73D3250F70586A43DDF14FE018CA7D7717F9C4E5F52F091A2")</f>
        <v>https://baanknet.com/view-property/187774/A84C2B29066D34F73D3250F70586A43DDF14FE018CA7D7717F9C4E5F52F091A2</v>
      </c>
      <c r="I3181" t="str">
        <f>HYPERLINK("https://baanknet.com/view-property/187774/A84C2B29066D34F73D3250F70586A43DDF14FE018CA7D7717F9C4E5F52F091A2", "Open")</f>
        <v>Open</v>
      </c>
      <c r="J3181" t="s">
        <v>3803</v>
      </c>
      <c r="L3181">
        <v>3170000</v>
      </c>
      <c r="M3181">
        <v>317000</v>
      </c>
    </row>
    <row r="3182" spans="1:13" x14ac:dyDescent="0.25">
      <c r="A3182" t="s">
        <v>10713</v>
      </c>
      <c r="B3182" t="s">
        <v>10714</v>
      </c>
      <c r="C3182" t="s">
        <v>15</v>
      </c>
      <c r="D3182" t="s">
        <v>750</v>
      </c>
      <c r="E3182" t="s">
        <v>10590</v>
      </c>
      <c r="F3182" t="s">
        <v>10646</v>
      </c>
      <c r="G3182" t="s">
        <v>10715</v>
      </c>
      <c r="H3182" t="str">
        <f>HYPERLINK("https://baanknet.com/view-property/198817/E970984281BF79EFF99E7BA0CB91B661CDF36EF0B93A80C68A4C244B00A4F90B", "https://baanknet.com/view-property/198817/E970984281BF79EFF99E7BA0CB91B661CDF36EF0B93A80C68A4C244B00A4F90B")</f>
        <v>https://baanknet.com/view-property/198817/E970984281BF79EFF99E7BA0CB91B661CDF36EF0B93A80C68A4C244B00A4F90B</v>
      </c>
      <c r="I3182" t="str">
        <f>HYPERLINK("https://baanknet.com/view-property/198817/E970984281BF79EFF99E7BA0CB91B661CDF36EF0B93A80C68A4C244B00A4F90B", "Open")</f>
        <v>Open</v>
      </c>
      <c r="J3182" t="s">
        <v>3803</v>
      </c>
      <c r="L3182">
        <v>3435566.4</v>
      </c>
      <c r="M3182">
        <v>343556.64</v>
      </c>
    </row>
    <row r="3183" spans="1:13" x14ac:dyDescent="0.25">
      <c r="A3183" t="s">
        <v>10716</v>
      </c>
      <c r="B3183" t="s">
        <v>10717</v>
      </c>
      <c r="C3183" t="s">
        <v>15</v>
      </c>
      <c r="D3183" t="s">
        <v>2577</v>
      </c>
      <c r="E3183" t="s">
        <v>10590</v>
      </c>
      <c r="F3183" t="s">
        <v>10646</v>
      </c>
      <c r="G3183" t="s">
        <v>10718</v>
      </c>
      <c r="H3183" t="str">
        <f>HYPERLINK("https://baanknet.com/view-property/187845/9D658B0F8968EE03640E6488368B854A0FA54A5B6901A0FC716D782941EF22F9", "https://baanknet.com/view-property/187845/9D658B0F8968EE03640E6488368B854A0FA54A5B6901A0FC716D782941EF22F9")</f>
        <v>https://baanknet.com/view-property/187845/9D658B0F8968EE03640E6488368B854A0FA54A5B6901A0FC716D782941EF22F9</v>
      </c>
      <c r="I3183" t="str">
        <f>HYPERLINK("https://baanknet.com/view-property/187845/9D658B0F8968EE03640E6488368B854A0FA54A5B6901A0FC716D782941EF22F9", "Open")</f>
        <v>Open</v>
      </c>
      <c r="J3183" t="s">
        <v>3803</v>
      </c>
      <c r="L3183">
        <v>492420.6</v>
      </c>
      <c r="M3183">
        <v>49242.06</v>
      </c>
    </row>
    <row r="3184" spans="1:13" x14ac:dyDescent="0.25">
      <c r="A3184" t="s">
        <v>10719</v>
      </c>
      <c r="B3184" t="s">
        <v>10720</v>
      </c>
      <c r="C3184" t="s">
        <v>15</v>
      </c>
      <c r="D3184" t="s">
        <v>750</v>
      </c>
      <c r="E3184" t="s">
        <v>10590</v>
      </c>
      <c r="F3184" t="s">
        <v>10646</v>
      </c>
      <c r="G3184" t="s">
        <v>10721</v>
      </c>
      <c r="H3184" t="str">
        <f>HYPERLINK("https://baanknet.com/view-property/198799/3142F12CC65A3D8110859E6F6F925811F32B2AB0ABC4005DD8AEB696F4D10C27", "https://baanknet.com/view-property/198799/3142F12CC65A3D8110859E6F6F925811F32B2AB0ABC4005DD8AEB696F4D10C27")</f>
        <v>https://baanknet.com/view-property/198799/3142F12CC65A3D8110859E6F6F925811F32B2AB0ABC4005DD8AEB696F4D10C27</v>
      </c>
      <c r="I3184" t="str">
        <f>HYPERLINK("https://baanknet.com/view-property/198799/3142F12CC65A3D8110859E6F6F925811F32B2AB0ABC4005DD8AEB696F4D10C27", "Open")</f>
        <v>Open</v>
      </c>
      <c r="J3184" t="s">
        <v>3803</v>
      </c>
      <c r="L3184">
        <v>1212300</v>
      </c>
      <c r="M3184">
        <v>121230</v>
      </c>
    </row>
    <row r="3185" spans="1:13" x14ac:dyDescent="0.25">
      <c r="A3185" t="s">
        <v>10722</v>
      </c>
      <c r="B3185" t="s">
        <v>10723</v>
      </c>
      <c r="C3185" t="s">
        <v>15</v>
      </c>
      <c r="D3185" t="s">
        <v>2577</v>
      </c>
      <c r="E3185" t="s">
        <v>10590</v>
      </c>
      <c r="F3185" t="s">
        <v>10646</v>
      </c>
      <c r="G3185" t="s">
        <v>10724</v>
      </c>
      <c r="H3185" t="str">
        <f>HYPERLINK("https://baanknet.com/view-property/187890/1E9D05CD044313F0F58356BBDCF74A759E5323A967970304363FA130D38920C9", "https://baanknet.com/view-property/187890/1E9D05CD044313F0F58356BBDCF74A759E5323A967970304363FA130D38920C9")</f>
        <v>https://baanknet.com/view-property/187890/1E9D05CD044313F0F58356BBDCF74A759E5323A967970304363FA130D38920C9</v>
      </c>
      <c r="I3185" t="str">
        <f>HYPERLINK("https://baanknet.com/view-property/187890/1E9D05CD044313F0F58356BBDCF74A759E5323A967970304363FA130D38920C9", "Open")</f>
        <v>Open</v>
      </c>
      <c r="J3185" t="s">
        <v>3803</v>
      </c>
      <c r="L3185">
        <v>2168000</v>
      </c>
      <c r="M3185">
        <v>216800</v>
      </c>
    </row>
    <row r="3186" spans="1:13" x14ac:dyDescent="0.25">
      <c r="A3186" t="s">
        <v>10725</v>
      </c>
      <c r="B3186" t="s">
        <v>10726</v>
      </c>
      <c r="C3186" t="s">
        <v>15</v>
      </c>
      <c r="D3186" t="s">
        <v>10727</v>
      </c>
      <c r="E3186" t="s">
        <v>10590</v>
      </c>
      <c r="F3186" t="s">
        <v>10646</v>
      </c>
      <c r="G3186" t="s">
        <v>10728</v>
      </c>
      <c r="H3186" t="str">
        <f>HYPERLINK("https://baanknet.com/view-property/240186/91FFBDB5FD28DE14B8208654D219CA10A2B11024E664D3F63AD620959AF5D06B", "https://baanknet.com/view-property/240186/91FFBDB5FD28DE14B8208654D219CA10A2B11024E664D3F63AD620959AF5D06B")</f>
        <v>https://baanknet.com/view-property/240186/91FFBDB5FD28DE14B8208654D219CA10A2B11024E664D3F63AD620959AF5D06B</v>
      </c>
      <c r="I3186" t="str">
        <f>HYPERLINK("https://baanknet.com/view-property/240186/91FFBDB5FD28DE14B8208654D219CA10A2B11024E664D3F63AD620959AF5D06B", "Open")</f>
        <v>Open</v>
      </c>
      <c r="J3186" t="s">
        <v>3803</v>
      </c>
      <c r="L3186">
        <v>1670000</v>
      </c>
      <c r="M3186">
        <v>167000</v>
      </c>
    </row>
    <row r="3187" spans="1:13" x14ac:dyDescent="0.25">
      <c r="A3187" t="s">
        <v>10729</v>
      </c>
      <c r="B3187" t="s">
        <v>10730</v>
      </c>
      <c r="C3187" t="s">
        <v>525</v>
      </c>
      <c r="D3187" t="s">
        <v>533</v>
      </c>
      <c r="E3187" t="s">
        <v>10590</v>
      </c>
      <c r="F3187" t="s">
        <v>10731</v>
      </c>
      <c r="G3187" t="s">
        <v>10732</v>
      </c>
      <c r="H3187" t="str">
        <f>HYPERLINK("https://baanknet.com/view-property/196870/CB72E29FC71A8E91C335C1A81D217EBD4CF4F3FC71823203DA7142C1520543AB", "https://baanknet.com/view-property/196870/CB72E29FC71A8E91C335C1A81D217EBD4CF4F3FC71823203DA7142C1520543AB")</f>
        <v>https://baanknet.com/view-property/196870/CB72E29FC71A8E91C335C1A81D217EBD4CF4F3FC71823203DA7142C1520543AB</v>
      </c>
      <c r="I3187" t="str">
        <f>HYPERLINK("https://baanknet.com/view-property/196870/CB72E29FC71A8E91C335C1A81D217EBD4CF4F3FC71823203DA7142C1520543AB", "Open")</f>
        <v>Open</v>
      </c>
      <c r="J3187" t="s">
        <v>3803</v>
      </c>
      <c r="L3187">
        <v>11700000</v>
      </c>
      <c r="M3187">
        <v>1170000</v>
      </c>
    </row>
    <row r="3188" spans="1:13" x14ac:dyDescent="0.25">
      <c r="A3188" t="s">
        <v>10733</v>
      </c>
      <c r="B3188" t="s">
        <v>10734</v>
      </c>
      <c r="C3188" t="s">
        <v>332</v>
      </c>
      <c r="D3188" t="s">
        <v>10735</v>
      </c>
      <c r="E3188" t="s">
        <v>10590</v>
      </c>
      <c r="F3188" t="s">
        <v>10736</v>
      </c>
      <c r="G3188" t="s">
        <v>10737</v>
      </c>
      <c r="H3188" t="str">
        <f>HYPERLINK("https://baanknet.com/view-property/284239/C6B232ACBE15A3886B145067454F6C4DC043FCED5A7AD8114E7E54E4F708E51A", "https://baanknet.com/view-property/284239/C6B232ACBE15A3886B145067454F6C4DC043FCED5A7AD8114E7E54E4F708E51A")</f>
        <v>https://baanknet.com/view-property/284239/C6B232ACBE15A3886B145067454F6C4DC043FCED5A7AD8114E7E54E4F708E51A</v>
      </c>
      <c r="I3188" t="str">
        <f>HYPERLINK("https://baanknet.com/view-property/284239/C6B232ACBE15A3886B145067454F6C4DC043FCED5A7AD8114E7E54E4F708E51A", "Open")</f>
        <v>Open</v>
      </c>
      <c r="J3188" t="s">
        <v>3803</v>
      </c>
      <c r="L3188">
        <v>1089000</v>
      </c>
      <c r="M3188">
        <v>108900</v>
      </c>
    </row>
    <row r="3189" spans="1:13" x14ac:dyDescent="0.25">
      <c r="A3189" t="s">
        <v>10738</v>
      </c>
      <c r="B3189" t="s">
        <v>10739</v>
      </c>
      <c r="C3189" t="s">
        <v>332</v>
      </c>
      <c r="D3189" t="s">
        <v>10740</v>
      </c>
      <c r="E3189" t="s">
        <v>10590</v>
      </c>
      <c r="F3189" t="s">
        <v>10736</v>
      </c>
      <c r="G3189" t="s">
        <v>10741</v>
      </c>
      <c r="H3189" t="str">
        <f>HYPERLINK("https://baanknet.com/view-property/285253/50155DD3991603C64C027E334927B3F20A30D96B1795313E8562C3972A081047", "https://baanknet.com/view-property/285253/50155DD3991603C64C027E334927B3F20A30D96B1795313E8562C3972A081047")</f>
        <v>https://baanknet.com/view-property/285253/50155DD3991603C64C027E334927B3F20A30D96B1795313E8562C3972A081047</v>
      </c>
      <c r="I3189" t="str">
        <f>HYPERLINK("https://baanknet.com/view-property/285253/50155DD3991603C64C027E334927B3F20A30D96B1795313E8562C3972A081047", "Open")</f>
        <v>Open</v>
      </c>
      <c r="J3189" t="s">
        <v>3803</v>
      </c>
      <c r="L3189">
        <v>2005000</v>
      </c>
      <c r="M3189">
        <v>200500</v>
      </c>
    </row>
    <row r="3190" spans="1:13" x14ac:dyDescent="0.25">
      <c r="A3190" t="s">
        <v>10742</v>
      </c>
      <c r="B3190" t="s">
        <v>10743</v>
      </c>
      <c r="C3190" t="s">
        <v>832</v>
      </c>
      <c r="D3190" t="s">
        <v>10744</v>
      </c>
      <c r="E3190" t="s">
        <v>10590</v>
      </c>
      <c r="F3190" t="s">
        <v>10736</v>
      </c>
      <c r="G3190" t="s">
        <v>10745</v>
      </c>
      <c r="H3190" t="str">
        <f>HYPERLINK("https://baanknet.com/view-property/219993/2CA8A59FCC29A4C41CD1BC2123157FDF22786BA2CDA048C24BCC5BD766EB8078", "https://baanknet.com/view-property/219993/2CA8A59FCC29A4C41CD1BC2123157FDF22786BA2CDA048C24BCC5BD766EB8078")</f>
        <v>https://baanknet.com/view-property/219993/2CA8A59FCC29A4C41CD1BC2123157FDF22786BA2CDA048C24BCC5BD766EB8078</v>
      </c>
      <c r="I3190" t="str">
        <f>HYPERLINK("https://baanknet.com/view-property/219993/2CA8A59FCC29A4C41CD1BC2123157FDF22786BA2CDA048C24BCC5BD766EB8078", "Open")</f>
        <v>Open</v>
      </c>
      <c r="J3190" t="s">
        <v>3803</v>
      </c>
      <c r="L3190">
        <v>1750000</v>
      </c>
      <c r="M3190">
        <v>175000</v>
      </c>
    </row>
    <row r="3191" spans="1:13" x14ac:dyDescent="0.25">
      <c r="A3191" t="s">
        <v>10746</v>
      </c>
      <c r="B3191" t="s">
        <v>10747</v>
      </c>
      <c r="C3191" t="s">
        <v>832</v>
      </c>
      <c r="D3191" t="s">
        <v>10744</v>
      </c>
      <c r="E3191" t="s">
        <v>10590</v>
      </c>
      <c r="F3191" t="s">
        <v>10736</v>
      </c>
      <c r="G3191" t="s">
        <v>10748</v>
      </c>
      <c r="H3191" t="str">
        <f>HYPERLINK("https://baanknet.com/view-property/220005/A47A3760587A686DE2B7D05209FA771476F406B20FE32B2643E5DBB90829ABCB", "https://baanknet.com/view-property/220005/A47A3760587A686DE2B7D05209FA771476F406B20FE32B2643E5DBB90829ABCB")</f>
        <v>https://baanknet.com/view-property/220005/A47A3760587A686DE2B7D05209FA771476F406B20FE32B2643E5DBB90829ABCB</v>
      </c>
      <c r="I3191" t="str">
        <f>HYPERLINK("https://baanknet.com/view-property/220005/A47A3760587A686DE2B7D05209FA771476F406B20FE32B2643E5DBB90829ABCB", "Open")</f>
        <v>Open</v>
      </c>
      <c r="J3191" t="s">
        <v>3803</v>
      </c>
      <c r="L3191">
        <v>1800000</v>
      </c>
      <c r="M3191">
        <v>180000</v>
      </c>
    </row>
    <row r="3192" spans="1:13" x14ac:dyDescent="0.25">
      <c r="A3192" t="s">
        <v>10749</v>
      </c>
      <c r="B3192" t="s">
        <v>10750</v>
      </c>
      <c r="C3192" t="s">
        <v>832</v>
      </c>
      <c r="D3192" t="s">
        <v>7102</v>
      </c>
      <c r="E3192" t="s">
        <v>10590</v>
      </c>
      <c r="F3192" t="s">
        <v>10736</v>
      </c>
      <c r="G3192" t="s">
        <v>10751</v>
      </c>
      <c r="H3192" t="str">
        <f>HYPERLINK("https://baanknet.com/view-property/170914/0C45EA6829E6DDD6D5F4E572589B667D9DFBD6DDAA777E546E51330B5C4C3F26", "https://baanknet.com/view-property/170914/0C45EA6829E6DDD6D5F4E572589B667D9DFBD6DDAA777E546E51330B5C4C3F26")</f>
        <v>https://baanknet.com/view-property/170914/0C45EA6829E6DDD6D5F4E572589B667D9DFBD6DDAA777E546E51330B5C4C3F26</v>
      </c>
      <c r="I3192" t="str">
        <f>HYPERLINK("https://baanknet.com/view-property/170914/0C45EA6829E6DDD6D5F4E572589B667D9DFBD6DDAA777E546E51330B5C4C3F26", "Open")</f>
        <v>Open</v>
      </c>
      <c r="J3192" t="s">
        <v>3803</v>
      </c>
      <c r="L3192">
        <v>2381000</v>
      </c>
      <c r="M3192">
        <v>238100</v>
      </c>
    </row>
    <row r="3193" spans="1:13" x14ac:dyDescent="0.25">
      <c r="A3193" t="s">
        <v>10752</v>
      </c>
      <c r="B3193" t="s">
        <v>10753</v>
      </c>
      <c r="C3193" t="s">
        <v>832</v>
      </c>
      <c r="D3193" t="s">
        <v>7102</v>
      </c>
      <c r="E3193" t="s">
        <v>10590</v>
      </c>
      <c r="F3193" t="s">
        <v>10736</v>
      </c>
      <c r="G3193" t="s">
        <v>10754</v>
      </c>
      <c r="H3193" t="str">
        <f>HYPERLINK("https://baanknet.com/view-property/181206/12D26D8AA7B63B8D276AF5EA72D84CB6DF59E5D37F6823437FF7CA79341AC859", "https://baanknet.com/view-property/181206/12D26D8AA7B63B8D276AF5EA72D84CB6DF59E5D37F6823437FF7CA79341AC859")</f>
        <v>https://baanknet.com/view-property/181206/12D26D8AA7B63B8D276AF5EA72D84CB6DF59E5D37F6823437FF7CA79341AC859</v>
      </c>
      <c r="I3193" t="str">
        <f>HYPERLINK("https://baanknet.com/view-property/181206/12D26D8AA7B63B8D276AF5EA72D84CB6DF59E5D37F6823437FF7CA79341AC859", "Open")</f>
        <v>Open</v>
      </c>
      <c r="J3193" t="s">
        <v>3803</v>
      </c>
      <c r="L3193">
        <v>1370000</v>
      </c>
      <c r="M3193">
        <v>137000</v>
      </c>
    </row>
    <row r="3194" spans="1:13" x14ac:dyDescent="0.25">
      <c r="A3194" t="s">
        <v>10755</v>
      </c>
      <c r="B3194" t="s">
        <v>10756</v>
      </c>
      <c r="C3194" t="s">
        <v>332</v>
      </c>
      <c r="D3194" t="s">
        <v>3213</v>
      </c>
      <c r="E3194" t="s">
        <v>10590</v>
      </c>
      <c r="F3194" t="s">
        <v>10604</v>
      </c>
      <c r="G3194" t="s">
        <v>10757</v>
      </c>
      <c r="H3194" t="str">
        <f>HYPERLINK("https://baanknet.com/view-property/230187/12B009EFE9603AFA288980EE3962921261B9B27A641926045C8E3D781F066640", "https://baanknet.com/view-property/230187/12B009EFE9603AFA288980EE3962921261B9B27A641926045C8E3D781F066640")</f>
        <v>https://baanknet.com/view-property/230187/12B009EFE9603AFA288980EE3962921261B9B27A641926045C8E3D781F066640</v>
      </c>
      <c r="I3194" t="str">
        <f>HYPERLINK("https://baanknet.com/view-property/230187/12B009EFE9603AFA288980EE3962921261B9B27A641926045C8E3D781F066640", "Open")</f>
        <v>Open</v>
      </c>
      <c r="J3194" t="s">
        <v>3803</v>
      </c>
      <c r="L3194">
        <v>4038000</v>
      </c>
      <c r="M3194">
        <v>403800</v>
      </c>
    </row>
    <row r="3195" spans="1:13" x14ac:dyDescent="0.25">
      <c r="A3195" t="s">
        <v>10758</v>
      </c>
      <c r="B3195" t="s">
        <v>10759</v>
      </c>
      <c r="C3195" t="s">
        <v>332</v>
      </c>
      <c r="D3195" t="s">
        <v>3285</v>
      </c>
      <c r="E3195" t="s">
        <v>10590</v>
      </c>
      <c r="F3195" t="s">
        <v>10604</v>
      </c>
      <c r="G3195" t="s">
        <v>10760</v>
      </c>
      <c r="H3195" t="str">
        <f>HYPERLINK("https://baanknet.com/view-property/230071/37EE5F3EB56EE62C7EDC75E45F1CE584B4AAB4B65689071968ACF4D259D3A261", "https://baanknet.com/view-property/230071/37EE5F3EB56EE62C7EDC75E45F1CE584B4AAB4B65689071968ACF4D259D3A261")</f>
        <v>https://baanknet.com/view-property/230071/37EE5F3EB56EE62C7EDC75E45F1CE584B4AAB4B65689071968ACF4D259D3A261</v>
      </c>
      <c r="I3195" t="str">
        <f>HYPERLINK("https://baanknet.com/view-property/230071/37EE5F3EB56EE62C7EDC75E45F1CE584B4AAB4B65689071968ACF4D259D3A261", "Open")</f>
        <v>Open</v>
      </c>
      <c r="J3195" t="s">
        <v>3803</v>
      </c>
      <c r="L3195">
        <v>3030000</v>
      </c>
      <c r="M3195">
        <v>303000</v>
      </c>
    </row>
    <row r="3196" spans="1:13" x14ac:dyDescent="0.25">
      <c r="A3196" t="s">
        <v>10761</v>
      </c>
      <c r="B3196" t="s">
        <v>10762</v>
      </c>
      <c r="C3196" t="s">
        <v>332</v>
      </c>
      <c r="D3196" t="s">
        <v>3968</v>
      </c>
      <c r="E3196" t="s">
        <v>10590</v>
      </c>
      <c r="F3196" t="s">
        <v>10604</v>
      </c>
      <c r="G3196" t="s">
        <v>10763</v>
      </c>
      <c r="H3196" t="str">
        <f>HYPERLINK("https://baanknet.com/view-property/78268/73AC111A6D29ED0B5B705034C0FB16A530E7A112A37A4B9676550EB1311C4EB6", "https://baanknet.com/view-property/78268/73AC111A6D29ED0B5B705034C0FB16A530E7A112A37A4B9676550EB1311C4EB6")</f>
        <v>https://baanknet.com/view-property/78268/73AC111A6D29ED0B5B705034C0FB16A530E7A112A37A4B9676550EB1311C4EB6</v>
      </c>
      <c r="I3196" t="str">
        <f>HYPERLINK("https://baanknet.com/view-property/78268/73AC111A6D29ED0B5B705034C0FB16A530E7A112A37A4B9676550EB1311C4EB6", "Open")</f>
        <v>Open</v>
      </c>
      <c r="J3196" t="s">
        <v>3803</v>
      </c>
      <c r="L3196">
        <v>3204000</v>
      </c>
      <c r="M3196">
        <v>320400</v>
      </c>
    </row>
    <row r="3197" spans="1:13" x14ac:dyDescent="0.25">
      <c r="A3197" t="s">
        <v>10764</v>
      </c>
      <c r="B3197" t="s">
        <v>10765</v>
      </c>
      <c r="C3197" t="s">
        <v>332</v>
      </c>
      <c r="D3197" t="s">
        <v>590</v>
      </c>
      <c r="E3197" t="s">
        <v>10590</v>
      </c>
      <c r="F3197" t="s">
        <v>10604</v>
      </c>
      <c r="G3197" t="s">
        <v>10766</v>
      </c>
      <c r="H3197" t="str">
        <f>HYPERLINK("https://baanknet.com/view-property/172134/4C758F33E41658D7E389FF57F7B2FEE4BB92FDB97171B074298B8A4ED7185C94", "https://baanknet.com/view-property/172134/4C758F33E41658D7E389FF57F7B2FEE4BB92FDB97171B074298B8A4ED7185C94")</f>
        <v>https://baanknet.com/view-property/172134/4C758F33E41658D7E389FF57F7B2FEE4BB92FDB97171B074298B8A4ED7185C94</v>
      </c>
      <c r="I3197" t="str">
        <f>HYPERLINK("https://baanknet.com/view-property/172134/4C758F33E41658D7E389FF57F7B2FEE4BB92FDB97171B074298B8A4ED7185C94", "Open")</f>
        <v>Open</v>
      </c>
      <c r="J3197" t="s">
        <v>3803</v>
      </c>
      <c r="L3197">
        <v>3106000</v>
      </c>
      <c r="M3197">
        <v>310600</v>
      </c>
    </row>
    <row r="3198" spans="1:13" x14ac:dyDescent="0.25">
      <c r="A3198" t="s">
        <v>10767</v>
      </c>
      <c r="B3198" t="s">
        <v>10768</v>
      </c>
      <c r="C3198" t="s">
        <v>332</v>
      </c>
      <c r="D3198" t="s">
        <v>3213</v>
      </c>
      <c r="E3198" t="s">
        <v>10590</v>
      </c>
      <c r="F3198" t="s">
        <v>10604</v>
      </c>
      <c r="G3198" t="s">
        <v>10769</v>
      </c>
      <c r="H3198" t="str">
        <f>HYPERLINK("https://baanknet.com/view-property/230117/83040B9708D70C7BC6B83DCEB315E508DAA5338D20AF0666BCD4FECC5661C2AC", "https://baanknet.com/view-property/230117/83040B9708D70C7BC6B83DCEB315E508DAA5338D20AF0666BCD4FECC5661C2AC")</f>
        <v>https://baanknet.com/view-property/230117/83040B9708D70C7BC6B83DCEB315E508DAA5338D20AF0666BCD4FECC5661C2AC</v>
      </c>
      <c r="I3198" t="str">
        <f>HYPERLINK("https://baanknet.com/view-property/230117/83040B9708D70C7BC6B83DCEB315E508DAA5338D20AF0666BCD4FECC5661C2AC", "Open")</f>
        <v>Open</v>
      </c>
      <c r="J3198" t="s">
        <v>3803</v>
      </c>
      <c r="L3198">
        <v>2628000</v>
      </c>
      <c r="M3198">
        <v>262800</v>
      </c>
    </row>
    <row r="3199" spans="1:13" x14ac:dyDescent="0.25">
      <c r="A3199" t="s">
        <v>10770</v>
      </c>
      <c r="B3199" t="s">
        <v>10771</v>
      </c>
      <c r="C3199" t="s">
        <v>332</v>
      </c>
      <c r="D3199" t="s">
        <v>282</v>
      </c>
      <c r="E3199" t="s">
        <v>10590</v>
      </c>
      <c r="F3199" t="s">
        <v>10604</v>
      </c>
      <c r="G3199" t="s">
        <v>10772</v>
      </c>
      <c r="H3199" t="str">
        <f>HYPERLINK("https://baanknet.com/view-property/237827/48B81C18F54F13B48561F6A737D9995B4EDD1C467A81406F75F016372C5BE01D", "https://baanknet.com/view-property/237827/48B81C18F54F13B48561F6A737D9995B4EDD1C467A81406F75F016372C5BE01D")</f>
        <v>https://baanknet.com/view-property/237827/48B81C18F54F13B48561F6A737D9995B4EDD1C467A81406F75F016372C5BE01D</v>
      </c>
      <c r="I3199" t="str">
        <f>HYPERLINK("https://baanknet.com/view-property/237827/48B81C18F54F13B48561F6A737D9995B4EDD1C467A81406F75F016372C5BE01D", "Open")</f>
        <v>Open</v>
      </c>
      <c r="J3199" t="s">
        <v>3803</v>
      </c>
      <c r="L3199">
        <v>2458000</v>
      </c>
      <c r="M3199">
        <v>245800</v>
      </c>
    </row>
    <row r="3200" spans="1:13" x14ac:dyDescent="0.25">
      <c r="A3200" t="s">
        <v>10773</v>
      </c>
      <c r="B3200" t="s">
        <v>10774</v>
      </c>
      <c r="C3200" t="s">
        <v>332</v>
      </c>
      <c r="D3200" t="s">
        <v>3709</v>
      </c>
      <c r="E3200" t="s">
        <v>10590</v>
      </c>
      <c r="F3200" t="s">
        <v>10604</v>
      </c>
      <c r="G3200" t="s">
        <v>10775</v>
      </c>
      <c r="H3200" t="str">
        <f>HYPERLINK("https://baanknet.com/view-property/77579/BCA719B7FBB7C9EA506D86F5205981FCE10028BB6E1DFF73676A82489034DD8E", "https://baanknet.com/view-property/77579/BCA719B7FBB7C9EA506D86F5205981FCE10028BB6E1DFF73676A82489034DD8E")</f>
        <v>https://baanknet.com/view-property/77579/BCA719B7FBB7C9EA506D86F5205981FCE10028BB6E1DFF73676A82489034DD8E</v>
      </c>
      <c r="I3200" t="str">
        <f>HYPERLINK("https://baanknet.com/view-property/77579/BCA719B7FBB7C9EA506D86F5205981FCE10028BB6E1DFF73676A82489034DD8E", "Open")</f>
        <v>Open</v>
      </c>
      <c r="J3200" t="s">
        <v>3803</v>
      </c>
      <c r="L3200">
        <v>4200000</v>
      </c>
      <c r="M3200">
        <v>420000</v>
      </c>
    </row>
    <row r="3201" spans="1:13" x14ac:dyDescent="0.25">
      <c r="A3201" t="s">
        <v>10776</v>
      </c>
      <c r="B3201" t="s">
        <v>10777</v>
      </c>
      <c r="C3201" t="s">
        <v>15</v>
      </c>
      <c r="D3201" t="s">
        <v>2798</v>
      </c>
      <c r="E3201" t="s">
        <v>10590</v>
      </c>
      <c r="F3201" t="s">
        <v>10604</v>
      </c>
      <c r="G3201" t="s">
        <v>10778</v>
      </c>
      <c r="H3201" t="str">
        <f>HYPERLINK("https://baanknet.com/view-property/200398/51C361AF90A7B84123C5407ADA7EBD567D4DC96D2590B94A9AF34A0986289073", "https://baanknet.com/view-property/200398/51C361AF90A7B84123C5407ADA7EBD567D4DC96D2590B94A9AF34A0986289073")</f>
        <v>https://baanknet.com/view-property/200398/51C361AF90A7B84123C5407ADA7EBD567D4DC96D2590B94A9AF34A0986289073</v>
      </c>
      <c r="I3201" t="str">
        <f>HYPERLINK("https://baanknet.com/view-property/200398/51C361AF90A7B84123C5407ADA7EBD567D4DC96D2590B94A9AF34A0986289073", "Open")</f>
        <v>Open</v>
      </c>
      <c r="J3201" t="s">
        <v>3803</v>
      </c>
      <c r="L3201">
        <v>2079000</v>
      </c>
      <c r="M3201">
        <v>207900</v>
      </c>
    </row>
    <row r="3202" spans="1:13" x14ac:dyDescent="0.25">
      <c r="A3202" t="s">
        <v>10779</v>
      </c>
      <c r="B3202" t="s">
        <v>10780</v>
      </c>
      <c r="C3202" t="s">
        <v>332</v>
      </c>
      <c r="D3202" t="s">
        <v>10781</v>
      </c>
      <c r="E3202" t="s">
        <v>10590</v>
      </c>
      <c r="F3202" t="s">
        <v>10604</v>
      </c>
      <c r="G3202" t="s">
        <v>10782</v>
      </c>
      <c r="H3202" t="str">
        <f>HYPERLINK("https://baanknet.com/view-property/267536/6554EF5213828D751568273918F9A00D00DF0D61EE0F1D8A852985B76CA84299", "https://baanknet.com/view-property/267536/6554EF5213828D751568273918F9A00D00DF0D61EE0F1D8A852985B76CA84299")</f>
        <v>https://baanknet.com/view-property/267536/6554EF5213828D751568273918F9A00D00DF0D61EE0F1D8A852985B76CA84299</v>
      </c>
      <c r="I3202" t="str">
        <f>HYPERLINK("https://baanknet.com/view-property/267536/6554EF5213828D751568273918F9A00D00DF0D61EE0F1D8A852985B76CA84299", "Open")</f>
        <v>Open</v>
      </c>
      <c r="J3202" t="s">
        <v>3803</v>
      </c>
      <c r="L3202">
        <v>3534759</v>
      </c>
      <c r="M3202">
        <v>353475.9</v>
      </c>
    </row>
    <row r="3203" spans="1:13" x14ac:dyDescent="0.25">
      <c r="A3203" t="s">
        <v>10783</v>
      </c>
      <c r="B3203" t="s">
        <v>10784</v>
      </c>
      <c r="C3203" t="s">
        <v>571</v>
      </c>
      <c r="D3203" t="s">
        <v>4511</v>
      </c>
      <c r="E3203" t="s">
        <v>10590</v>
      </c>
      <c r="F3203" t="s">
        <v>10604</v>
      </c>
      <c r="G3203" t="s">
        <v>10785</v>
      </c>
      <c r="H3203" t="str">
        <f>HYPERLINK("https://baanknet.com/view-property/128466/F4D2554C5FA9E3EAA698A0098BB9C1414C462519ECC8DF915160F9E6D7D8433D", "https://baanknet.com/view-property/128466/F4D2554C5FA9E3EAA698A0098BB9C1414C462519ECC8DF915160F9E6D7D8433D")</f>
        <v>https://baanknet.com/view-property/128466/F4D2554C5FA9E3EAA698A0098BB9C1414C462519ECC8DF915160F9E6D7D8433D</v>
      </c>
      <c r="I3203" t="str">
        <f>HYPERLINK("https://baanknet.com/view-property/128466/F4D2554C5FA9E3EAA698A0098BB9C1414C462519ECC8DF915160F9E6D7D8433D", "Open")</f>
        <v>Open</v>
      </c>
      <c r="J3203" t="s">
        <v>3803</v>
      </c>
      <c r="L3203">
        <v>1592000</v>
      </c>
      <c r="M3203">
        <v>159200</v>
      </c>
    </row>
    <row r="3204" spans="1:13" x14ac:dyDescent="0.25">
      <c r="A3204" t="s">
        <v>10786</v>
      </c>
      <c r="B3204" t="s">
        <v>10787</v>
      </c>
      <c r="C3204" t="s">
        <v>332</v>
      </c>
      <c r="D3204" t="s">
        <v>518</v>
      </c>
      <c r="E3204" t="s">
        <v>10590</v>
      </c>
      <c r="F3204" t="s">
        <v>10604</v>
      </c>
      <c r="G3204" t="s">
        <v>10788</v>
      </c>
      <c r="H3204" t="str">
        <f>HYPERLINK("https://baanknet.com/view-property/45106/777033C0215CBC6F7A29C1F25C67D7010114EEA928ED534429ED0AD482FD31B0", "https://baanknet.com/view-property/45106/777033C0215CBC6F7A29C1F25C67D7010114EEA928ED534429ED0AD482FD31B0")</f>
        <v>https://baanknet.com/view-property/45106/777033C0215CBC6F7A29C1F25C67D7010114EEA928ED534429ED0AD482FD31B0</v>
      </c>
      <c r="I3204" t="str">
        <f>HYPERLINK("https://baanknet.com/view-property/45106/777033C0215CBC6F7A29C1F25C67D7010114EEA928ED534429ED0AD482FD31B0", "Open")</f>
        <v>Open</v>
      </c>
      <c r="J3204" t="s">
        <v>3803</v>
      </c>
      <c r="L3204">
        <v>1970000</v>
      </c>
      <c r="M3204">
        <v>197000</v>
      </c>
    </row>
    <row r="3205" spans="1:13" x14ac:dyDescent="0.25">
      <c r="A3205" t="s">
        <v>10789</v>
      </c>
      <c r="B3205" t="s">
        <v>10790</v>
      </c>
      <c r="C3205" t="s">
        <v>332</v>
      </c>
      <c r="D3205" t="s">
        <v>10791</v>
      </c>
      <c r="E3205" t="s">
        <v>10590</v>
      </c>
      <c r="F3205" t="s">
        <v>10604</v>
      </c>
      <c r="G3205" t="s">
        <v>10792</v>
      </c>
      <c r="H3205" t="str">
        <f>HYPERLINK("https://baanknet.com/view-property/157313/26051483A4015E220E71D72C5A42E2AF97D1AEA8CB146DA68222B7BDFB2D547F", "https://baanknet.com/view-property/157313/26051483A4015E220E71D72C5A42E2AF97D1AEA8CB146DA68222B7BDFB2D547F")</f>
        <v>https://baanknet.com/view-property/157313/26051483A4015E220E71D72C5A42E2AF97D1AEA8CB146DA68222B7BDFB2D547F</v>
      </c>
      <c r="I3205" t="str">
        <f>HYPERLINK("https://baanknet.com/view-property/157313/26051483A4015E220E71D72C5A42E2AF97D1AEA8CB146DA68222B7BDFB2D547F", "Open")</f>
        <v>Open</v>
      </c>
      <c r="J3205" t="s">
        <v>3803</v>
      </c>
      <c r="L3205">
        <v>8731000</v>
      </c>
      <c r="M3205">
        <v>873100</v>
      </c>
    </row>
    <row r="3206" spans="1:13" x14ac:dyDescent="0.25">
      <c r="A3206" t="s">
        <v>10793</v>
      </c>
      <c r="B3206" t="s">
        <v>10794</v>
      </c>
      <c r="C3206" t="s">
        <v>121</v>
      </c>
      <c r="D3206" t="s">
        <v>10795</v>
      </c>
      <c r="E3206" t="s">
        <v>10590</v>
      </c>
      <c r="F3206" t="s">
        <v>10604</v>
      </c>
      <c r="G3206" t="s">
        <v>10796</v>
      </c>
      <c r="H3206" t="str">
        <f>HYPERLINK("https://baanknet.com/view-property/271102/4D3ADBD9B9C721E0C33FF4428709226E8027A686C73B952CED55E714D6B700A4", "https://baanknet.com/view-property/271102/4D3ADBD9B9C721E0C33FF4428709226E8027A686C73B952CED55E714D6B700A4")</f>
        <v>https://baanknet.com/view-property/271102/4D3ADBD9B9C721E0C33FF4428709226E8027A686C73B952CED55E714D6B700A4</v>
      </c>
      <c r="I3206" t="str">
        <f>HYPERLINK("https://baanknet.com/view-property/271102/4D3ADBD9B9C721E0C33FF4428709226E8027A686C73B952CED55E714D6B700A4", "Open")</f>
        <v>Open</v>
      </c>
      <c r="J3206" t="s">
        <v>3803</v>
      </c>
      <c r="L3206">
        <v>21000000</v>
      </c>
      <c r="M3206">
        <v>2100000</v>
      </c>
    </row>
    <row r="3207" spans="1:13" x14ac:dyDescent="0.25">
      <c r="A3207" t="s">
        <v>10797</v>
      </c>
      <c r="B3207" t="s">
        <v>10798</v>
      </c>
      <c r="C3207" t="s">
        <v>121</v>
      </c>
      <c r="D3207" t="s">
        <v>10799</v>
      </c>
      <c r="E3207" t="s">
        <v>10590</v>
      </c>
      <c r="F3207" t="s">
        <v>10604</v>
      </c>
      <c r="G3207" t="s">
        <v>10800</v>
      </c>
      <c r="H3207" t="str">
        <f>HYPERLINK("https://baanknet.com/view-property/287022/B99C4E65E16DBCF90A27E65E027226E49966197B354BD8D564A6390E709FCCCB", "https://baanknet.com/view-property/287022/B99C4E65E16DBCF90A27E65E027226E49966197B354BD8D564A6390E709FCCCB")</f>
        <v>https://baanknet.com/view-property/287022/B99C4E65E16DBCF90A27E65E027226E49966197B354BD8D564A6390E709FCCCB</v>
      </c>
      <c r="I3207" t="str">
        <f>HYPERLINK("https://baanknet.com/view-property/287022/B99C4E65E16DBCF90A27E65E027226E49966197B354BD8D564A6390E709FCCCB", "Open")</f>
        <v>Open</v>
      </c>
      <c r="J3207" t="s">
        <v>3803</v>
      </c>
      <c r="L3207">
        <v>19170000</v>
      </c>
      <c r="M3207">
        <v>1917000</v>
      </c>
    </row>
    <row r="3208" spans="1:13" x14ac:dyDescent="0.25">
      <c r="A3208" t="s">
        <v>10801</v>
      </c>
      <c r="B3208" t="s">
        <v>10802</v>
      </c>
      <c r="C3208" t="s">
        <v>121</v>
      </c>
      <c r="D3208" t="s">
        <v>4313</v>
      </c>
      <c r="E3208" t="s">
        <v>10590</v>
      </c>
      <c r="F3208" t="s">
        <v>10604</v>
      </c>
      <c r="G3208" t="s">
        <v>10803</v>
      </c>
      <c r="H3208" t="str">
        <f>HYPERLINK("https://baanknet.com/view-property/261323/57EA38D7A1A2C14E1FBFE1072A77D37C986E0606F2D424402585E26A38F607EC", "https://baanknet.com/view-property/261323/57EA38D7A1A2C14E1FBFE1072A77D37C986E0606F2D424402585E26A38F607EC")</f>
        <v>https://baanknet.com/view-property/261323/57EA38D7A1A2C14E1FBFE1072A77D37C986E0606F2D424402585E26A38F607EC</v>
      </c>
      <c r="I3208" t="str">
        <f>HYPERLINK("https://baanknet.com/view-property/261323/57EA38D7A1A2C14E1FBFE1072A77D37C986E0606F2D424402585E26A38F607EC", "Open")</f>
        <v>Open</v>
      </c>
      <c r="J3208" t="s">
        <v>3803</v>
      </c>
      <c r="L3208">
        <v>5700000</v>
      </c>
      <c r="M3208">
        <v>570000</v>
      </c>
    </row>
    <row r="3209" spans="1:13" x14ac:dyDescent="0.25">
      <c r="A3209" t="s">
        <v>10804</v>
      </c>
      <c r="B3209" t="s">
        <v>10805</v>
      </c>
      <c r="C3209" t="s">
        <v>121</v>
      </c>
      <c r="D3209" t="s">
        <v>2742</v>
      </c>
      <c r="E3209" t="s">
        <v>10590</v>
      </c>
      <c r="F3209" t="s">
        <v>10604</v>
      </c>
      <c r="G3209" t="s">
        <v>10806</v>
      </c>
      <c r="H3209" t="str">
        <f>HYPERLINK("https://baanknet.com/view-property/219481/99B7E1577A555B65E86E1DFCD3857B16B63DA9559320A715B9B48364D8E986D1", "https://baanknet.com/view-property/219481/99B7E1577A555B65E86E1DFCD3857B16B63DA9559320A715B9B48364D8E986D1")</f>
        <v>https://baanknet.com/view-property/219481/99B7E1577A555B65E86E1DFCD3857B16B63DA9559320A715B9B48364D8E986D1</v>
      </c>
      <c r="I3209" t="str">
        <f>HYPERLINK("https://baanknet.com/view-property/219481/99B7E1577A555B65E86E1DFCD3857B16B63DA9559320A715B9B48364D8E986D1", "Open")</f>
        <v>Open</v>
      </c>
      <c r="J3209" t="s">
        <v>3803</v>
      </c>
      <c r="L3209">
        <v>1285000</v>
      </c>
      <c r="M3209">
        <v>128500</v>
      </c>
    </row>
    <row r="3210" spans="1:13" x14ac:dyDescent="0.25">
      <c r="A3210" t="s">
        <v>10807</v>
      </c>
      <c r="B3210" t="s">
        <v>10808</v>
      </c>
      <c r="C3210" t="s">
        <v>121</v>
      </c>
      <c r="D3210" t="s">
        <v>4313</v>
      </c>
      <c r="E3210" t="s">
        <v>10590</v>
      </c>
      <c r="F3210" t="s">
        <v>10604</v>
      </c>
      <c r="G3210" t="s">
        <v>10809</v>
      </c>
      <c r="H3210" t="str">
        <f>HYPERLINK("https://baanknet.com/view-property/261287/47DEDCCB1B017100D113F8B630B7D12D23CB12ED7B62D0F1C28F141AB741B64B", "https://baanknet.com/view-property/261287/47DEDCCB1B017100D113F8B630B7D12D23CB12ED7B62D0F1C28F141AB741B64B")</f>
        <v>https://baanknet.com/view-property/261287/47DEDCCB1B017100D113F8B630B7D12D23CB12ED7B62D0F1C28F141AB741B64B</v>
      </c>
      <c r="I3210" t="str">
        <f>HYPERLINK("https://baanknet.com/view-property/261287/47DEDCCB1B017100D113F8B630B7D12D23CB12ED7B62D0F1C28F141AB741B64B", "Open")</f>
        <v>Open</v>
      </c>
      <c r="J3210" t="s">
        <v>3803</v>
      </c>
      <c r="L3210">
        <v>10300000</v>
      </c>
      <c r="M3210">
        <v>1030000</v>
      </c>
    </row>
    <row r="3211" spans="1:13" x14ac:dyDescent="0.25">
      <c r="A3211" t="s">
        <v>10810</v>
      </c>
      <c r="B3211" t="s">
        <v>10811</v>
      </c>
      <c r="C3211" t="s">
        <v>121</v>
      </c>
      <c r="D3211" t="s">
        <v>2742</v>
      </c>
      <c r="E3211" t="s">
        <v>10590</v>
      </c>
      <c r="F3211" t="s">
        <v>10604</v>
      </c>
      <c r="G3211" t="s">
        <v>10812</v>
      </c>
      <c r="H3211" t="str">
        <f>HYPERLINK("https://baanknet.com/view-property/175504/92272712434BA24C68164AF6ACA0DB8BFE2AB57D31FD9FE2A349F304FDA2825F", "https://baanknet.com/view-property/175504/92272712434BA24C68164AF6ACA0DB8BFE2AB57D31FD9FE2A349F304FDA2825F")</f>
        <v>https://baanknet.com/view-property/175504/92272712434BA24C68164AF6ACA0DB8BFE2AB57D31FD9FE2A349F304FDA2825F</v>
      </c>
      <c r="I3211" t="str">
        <f>HYPERLINK("https://baanknet.com/view-property/175504/92272712434BA24C68164AF6ACA0DB8BFE2AB57D31FD9FE2A349F304FDA2825F", "Open")</f>
        <v>Open</v>
      </c>
      <c r="J3211" t="s">
        <v>3803</v>
      </c>
      <c r="L3211">
        <v>1205000</v>
      </c>
      <c r="M3211">
        <v>120500</v>
      </c>
    </row>
    <row r="3212" spans="1:13" x14ac:dyDescent="0.25">
      <c r="A3212" t="s">
        <v>10813</v>
      </c>
      <c r="B3212" t="s">
        <v>10814</v>
      </c>
      <c r="C3212" t="s">
        <v>332</v>
      </c>
      <c r="D3212" t="s">
        <v>653</v>
      </c>
      <c r="E3212" t="s">
        <v>10590</v>
      </c>
      <c r="F3212" t="s">
        <v>10604</v>
      </c>
      <c r="G3212" t="s">
        <v>10815</v>
      </c>
      <c r="H3212" t="str">
        <f>HYPERLINK("https://baanknet.com/view-property/80399/B0DEEF5ADDEDA07F2FA9F36C7105357B5A1507D8801F7BF7E13E91E0115D6AFB", "https://baanknet.com/view-property/80399/B0DEEF5ADDEDA07F2FA9F36C7105357B5A1507D8801F7BF7E13E91E0115D6AFB")</f>
        <v>https://baanknet.com/view-property/80399/B0DEEF5ADDEDA07F2FA9F36C7105357B5A1507D8801F7BF7E13E91E0115D6AFB</v>
      </c>
      <c r="I3212" t="str">
        <f>HYPERLINK("https://baanknet.com/view-property/80399/B0DEEF5ADDEDA07F2FA9F36C7105357B5A1507D8801F7BF7E13E91E0115D6AFB", "Open")</f>
        <v>Open</v>
      </c>
      <c r="J3212" t="s">
        <v>3803</v>
      </c>
      <c r="L3212">
        <v>16100000</v>
      </c>
      <c r="M3212">
        <v>1610000</v>
      </c>
    </row>
    <row r="3213" spans="1:13" x14ac:dyDescent="0.25">
      <c r="A3213" t="s">
        <v>10816</v>
      </c>
      <c r="B3213" t="s">
        <v>10817</v>
      </c>
      <c r="C3213" t="s">
        <v>387</v>
      </c>
      <c r="D3213" t="s">
        <v>1246</v>
      </c>
      <c r="E3213" t="s">
        <v>10590</v>
      </c>
      <c r="F3213" t="s">
        <v>10604</v>
      </c>
      <c r="G3213" t="s">
        <v>10818</v>
      </c>
      <c r="H3213" t="str">
        <f>HYPERLINK("https://baanknet.com/view-property/223121/853D23C9018C3F411A5FAA9DE5839AB85D94456CCA6B13138EA6D7AB4EB82086", "https://baanknet.com/view-property/223121/853D23C9018C3F411A5FAA9DE5839AB85D94456CCA6B13138EA6D7AB4EB82086")</f>
        <v>https://baanknet.com/view-property/223121/853D23C9018C3F411A5FAA9DE5839AB85D94456CCA6B13138EA6D7AB4EB82086</v>
      </c>
      <c r="I3213" t="str">
        <f>HYPERLINK("https://baanknet.com/view-property/223121/853D23C9018C3F411A5FAA9DE5839AB85D94456CCA6B13138EA6D7AB4EB82086", "Open")</f>
        <v>Open</v>
      </c>
      <c r="J3213" t="s">
        <v>3803</v>
      </c>
      <c r="L3213">
        <v>5900000</v>
      </c>
      <c r="M3213">
        <v>590000</v>
      </c>
    </row>
    <row r="3214" spans="1:13" x14ac:dyDescent="0.25">
      <c r="A3214" t="s">
        <v>10819</v>
      </c>
      <c r="B3214" t="s">
        <v>10820</v>
      </c>
      <c r="C3214" t="s">
        <v>387</v>
      </c>
      <c r="D3214" t="s">
        <v>1380</v>
      </c>
      <c r="E3214" t="s">
        <v>10590</v>
      </c>
      <c r="F3214" t="s">
        <v>10604</v>
      </c>
      <c r="G3214" t="s">
        <v>10821</v>
      </c>
      <c r="H3214" t="str">
        <f>HYPERLINK("https://baanknet.com/view-property/258036/4CF4F8F7768F72AC13740006BE160778FCE69F0D66A198E652EF85F55086710F", "https://baanknet.com/view-property/258036/4CF4F8F7768F72AC13740006BE160778FCE69F0D66A198E652EF85F55086710F")</f>
        <v>https://baanknet.com/view-property/258036/4CF4F8F7768F72AC13740006BE160778FCE69F0D66A198E652EF85F55086710F</v>
      </c>
      <c r="I3214" t="str">
        <f>HYPERLINK("https://baanknet.com/view-property/258036/4CF4F8F7768F72AC13740006BE160778FCE69F0D66A198E652EF85F55086710F", "Open")</f>
        <v>Open</v>
      </c>
      <c r="J3214" t="s">
        <v>3803</v>
      </c>
      <c r="L3214">
        <v>950000</v>
      </c>
      <c r="M3214">
        <v>95000</v>
      </c>
    </row>
    <row r="3215" spans="1:13" x14ac:dyDescent="0.25">
      <c r="A3215" t="s">
        <v>10822</v>
      </c>
      <c r="B3215" t="s">
        <v>10823</v>
      </c>
      <c r="C3215" t="s">
        <v>387</v>
      </c>
      <c r="D3215" t="s">
        <v>1602</v>
      </c>
      <c r="E3215" t="s">
        <v>10590</v>
      </c>
      <c r="F3215" t="s">
        <v>10604</v>
      </c>
      <c r="G3215" t="s">
        <v>10824</v>
      </c>
      <c r="H3215" t="str">
        <f>HYPERLINK("https://baanknet.com/view-property/255745/30A1C8DB0EE0D54178B8208AF5C51BBA1859516A8EC91FCC52292CE1E6067739", "https://baanknet.com/view-property/255745/30A1C8DB0EE0D54178B8208AF5C51BBA1859516A8EC91FCC52292CE1E6067739")</f>
        <v>https://baanknet.com/view-property/255745/30A1C8DB0EE0D54178B8208AF5C51BBA1859516A8EC91FCC52292CE1E6067739</v>
      </c>
      <c r="I3215" t="str">
        <f>HYPERLINK("https://baanknet.com/view-property/255745/30A1C8DB0EE0D54178B8208AF5C51BBA1859516A8EC91FCC52292CE1E6067739", "Open")</f>
        <v>Open</v>
      </c>
      <c r="J3215" t="s">
        <v>3803</v>
      </c>
      <c r="L3215">
        <v>6550000</v>
      </c>
      <c r="M3215">
        <v>655000</v>
      </c>
    </row>
    <row r="3216" spans="1:13" x14ac:dyDescent="0.25">
      <c r="A3216" t="s">
        <v>10825</v>
      </c>
      <c r="B3216" t="s">
        <v>10826</v>
      </c>
      <c r="C3216" t="s">
        <v>387</v>
      </c>
      <c r="D3216" t="s">
        <v>1602</v>
      </c>
      <c r="E3216" t="s">
        <v>10590</v>
      </c>
      <c r="F3216" t="s">
        <v>10604</v>
      </c>
      <c r="G3216" t="s">
        <v>10827</v>
      </c>
      <c r="H3216" t="str">
        <f>HYPERLINK("https://baanknet.com/view-property/266550/99494B45E2F4D3D1D4C5D8D62EEEB4B41F345CAA763EC98C1858C827AA1D4A37", "https://baanknet.com/view-property/266550/99494B45E2F4D3D1D4C5D8D62EEEB4B41F345CAA763EC98C1858C827AA1D4A37")</f>
        <v>https://baanknet.com/view-property/266550/99494B45E2F4D3D1D4C5D8D62EEEB4B41F345CAA763EC98C1858C827AA1D4A37</v>
      </c>
      <c r="I3216" t="str">
        <f>HYPERLINK("https://baanknet.com/view-property/266550/99494B45E2F4D3D1D4C5D8D62EEEB4B41F345CAA763EC98C1858C827AA1D4A37", "Open")</f>
        <v>Open</v>
      </c>
      <c r="J3216" t="s">
        <v>3803</v>
      </c>
      <c r="L3216">
        <v>2700000</v>
      </c>
      <c r="M3216">
        <v>270000</v>
      </c>
    </row>
    <row r="3217" spans="1:13" x14ac:dyDescent="0.25">
      <c r="A3217" t="s">
        <v>10828</v>
      </c>
      <c r="B3217" t="s">
        <v>10829</v>
      </c>
      <c r="C3217" t="s">
        <v>387</v>
      </c>
      <c r="D3217" t="s">
        <v>10830</v>
      </c>
      <c r="E3217" t="s">
        <v>10590</v>
      </c>
      <c r="F3217" t="s">
        <v>10604</v>
      </c>
      <c r="G3217" t="s">
        <v>10831</v>
      </c>
      <c r="H3217" t="str">
        <f>HYPERLINK("https://baanknet.com/view-property/249963/5C6256890DF7CFA7B31E00305D60303A639BE85FAE56D04DFEFC018024ED4262", "https://baanknet.com/view-property/249963/5C6256890DF7CFA7B31E00305D60303A639BE85FAE56D04DFEFC018024ED4262")</f>
        <v>https://baanknet.com/view-property/249963/5C6256890DF7CFA7B31E00305D60303A639BE85FAE56D04DFEFC018024ED4262</v>
      </c>
      <c r="I3217" t="str">
        <f>HYPERLINK("https://baanknet.com/view-property/249963/5C6256890DF7CFA7B31E00305D60303A639BE85FAE56D04DFEFC018024ED4262", "Open")</f>
        <v>Open</v>
      </c>
      <c r="J3217" t="s">
        <v>3803</v>
      </c>
      <c r="L3217">
        <v>3600000</v>
      </c>
      <c r="M3217">
        <v>360000</v>
      </c>
    </row>
    <row r="3218" spans="1:13" x14ac:dyDescent="0.25">
      <c r="A3218" t="s">
        <v>10832</v>
      </c>
      <c r="B3218" t="s">
        <v>10833</v>
      </c>
      <c r="C3218" t="s">
        <v>387</v>
      </c>
      <c r="D3218" t="s">
        <v>1602</v>
      </c>
      <c r="E3218" t="s">
        <v>10590</v>
      </c>
      <c r="F3218" t="s">
        <v>10604</v>
      </c>
      <c r="G3218" t="s">
        <v>10834</v>
      </c>
      <c r="H3218" t="str">
        <f>HYPERLINK("https://baanknet.com/view-property/255529/98E6D815854AA5350142FE82B640788FD77DFC3CAA42C40FDE856466CD9CC0EC", "https://baanknet.com/view-property/255529/98E6D815854AA5350142FE82B640788FD77DFC3CAA42C40FDE856466CD9CC0EC")</f>
        <v>https://baanknet.com/view-property/255529/98E6D815854AA5350142FE82B640788FD77DFC3CAA42C40FDE856466CD9CC0EC</v>
      </c>
      <c r="I3218" t="str">
        <f>HYPERLINK("https://baanknet.com/view-property/255529/98E6D815854AA5350142FE82B640788FD77DFC3CAA42C40FDE856466CD9CC0EC", "Open")</f>
        <v>Open</v>
      </c>
      <c r="J3218" t="s">
        <v>3803</v>
      </c>
      <c r="L3218">
        <v>1530000</v>
      </c>
      <c r="M3218">
        <v>153000</v>
      </c>
    </row>
    <row r="3219" spans="1:13" x14ac:dyDescent="0.25">
      <c r="A3219" t="s">
        <v>10835</v>
      </c>
      <c r="B3219" t="s">
        <v>10836</v>
      </c>
      <c r="C3219" t="s">
        <v>121</v>
      </c>
      <c r="D3219" t="s">
        <v>10837</v>
      </c>
      <c r="E3219" t="s">
        <v>10590</v>
      </c>
      <c r="F3219" t="s">
        <v>10604</v>
      </c>
      <c r="G3219" t="s">
        <v>10838</v>
      </c>
      <c r="H3219" t="str">
        <f>HYPERLINK("https://baanknet.com/view-property/281252/9510454CB676BD53C3CF5E84869D39E79D3F210363C6B6EE702AEF5D613661F0", "https://baanknet.com/view-property/281252/9510454CB676BD53C3CF5E84869D39E79D3F210363C6B6EE702AEF5D613661F0")</f>
        <v>https://baanknet.com/view-property/281252/9510454CB676BD53C3CF5E84869D39E79D3F210363C6B6EE702AEF5D613661F0</v>
      </c>
      <c r="I3219" t="str">
        <f>HYPERLINK("https://baanknet.com/view-property/281252/9510454CB676BD53C3CF5E84869D39E79D3F210363C6B6EE702AEF5D613661F0", "Open")</f>
        <v>Open</v>
      </c>
      <c r="J3219" t="s">
        <v>3803</v>
      </c>
      <c r="L3219">
        <v>4428000</v>
      </c>
      <c r="M3219">
        <v>443000</v>
      </c>
    </row>
    <row r="3220" spans="1:13" x14ac:dyDescent="0.25">
      <c r="A3220" t="s">
        <v>10839</v>
      </c>
      <c r="B3220" t="s">
        <v>10840</v>
      </c>
      <c r="C3220" t="s">
        <v>121</v>
      </c>
      <c r="D3220" t="s">
        <v>10841</v>
      </c>
      <c r="E3220" t="s">
        <v>10590</v>
      </c>
      <c r="F3220" t="s">
        <v>10604</v>
      </c>
      <c r="G3220" t="s">
        <v>10842</v>
      </c>
      <c r="H3220" t="str">
        <f>HYPERLINK("https://baanknet.com/view-property/265398/A24C9253609AF27A81D85411234B5EA77DE9376B6D8120A0F50C34E50045CDA5", "https://baanknet.com/view-property/265398/A24C9253609AF27A81D85411234B5EA77DE9376B6D8120A0F50C34E50045CDA5")</f>
        <v>https://baanknet.com/view-property/265398/A24C9253609AF27A81D85411234B5EA77DE9376B6D8120A0F50C34E50045CDA5</v>
      </c>
      <c r="I3220" t="str">
        <f>HYPERLINK("https://baanknet.com/view-property/265398/A24C9253609AF27A81D85411234B5EA77DE9376B6D8120A0F50C34E50045CDA5", "Open")</f>
        <v>Open</v>
      </c>
      <c r="J3220" t="s">
        <v>3803</v>
      </c>
      <c r="L3220">
        <v>2095000</v>
      </c>
      <c r="M3220">
        <v>210000</v>
      </c>
    </row>
    <row r="3221" spans="1:13" x14ac:dyDescent="0.25">
      <c r="A3221" t="s">
        <v>10843</v>
      </c>
      <c r="B3221" t="s">
        <v>10844</v>
      </c>
      <c r="C3221" t="s">
        <v>387</v>
      </c>
      <c r="D3221" t="s">
        <v>10845</v>
      </c>
      <c r="E3221" t="s">
        <v>10590</v>
      </c>
      <c r="F3221" t="s">
        <v>10604</v>
      </c>
      <c r="G3221" t="s">
        <v>10846</v>
      </c>
      <c r="H3221" t="str">
        <f>HYPERLINK("https://baanknet.com/view-property/288099/F8A7624ACC4965771A73C72D66D87D8A3BA630C2AD2F2D0D40D1307C4CF27340", "https://baanknet.com/view-property/288099/F8A7624ACC4965771A73C72D66D87D8A3BA630C2AD2F2D0D40D1307C4CF27340")</f>
        <v>https://baanknet.com/view-property/288099/F8A7624ACC4965771A73C72D66D87D8A3BA630C2AD2F2D0D40D1307C4CF27340</v>
      </c>
      <c r="I3221" t="str">
        <f>HYPERLINK("https://baanknet.com/view-property/288099/F8A7624ACC4965771A73C72D66D87D8A3BA630C2AD2F2D0D40D1307C4CF27340", "Open")</f>
        <v>Open</v>
      </c>
      <c r="J3221" t="s">
        <v>3803</v>
      </c>
      <c r="L3221">
        <v>2400000</v>
      </c>
      <c r="M3221">
        <v>240000</v>
      </c>
    </row>
    <row r="3222" spans="1:13" x14ac:dyDescent="0.25">
      <c r="A3222" t="s">
        <v>10847</v>
      </c>
      <c r="B3222" t="s">
        <v>10848</v>
      </c>
      <c r="C3222" t="s">
        <v>571</v>
      </c>
      <c r="D3222" t="s">
        <v>1807</v>
      </c>
      <c r="E3222" t="s">
        <v>10590</v>
      </c>
      <c r="F3222" t="s">
        <v>10849</v>
      </c>
      <c r="G3222" t="s">
        <v>10850</v>
      </c>
      <c r="H3222" t="str">
        <f>HYPERLINK("https://baanknet.com/view-property/285428/CB972C6EC46E0F90D8A220974BB05C2C657420BCCF4BD848D4CD96DF7877D4F9", "https://baanknet.com/view-property/285428/CB972C6EC46E0F90D8A220974BB05C2C657420BCCF4BD848D4CD96DF7877D4F9")</f>
        <v>https://baanknet.com/view-property/285428/CB972C6EC46E0F90D8A220974BB05C2C657420BCCF4BD848D4CD96DF7877D4F9</v>
      </c>
      <c r="I3222" t="str">
        <f>HYPERLINK("https://baanknet.com/view-property/285428/CB972C6EC46E0F90D8A220974BB05C2C657420BCCF4BD848D4CD96DF7877D4F9", "Open")</f>
        <v>Open</v>
      </c>
      <c r="J3222" t="s">
        <v>3803</v>
      </c>
      <c r="L3222">
        <v>38000000</v>
      </c>
      <c r="M3222">
        <v>3800000</v>
      </c>
    </row>
    <row r="3223" spans="1:13" x14ac:dyDescent="0.25">
      <c r="A3223" t="s">
        <v>10851</v>
      </c>
      <c r="B3223" t="s">
        <v>10852</v>
      </c>
      <c r="C3223" t="s">
        <v>7449</v>
      </c>
      <c r="D3223" t="s">
        <v>10853</v>
      </c>
      <c r="E3223" t="s">
        <v>10590</v>
      </c>
      <c r="F3223" t="s">
        <v>10849</v>
      </c>
      <c r="G3223" t="s">
        <v>10854</v>
      </c>
      <c r="H3223" t="str">
        <f>HYPERLINK("https://baanknet.com/view-property/287943/71F84AB28421CA2024B7AC33360E3CB6CF2AE31E479BC140557C5A69C127B98B", "https://baanknet.com/view-property/287943/71F84AB28421CA2024B7AC33360E3CB6CF2AE31E479BC140557C5A69C127B98B")</f>
        <v>https://baanknet.com/view-property/287943/71F84AB28421CA2024B7AC33360E3CB6CF2AE31E479BC140557C5A69C127B98B</v>
      </c>
      <c r="I3223" t="str">
        <f>HYPERLINK("https://baanknet.com/view-property/287943/71F84AB28421CA2024B7AC33360E3CB6CF2AE31E479BC140557C5A69C127B98B", "Open")</f>
        <v>Open</v>
      </c>
      <c r="J3223" t="s">
        <v>3803</v>
      </c>
      <c r="L3223">
        <v>11000000</v>
      </c>
      <c r="M3223">
        <v>1100000</v>
      </c>
    </row>
    <row r="3224" spans="1:13" x14ac:dyDescent="0.25">
      <c r="A3224" t="s">
        <v>10855</v>
      </c>
      <c r="B3224" t="s">
        <v>10856</v>
      </c>
      <c r="C3224" t="s">
        <v>83</v>
      </c>
      <c r="D3224" t="s">
        <v>4095</v>
      </c>
      <c r="E3224" t="s">
        <v>10590</v>
      </c>
      <c r="F3224" t="s">
        <v>10857</v>
      </c>
      <c r="G3224" t="s">
        <v>10858</v>
      </c>
      <c r="H3224" t="str">
        <f>HYPERLINK("https://baanknet.com/view-property/262366/7B53F3056557D8263B423C54FE569F10001C50A96B980B6898A0312951017C3D", "https://baanknet.com/view-property/262366/7B53F3056557D8263B423C54FE569F10001C50A96B980B6898A0312951017C3D")</f>
        <v>https://baanknet.com/view-property/262366/7B53F3056557D8263B423C54FE569F10001C50A96B980B6898A0312951017C3D</v>
      </c>
      <c r="I3224" t="str">
        <f>HYPERLINK("https://baanknet.com/view-property/262366/7B53F3056557D8263B423C54FE569F10001C50A96B980B6898A0312951017C3D", "Open")</f>
        <v>Open</v>
      </c>
      <c r="J3224" t="s">
        <v>3803</v>
      </c>
      <c r="L3224">
        <v>2959000</v>
      </c>
      <c r="M3224">
        <v>295900</v>
      </c>
    </row>
    <row r="3225" spans="1:13" x14ac:dyDescent="0.25">
      <c r="A3225" t="s">
        <v>10859</v>
      </c>
      <c r="B3225" t="s">
        <v>10860</v>
      </c>
      <c r="C3225" t="s">
        <v>15</v>
      </c>
      <c r="D3225" t="s">
        <v>526</v>
      </c>
      <c r="E3225" t="s">
        <v>10625</v>
      </c>
      <c r="F3225" t="s">
        <v>10861</v>
      </c>
      <c r="G3225" t="s">
        <v>10862</v>
      </c>
      <c r="H3225" t="str">
        <f>HYPERLINK("https://baanknet.com/view-property/250884/F324D5BB488E38C2A42D5C8DB0D90B95935A3BCC334663E0E576162179B91DAA", "https://baanknet.com/view-property/250884/F324D5BB488E38C2A42D5C8DB0D90B95935A3BCC334663E0E576162179B91DAA")</f>
        <v>https://baanknet.com/view-property/250884/F324D5BB488E38C2A42D5C8DB0D90B95935A3BCC334663E0E576162179B91DAA</v>
      </c>
      <c r="I3225" t="str">
        <f>HYPERLINK("https://baanknet.com/view-property/250884/F324D5BB488E38C2A42D5C8DB0D90B95935A3BCC334663E0E576162179B91DAA", "Open")</f>
        <v>Open</v>
      </c>
      <c r="J3225" t="s">
        <v>3803</v>
      </c>
      <c r="L3225">
        <v>1620000</v>
      </c>
      <c r="M3225">
        <v>162000</v>
      </c>
    </row>
    <row r="3226" spans="1:13" x14ac:dyDescent="0.25">
      <c r="A3226" t="s">
        <v>10863</v>
      </c>
      <c r="B3226" t="s">
        <v>10864</v>
      </c>
      <c r="C3226" t="s">
        <v>15</v>
      </c>
      <c r="D3226" t="s">
        <v>9038</v>
      </c>
      <c r="E3226" t="s">
        <v>10625</v>
      </c>
      <c r="F3226" t="s">
        <v>10861</v>
      </c>
      <c r="G3226" t="s">
        <v>10865</v>
      </c>
      <c r="H3226" t="str">
        <f>HYPERLINK("https://baanknet.com/view-property/244518/5F0D6F6C3CABCFC2F2B4F072BBAD719A44374FF48841996BD59A26ED1BEC965A", "https://baanknet.com/view-property/244518/5F0D6F6C3CABCFC2F2B4F072BBAD719A44374FF48841996BD59A26ED1BEC965A")</f>
        <v>https://baanknet.com/view-property/244518/5F0D6F6C3CABCFC2F2B4F072BBAD719A44374FF48841996BD59A26ED1BEC965A</v>
      </c>
      <c r="I3226" t="str">
        <f>HYPERLINK("https://baanknet.com/view-property/244518/5F0D6F6C3CABCFC2F2B4F072BBAD719A44374FF48841996BD59A26ED1BEC965A", "Open")</f>
        <v>Open</v>
      </c>
      <c r="J3226" t="s">
        <v>3803</v>
      </c>
      <c r="L3226">
        <v>5100000</v>
      </c>
      <c r="M3226">
        <v>510000</v>
      </c>
    </row>
    <row r="3227" spans="1:13" x14ac:dyDescent="0.25">
      <c r="A3227" t="s">
        <v>10866</v>
      </c>
      <c r="B3227" t="s">
        <v>10867</v>
      </c>
      <c r="C3227" t="s">
        <v>15</v>
      </c>
      <c r="D3227" t="s">
        <v>3250</v>
      </c>
      <c r="E3227" t="s">
        <v>10625</v>
      </c>
      <c r="F3227" t="s">
        <v>10861</v>
      </c>
      <c r="G3227" t="s">
        <v>10868</v>
      </c>
      <c r="H3227" t="str">
        <f>HYPERLINK("https://baanknet.com/view-property/240148/DA04D25D4C6424AB636CB8312921909297ACC836560681BD6615E4D06DEC9C98", "https://baanknet.com/view-property/240148/DA04D25D4C6424AB636CB8312921909297ACC836560681BD6615E4D06DEC9C98")</f>
        <v>https://baanknet.com/view-property/240148/DA04D25D4C6424AB636CB8312921909297ACC836560681BD6615E4D06DEC9C98</v>
      </c>
      <c r="I3227" t="str">
        <f>HYPERLINK("https://baanknet.com/view-property/240148/DA04D25D4C6424AB636CB8312921909297ACC836560681BD6615E4D06DEC9C98", "Open")</f>
        <v>Open</v>
      </c>
      <c r="J3227" t="s">
        <v>3803</v>
      </c>
      <c r="L3227">
        <v>2750000</v>
      </c>
      <c r="M3227">
        <v>275000</v>
      </c>
    </row>
    <row r="3228" spans="1:13" x14ac:dyDescent="0.25">
      <c r="A3228" t="s">
        <v>10869</v>
      </c>
      <c r="B3228" t="s">
        <v>10870</v>
      </c>
      <c r="C3228" t="s">
        <v>15</v>
      </c>
      <c r="D3228" t="s">
        <v>3826</v>
      </c>
      <c r="E3228" t="s">
        <v>10625</v>
      </c>
      <c r="F3228" t="s">
        <v>10861</v>
      </c>
      <c r="G3228" t="s">
        <v>10871</v>
      </c>
      <c r="H3228" t="str">
        <f>HYPERLINK("https://baanknet.com/view-property/279202/B3CFFFF3E1D82E3A5FF0EE091EC963FCA713C0220718E8DB1735AEAF1321C7DE", "https://baanknet.com/view-property/279202/B3CFFFF3E1D82E3A5FF0EE091EC963FCA713C0220718E8DB1735AEAF1321C7DE")</f>
        <v>https://baanknet.com/view-property/279202/B3CFFFF3E1D82E3A5FF0EE091EC963FCA713C0220718E8DB1735AEAF1321C7DE</v>
      </c>
      <c r="I3228" t="str">
        <f>HYPERLINK("https://baanknet.com/view-property/279202/B3CFFFF3E1D82E3A5FF0EE091EC963FCA713C0220718E8DB1735AEAF1321C7DE", "Open")</f>
        <v>Open</v>
      </c>
      <c r="J3228" t="s">
        <v>3803</v>
      </c>
      <c r="L3228">
        <v>7000000</v>
      </c>
      <c r="M3228">
        <v>700000</v>
      </c>
    </row>
    <row r="3229" spans="1:13" x14ac:dyDescent="0.25">
      <c r="A3229" t="s">
        <v>10872</v>
      </c>
      <c r="B3229" t="s">
        <v>10873</v>
      </c>
      <c r="C3229" t="s">
        <v>15</v>
      </c>
      <c r="D3229" t="s">
        <v>3289</v>
      </c>
      <c r="E3229" t="s">
        <v>10625</v>
      </c>
      <c r="F3229" t="s">
        <v>10861</v>
      </c>
      <c r="G3229" t="s">
        <v>10874</v>
      </c>
      <c r="H3229" t="str">
        <f>HYPERLINK("https://baanknet.com/view-property/262840/8775313DC4D9E92CFDABFD56683F1A4A16951CD3D1787BA38310CE962C59EE13", "https://baanknet.com/view-property/262840/8775313DC4D9E92CFDABFD56683F1A4A16951CD3D1787BA38310CE962C59EE13")</f>
        <v>https://baanknet.com/view-property/262840/8775313DC4D9E92CFDABFD56683F1A4A16951CD3D1787BA38310CE962C59EE13</v>
      </c>
      <c r="I3229" t="str">
        <f>HYPERLINK("https://baanknet.com/view-property/262840/8775313DC4D9E92CFDABFD56683F1A4A16951CD3D1787BA38310CE962C59EE13", "Open")</f>
        <v>Open</v>
      </c>
      <c r="J3229" t="s">
        <v>3803</v>
      </c>
      <c r="L3229">
        <v>5166000</v>
      </c>
      <c r="M3229">
        <v>516600</v>
      </c>
    </row>
    <row r="3230" spans="1:13" x14ac:dyDescent="0.25">
      <c r="A3230" t="s">
        <v>10875</v>
      </c>
      <c r="B3230" t="s">
        <v>10876</v>
      </c>
      <c r="C3230" t="s">
        <v>15</v>
      </c>
      <c r="D3230" t="s">
        <v>6974</v>
      </c>
      <c r="E3230" t="s">
        <v>10625</v>
      </c>
      <c r="F3230" t="s">
        <v>10861</v>
      </c>
      <c r="G3230" t="s">
        <v>10877</v>
      </c>
      <c r="H3230" t="str">
        <f>HYPERLINK("https://baanknet.com/view-property/287259/5AE87133286506FFABF0A9470F0B56DF8C22A8807408D239FEFB2EAF00A97A82", "https://baanknet.com/view-property/287259/5AE87133286506FFABF0A9470F0B56DF8C22A8807408D239FEFB2EAF00A97A82")</f>
        <v>https://baanknet.com/view-property/287259/5AE87133286506FFABF0A9470F0B56DF8C22A8807408D239FEFB2EAF00A97A82</v>
      </c>
      <c r="I3230" t="str">
        <f>HYPERLINK("https://baanknet.com/view-property/287259/5AE87133286506FFABF0A9470F0B56DF8C22A8807408D239FEFB2EAF00A97A82", "Open")</f>
        <v>Open</v>
      </c>
      <c r="J3230" t="s">
        <v>3803</v>
      </c>
      <c r="L3230">
        <v>3363000</v>
      </c>
      <c r="M3230">
        <v>336300</v>
      </c>
    </row>
    <row r="3231" spans="1:13" x14ac:dyDescent="0.25">
      <c r="A3231" t="s">
        <v>10878</v>
      </c>
      <c r="B3231" t="s">
        <v>10879</v>
      </c>
      <c r="C3231" t="s">
        <v>15</v>
      </c>
      <c r="D3231" t="s">
        <v>10880</v>
      </c>
      <c r="E3231" t="s">
        <v>10646</v>
      </c>
      <c r="F3231" t="s">
        <v>10881</v>
      </c>
      <c r="G3231" t="s">
        <v>10882</v>
      </c>
      <c r="H3231" t="str">
        <f>HYPERLINK("https://baanknet.com/view-property/283456/B328B2720DBC86FEC9A5E78F1C1E27B537C7A1526C6BB01073DDB94DAD8ECADD", "https://baanknet.com/view-property/283456/B328B2720DBC86FEC9A5E78F1C1E27B537C7A1526C6BB01073DDB94DAD8ECADD")</f>
        <v>https://baanknet.com/view-property/283456/B328B2720DBC86FEC9A5E78F1C1E27B537C7A1526C6BB01073DDB94DAD8ECADD</v>
      </c>
      <c r="I3231" t="str">
        <f>HYPERLINK("https://baanknet.com/view-property/283456/B328B2720DBC86FEC9A5E78F1C1E27B537C7A1526C6BB01073DDB94DAD8ECADD", "Open")</f>
        <v>Open</v>
      </c>
      <c r="J3231" t="s">
        <v>3803</v>
      </c>
      <c r="L3231">
        <v>3510800</v>
      </c>
      <c r="M3231">
        <v>351080</v>
      </c>
    </row>
    <row r="3232" spans="1:13" x14ac:dyDescent="0.25">
      <c r="A3232" t="s">
        <v>10883</v>
      </c>
      <c r="B3232" t="s">
        <v>10884</v>
      </c>
      <c r="C3232" t="s">
        <v>594</v>
      </c>
      <c r="D3232" t="s">
        <v>3344</v>
      </c>
      <c r="E3232" t="s">
        <v>10646</v>
      </c>
      <c r="F3232" t="s">
        <v>10849</v>
      </c>
      <c r="G3232" t="s">
        <v>10885</v>
      </c>
      <c r="H3232" t="str">
        <f>HYPERLINK("https://baanknet.com/view-property/219618/A81D0A358965BC2902E6F701ABB683AB998B0526E4E0705DBD89307ACB988B73", "https://baanknet.com/view-property/219618/A81D0A358965BC2902E6F701ABB683AB998B0526E4E0705DBD89307ACB988B73")</f>
        <v>https://baanknet.com/view-property/219618/A81D0A358965BC2902E6F701ABB683AB998B0526E4E0705DBD89307ACB988B73</v>
      </c>
      <c r="I3232" t="str">
        <f>HYPERLINK("https://baanknet.com/view-property/219618/A81D0A358965BC2902E6F701ABB683AB998B0526E4E0705DBD89307ACB988B73", "Open")</f>
        <v>Open</v>
      </c>
      <c r="J3232" t="s">
        <v>3803</v>
      </c>
      <c r="L3232">
        <v>950000</v>
      </c>
      <c r="M3232">
        <v>95000</v>
      </c>
    </row>
    <row r="3233" spans="1:13" x14ac:dyDescent="0.25">
      <c r="A3233" t="s">
        <v>10886</v>
      </c>
      <c r="B3233" t="s">
        <v>10887</v>
      </c>
      <c r="C3233" t="s">
        <v>594</v>
      </c>
      <c r="D3233" t="s">
        <v>10888</v>
      </c>
      <c r="E3233" t="s">
        <v>10646</v>
      </c>
      <c r="F3233" t="s">
        <v>10849</v>
      </c>
      <c r="G3233" t="s">
        <v>10889</v>
      </c>
      <c r="H3233" t="str">
        <f>HYPERLINK("https://baanknet.com/view-property/245091/A8529BB5D5EDC3A3CAF99643F78D74DB0439C04D3B23D86E05FC0429820934AD", "https://baanknet.com/view-property/245091/A8529BB5D5EDC3A3CAF99643F78D74DB0439C04D3B23D86E05FC0429820934AD")</f>
        <v>https://baanknet.com/view-property/245091/A8529BB5D5EDC3A3CAF99643F78D74DB0439C04D3B23D86E05FC0429820934AD</v>
      </c>
      <c r="I3233" t="str">
        <f>HYPERLINK("https://baanknet.com/view-property/245091/A8529BB5D5EDC3A3CAF99643F78D74DB0439C04D3B23D86E05FC0429820934AD", "Open")</f>
        <v>Open</v>
      </c>
      <c r="J3233" t="s">
        <v>3803</v>
      </c>
      <c r="L3233">
        <v>1600000</v>
      </c>
      <c r="M3233">
        <v>160000</v>
      </c>
    </row>
    <row r="3234" spans="1:13" x14ac:dyDescent="0.25">
      <c r="A3234" t="s">
        <v>10890</v>
      </c>
      <c r="B3234" t="s">
        <v>10891</v>
      </c>
      <c r="C3234" t="s">
        <v>594</v>
      </c>
      <c r="D3234" t="s">
        <v>10892</v>
      </c>
      <c r="E3234" t="s">
        <v>10646</v>
      </c>
      <c r="F3234" t="s">
        <v>10849</v>
      </c>
      <c r="G3234" t="s">
        <v>10893</v>
      </c>
      <c r="H3234" t="str">
        <f>HYPERLINK("https://baanknet.com/view-property/94450/3C3F2BEBCED882638A03944ABB95BC6444001CDA11F43A016B9EDE197FEDC06A", "https://baanknet.com/view-property/94450/3C3F2BEBCED882638A03944ABB95BC6444001CDA11F43A016B9EDE197FEDC06A")</f>
        <v>https://baanknet.com/view-property/94450/3C3F2BEBCED882638A03944ABB95BC6444001CDA11F43A016B9EDE197FEDC06A</v>
      </c>
      <c r="I3234" t="str">
        <f>HYPERLINK("https://baanknet.com/view-property/94450/3C3F2BEBCED882638A03944ABB95BC6444001CDA11F43A016B9EDE197FEDC06A", "Open")</f>
        <v>Open</v>
      </c>
      <c r="J3234" t="s">
        <v>3803</v>
      </c>
      <c r="L3234">
        <v>5031000</v>
      </c>
      <c r="M3234">
        <v>503100</v>
      </c>
    </row>
    <row r="3235" spans="1:13" x14ac:dyDescent="0.25">
      <c r="A3235" t="s">
        <v>10894</v>
      </c>
      <c r="B3235" t="s">
        <v>10895</v>
      </c>
      <c r="C3235" t="s">
        <v>15</v>
      </c>
      <c r="D3235" t="s">
        <v>10896</v>
      </c>
      <c r="E3235" t="s">
        <v>10861</v>
      </c>
      <c r="F3235" t="s">
        <v>10897</v>
      </c>
      <c r="G3235" t="s">
        <v>10898</v>
      </c>
      <c r="H3235" t="str">
        <f>HYPERLINK("https://baanknet.com/view-property/228341/B830B558C63DAE0001A5B556F2637B1F1FCF32C78155E7C51DD6028351422D5C", "https://baanknet.com/view-property/228341/B830B558C63DAE0001A5B556F2637B1F1FCF32C78155E7C51DD6028351422D5C")</f>
        <v>https://baanknet.com/view-property/228341/B830B558C63DAE0001A5B556F2637B1F1FCF32C78155E7C51DD6028351422D5C</v>
      </c>
      <c r="I3235" t="str">
        <f>HYPERLINK("https://baanknet.com/view-property/228341/B830B558C63DAE0001A5B556F2637B1F1FCF32C78155E7C51DD6028351422D5C", "Open")</f>
        <v>Open</v>
      </c>
      <c r="J3235" t="s">
        <v>3803</v>
      </c>
      <c r="L3235">
        <v>2250000</v>
      </c>
      <c r="M3235">
        <v>225000</v>
      </c>
    </row>
    <row r="3236" spans="1:13" x14ac:dyDescent="0.25">
      <c r="A3236" t="s">
        <v>10899</v>
      </c>
      <c r="B3236" t="s">
        <v>10900</v>
      </c>
      <c r="C3236" t="s">
        <v>15</v>
      </c>
      <c r="D3236" t="s">
        <v>10896</v>
      </c>
      <c r="E3236" t="s">
        <v>10861</v>
      </c>
      <c r="F3236" t="s">
        <v>10897</v>
      </c>
      <c r="G3236" t="s">
        <v>10901</v>
      </c>
      <c r="H3236" t="str">
        <f>HYPERLINK("https://baanknet.com/view-property/245676/B9BFD3B33B3327C0CA8D8C23CBF705113E398172BB31FA80FDEE47F0686E0397", "https://baanknet.com/view-property/245676/B9BFD3B33B3327C0CA8D8C23CBF705113E398172BB31FA80FDEE47F0686E0397")</f>
        <v>https://baanknet.com/view-property/245676/B9BFD3B33B3327C0CA8D8C23CBF705113E398172BB31FA80FDEE47F0686E0397</v>
      </c>
      <c r="I3236" t="str">
        <f>HYPERLINK("https://baanknet.com/view-property/245676/B9BFD3B33B3327C0CA8D8C23CBF705113E398172BB31FA80FDEE47F0686E0397", "Open")</f>
        <v>Open</v>
      </c>
      <c r="J3236" t="s">
        <v>3803</v>
      </c>
      <c r="L3236">
        <v>1650000</v>
      </c>
      <c r="M3236">
        <v>165000</v>
      </c>
    </row>
    <row r="3237" spans="1:13" x14ac:dyDescent="0.25">
      <c r="A3237" t="s">
        <v>10902</v>
      </c>
      <c r="B3237" t="s">
        <v>10903</v>
      </c>
      <c r="C3237" t="s">
        <v>15</v>
      </c>
      <c r="D3237" t="s">
        <v>10904</v>
      </c>
      <c r="E3237" t="s">
        <v>10861</v>
      </c>
      <c r="F3237" t="s">
        <v>10897</v>
      </c>
      <c r="G3237" t="s">
        <v>10905</v>
      </c>
      <c r="H3237" t="str">
        <f>HYPERLINK("https://baanknet.com/view-property/199651/AA77B380A2A4D7B5355E7A2A5EBED3BBBBF0BEE95115488AA9E5FBA6A8C79E8F", "https://baanknet.com/view-property/199651/AA77B380A2A4D7B5355E7A2A5EBED3BBBBF0BEE95115488AA9E5FBA6A8C79E8F")</f>
        <v>https://baanknet.com/view-property/199651/AA77B380A2A4D7B5355E7A2A5EBED3BBBBF0BEE95115488AA9E5FBA6A8C79E8F</v>
      </c>
      <c r="I3237" t="str">
        <f>HYPERLINK("https://baanknet.com/view-property/199651/AA77B380A2A4D7B5355E7A2A5EBED3BBBBF0BEE95115488AA9E5FBA6A8C79E8F", "Open")</f>
        <v>Open</v>
      </c>
      <c r="J3237" t="s">
        <v>3803</v>
      </c>
      <c r="L3237">
        <v>395000</v>
      </c>
      <c r="M3237">
        <v>39500</v>
      </c>
    </row>
    <row r="3238" spans="1:13" x14ac:dyDescent="0.25">
      <c r="A3238" t="s">
        <v>10906</v>
      </c>
      <c r="B3238" t="s">
        <v>10907</v>
      </c>
      <c r="C3238" t="s">
        <v>144</v>
      </c>
      <c r="D3238" t="s">
        <v>10908</v>
      </c>
      <c r="E3238" t="s">
        <v>10881</v>
      </c>
      <c r="F3238" t="s">
        <v>10604</v>
      </c>
      <c r="G3238" t="s">
        <v>10909</v>
      </c>
      <c r="H3238" t="str">
        <f>HYPERLINK("https://baanknet.com/view-property/257116/8B228CD7D9AF724A618C410EF88F549E51EEDC635CD8830077777AE722152BC8", "https://baanknet.com/view-property/257116/8B228CD7D9AF724A618C410EF88F549E51EEDC635CD8830077777AE722152BC8")</f>
        <v>https://baanknet.com/view-property/257116/8B228CD7D9AF724A618C410EF88F549E51EEDC635CD8830077777AE722152BC8</v>
      </c>
      <c r="I3238" t="str">
        <f>HYPERLINK("https://baanknet.com/view-property/257116/8B228CD7D9AF724A618C410EF88F549E51EEDC635CD8830077777AE722152BC8", "Open")</f>
        <v>Open</v>
      </c>
      <c r="J3238" t="s">
        <v>3803</v>
      </c>
      <c r="L3238">
        <v>1400000</v>
      </c>
      <c r="M3238">
        <v>140000</v>
      </c>
    </row>
    <row r="3239" spans="1:13" x14ac:dyDescent="0.25">
      <c r="A3239" t="s">
        <v>10910</v>
      </c>
      <c r="B3239" t="s">
        <v>10911</v>
      </c>
      <c r="C3239" t="s">
        <v>144</v>
      </c>
      <c r="D3239" t="s">
        <v>10912</v>
      </c>
      <c r="E3239" t="s">
        <v>10881</v>
      </c>
      <c r="F3239" t="s">
        <v>10604</v>
      </c>
      <c r="G3239" t="s">
        <v>10913</v>
      </c>
      <c r="H3239" t="str">
        <f>HYPERLINK("https://baanknet.com/view-property/239204/37FEA6CD2012F1337BB41D4E690DF5E3F030170275D4405D5E46D2248B823C6F", "https://baanknet.com/view-property/239204/37FEA6CD2012F1337BB41D4E690DF5E3F030170275D4405D5E46D2248B823C6F")</f>
        <v>https://baanknet.com/view-property/239204/37FEA6CD2012F1337BB41D4E690DF5E3F030170275D4405D5E46D2248B823C6F</v>
      </c>
      <c r="I3239" t="str">
        <f>HYPERLINK("https://baanknet.com/view-property/239204/37FEA6CD2012F1337BB41D4E690DF5E3F030170275D4405D5E46D2248B823C6F", "Open")</f>
        <v>Open</v>
      </c>
      <c r="J3239" t="s">
        <v>3803</v>
      </c>
      <c r="L3239">
        <v>1289440</v>
      </c>
      <c r="M3239">
        <v>128944</v>
      </c>
    </row>
    <row r="3240" spans="1:13" x14ac:dyDescent="0.25">
      <c r="A3240" t="s">
        <v>10914</v>
      </c>
      <c r="B3240" t="s">
        <v>10915</v>
      </c>
      <c r="C3240" t="s">
        <v>144</v>
      </c>
      <c r="D3240" t="s">
        <v>10912</v>
      </c>
      <c r="E3240" t="s">
        <v>10881</v>
      </c>
      <c r="F3240" t="s">
        <v>10604</v>
      </c>
      <c r="G3240" t="s">
        <v>10916</v>
      </c>
      <c r="H3240" t="str">
        <f>HYPERLINK("https://baanknet.com/view-property/127379/B2D57B6A957356E5E8BAB967995124DB41D7015027398662E83BB2DFC3DCDE1D", "https://baanknet.com/view-property/127379/B2D57B6A957356E5E8BAB967995124DB41D7015027398662E83BB2DFC3DCDE1D")</f>
        <v>https://baanknet.com/view-property/127379/B2D57B6A957356E5E8BAB967995124DB41D7015027398662E83BB2DFC3DCDE1D</v>
      </c>
      <c r="I3240" t="str">
        <f>HYPERLINK("https://baanknet.com/view-property/127379/B2D57B6A957356E5E8BAB967995124DB41D7015027398662E83BB2DFC3DCDE1D", "Open")</f>
        <v>Open</v>
      </c>
      <c r="J3240" t="s">
        <v>3803</v>
      </c>
      <c r="L3240">
        <v>4936000</v>
      </c>
      <c r="M3240">
        <v>493600</v>
      </c>
    </row>
    <row r="3241" spans="1:13" x14ac:dyDescent="0.25">
      <c r="A3241" t="s">
        <v>10917</v>
      </c>
      <c r="B3241" t="s">
        <v>10918</v>
      </c>
      <c r="C3241" t="s">
        <v>144</v>
      </c>
      <c r="D3241" t="s">
        <v>10919</v>
      </c>
      <c r="E3241" t="s">
        <v>10881</v>
      </c>
      <c r="F3241" t="s">
        <v>10849</v>
      </c>
      <c r="G3241" t="s">
        <v>10920</v>
      </c>
      <c r="H3241" t="str">
        <f>HYPERLINK("https://baanknet.com/view-property/263570/9B27BC4C12BD4A5ECFBB54990B56B7780C8B1A676F176FE0442A2EFF1874A7FB", "https://baanknet.com/view-property/263570/9B27BC4C12BD4A5ECFBB54990B56B7780C8B1A676F176FE0442A2EFF1874A7FB")</f>
        <v>https://baanknet.com/view-property/263570/9B27BC4C12BD4A5ECFBB54990B56B7780C8B1A676F176FE0442A2EFF1874A7FB</v>
      </c>
      <c r="I3241" t="str">
        <f>HYPERLINK("https://baanknet.com/view-property/263570/9B27BC4C12BD4A5ECFBB54990B56B7780C8B1A676F176FE0442A2EFF1874A7FB", "Open")</f>
        <v>Open</v>
      </c>
      <c r="J3241" t="s">
        <v>3803</v>
      </c>
      <c r="L3241">
        <v>1440000</v>
      </c>
      <c r="M3241">
        <v>144000</v>
      </c>
    </row>
    <row r="3242" spans="1:13" x14ac:dyDescent="0.25">
      <c r="A3242" t="s">
        <v>10921</v>
      </c>
      <c r="B3242" t="s">
        <v>10922</v>
      </c>
      <c r="C3242" t="s">
        <v>83</v>
      </c>
      <c r="D3242" t="s">
        <v>6614</v>
      </c>
      <c r="E3242" t="s">
        <v>10881</v>
      </c>
      <c r="F3242" t="s">
        <v>10857</v>
      </c>
      <c r="G3242" t="s">
        <v>10923</v>
      </c>
      <c r="H3242" t="str">
        <f>HYPERLINK("https://baanknet.com/view-property/285439/FA77DAAC1687AEACB5F3CF1184090FD2DEC1C67F1BE9DB37E6934E1FA47D4711", "https://baanknet.com/view-property/285439/FA77DAAC1687AEACB5F3CF1184090FD2DEC1C67F1BE9DB37E6934E1FA47D4711")</f>
        <v>https://baanknet.com/view-property/285439/FA77DAAC1687AEACB5F3CF1184090FD2DEC1C67F1BE9DB37E6934E1FA47D4711</v>
      </c>
      <c r="I3242" t="str">
        <f>HYPERLINK("https://baanknet.com/view-property/285439/FA77DAAC1687AEACB5F3CF1184090FD2DEC1C67F1BE9DB37E6934E1FA47D4711", "Open")</f>
        <v>Open</v>
      </c>
      <c r="J3242" t="s">
        <v>3803</v>
      </c>
      <c r="L3242">
        <v>26800000</v>
      </c>
      <c r="M3242">
        <v>2680000</v>
      </c>
    </row>
    <row r="3243" spans="1:13" x14ac:dyDescent="0.25">
      <c r="A3243" t="s">
        <v>10924</v>
      </c>
      <c r="B3243" t="s">
        <v>10925</v>
      </c>
      <c r="C3243" t="s">
        <v>121</v>
      </c>
      <c r="D3243" t="s">
        <v>1333</v>
      </c>
      <c r="E3243" t="s">
        <v>10926</v>
      </c>
      <c r="F3243" t="s">
        <v>10927</v>
      </c>
      <c r="G3243" t="s">
        <v>10928</v>
      </c>
      <c r="H3243" t="str">
        <f>HYPERLINK("https://baanknet.com/view-property/174739/4737FD375B0FFAD057137A7622EA26FEA1320FEF47D6C603CCDD524AFB8157ED", "https://baanknet.com/view-property/174739/4737FD375B0FFAD057137A7622EA26FEA1320FEF47D6C603CCDD524AFB8157ED")</f>
        <v>https://baanknet.com/view-property/174739/4737FD375B0FFAD057137A7622EA26FEA1320FEF47D6C603CCDD524AFB8157ED</v>
      </c>
      <c r="I3243" t="str">
        <f>HYPERLINK("https://baanknet.com/view-property/174739/4737FD375B0FFAD057137A7622EA26FEA1320FEF47D6C603CCDD524AFB8157ED", "Open")</f>
        <v>Open</v>
      </c>
      <c r="J3243" t="s">
        <v>3803</v>
      </c>
      <c r="L3243">
        <v>2205000</v>
      </c>
      <c r="M3243">
        <v>220500</v>
      </c>
    </row>
    <row r="3244" spans="1:13" x14ac:dyDescent="0.25">
      <c r="A3244" t="s">
        <v>10929</v>
      </c>
      <c r="B3244" t="s">
        <v>10930</v>
      </c>
      <c r="C3244" t="s">
        <v>83</v>
      </c>
      <c r="D3244" t="s">
        <v>10931</v>
      </c>
      <c r="E3244" t="s">
        <v>10932</v>
      </c>
      <c r="F3244" t="s">
        <v>10933</v>
      </c>
      <c r="G3244" t="s">
        <v>10934</v>
      </c>
      <c r="H3244" t="str">
        <f>HYPERLINK("https://baanknet.com/view-property/268494/B1270940CC36ACFBA834AD999E4F76CBAAC4CE2D77E7A46952B708BEA2CF3A66", "https://baanknet.com/view-property/268494/B1270940CC36ACFBA834AD999E4F76CBAAC4CE2D77E7A46952B708BEA2CF3A66")</f>
        <v>https://baanknet.com/view-property/268494/B1270940CC36ACFBA834AD999E4F76CBAAC4CE2D77E7A46952B708BEA2CF3A66</v>
      </c>
      <c r="I3244" t="str">
        <f>HYPERLINK("https://baanknet.com/view-property/268494/B1270940CC36ACFBA834AD999E4F76CBAAC4CE2D77E7A46952B708BEA2CF3A66", "Open")</f>
        <v>Open</v>
      </c>
      <c r="J3244" t="s">
        <v>3803</v>
      </c>
      <c r="L3244">
        <v>1513350</v>
      </c>
      <c r="M3244">
        <v>151335</v>
      </c>
    </row>
    <row r="3245" spans="1:13" x14ac:dyDescent="0.25">
      <c r="A3245" t="s">
        <v>10935</v>
      </c>
      <c r="B3245" t="s">
        <v>10936</v>
      </c>
      <c r="C3245" t="s">
        <v>121</v>
      </c>
      <c r="D3245" t="s">
        <v>3460</v>
      </c>
      <c r="E3245" t="s">
        <v>10937</v>
      </c>
      <c r="F3245" t="s">
        <v>10938</v>
      </c>
      <c r="G3245" t="s">
        <v>10939</v>
      </c>
      <c r="H3245" t="str">
        <f>HYPERLINK("https://baanknet.com/view-property/232034/99594944FC34AC81E5914D2B743C75FAC17AD58FDB702CC3A5F430C3E63A0DA7", "https://baanknet.com/view-property/232034/99594944FC34AC81E5914D2B743C75FAC17AD58FDB702CC3A5F430C3E63A0DA7")</f>
        <v>https://baanknet.com/view-property/232034/99594944FC34AC81E5914D2B743C75FAC17AD58FDB702CC3A5F430C3E63A0DA7</v>
      </c>
      <c r="I3245" t="str">
        <f>HYPERLINK("https://baanknet.com/view-property/232034/99594944FC34AC81E5914D2B743C75FAC17AD58FDB702CC3A5F430C3E63A0DA7", "Open")</f>
        <v>Open</v>
      </c>
      <c r="J3245" t="s">
        <v>3803</v>
      </c>
      <c r="L3245">
        <v>1320000</v>
      </c>
      <c r="M3245">
        <v>132000</v>
      </c>
    </row>
    <row r="3246" spans="1:13" x14ac:dyDescent="0.25">
      <c r="A3246" t="s">
        <v>10940</v>
      </c>
      <c r="B3246" t="s">
        <v>10941</v>
      </c>
      <c r="C3246" t="s">
        <v>121</v>
      </c>
      <c r="D3246" t="s">
        <v>3460</v>
      </c>
      <c r="E3246" t="s">
        <v>10937</v>
      </c>
      <c r="F3246" t="s">
        <v>10938</v>
      </c>
      <c r="G3246" t="s">
        <v>10942</v>
      </c>
      <c r="H3246" t="str">
        <f>HYPERLINK("https://baanknet.com/view-property/281466/938E1E6EBB38A451592E69720F76963639C55E307A59F2A4D5DB6545DC521D5F", "https://baanknet.com/view-property/281466/938E1E6EBB38A451592E69720F76963639C55E307A59F2A4D5DB6545DC521D5F")</f>
        <v>https://baanknet.com/view-property/281466/938E1E6EBB38A451592E69720F76963639C55E307A59F2A4D5DB6545DC521D5F</v>
      </c>
      <c r="I3246" t="str">
        <f>HYPERLINK("https://baanknet.com/view-property/281466/938E1E6EBB38A451592E69720F76963639C55E307A59F2A4D5DB6545DC521D5F", "Open")</f>
        <v>Open</v>
      </c>
      <c r="J3246" t="s">
        <v>3803</v>
      </c>
      <c r="L3246">
        <v>1420000</v>
      </c>
      <c r="M3246">
        <v>142000</v>
      </c>
    </row>
    <row r="3247" spans="1:13" x14ac:dyDescent="0.25">
      <c r="A3247" t="s">
        <v>10943</v>
      </c>
      <c r="B3247" t="s">
        <v>10944</v>
      </c>
      <c r="C3247" t="s">
        <v>121</v>
      </c>
      <c r="D3247" t="s">
        <v>3460</v>
      </c>
      <c r="E3247" t="s">
        <v>10937</v>
      </c>
      <c r="F3247" t="s">
        <v>10938</v>
      </c>
      <c r="G3247" t="s">
        <v>10945</v>
      </c>
      <c r="H3247" t="str">
        <f>HYPERLINK("https://baanknet.com/view-property/278111/59D7506DF08105BD99EC31F55FF8B37803C0DBDE6C443040BD02BBFF2222EB14", "https://baanknet.com/view-property/278111/59D7506DF08105BD99EC31F55FF8B37803C0DBDE6C443040BD02BBFF2222EB14")</f>
        <v>https://baanknet.com/view-property/278111/59D7506DF08105BD99EC31F55FF8B37803C0DBDE6C443040BD02BBFF2222EB14</v>
      </c>
      <c r="I3247" t="str">
        <f>HYPERLINK("https://baanknet.com/view-property/278111/59D7506DF08105BD99EC31F55FF8B37803C0DBDE6C443040BD02BBFF2222EB14", "Open")</f>
        <v>Open</v>
      </c>
      <c r="J3247" t="s">
        <v>3803</v>
      </c>
      <c r="L3247">
        <v>1003000</v>
      </c>
      <c r="M3247">
        <v>100300</v>
      </c>
    </row>
    <row r="3248" spans="1:13" x14ac:dyDescent="0.25">
      <c r="A3248" t="s">
        <v>10946</v>
      </c>
      <c r="B3248" t="s">
        <v>10947</v>
      </c>
      <c r="C3248" t="s">
        <v>121</v>
      </c>
      <c r="D3248" t="s">
        <v>3460</v>
      </c>
      <c r="E3248" t="s">
        <v>10937</v>
      </c>
      <c r="F3248" t="s">
        <v>10938</v>
      </c>
      <c r="G3248" t="s">
        <v>10948</v>
      </c>
      <c r="H3248" t="str">
        <f>HYPERLINK("https://baanknet.com/view-property/232439/625F29B9ECDBCFD638A86F7E7E8B51BED7C49D6049799135F35AF17BB50473FF", "https://baanknet.com/view-property/232439/625F29B9ECDBCFD638A86F7E7E8B51BED7C49D6049799135F35AF17BB50473FF")</f>
        <v>https://baanknet.com/view-property/232439/625F29B9ECDBCFD638A86F7E7E8B51BED7C49D6049799135F35AF17BB50473FF</v>
      </c>
      <c r="I3248" t="str">
        <f>HYPERLINK("https://baanknet.com/view-property/232439/625F29B9ECDBCFD638A86F7E7E8B51BED7C49D6049799135F35AF17BB50473FF", "Open")</f>
        <v>Open</v>
      </c>
      <c r="J3248" t="s">
        <v>3803</v>
      </c>
      <c r="L3248">
        <v>850000</v>
      </c>
      <c r="M3248">
        <v>85000</v>
      </c>
    </row>
    <row r="3249" spans="1:13" x14ac:dyDescent="0.25">
      <c r="A3249" t="s">
        <v>10949</v>
      </c>
      <c r="B3249" t="s">
        <v>10950</v>
      </c>
      <c r="C3249" t="s">
        <v>121</v>
      </c>
      <c r="D3249" t="s">
        <v>3460</v>
      </c>
      <c r="E3249" t="s">
        <v>10937</v>
      </c>
      <c r="F3249" t="s">
        <v>10938</v>
      </c>
      <c r="G3249" t="s">
        <v>10951</v>
      </c>
      <c r="H3249" t="str">
        <f>HYPERLINK("https://baanknet.com/view-property/278106/6EC3E819FE597C6DEE81A9C84DC3089B1600289E63E766F212754E1F509D1D63", "https://baanknet.com/view-property/278106/6EC3E819FE597C6DEE81A9C84DC3089B1600289E63E766F212754E1F509D1D63")</f>
        <v>https://baanknet.com/view-property/278106/6EC3E819FE597C6DEE81A9C84DC3089B1600289E63E766F212754E1F509D1D63</v>
      </c>
      <c r="I3249" t="str">
        <f>HYPERLINK("https://baanknet.com/view-property/278106/6EC3E819FE597C6DEE81A9C84DC3089B1600289E63E766F212754E1F509D1D63", "Open")</f>
        <v>Open</v>
      </c>
      <c r="J3249" t="s">
        <v>3803</v>
      </c>
      <c r="L3249">
        <v>1750000</v>
      </c>
      <c r="M3249">
        <v>175000</v>
      </c>
    </row>
    <row r="3250" spans="1:13" x14ac:dyDescent="0.25">
      <c r="A3250" t="s">
        <v>10952</v>
      </c>
      <c r="B3250" t="s">
        <v>10953</v>
      </c>
      <c r="C3250" t="s">
        <v>121</v>
      </c>
      <c r="D3250" t="s">
        <v>3460</v>
      </c>
      <c r="E3250" t="s">
        <v>10937</v>
      </c>
      <c r="F3250" t="s">
        <v>10938</v>
      </c>
      <c r="G3250" t="s">
        <v>10954</v>
      </c>
      <c r="H3250" t="str">
        <f>HYPERLINK("https://baanknet.com/view-property/288201/B4F9128835BEA72FF757A4A770044675486B881A02B18B1B07E75159B6EFB1C5", "https://baanknet.com/view-property/288201/B4F9128835BEA72FF757A4A770044675486B881A02B18B1B07E75159B6EFB1C5")</f>
        <v>https://baanknet.com/view-property/288201/B4F9128835BEA72FF757A4A770044675486B881A02B18B1B07E75159B6EFB1C5</v>
      </c>
      <c r="I3250" t="str">
        <f>HYPERLINK("https://baanknet.com/view-property/288201/B4F9128835BEA72FF757A4A770044675486B881A02B18B1B07E75159B6EFB1C5", "Open")</f>
        <v>Open</v>
      </c>
      <c r="J3250" t="s">
        <v>3803</v>
      </c>
      <c r="L3250">
        <v>1850000</v>
      </c>
      <c r="M3250">
        <v>185000</v>
      </c>
    </row>
    <row r="3251" spans="1:13" x14ac:dyDescent="0.25">
      <c r="A3251" t="s">
        <v>10955</v>
      </c>
      <c r="B3251" t="s">
        <v>10956</v>
      </c>
      <c r="C3251" t="s">
        <v>121</v>
      </c>
      <c r="D3251" t="s">
        <v>3460</v>
      </c>
      <c r="E3251" t="s">
        <v>10937</v>
      </c>
      <c r="F3251" t="s">
        <v>10938</v>
      </c>
      <c r="G3251" t="s">
        <v>10957</v>
      </c>
      <c r="H3251" t="str">
        <f>HYPERLINK("https://baanknet.com/view-property/172533/B5F3CFF1B28BFD68EDFEB9B44D1FEE93B0DD4D35377FDF820280FF560502B6E7", "https://baanknet.com/view-property/172533/B5F3CFF1B28BFD68EDFEB9B44D1FEE93B0DD4D35377FDF820280FF560502B6E7")</f>
        <v>https://baanknet.com/view-property/172533/B5F3CFF1B28BFD68EDFEB9B44D1FEE93B0DD4D35377FDF820280FF560502B6E7</v>
      </c>
      <c r="I3251" t="str">
        <f>HYPERLINK("https://baanknet.com/view-property/172533/B5F3CFF1B28BFD68EDFEB9B44D1FEE93B0DD4D35377FDF820280FF560502B6E7", "Open")</f>
        <v>Open</v>
      </c>
      <c r="J3251" t="s">
        <v>3803</v>
      </c>
      <c r="L3251">
        <v>1500000</v>
      </c>
      <c r="M3251">
        <v>150000</v>
      </c>
    </row>
    <row r="3252" spans="1:13" x14ac:dyDescent="0.25">
      <c r="A3252" t="s">
        <v>10958</v>
      </c>
      <c r="B3252" t="s">
        <v>10959</v>
      </c>
      <c r="C3252" t="s">
        <v>121</v>
      </c>
      <c r="D3252" t="s">
        <v>3460</v>
      </c>
      <c r="E3252" t="s">
        <v>10937</v>
      </c>
      <c r="F3252" t="s">
        <v>10938</v>
      </c>
      <c r="G3252" t="s">
        <v>10960</v>
      </c>
      <c r="H3252" t="str">
        <f>HYPERLINK("https://baanknet.com/view-property/231985/28B2F45A9A4D882A4018D6CCE6B6C3F8AFF3D61962D7199624144FC99D3944DE", "https://baanknet.com/view-property/231985/28B2F45A9A4D882A4018D6CCE6B6C3F8AFF3D61962D7199624144FC99D3944DE")</f>
        <v>https://baanknet.com/view-property/231985/28B2F45A9A4D882A4018D6CCE6B6C3F8AFF3D61962D7199624144FC99D3944DE</v>
      </c>
      <c r="I3252" t="str">
        <f>HYPERLINK("https://baanknet.com/view-property/231985/28B2F45A9A4D882A4018D6CCE6B6C3F8AFF3D61962D7199624144FC99D3944DE", "Open")</f>
        <v>Open</v>
      </c>
      <c r="J3252" t="s">
        <v>3803</v>
      </c>
      <c r="L3252">
        <v>1390000</v>
      </c>
      <c r="M3252">
        <v>139000</v>
      </c>
    </row>
    <row r="3253" spans="1:13" x14ac:dyDescent="0.25">
      <c r="A3253" t="s">
        <v>10961</v>
      </c>
      <c r="B3253" t="s">
        <v>10962</v>
      </c>
      <c r="C3253" t="s">
        <v>121</v>
      </c>
      <c r="D3253" t="s">
        <v>3483</v>
      </c>
      <c r="E3253" t="s">
        <v>10937</v>
      </c>
      <c r="F3253" t="s">
        <v>10938</v>
      </c>
      <c r="G3253" t="s">
        <v>10963</v>
      </c>
      <c r="H3253" t="str">
        <f>HYPERLINK("https://baanknet.com/view-property/232487/F8B6537A6E63CA487CA8F7D0F53070DCA08827D72BB64A020C95E9962E13D79C", "https://baanknet.com/view-property/232487/F8B6537A6E63CA487CA8F7D0F53070DCA08827D72BB64A020C95E9962E13D79C")</f>
        <v>https://baanknet.com/view-property/232487/F8B6537A6E63CA487CA8F7D0F53070DCA08827D72BB64A020C95E9962E13D79C</v>
      </c>
      <c r="I3253" t="str">
        <f>HYPERLINK("https://baanknet.com/view-property/232487/F8B6537A6E63CA487CA8F7D0F53070DCA08827D72BB64A020C95E9962E13D79C", "Open")</f>
        <v>Open</v>
      </c>
      <c r="J3253" t="s">
        <v>3803</v>
      </c>
      <c r="L3253">
        <v>1230000</v>
      </c>
      <c r="M3253">
        <v>123000</v>
      </c>
    </row>
    <row r="3254" spans="1:13" x14ac:dyDescent="0.25">
      <c r="A3254" t="s">
        <v>10964</v>
      </c>
      <c r="B3254" t="s">
        <v>10965</v>
      </c>
      <c r="C3254" t="s">
        <v>121</v>
      </c>
      <c r="D3254" t="s">
        <v>3483</v>
      </c>
      <c r="E3254" t="s">
        <v>10937</v>
      </c>
      <c r="F3254" t="s">
        <v>10938</v>
      </c>
      <c r="G3254" t="s">
        <v>10966</v>
      </c>
      <c r="H3254" t="str">
        <f>HYPERLINK("https://baanknet.com/view-property/288211/75ECA6993864A969FEA76432F89814C578CAB3F8CAC266A196BF1E418AE650DD", "https://baanknet.com/view-property/288211/75ECA6993864A969FEA76432F89814C578CAB3F8CAC266A196BF1E418AE650DD")</f>
        <v>https://baanknet.com/view-property/288211/75ECA6993864A969FEA76432F89814C578CAB3F8CAC266A196BF1E418AE650DD</v>
      </c>
      <c r="I3254" t="str">
        <f>HYPERLINK("https://baanknet.com/view-property/288211/75ECA6993864A969FEA76432F89814C578CAB3F8CAC266A196BF1E418AE650DD", "Open")</f>
        <v>Open</v>
      </c>
      <c r="J3254" t="s">
        <v>3803</v>
      </c>
      <c r="L3254">
        <v>1240000</v>
      </c>
      <c r="M3254">
        <v>124000</v>
      </c>
    </row>
    <row r="3255" spans="1:13" x14ac:dyDescent="0.25">
      <c r="A3255" t="s">
        <v>10967</v>
      </c>
      <c r="B3255" t="s">
        <v>10968</v>
      </c>
      <c r="C3255" t="s">
        <v>121</v>
      </c>
      <c r="D3255" t="s">
        <v>3460</v>
      </c>
      <c r="E3255" t="s">
        <v>10937</v>
      </c>
      <c r="F3255" t="s">
        <v>10938</v>
      </c>
      <c r="G3255" t="s">
        <v>10969</v>
      </c>
      <c r="H3255" t="str">
        <f>HYPERLINK("https://baanknet.com/view-property/288212/82E187067E866D772B3E266DBC9F436B7884F6861D5F118DE947978018687F5B", "https://baanknet.com/view-property/288212/82E187067E866D772B3E266DBC9F436B7884F6861D5F118DE947978018687F5B")</f>
        <v>https://baanknet.com/view-property/288212/82E187067E866D772B3E266DBC9F436B7884F6861D5F118DE947978018687F5B</v>
      </c>
      <c r="I3255" t="str">
        <f>HYPERLINK("https://baanknet.com/view-property/288212/82E187067E866D772B3E266DBC9F436B7884F6861D5F118DE947978018687F5B", "Open")</f>
        <v>Open</v>
      </c>
      <c r="J3255" t="s">
        <v>3803</v>
      </c>
      <c r="L3255">
        <v>820000</v>
      </c>
      <c r="M3255">
        <v>82000</v>
      </c>
    </row>
    <row r="3256" spans="1:13" x14ac:dyDescent="0.25">
      <c r="A3256" t="s">
        <v>10970</v>
      </c>
      <c r="B3256" t="s">
        <v>10971</v>
      </c>
      <c r="C3256" t="s">
        <v>121</v>
      </c>
      <c r="D3256" t="s">
        <v>3460</v>
      </c>
      <c r="E3256" t="s">
        <v>10937</v>
      </c>
      <c r="F3256" t="s">
        <v>10938</v>
      </c>
      <c r="G3256" t="s">
        <v>10972</v>
      </c>
      <c r="H3256" t="str">
        <f>HYPERLINK("https://baanknet.com/view-property/288213/3129A15C64DC922910603BE9A8F1AB3D3D8B46E964C2921F34AB055B42F352B0", "https://baanknet.com/view-property/288213/3129A15C64DC922910603BE9A8F1AB3D3D8B46E964C2921F34AB055B42F352B0")</f>
        <v>https://baanknet.com/view-property/288213/3129A15C64DC922910603BE9A8F1AB3D3D8B46E964C2921F34AB055B42F352B0</v>
      </c>
      <c r="I3256" t="str">
        <f>HYPERLINK("https://baanknet.com/view-property/288213/3129A15C64DC922910603BE9A8F1AB3D3D8B46E964C2921F34AB055B42F352B0", "Open")</f>
        <v>Open</v>
      </c>
      <c r="J3256" t="s">
        <v>3803</v>
      </c>
      <c r="L3256">
        <v>700000</v>
      </c>
      <c r="M3256">
        <v>70000</v>
      </c>
    </row>
    <row r="3257" spans="1:13" x14ac:dyDescent="0.25">
      <c r="A3257" t="s">
        <v>10973</v>
      </c>
      <c r="B3257" t="s">
        <v>10974</v>
      </c>
      <c r="C3257" t="s">
        <v>121</v>
      </c>
      <c r="D3257" t="s">
        <v>3460</v>
      </c>
      <c r="E3257" t="s">
        <v>10937</v>
      </c>
      <c r="F3257" t="s">
        <v>10938</v>
      </c>
      <c r="G3257" t="s">
        <v>10975</v>
      </c>
      <c r="H3257" t="str">
        <f>HYPERLINK("https://baanknet.com/view-property/288214/E305172DAE6DD1304490DC8A670D3FC83ABF0F7665B6ED60E6FDCFEBC19C8D63", "https://baanknet.com/view-property/288214/E305172DAE6DD1304490DC8A670D3FC83ABF0F7665B6ED60E6FDCFEBC19C8D63")</f>
        <v>https://baanknet.com/view-property/288214/E305172DAE6DD1304490DC8A670D3FC83ABF0F7665B6ED60E6FDCFEBC19C8D63</v>
      </c>
      <c r="I3257" t="str">
        <f>HYPERLINK("https://baanknet.com/view-property/288214/E305172DAE6DD1304490DC8A670D3FC83ABF0F7665B6ED60E6FDCFEBC19C8D63", "Open")</f>
        <v>Open</v>
      </c>
      <c r="J3257" t="s">
        <v>3803</v>
      </c>
      <c r="L3257">
        <v>2100000</v>
      </c>
      <c r="M3257">
        <v>210000</v>
      </c>
    </row>
    <row r="3258" spans="1:13" x14ac:dyDescent="0.25">
      <c r="A3258" t="s">
        <v>10976</v>
      </c>
      <c r="B3258" t="s">
        <v>10977</v>
      </c>
      <c r="C3258" t="s">
        <v>121</v>
      </c>
      <c r="D3258" t="s">
        <v>3460</v>
      </c>
      <c r="E3258" t="s">
        <v>10937</v>
      </c>
      <c r="F3258" t="s">
        <v>10938</v>
      </c>
      <c r="G3258" t="s">
        <v>10978</v>
      </c>
      <c r="H3258" t="str">
        <f>HYPERLINK("https://baanknet.com/view-property/172501/A2B6CCF49E3619802382186F9F7DF0C7BA51DBF402F6E2C21A48E3E99381CFCF", "https://baanknet.com/view-property/172501/A2B6CCF49E3619802382186F9F7DF0C7BA51DBF402F6E2C21A48E3E99381CFCF")</f>
        <v>https://baanknet.com/view-property/172501/A2B6CCF49E3619802382186F9F7DF0C7BA51DBF402F6E2C21A48E3E99381CFCF</v>
      </c>
      <c r="I3258" t="str">
        <f>HYPERLINK("https://baanknet.com/view-property/172501/A2B6CCF49E3619802382186F9F7DF0C7BA51DBF402F6E2C21A48E3E99381CFCF", "Open")</f>
        <v>Open</v>
      </c>
      <c r="J3258" t="s">
        <v>3803</v>
      </c>
      <c r="L3258">
        <v>2310000</v>
      </c>
      <c r="M3258">
        <v>231000</v>
      </c>
    </row>
    <row r="3259" spans="1:13" x14ac:dyDescent="0.25">
      <c r="A3259" t="s">
        <v>10979</v>
      </c>
      <c r="B3259" t="s">
        <v>10980</v>
      </c>
      <c r="C3259" t="s">
        <v>525</v>
      </c>
      <c r="D3259" t="s">
        <v>10981</v>
      </c>
      <c r="E3259" t="s">
        <v>10982</v>
      </c>
      <c r="F3259" t="s">
        <v>10983</v>
      </c>
      <c r="G3259" t="s">
        <v>10984</v>
      </c>
      <c r="H3259" t="str">
        <f>HYPERLINK("https://baanknet.com/view-property/268410/C6601A3C97B307DE4AC38DA596FE51F75AAD146CB3B1256F979A767B94206BCE", "https://baanknet.com/view-property/268410/C6601A3C97B307DE4AC38DA596FE51F75AAD146CB3B1256F979A767B94206BCE")</f>
        <v>https://baanknet.com/view-property/268410/C6601A3C97B307DE4AC38DA596FE51F75AAD146CB3B1256F979A767B94206BCE</v>
      </c>
      <c r="I3259" t="str">
        <f>HYPERLINK("https://baanknet.com/view-property/268410/C6601A3C97B307DE4AC38DA596FE51F75AAD146CB3B1256F979A767B94206BCE", "Open")</f>
        <v>Open</v>
      </c>
      <c r="J3259" t="s">
        <v>3803</v>
      </c>
      <c r="L3259">
        <v>4100000</v>
      </c>
      <c r="M3259">
        <v>410000</v>
      </c>
    </row>
    <row r="3260" spans="1:13" x14ac:dyDescent="0.25">
      <c r="A3260" t="s">
        <v>10985</v>
      </c>
      <c r="B3260" t="s">
        <v>10986</v>
      </c>
      <c r="C3260" t="s">
        <v>525</v>
      </c>
      <c r="D3260" t="s">
        <v>10981</v>
      </c>
      <c r="E3260" t="s">
        <v>10982</v>
      </c>
      <c r="F3260" t="s">
        <v>10983</v>
      </c>
      <c r="G3260" t="s">
        <v>10987</v>
      </c>
      <c r="H3260" t="str">
        <f>HYPERLINK("https://baanknet.com/view-property/268513/C0ECD99AC6698E7A26FE1E8AE1FEFD117527BF42C004C8DE092E76D55966687A", "https://baanknet.com/view-property/268513/C0ECD99AC6698E7A26FE1E8AE1FEFD117527BF42C004C8DE092E76D55966687A")</f>
        <v>https://baanknet.com/view-property/268513/C0ECD99AC6698E7A26FE1E8AE1FEFD117527BF42C004C8DE092E76D55966687A</v>
      </c>
      <c r="I3260" t="str">
        <f>HYPERLINK("https://baanknet.com/view-property/268513/C0ECD99AC6698E7A26FE1E8AE1FEFD117527BF42C004C8DE092E76D55966687A", "Open")</f>
        <v>Open</v>
      </c>
      <c r="J3260" t="s">
        <v>3803</v>
      </c>
      <c r="L3260">
        <v>5241000</v>
      </c>
      <c r="M3260">
        <v>524100</v>
      </c>
    </row>
    <row r="3261" spans="1:13" x14ac:dyDescent="0.25">
      <c r="A3261" t="s">
        <v>10988</v>
      </c>
      <c r="B3261" t="s">
        <v>10989</v>
      </c>
      <c r="C3261" t="s">
        <v>525</v>
      </c>
      <c r="D3261" t="s">
        <v>10981</v>
      </c>
      <c r="E3261" t="s">
        <v>10982</v>
      </c>
      <c r="F3261" t="s">
        <v>10983</v>
      </c>
      <c r="G3261" t="s">
        <v>10990</v>
      </c>
      <c r="H3261" t="str">
        <f>HYPERLINK("https://baanknet.com/view-property/260585/947BD7F3959A7991A9D3D9B89A45A501C1AB3D1430DA37C845DB6FFD6E478BDD", "https://baanknet.com/view-property/260585/947BD7F3959A7991A9D3D9B89A45A501C1AB3D1430DA37C845DB6FFD6E478BDD")</f>
        <v>https://baanknet.com/view-property/260585/947BD7F3959A7991A9D3D9B89A45A501C1AB3D1430DA37C845DB6FFD6E478BDD</v>
      </c>
      <c r="I3261" t="str">
        <f>HYPERLINK("https://baanknet.com/view-property/260585/947BD7F3959A7991A9D3D9B89A45A501C1AB3D1430DA37C845DB6FFD6E478BDD", "Open")</f>
        <v>Open</v>
      </c>
      <c r="J3261" t="s">
        <v>3803</v>
      </c>
      <c r="L3261">
        <v>3540000</v>
      </c>
      <c r="M3261">
        <v>354000</v>
      </c>
    </row>
    <row r="3262" spans="1:13" x14ac:dyDescent="0.25">
      <c r="A3262" t="s">
        <v>10991</v>
      </c>
      <c r="B3262" t="s">
        <v>10992</v>
      </c>
      <c r="C3262" t="s">
        <v>525</v>
      </c>
      <c r="D3262" t="s">
        <v>10993</v>
      </c>
      <c r="E3262" t="s">
        <v>10982</v>
      </c>
      <c r="F3262" t="s">
        <v>10983</v>
      </c>
      <c r="G3262" t="s">
        <v>10994</v>
      </c>
      <c r="H3262" t="str">
        <f>HYPERLINK("https://baanknet.com/view-property/260578/3658109654D6A51EA9816865F3074C33D1A5E213B2E73F82513E5E45204659C1", "https://baanknet.com/view-property/260578/3658109654D6A51EA9816865F3074C33D1A5E213B2E73F82513E5E45204659C1")</f>
        <v>https://baanknet.com/view-property/260578/3658109654D6A51EA9816865F3074C33D1A5E213B2E73F82513E5E45204659C1</v>
      </c>
      <c r="I3262" t="str">
        <f>HYPERLINK("https://baanknet.com/view-property/260578/3658109654D6A51EA9816865F3074C33D1A5E213B2E73F82513E5E45204659C1", "Open")</f>
        <v>Open</v>
      </c>
      <c r="J3262" t="s">
        <v>3803</v>
      </c>
      <c r="L3262">
        <v>4700000</v>
      </c>
      <c r="M3262">
        <v>470000</v>
      </c>
    </row>
    <row r="3263" spans="1:13" x14ac:dyDescent="0.25">
      <c r="A3263" t="s">
        <v>10995</v>
      </c>
      <c r="B3263" t="s">
        <v>10996</v>
      </c>
      <c r="C3263" t="s">
        <v>525</v>
      </c>
      <c r="D3263" t="s">
        <v>10981</v>
      </c>
      <c r="E3263" t="s">
        <v>10982</v>
      </c>
      <c r="F3263" t="s">
        <v>10983</v>
      </c>
      <c r="G3263" t="s">
        <v>10997</v>
      </c>
      <c r="H3263" t="str">
        <f>HYPERLINK("https://baanknet.com/view-property/260217/81D5BEE16EC80FD2EDDD2C1823F005A9FE9A1401834CE774D0998B99A292BFC5", "https://baanknet.com/view-property/260217/81D5BEE16EC80FD2EDDD2C1823F005A9FE9A1401834CE774D0998B99A292BFC5")</f>
        <v>https://baanknet.com/view-property/260217/81D5BEE16EC80FD2EDDD2C1823F005A9FE9A1401834CE774D0998B99A292BFC5</v>
      </c>
      <c r="I3263" t="str">
        <f>HYPERLINK("https://baanknet.com/view-property/260217/81D5BEE16EC80FD2EDDD2C1823F005A9FE9A1401834CE774D0998B99A292BFC5", "Open")</f>
        <v>Open</v>
      </c>
      <c r="J3263" t="s">
        <v>3803</v>
      </c>
      <c r="L3263">
        <v>4300000</v>
      </c>
      <c r="M3263">
        <v>430000</v>
      </c>
    </row>
    <row r="3264" spans="1:13" x14ac:dyDescent="0.25">
      <c r="A3264" t="s">
        <v>10998</v>
      </c>
      <c r="B3264" t="s">
        <v>10999</v>
      </c>
      <c r="C3264" t="s">
        <v>525</v>
      </c>
      <c r="D3264" t="s">
        <v>10981</v>
      </c>
      <c r="E3264" t="s">
        <v>10982</v>
      </c>
      <c r="F3264" t="s">
        <v>10983</v>
      </c>
      <c r="G3264" t="s">
        <v>11000</v>
      </c>
      <c r="H3264" t="str">
        <f>HYPERLINK("https://baanknet.com/view-property/260242/7197C6D8C1E377ED0D9F1E5D95BDF8B1823CFC5CD3618AEF6F06174B97125908", "https://baanknet.com/view-property/260242/7197C6D8C1E377ED0D9F1E5D95BDF8B1823CFC5CD3618AEF6F06174B97125908")</f>
        <v>https://baanknet.com/view-property/260242/7197C6D8C1E377ED0D9F1E5D95BDF8B1823CFC5CD3618AEF6F06174B97125908</v>
      </c>
      <c r="I3264" t="str">
        <f>HYPERLINK("https://baanknet.com/view-property/260242/7197C6D8C1E377ED0D9F1E5D95BDF8B1823CFC5CD3618AEF6F06174B97125908", "Open")</f>
        <v>Open</v>
      </c>
      <c r="J3264" t="s">
        <v>3803</v>
      </c>
      <c r="L3264">
        <v>3500000</v>
      </c>
      <c r="M3264">
        <v>350000</v>
      </c>
    </row>
    <row r="3265" spans="1:13" x14ac:dyDescent="0.25">
      <c r="A3265" t="s">
        <v>11001</v>
      </c>
      <c r="B3265" t="s">
        <v>11002</v>
      </c>
      <c r="C3265" t="s">
        <v>387</v>
      </c>
      <c r="D3265" t="s">
        <v>1083</v>
      </c>
      <c r="E3265" t="s">
        <v>11003</v>
      </c>
      <c r="F3265" t="s">
        <v>11004</v>
      </c>
      <c r="G3265" t="s">
        <v>11005</v>
      </c>
      <c r="H3265" t="str">
        <f>HYPERLINK("https://baanknet.com/view-property/259098/557131D092F468BE24A18FD6F422DDA5FBD0F2C611748D371C4BDE3CA128ECAE", "https://baanknet.com/view-property/259098/557131D092F468BE24A18FD6F422DDA5FBD0F2C611748D371C4BDE3CA128ECAE")</f>
        <v>https://baanknet.com/view-property/259098/557131D092F468BE24A18FD6F422DDA5FBD0F2C611748D371C4BDE3CA128ECAE</v>
      </c>
      <c r="I3265" t="str">
        <f>HYPERLINK("https://baanknet.com/view-property/259098/557131D092F468BE24A18FD6F422DDA5FBD0F2C611748D371C4BDE3CA128ECAE", "Open")</f>
        <v>Open</v>
      </c>
      <c r="J3265" t="s">
        <v>3803</v>
      </c>
      <c r="L3265">
        <v>882000</v>
      </c>
      <c r="M3265">
        <v>88200</v>
      </c>
    </row>
    <row r="3266" spans="1:13" x14ac:dyDescent="0.25">
      <c r="A3266" t="s">
        <v>11006</v>
      </c>
      <c r="B3266" t="s">
        <v>11007</v>
      </c>
      <c r="C3266" t="s">
        <v>332</v>
      </c>
      <c r="D3266" t="s">
        <v>11008</v>
      </c>
      <c r="E3266" t="s">
        <v>11009</v>
      </c>
      <c r="F3266" t="s">
        <v>11010</v>
      </c>
      <c r="G3266" t="s">
        <v>11011</v>
      </c>
      <c r="H3266" t="str">
        <f>HYPERLINK("https://baanknet.com/view-property/286929/69D607645386E8196F37EAA60A097C4CD496C7BE0DB08FA84F96B9069FC97D50", "https://baanknet.com/view-property/286929/69D607645386E8196F37EAA60A097C4CD496C7BE0DB08FA84F96B9069FC97D50")</f>
        <v>https://baanknet.com/view-property/286929/69D607645386E8196F37EAA60A097C4CD496C7BE0DB08FA84F96B9069FC97D50</v>
      </c>
      <c r="I3266" t="str">
        <f>HYPERLINK("https://baanknet.com/view-property/286929/69D607645386E8196F37EAA60A097C4CD496C7BE0DB08FA84F96B9069FC97D50", "Open")</f>
        <v>Open</v>
      </c>
      <c r="J3266" t="s">
        <v>3803</v>
      </c>
      <c r="L3266">
        <v>671000</v>
      </c>
      <c r="M3266">
        <v>67100</v>
      </c>
    </row>
    <row r="3267" spans="1:13" x14ac:dyDescent="0.25">
      <c r="A3267" t="s">
        <v>11012</v>
      </c>
      <c r="B3267" t="s">
        <v>11013</v>
      </c>
      <c r="C3267" t="s">
        <v>332</v>
      </c>
      <c r="D3267" t="s">
        <v>1619</v>
      </c>
      <c r="E3267" t="s">
        <v>11009</v>
      </c>
      <c r="F3267" t="s">
        <v>11010</v>
      </c>
      <c r="G3267" t="s">
        <v>11014</v>
      </c>
      <c r="H3267" t="str">
        <f>HYPERLINK("https://baanknet.com/view-property/286927/50AF91EEC026C2B188259A6FFEC548C692CF1A92BD54F304461FDA0E780DE356", "https://baanknet.com/view-property/286927/50AF91EEC026C2B188259A6FFEC548C692CF1A92BD54F304461FDA0E780DE356")</f>
        <v>https://baanknet.com/view-property/286927/50AF91EEC026C2B188259A6FFEC548C692CF1A92BD54F304461FDA0E780DE356</v>
      </c>
      <c r="I3267" t="str">
        <f>HYPERLINK("https://baanknet.com/view-property/286927/50AF91EEC026C2B188259A6FFEC548C692CF1A92BD54F304461FDA0E780DE356", "Open")</f>
        <v>Open</v>
      </c>
      <c r="J3267" t="s">
        <v>3803</v>
      </c>
      <c r="L3267">
        <v>621000</v>
      </c>
      <c r="M3267">
        <v>62100</v>
      </c>
    </row>
    <row r="3268" spans="1:13" x14ac:dyDescent="0.25">
      <c r="A3268" t="s">
        <v>11015</v>
      </c>
      <c r="B3268" t="s">
        <v>11016</v>
      </c>
      <c r="C3268" t="s">
        <v>332</v>
      </c>
      <c r="D3268" t="s">
        <v>1619</v>
      </c>
      <c r="E3268" t="s">
        <v>11009</v>
      </c>
      <c r="F3268" t="s">
        <v>11010</v>
      </c>
      <c r="G3268" t="s">
        <v>11017</v>
      </c>
      <c r="H3268" t="str">
        <f>HYPERLINK("https://baanknet.com/view-property/286920/DAD17ADFA590D3986B755A2A6EBC4DA4A98DBE0118284A1E40146EFFD17DA55D", "https://baanknet.com/view-property/286920/DAD17ADFA590D3986B755A2A6EBC4DA4A98DBE0118284A1E40146EFFD17DA55D")</f>
        <v>https://baanknet.com/view-property/286920/DAD17ADFA590D3986B755A2A6EBC4DA4A98DBE0118284A1E40146EFFD17DA55D</v>
      </c>
      <c r="I3268" t="str">
        <f>HYPERLINK("https://baanknet.com/view-property/286920/DAD17ADFA590D3986B755A2A6EBC4DA4A98DBE0118284A1E40146EFFD17DA55D", "Open")</f>
        <v>Open</v>
      </c>
      <c r="J3268" t="s">
        <v>3803</v>
      </c>
      <c r="L3268">
        <v>319000</v>
      </c>
      <c r="M3268">
        <v>31900</v>
      </c>
    </row>
    <row r="3269" spans="1:13" x14ac:dyDescent="0.25">
      <c r="A3269" t="s">
        <v>11018</v>
      </c>
      <c r="B3269" t="s">
        <v>11019</v>
      </c>
      <c r="C3269" t="s">
        <v>332</v>
      </c>
      <c r="D3269" t="s">
        <v>1619</v>
      </c>
      <c r="E3269" t="s">
        <v>11009</v>
      </c>
      <c r="F3269" t="s">
        <v>11010</v>
      </c>
      <c r="G3269" t="s">
        <v>11020</v>
      </c>
      <c r="H3269" t="str">
        <f>HYPERLINK("https://baanknet.com/view-property/287223/99CF6F6DF14D4C6933DE2622F69B63991138981A8C7E3E6DEFD90E1C974787A4", "https://baanknet.com/view-property/287223/99CF6F6DF14D4C6933DE2622F69B63991138981A8C7E3E6DEFD90E1C974787A4")</f>
        <v>https://baanknet.com/view-property/287223/99CF6F6DF14D4C6933DE2622F69B63991138981A8C7E3E6DEFD90E1C974787A4</v>
      </c>
      <c r="I3269" t="str">
        <f>HYPERLINK("https://baanknet.com/view-property/287223/99CF6F6DF14D4C6933DE2622F69B63991138981A8C7E3E6DEFD90E1C974787A4", "Open")</f>
        <v>Open</v>
      </c>
      <c r="J3269" t="s">
        <v>3803</v>
      </c>
      <c r="L3269">
        <v>793000</v>
      </c>
      <c r="M3269">
        <v>79300</v>
      </c>
    </row>
    <row r="3270" spans="1:13" x14ac:dyDescent="0.25">
      <c r="A3270" t="s">
        <v>11021</v>
      </c>
      <c r="B3270" t="s">
        <v>11022</v>
      </c>
      <c r="C3270" t="s">
        <v>15</v>
      </c>
      <c r="D3270" t="s">
        <v>608</v>
      </c>
      <c r="E3270" t="s">
        <v>11023</v>
      </c>
      <c r="F3270" t="s">
        <v>11024</v>
      </c>
      <c r="G3270" t="s">
        <v>11025</v>
      </c>
      <c r="H3270" t="str">
        <f>HYPERLINK("https://baanknet.com/view-property/245148/06C5843EF6B027FD52D2850D3BDD802502547C4127469E1145A6D435B9D092D3", "https://baanknet.com/view-property/245148/06C5843EF6B027FD52D2850D3BDD802502547C4127469E1145A6D435B9D092D3")</f>
        <v>https://baanknet.com/view-property/245148/06C5843EF6B027FD52D2850D3BDD802502547C4127469E1145A6D435B9D092D3</v>
      </c>
      <c r="I3270" t="str">
        <f>HYPERLINK("https://baanknet.com/view-property/245148/06C5843EF6B027FD52D2850D3BDD802502547C4127469E1145A6D435B9D092D3", "Open")</f>
        <v>Open</v>
      </c>
      <c r="J3270" t="s">
        <v>3803</v>
      </c>
      <c r="L3270">
        <v>3250000</v>
      </c>
      <c r="M3270">
        <v>325000</v>
      </c>
    </row>
    <row r="3271" spans="1:13" x14ac:dyDescent="0.25">
      <c r="A3271" t="s">
        <v>11026</v>
      </c>
      <c r="B3271" t="s">
        <v>11027</v>
      </c>
      <c r="C3271" t="s">
        <v>15</v>
      </c>
      <c r="D3271" t="s">
        <v>608</v>
      </c>
      <c r="E3271" t="s">
        <v>11023</v>
      </c>
      <c r="F3271" t="s">
        <v>11024</v>
      </c>
      <c r="G3271" t="s">
        <v>11028</v>
      </c>
      <c r="H3271" t="str">
        <f>HYPERLINK("https://baanknet.com/view-property/245140/BDC3C74016246D4393EDB3B58A6300E50F61D22165F64E4F796885C107AEC95D", "https://baanknet.com/view-property/245140/BDC3C74016246D4393EDB3B58A6300E50F61D22165F64E4F796885C107AEC95D")</f>
        <v>https://baanknet.com/view-property/245140/BDC3C74016246D4393EDB3B58A6300E50F61D22165F64E4F796885C107AEC95D</v>
      </c>
      <c r="I3271" t="str">
        <f>HYPERLINK("https://baanknet.com/view-property/245140/BDC3C74016246D4393EDB3B58A6300E50F61D22165F64E4F796885C107AEC95D", "Open")</f>
        <v>Open</v>
      </c>
      <c r="J3271" t="s">
        <v>3803</v>
      </c>
      <c r="L3271">
        <v>3350000</v>
      </c>
      <c r="M3271">
        <v>335000</v>
      </c>
    </row>
    <row r="3272" spans="1:13" x14ac:dyDescent="0.25">
      <c r="A3272" t="s">
        <v>11029</v>
      </c>
      <c r="B3272" t="s">
        <v>11030</v>
      </c>
      <c r="C3272" t="s">
        <v>15</v>
      </c>
      <c r="D3272" t="s">
        <v>11031</v>
      </c>
      <c r="E3272" t="s">
        <v>11023</v>
      </c>
      <c r="F3272" t="s">
        <v>11032</v>
      </c>
      <c r="G3272" t="s">
        <v>11033</v>
      </c>
      <c r="H3272" t="str">
        <f>HYPERLINK("https://baanknet.com/view-property/186672/2F05864D002710CEA419027FCC511D2F1A3F70658FE9493379CEA94B0D80957F", "https://baanknet.com/view-property/186672/2F05864D002710CEA419027FCC511D2F1A3F70658FE9493379CEA94B0D80957F")</f>
        <v>https://baanknet.com/view-property/186672/2F05864D002710CEA419027FCC511D2F1A3F70658FE9493379CEA94B0D80957F</v>
      </c>
      <c r="I3272" t="str">
        <f>HYPERLINK("https://baanknet.com/view-property/186672/2F05864D002710CEA419027FCC511D2F1A3F70658FE9493379CEA94B0D80957F", "Open")</f>
        <v>Open</v>
      </c>
      <c r="J3272" t="s">
        <v>3803</v>
      </c>
      <c r="L3272">
        <v>1534000</v>
      </c>
      <c r="M3272">
        <v>153400</v>
      </c>
    </row>
    <row r="3273" spans="1:13" x14ac:dyDescent="0.25">
      <c r="A3273" t="s">
        <v>11034</v>
      </c>
      <c r="B3273" t="s">
        <v>11035</v>
      </c>
      <c r="C3273" t="s">
        <v>15</v>
      </c>
      <c r="D3273" t="s">
        <v>1051</v>
      </c>
      <c r="E3273" t="s">
        <v>11023</v>
      </c>
      <c r="F3273" t="s">
        <v>11032</v>
      </c>
      <c r="G3273" t="s">
        <v>11036</v>
      </c>
      <c r="H3273" t="str">
        <f>HYPERLINK("https://baanknet.com/view-property/198097/1E90E694FF3151B403D81A988294D7818BD27493384D4FC78D18C4FA579B6A23", "https://baanknet.com/view-property/198097/1E90E694FF3151B403D81A988294D7818BD27493384D4FC78D18C4FA579B6A23")</f>
        <v>https://baanknet.com/view-property/198097/1E90E694FF3151B403D81A988294D7818BD27493384D4FC78D18C4FA579B6A23</v>
      </c>
      <c r="I3273" t="str">
        <f>HYPERLINK("https://baanknet.com/view-property/198097/1E90E694FF3151B403D81A988294D7818BD27493384D4FC78D18C4FA579B6A23", "Open")</f>
        <v>Open</v>
      </c>
      <c r="J3273" t="s">
        <v>3803</v>
      </c>
      <c r="L3273">
        <v>1083000</v>
      </c>
      <c r="M3273">
        <v>108300</v>
      </c>
    </row>
    <row r="3274" spans="1:13" x14ac:dyDescent="0.25">
      <c r="A3274" t="s">
        <v>11037</v>
      </c>
      <c r="B3274" t="s">
        <v>11038</v>
      </c>
      <c r="C3274" t="s">
        <v>15</v>
      </c>
      <c r="D3274" t="s">
        <v>11039</v>
      </c>
      <c r="E3274" t="s">
        <v>11023</v>
      </c>
      <c r="F3274" t="s">
        <v>11032</v>
      </c>
      <c r="G3274" t="s">
        <v>11040</v>
      </c>
      <c r="H3274" t="str">
        <f>HYPERLINK("https://baanknet.com/view-property/186680/AC149A96E1395F9B343E11B80293F19ABFB50868FE7657C97BA8E07EE83507F7", "https://baanknet.com/view-property/186680/AC149A96E1395F9B343E11B80293F19ABFB50868FE7657C97BA8E07EE83507F7")</f>
        <v>https://baanknet.com/view-property/186680/AC149A96E1395F9B343E11B80293F19ABFB50868FE7657C97BA8E07EE83507F7</v>
      </c>
      <c r="I3274" t="str">
        <f>HYPERLINK("https://baanknet.com/view-property/186680/AC149A96E1395F9B343E11B80293F19ABFB50868FE7657C97BA8E07EE83507F7", "Open")</f>
        <v>Open</v>
      </c>
      <c r="J3274" t="s">
        <v>3803</v>
      </c>
      <c r="L3274">
        <v>2201000</v>
      </c>
      <c r="M3274">
        <v>220100</v>
      </c>
    </row>
    <row r="3275" spans="1:13" x14ac:dyDescent="0.25">
      <c r="A3275" t="s">
        <v>11041</v>
      </c>
      <c r="B3275" t="s">
        <v>11042</v>
      </c>
      <c r="C3275" t="s">
        <v>15</v>
      </c>
      <c r="D3275" t="s">
        <v>11043</v>
      </c>
      <c r="E3275" t="s">
        <v>11023</v>
      </c>
      <c r="F3275" t="s">
        <v>11032</v>
      </c>
      <c r="G3275" t="s">
        <v>11044</v>
      </c>
      <c r="H3275" t="str">
        <f>HYPERLINK("https://baanknet.com/view-property/198128/2E6290DBFC0AA898FA4AF8A1E2E7493AFD645C77F7542276BC6BFBF02B88DD3B", "https://baanknet.com/view-property/198128/2E6290DBFC0AA898FA4AF8A1E2E7493AFD645C77F7542276BC6BFBF02B88DD3B")</f>
        <v>https://baanknet.com/view-property/198128/2E6290DBFC0AA898FA4AF8A1E2E7493AFD645C77F7542276BC6BFBF02B88DD3B</v>
      </c>
      <c r="I3275" t="str">
        <f>HYPERLINK("https://baanknet.com/view-property/198128/2E6290DBFC0AA898FA4AF8A1E2E7493AFD645C77F7542276BC6BFBF02B88DD3B", "Open")</f>
        <v>Open</v>
      </c>
      <c r="J3275" t="s">
        <v>3803</v>
      </c>
      <c r="L3275">
        <v>5233000</v>
      </c>
      <c r="M3275">
        <v>523300</v>
      </c>
    </row>
    <row r="3276" spans="1:13" x14ac:dyDescent="0.25">
      <c r="A3276" t="s">
        <v>11045</v>
      </c>
      <c r="B3276" t="s">
        <v>11046</v>
      </c>
      <c r="C3276" t="s">
        <v>15</v>
      </c>
      <c r="D3276" t="s">
        <v>11047</v>
      </c>
      <c r="E3276" t="s">
        <v>11023</v>
      </c>
      <c r="F3276" t="s">
        <v>11048</v>
      </c>
      <c r="G3276" t="s">
        <v>11049</v>
      </c>
      <c r="H3276" t="str">
        <f>HYPERLINK("https://baanknet.com/view-property/187157/B25F03B11BBC5D8AF1DAA11BC50B9E84339DEFBED7A7DA7FA689A25BE1DB7139", "https://baanknet.com/view-property/187157/B25F03B11BBC5D8AF1DAA11BC50B9E84339DEFBED7A7DA7FA689A25BE1DB7139")</f>
        <v>https://baanknet.com/view-property/187157/B25F03B11BBC5D8AF1DAA11BC50B9E84339DEFBED7A7DA7FA689A25BE1DB7139</v>
      </c>
      <c r="I3276" t="str">
        <f>HYPERLINK("https://baanknet.com/view-property/187157/B25F03B11BBC5D8AF1DAA11BC50B9E84339DEFBED7A7DA7FA689A25BE1DB7139", "Open")</f>
        <v>Open</v>
      </c>
      <c r="J3276" t="s">
        <v>3803</v>
      </c>
      <c r="L3276">
        <v>990000</v>
      </c>
      <c r="M3276">
        <v>99000</v>
      </c>
    </row>
    <row r="3277" spans="1:13" x14ac:dyDescent="0.25">
      <c r="A3277" t="s">
        <v>11050</v>
      </c>
      <c r="B3277" t="s">
        <v>11051</v>
      </c>
      <c r="C3277" t="s">
        <v>15</v>
      </c>
      <c r="D3277" t="s">
        <v>9911</v>
      </c>
      <c r="E3277" t="s">
        <v>11023</v>
      </c>
      <c r="F3277" t="s">
        <v>11048</v>
      </c>
      <c r="G3277" t="s">
        <v>11052</v>
      </c>
      <c r="H3277" t="str">
        <f>HYPERLINK("https://baanknet.com/view-property/270177/3A8C16932AFB9433E660E1C7704EF6343F7886B5DC1AEB7C3173C25B6D86AC87", "https://baanknet.com/view-property/270177/3A8C16932AFB9433E660E1C7704EF6343F7886B5DC1AEB7C3173C25B6D86AC87")</f>
        <v>https://baanknet.com/view-property/270177/3A8C16932AFB9433E660E1C7704EF6343F7886B5DC1AEB7C3173C25B6D86AC87</v>
      </c>
      <c r="I3277" t="str">
        <f>HYPERLINK("https://baanknet.com/view-property/270177/3A8C16932AFB9433E660E1C7704EF6343F7886B5DC1AEB7C3173C25B6D86AC87", "Open")</f>
        <v>Open</v>
      </c>
      <c r="J3277" t="s">
        <v>3803</v>
      </c>
      <c r="L3277">
        <v>6712000</v>
      </c>
      <c r="M3277">
        <v>671200</v>
      </c>
    </row>
    <row r="3278" spans="1:13" x14ac:dyDescent="0.25">
      <c r="A3278" t="s">
        <v>11053</v>
      </c>
      <c r="B3278" t="s">
        <v>11054</v>
      </c>
      <c r="C3278" t="s">
        <v>15</v>
      </c>
      <c r="D3278" t="s">
        <v>11055</v>
      </c>
      <c r="E3278" t="s">
        <v>11023</v>
      </c>
      <c r="F3278" t="s">
        <v>11048</v>
      </c>
      <c r="G3278" t="s">
        <v>11056</v>
      </c>
      <c r="H3278" t="str">
        <f>HYPERLINK("https://baanknet.com/view-property/282999/0892E84112D1760D15E59FCCE9E325DE2C9A1590408BFDC05F3AEB93F748FA33", "https://baanknet.com/view-property/282999/0892E84112D1760D15E59FCCE9E325DE2C9A1590408BFDC05F3AEB93F748FA33")</f>
        <v>https://baanknet.com/view-property/282999/0892E84112D1760D15E59FCCE9E325DE2C9A1590408BFDC05F3AEB93F748FA33</v>
      </c>
      <c r="I3278" t="str">
        <f>HYPERLINK("https://baanknet.com/view-property/282999/0892E84112D1760D15E59FCCE9E325DE2C9A1590408BFDC05F3AEB93F748FA33", "Open")</f>
        <v>Open</v>
      </c>
      <c r="J3278" t="s">
        <v>3803</v>
      </c>
      <c r="L3278">
        <v>990000</v>
      </c>
      <c r="M3278">
        <v>99000</v>
      </c>
    </row>
    <row r="3279" spans="1:13" x14ac:dyDescent="0.25">
      <c r="A3279" t="s">
        <v>11057</v>
      </c>
      <c r="B3279" t="s">
        <v>11058</v>
      </c>
      <c r="C3279" t="s">
        <v>15</v>
      </c>
      <c r="D3279" t="s">
        <v>11059</v>
      </c>
      <c r="E3279" t="s">
        <v>11023</v>
      </c>
      <c r="F3279" t="s">
        <v>11048</v>
      </c>
      <c r="G3279" t="s">
        <v>11060</v>
      </c>
      <c r="H3279" t="str">
        <f>HYPERLINK("https://baanknet.com/view-property/282997/DC5BC3A9C14E39B2186853DE7C497F6DA9E16CFFDDBB3138D14D986384B49C53", "https://baanknet.com/view-property/282997/DC5BC3A9C14E39B2186853DE7C497F6DA9E16CFFDDBB3138D14D986384B49C53")</f>
        <v>https://baanknet.com/view-property/282997/DC5BC3A9C14E39B2186853DE7C497F6DA9E16CFFDDBB3138D14D986384B49C53</v>
      </c>
      <c r="I3279" t="str">
        <f>HYPERLINK("https://baanknet.com/view-property/282997/DC5BC3A9C14E39B2186853DE7C497F6DA9E16CFFDDBB3138D14D986384B49C53", "Open")</f>
        <v>Open</v>
      </c>
      <c r="J3279" t="s">
        <v>3803</v>
      </c>
      <c r="L3279">
        <v>2175000</v>
      </c>
      <c r="M3279">
        <v>217500</v>
      </c>
    </row>
    <row r="3280" spans="1:13" x14ac:dyDescent="0.25">
      <c r="A3280" t="s">
        <v>11061</v>
      </c>
      <c r="B3280" t="s">
        <v>11062</v>
      </c>
      <c r="C3280" t="s">
        <v>15</v>
      </c>
      <c r="D3280" t="s">
        <v>11059</v>
      </c>
      <c r="E3280" t="s">
        <v>11023</v>
      </c>
      <c r="F3280" t="s">
        <v>11048</v>
      </c>
      <c r="G3280" t="s">
        <v>11063</v>
      </c>
      <c r="H3280" t="str">
        <f>HYPERLINK("https://baanknet.com/view-property/278987/BE4EE33B13BA361D43CD6622591DA30DDA9FDE0EF994D0FDD33CE2D6C1160CD3", "https://baanknet.com/view-property/278987/BE4EE33B13BA361D43CD6622591DA30DDA9FDE0EF994D0FDD33CE2D6C1160CD3")</f>
        <v>https://baanknet.com/view-property/278987/BE4EE33B13BA361D43CD6622591DA30DDA9FDE0EF994D0FDD33CE2D6C1160CD3</v>
      </c>
      <c r="I3280" t="str">
        <f>HYPERLINK("https://baanknet.com/view-property/278987/BE4EE33B13BA361D43CD6622591DA30DDA9FDE0EF994D0FDD33CE2D6C1160CD3", "Open")</f>
        <v>Open</v>
      </c>
      <c r="J3280" t="s">
        <v>3803</v>
      </c>
      <c r="L3280">
        <v>6900000</v>
      </c>
      <c r="M3280">
        <v>690000</v>
      </c>
    </row>
    <row r="3281" spans="1:13" x14ac:dyDescent="0.25">
      <c r="A3281" t="s">
        <v>11064</v>
      </c>
      <c r="B3281" t="s">
        <v>11065</v>
      </c>
      <c r="C3281" t="s">
        <v>15</v>
      </c>
      <c r="D3281" t="s">
        <v>11059</v>
      </c>
      <c r="E3281" t="s">
        <v>11023</v>
      </c>
      <c r="F3281" t="s">
        <v>11048</v>
      </c>
      <c r="G3281" t="s">
        <v>11066</v>
      </c>
      <c r="H3281" t="str">
        <f>HYPERLINK("https://baanknet.com/view-property/278964/D7B1363D64D0E9A9DA12134EA8DD842D77FE2CB4E6C27F60DBF3C6FECFE05385", "https://baanknet.com/view-property/278964/D7B1363D64D0E9A9DA12134EA8DD842D77FE2CB4E6C27F60DBF3C6FECFE05385")</f>
        <v>https://baanknet.com/view-property/278964/D7B1363D64D0E9A9DA12134EA8DD842D77FE2CB4E6C27F60DBF3C6FECFE05385</v>
      </c>
      <c r="I3281" t="str">
        <f>HYPERLINK("https://baanknet.com/view-property/278964/D7B1363D64D0E9A9DA12134EA8DD842D77FE2CB4E6C27F60DBF3C6FECFE05385", "Open")</f>
        <v>Open</v>
      </c>
      <c r="J3281" t="s">
        <v>3803</v>
      </c>
      <c r="L3281">
        <v>16500000</v>
      </c>
      <c r="M3281">
        <v>1650000</v>
      </c>
    </row>
    <row r="3282" spans="1:13" x14ac:dyDescent="0.25">
      <c r="A3282" t="s">
        <v>11067</v>
      </c>
      <c r="B3282" t="s">
        <v>11068</v>
      </c>
      <c r="C3282" t="s">
        <v>15</v>
      </c>
      <c r="D3282" t="s">
        <v>11069</v>
      </c>
      <c r="E3282" t="s">
        <v>11023</v>
      </c>
      <c r="F3282" t="s">
        <v>11048</v>
      </c>
      <c r="G3282" t="s">
        <v>11070</v>
      </c>
      <c r="H3282" t="str">
        <f>HYPERLINK("https://baanknet.com/view-property/278170/61EE2EDB2E927130323EEA4D4FC20EE0FF1DFE992BC565D7432408A0E0A1C1A3", "https://baanknet.com/view-property/278170/61EE2EDB2E927130323EEA4D4FC20EE0FF1DFE992BC565D7432408A0E0A1C1A3")</f>
        <v>https://baanknet.com/view-property/278170/61EE2EDB2E927130323EEA4D4FC20EE0FF1DFE992BC565D7432408A0E0A1C1A3</v>
      </c>
      <c r="I3282" t="str">
        <f>HYPERLINK("https://baanknet.com/view-property/278170/61EE2EDB2E927130323EEA4D4FC20EE0FF1DFE992BC565D7432408A0E0A1C1A3", "Open")</f>
        <v>Open</v>
      </c>
      <c r="J3282" t="s">
        <v>3803</v>
      </c>
      <c r="L3282">
        <v>3515000</v>
      </c>
      <c r="M3282">
        <v>351500</v>
      </c>
    </row>
    <row r="3283" spans="1:13" x14ac:dyDescent="0.25">
      <c r="A3283" t="s">
        <v>11071</v>
      </c>
      <c r="B3283" t="s">
        <v>11072</v>
      </c>
      <c r="C3283" t="s">
        <v>15</v>
      </c>
      <c r="D3283" t="s">
        <v>11059</v>
      </c>
      <c r="E3283" t="s">
        <v>11023</v>
      </c>
      <c r="F3283" t="s">
        <v>11048</v>
      </c>
      <c r="G3283" t="s">
        <v>11073</v>
      </c>
      <c r="H3283" t="str">
        <f>HYPERLINK("https://baanknet.com/view-property/267623/1C149476FDC7AE24A19E5E03552841F769DC9A719E45EC54113E9D31324084C4", "https://baanknet.com/view-property/267623/1C149476FDC7AE24A19E5E03552841F769DC9A719E45EC54113E9D31324084C4")</f>
        <v>https://baanknet.com/view-property/267623/1C149476FDC7AE24A19E5E03552841F769DC9A719E45EC54113E9D31324084C4</v>
      </c>
      <c r="I3283" t="str">
        <f>HYPERLINK("https://baanknet.com/view-property/267623/1C149476FDC7AE24A19E5E03552841F769DC9A719E45EC54113E9D31324084C4", "Open")</f>
        <v>Open</v>
      </c>
      <c r="J3283" t="s">
        <v>3803</v>
      </c>
      <c r="L3283">
        <v>999000</v>
      </c>
      <c r="M3283">
        <v>99900</v>
      </c>
    </row>
    <row r="3284" spans="1:13" x14ac:dyDescent="0.25">
      <c r="A3284" t="s">
        <v>11074</v>
      </c>
      <c r="B3284" t="s">
        <v>11075</v>
      </c>
      <c r="C3284" t="s">
        <v>15</v>
      </c>
      <c r="D3284" t="s">
        <v>11069</v>
      </c>
      <c r="E3284" t="s">
        <v>11023</v>
      </c>
      <c r="F3284" t="s">
        <v>11048</v>
      </c>
      <c r="G3284" t="s">
        <v>11076</v>
      </c>
      <c r="H3284" t="str">
        <f>HYPERLINK("https://baanknet.com/view-property/256997/9A58DCE48BE05F4B472594DCC2535E623EC9FAF48A2508335D0A1F0B194B6EAB", "https://baanknet.com/view-property/256997/9A58DCE48BE05F4B472594DCC2535E623EC9FAF48A2508335D0A1F0B194B6EAB")</f>
        <v>https://baanknet.com/view-property/256997/9A58DCE48BE05F4B472594DCC2535E623EC9FAF48A2508335D0A1F0B194B6EAB</v>
      </c>
      <c r="I3284" t="str">
        <f>HYPERLINK("https://baanknet.com/view-property/256997/9A58DCE48BE05F4B472594DCC2535E623EC9FAF48A2508335D0A1F0B194B6EAB", "Open")</f>
        <v>Open</v>
      </c>
      <c r="J3284" t="s">
        <v>3803</v>
      </c>
      <c r="L3284">
        <v>2979000</v>
      </c>
      <c r="M3284">
        <v>297900</v>
      </c>
    </row>
    <row r="3285" spans="1:13" x14ac:dyDescent="0.25">
      <c r="A3285" t="s">
        <v>11077</v>
      </c>
      <c r="B3285" t="s">
        <v>11078</v>
      </c>
      <c r="C3285" t="s">
        <v>15</v>
      </c>
      <c r="D3285" t="s">
        <v>11059</v>
      </c>
      <c r="E3285" t="s">
        <v>11023</v>
      </c>
      <c r="F3285" t="s">
        <v>11048</v>
      </c>
      <c r="G3285" t="s">
        <v>11079</v>
      </c>
      <c r="H3285" t="str">
        <f>HYPERLINK("https://baanknet.com/view-property/256956/16CC97FDE8F1223640E52C23C0B7EA916FE088C43B55CF191364CFAD6629ED57", "https://baanknet.com/view-property/256956/16CC97FDE8F1223640E52C23C0B7EA916FE088C43B55CF191364CFAD6629ED57")</f>
        <v>https://baanknet.com/view-property/256956/16CC97FDE8F1223640E52C23C0B7EA916FE088C43B55CF191364CFAD6629ED57</v>
      </c>
      <c r="I3285" t="str">
        <f>HYPERLINK("https://baanknet.com/view-property/256956/16CC97FDE8F1223640E52C23C0B7EA916FE088C43B55CF191364CFAD6629ED57", "Open")</f>
        <v>Open</v>
      </c>
      <c r="J3285" t="s">
        <v>3803</v>
      </c>
      <c r="L3285">
        <v>3940000</v>
      </c>
      <c r="M3285">
        <v>394000</v>
      </c>
    </row>
    <row r="3286" spans="1:13" x14ac:dyDescent="0.25">
      <c r="A3286" t="s">
        <v>11080</v>
      </c>
      <c r="B3286" t="s">
        <v>11081</v>
      </c>
      <c r="C3286" t="s">
        <v>15</v>
      </c>
      <c r="D3286" t="s">
        <v>11059</v>
      </c>
      <c r="E3286" t="s">
        <v>11023</v>
      </c>
      <c r="F3286" t="s">
        <v>11048</v>
      </c>
      <c r="G3286" t="s">
        <v>11082</v>
      </c>
      <c r="H3286" t="str">
        <f>HYPERLINK("https://baanknet.com/view-property/249144/44FA1CFE7B33976319620808F488BEF8CDF56A5504076257732769EBD9C0E675", "https://baanknet.com/view-property/249144/44FA1CFE7B33976319620808F488BEF8CDF56A5504076257732769EBD9C0E675")</f>
        <v>https://baanknet.com/view-property/249144/44FA1CFE7B33976319620808F488BEF8CDF56A5504076257732769EBD9C0E675</v>
      </c>
      <c r="I3286" t="str">
        <f>HYPERLINK("https://baanknet.com/view-property/249144/44FA1CFE7B33976319620808F488BEF8CDF56A5504076257732769EBD9C0E675", "Open")</f>
        <v>Open</v>
      </c>
      <c r="J3286" t="s">
        <v>3803</v>
      </c>
      <c r="L3286">
        <v>2140000</v>
      </c>
      <c r="M3286">
        <v>214000</v>
      </c>
    </row>
    <row r="3287" spans="1:13" x14ac:dyDescent="0.25">
      <c r="A3287" t="s">
        <v>11083</v>
      </c>
      <c r="B3287" t="s">
        <v>11084</v>
      </c>
      <c r="C3287" t="s">
        <v>15</v>
      </c>
      <c r="D3287" t="s">
        <v>11059</v>
      </c>
      <c r="E3287" t="s">
        <v>11023</v>
      </c>
      <c r="F3287" t="s">
        <v>11048</v>
      </c>
      <c r="G3287" t="s">
        <v>11085</v>
      </c>
      <c r="H3287" t="str">
        <f>HYPERLINK("https://baanknet.com/view-property/239130/F545B9C95A12F5E208C53819D182457956215A309A6DD6833F7DF9F9FFACB410", "https://baanknet.com/view-property/239130/F545B9C95A12F5E208C53819D182457956215A309A6DD6833F7DF9F9FFACB410")</f>
        <v>https://baanknet.com/view-property/239130/F545B9C95A12F5E208C53819D182457956215A309A6DD6833F7DF9F9FFACB410</v>
      </c>
      <c r="I3287" t="str">
        <f>HYPERLINK("https://baanknet.com/view-property/239130/F545B9C95A12F5E208C53819D182457956215A309A6DD6833F7DF9F9FFACB410", "Open")</f>
        <v>Open</v>
      </c>
      <c r="J3287" t="s">
        <v>3803</v>
      </c>
      <c r="L3287">
        <v>2925000</v>
      </c>
      <c r="M3287">
        <v>292500</v>
      </c>
    </row>
    <row r="3288" spans="1:13" x14ac:dyDescent="0.25">
      <c r="A3288" t="s">
        <v>11086</v>
      </c>
      <c r="B3288" t="s">
        <v>11087</v>
      </c>
      <c r="C3288" t="s">
        <v>15</v>
      </c>
      <c r="D3288" t="s">
        <v>11059</v>
      </c>
      <c r="E3288" t="s">
        <v>11023</v>
      </c>
      <c r="F3288" t="s">
        <v>11048</v>
      </c>
      <c r="G3288" t="s">
        <v>11088</v>
      </c>
      <c r="H3288" t="str">
        <f>HYPERLINK("https://baanknet.com/view-property/239118/E6A8AA93002FB0E005AB79CAA676E86553DB722EBEC3557A420D6BF297468A89", "https://baanknet.com/view-property/239118/E6A8AA93002FB0E005AB79CAA676E86553DB722EBEC3557A420D6BF297468A89")</f>
        <v>https://baanknet.com/view-property/239118/E6A8AA93002FB0E005AB79CAA676E86553DB722EBEC3557A420D6BF297468A89</v>
      </c>
      <c r="I3288" t="str">
        <f>HYPERLINK("https://baanknet.com/view-property/239118/E6A8AA93002FB0E005AB79CAA676E86553DB722EBEC3557A420D6BF297468A89", "Open")</f>
        <v>Open</v>
      </c>
      <c r="J3288" t="s">
        <v>3803</v>
      </c>
      <c r="L3288">
        <v>2160000</v>
      </c>
      <c r="M3288">
        <v>216000</v>
      </c>
    </row>
    <row r="3289" spans="1:13" x14ac:dyDescent="0.25">
      <c r="A3289" t="s">
        <v>11089</v>
      </c>
      <c r="B3289" t="s">
        <v>11090</v>
      </c>
      <c r="C3289" t="s">
        <v>15</v>
      </c>
      <c r="D3289" t="s">
        <v>11059</v>
      </c>
      <c r="E3289" t="s">
        <v>11023</v>
      </c>
      <c r="F3289" t="s">
        <v>11048</v>
      </c>
      <c r="G3289" t="s">
        <v>11091</v>
      </c>
      <c r="H3289" t="str">
        <f>HYPERLINK("https://baanknet.com/view-property/226472/4D4177C9289B9B0B73E0631F14BFC18DCE5308F29482B56E47C7733A55D3D040", "https://baanknet.com/view-property/226472/4D4177C9289B9B0B73E0631F14BFC18DCE5308F29482B56E47C7733A55D3D040")</f>
        <v>https://baanknet.com/view-property/226472/4D4177C9289B9B0B73E0631F14BFC18DCE5308F29482B56E47C7733A55D3D040</v>
      </c>
      <c r="I3289" t="str">
        <f>HYPERLINK("https://baanknet.com/view-property/226472/4D4177C9289B9B0B73E0631F14BFC18DCE5308F29482B56E47C7733A55D3D040", "Open")</f>
        <v>Open</v>
      </c>
      <c r="J3289" t="s">
        <v>3803</v>
      </c>
      <c r="L3289">
        <v>5000000</v>
      </c>
      <c r="M3289">
        <v>500000</v>
      </c>
    </row>
    <row r="3290" spans="1:13" x14ac:dyDescent="0.25">
      <c r="A3290" t="s">
        <v>11092</v>
      </c>
      <c r="B3290" t="s">
        <v>11093</v>
      </c>
      <c r="C3290" t="s">
        <v>15</v>
      </c>
      <c r="D3290" t="s">
        <v>11094</v>
      </c>
      <c r="E3290" t="s">
        <v>11023</v>
      </c>
      <c r="F3290" t="s">
        <v>11048</v>
      </c>
      <c r="G3290" t="s">
        <v>11095</v>
      </c>
      <c r="H3290" t="str">
        <f>HYPERLINK("https://baanknet.com/view-property/224808/48CB7F6A84CF79C06D863EE2FBCD00432AEFA913EF77A572301F6D2A119ECA78", "https://baanknet.com/view-property/224808/48CB7F6A84CF79C06D863EE2FBCD00432AEFA913EF77A572301F6D2A119ECA78")</f>
        <v>https://baanknet.com/view-property/224808/48CB7F6A84CF79C06D863EE2FBCD00432AEFA913EF77A572301F6D2A119ECA78</v>
      </c>
      <c r="I3290" t="str">
        <f>HYPERLINK("https://baanknet.com/view-property/224808/48CB7F6A84CF79C06D863EE2FBCD00432AEFA913EF77A572301F6D2A119ECA78", "Open")</f>
        <v>Open</v>
      </c>
      <c r="J3290" t="s">
        <v>3803</v>
      </c>
      <c r="L3290">
        <v>1292000</v>
      </c>
      <c r="M3290">
        <v>129200</v>
      </c>
    </row>
    <row r="3291" spans="1:13" x14ac:dyDescent="0.25">
      <c r="A3291" t="s">
        <v>11096</v>
      </c>
      <c r="B3291" t="s">
        <v>11097</v>
      </c>
      <c r="C3291" t="s">
        <v>15</v>
      </c>
      <c r="D3291" t="s">
        <v>11098</v>
      </c>
      <c r="E3291" t="s">
        <v>11023</v>
      </c>
      <c r="F3291" t="s">
        <v>11048</v>
      </c>
      <c r="G3291" t="s">
        <v>11099</v>
      </c>
      <c r="H3291" t="str">
        <f>HYPERLINK("https://baanknet.com/view-property/224775/4B54CB5E67A01F64F39445B9EBF447CBFC55524DBDAD3492D2745D8EC1A654F3", "https://baanknet.com/view-property/224775/4B54CB5E67A01F64F39445B9EBF447CBFC55524DBDAD3492D2745D8EC1A654F3")</f>
        <v>https://baanknet.com/view-property/224775/4B54CB5E67A01F64F39445B9EBF447CBFC55524DBDAD3492D2745D8EC1A654F3</v>
      </c>
      <c r="I3291" t="str">
        <f>HYPERLINK("https://baanknet.com/view-property/224775/4B54CB5E67A01F64F39445B9EBF447CBFC55524DBDAD3492D2745D8EC1A654F3", "Open")</f>
        <v>Open</v>
      </c>
      <c r="J3291" t="s">
        <v>3803</v>
      </c>
      <c r="L3291">
        <v>356000</v>
      </c>
      <c r="M3291">
        <v>35600</v>
      </c>
    </row>
    <row r="3292" spans="1:13" x14ac:dyDescent="0.25">
      <c r="A3292" t="s">
        <v>11100</v>
      </c>
      <c r="B3292" t="s">
        <v>11101</v>
      </c>
      <c r="C3292" t="s">
        <v>15</v>
      </c>
      <c r="D3292" t="s">
        <v>1892</v>
      </c>
      <c r="E3292" t="s">
        <v>11023</v>
      </c>
      <c r="F3292" t="s">
        <v>11102</v>
      </c>
      <c r="G3292" t="s">
        <v>11103</v>
      </c>
      <c r="H3292" t="str">
        <f>HYPERLINK("https://baanknet.com/view-property/285748/6928B478B78009CADCF225F7C7CF7B6D6BEBD88188F1DEC2EF095DFC6490AB1E", "https://baanknet.com/view-property/285748/6928B478B78009CADCF225F7C7CF7B6D6BEBD88188F1DEC2EF095DFC6490AB1E")</f>
        <v>https://baanknet.com/view-property/285748/6928B478B78009CADCF225F7C7CF7B6D6BEBD88188F1DEC2EF095DFC6490AB1E</v>
      </c>
      <c r="I3292" t="str">
        <f>HYPERLINK("https://baanknet.com/view-property/285748/6928B478B78009CADCF225F7C7CF7B6D6BEBD88188F1DEC2EF095DFC6490AB1E", "Open")</f>
        <v>Open</v>
      </c>
      <c r="J3292" t="s">
        <v>3803</v>
      </c>
      <c r="L3292">
        <v>2053000</v>
      </c>
      <c r="M3292">
        <v>205300</v>
      </c>
    </row>
    <row r="3293" spans="1:13" x14ac:dyDescent="0.25">
      <c r="A3293" t="s">
        <v>11104</v>
      </c>
      <c r="B3293" t="s">
        <v>11105</v>
      </c>
      <c r="C3293" t="s">
        <v>15</v>
      </c>
      <c r="D3293" t="s">
        <v>338</v>
      </c>
      <c r="E3293" t="s">
        <v>11023</v>
      </c>
      <c r="F3293" t="s">
        <v>11102</v>
      </c>
      <c r="G3293" t="s">
        <v>11106</v>
      </c>
      <c r="H3293" t="str">
        <f>HYPERLINK("https://baanknet.com/view-property/285754/0949E24FC710E10B79E89A2FFB93BD0FD082657CFA98A239D60EA732647948B3", "https://baanknet.com/view-property/285754/0949E24FC710E10B79E89A2FFB93BD0FD082657CFA98A239D60EA732647948B3")</f>
        <v>https://baanknet.com/view-property/285754/0949E24FC710E10B79E89A2FFB93BD0FD082657CFA98A239D60EA732647948B3</v>
      </c>
      <c r="I3293" t="str">
        <f>HYPERLINK("https://baanknet.com/view-property/285754/0949E24FC710E10B79E89A2FFB93BD0FD082657CFA98A239D60EA732647948B3", "Open")</f>
        <v>Open</v>
      </c>
      <c r="J3293" t="s">
        <v>3803</v>
      </c>
      <c r="L3293">
        <v>22341000</v>
      </c>
      <c r="M3293">
        <v>2234100</v>
      </c>
    </row>
    <row r="3294" spans="1:13" x14ac:dyDescent="0.25">
      <c r="A3294" t="s">
        <v>11107</v>
      </c>
      <c r="B3294" t="s">
        <v>11108</v>
      </c>
      <c r="C3294" t="s">
        <v>15</v>
      </c>
      <c r="D3294" t="s">
        <v>1030</v>
      </c>
      <c r="E3294" t="s">
        <v>11023</v>
      </c>
      <c r="F3294" t="s">
        <v>11102</v>
      </c>
      <c r="G3294" t="s">
        <v>11109</v>
      </c>
      <c r="H3294" t="str">
        <f>HYPERLINK("https://baanknet.com/view-property/200379/227AE6477AFF1A8FF8E95BF2C931DF5E6469C1E86E09490469207E6BB2F35B99", "https://baanknet.com/view-property/200379/227AE6477AFF1A8FF8E95BF2C931DF5E6469C1E86E09490469207E6BB2F35B99")</f>
        <v>https://baanknet.com/view-property/200379/227AE6477AFF1A8FF8E95BF2C931DF5E6469C1E86E09490469207E6BB2F35B99</v>
      </c>
      <c r="I3294" t="str">
        <f>HYPERLINK("https://baanknet.com/view-property/200379/227AE6477AFF1A8FF8E95BF2C931DF5E6469C1E86E09490469207E6BB2F35B99", "Open")</f>
        <v>Open</v>
      </c>
      <c r="J3294" t="s">
        <v>3803</v>
      </c>
      <c r="L3294">
        <v>1099310</v>
      </c>
      <c r="M3294">
        <v>109931</v>
      </c>
    </row>
    <row r="3295" spans="1:13" x14ac:dyDescent="0.25">
      <c r="A3295" t="s">
        <v>11110</v>
      </c>
      <c r="B3295" t="s">
        <v>11111</v>
      </c>
      <c r="C3295" t="s">
        <v>15</v>
      </c>
      <c r="D3295" t="s">
        <v>2817</v>
      </c>
      <c r="E3295" t="s">
        <v>11023</v>
      </c>
      <c r="F3295" t="s">
        <v>11102</v>
      </c>
      <c r="G3295" t="s">
        <v>11112</v>
      </c>
      <c r="H3295" t="str">
        <f>HYPERLINK("https://baanknet.com/view-property/224960/1CB1BC9B3A0B6391AAECC154D365E143E55737FB517397153FDCAD316AC82389", "https://baanknet.com/view-property/224960/1CB1BC9B3A0B6391AAECC154D365E143E55737FB517397153FDCAD316AC82389")</f>
        <v>https://baanknet.com/view-property/224960/1CB1BC9B3A0B6391AAECC154D365E143E55737FB517397153FDCAD316AC82389</v>
      </c>
      <c r="I3295" t="str">
        <f>HYPERLINK("https://baanknet.com/view-property/224960/1CB1BC9B3A0B6391AAECC154D365E143E55737FB517397153FDCAD316AC82389", "Open")</f>
        <v>Open</v>
      </c>
      <c r="J3295" t="s">
        <v>3803</v>
      </c>
      <c r="L3295">
        <v>1496460</v>
      </c>
      <c r="M3295">
        <v>149646</v>
      </c>
    </row>
    <row r="3296" spans="1:13" x14ac:dyDescent="0.25">
      <c r="A3296" t="s">
        <v>11113</v>
      </c>
      <c r="B3296" t="s">
        <v>11114</v>
      </c>
      <c r="C3296" t="s">
        <v>15</v>
      </c>
      <c r="D3296" t="s">
        <v>7528</v>
      </c>
      <c r="E3296" t="s">
        <v>11023</v>
      </c>
      <c r="F3296" t="s">
        <v>11102</v>
      </c>
      <c r="G3296" t="s">
        <v>11115</v>
      </c>
      <c r="H3296" t="str">
        <f>HYPERLINK("https://baanknet.com/view-property/200348/F5F4E7931F7B3C192AA8F6164468921C14841F69EBD701F3501E0A86A70D8327", "https://baanknet.com/view-property/200348/F5F4E7931F7B3C192AA8F6164468921C14841F69EBD701F3501E0A86A70D8327")</f>
        <v>https://baanknet.com/view-property/200348/F5F4E7931F7B3C192AA8F6164468921C14841F69EBD701F3501E0A86A70D8327</v>
      </c>
      <c r="I3296" t="str">
        <f>HYPERLINK("https://baanknet.com/view-property/200348/F5F4E7931F7B3C192AA8F6164468921C14841F69EBD701F3501E0A86A70D8327", "Open")</f>
        <v>Open</v>
      </c>
      <c r="J3296" t="s">
        <v>3803</v>
      </c>
      <c r="L3296">
        <v>1727740</v>
      </c>
      <c r="M3296">
        <v>172774</v>
      </c>
    </row>
    <row r="3297" spans="1:13" x14ac:dyDescent="0.25">
      <c r="A3297" t="s">
        <v>11116</v>
      </c>
      <c r="B3297" t="s">
        <v>11117</v>
      </c>
      <c r="C3297" t="s">
        <v>15</v>
      </c>
      <c r="D3297" t="s">
        <v>1127</v>
      </c>
      <c r="E3297" t="s">
        <v>11023</v>
      </c>
      <c r="F3297" t="s">
        <v>11102</v>
      </c>
      <c r="G3297" t="s">
        <v>11118</v>
      </c>
      <c r="H3297" t="str">
        <f>HYPERLINK("https://baanknet.com/view-property/262284/DE6F614F2EE8FBF9792C516913FB380768B9F0176F08B1C9B13732FE9EFF2E11", "https://baanknet.com/view-property/262284/DE6F614F2EE8FBF9792C516913FB380768B9F0176F08B1C9B13732FE9EFF2E11")</f>
        <v>https://baanknet.com/view-property/262284/DE6F614F2EE8FBF9792C516913FB380768B9F0176F08B1C9B13732FE9EFF2E11</v>
      </c>
      <c r="I3297" t="str">
        <f>HYPERLINK("https://baanknet.com/view-property/262284/DE6F614F2EE8FBF9792C516913FB380768B9F0176F08B1C9B13732FE9EFF2E11", "Open")</f>
        <v>Open</v>
      </c>
      <c r="J3297" t="s">
        <v>3803</v>
      </c>
      <c r="L3297">
        <v>1119160</v>
      </c>
      <c r="M3297">
        <v>111916</v>
      </c>
    </row>
    <row r="3298" spans="1:13" x14ac:dyDescent="0.25">
      <c r="A3298" t="s">
        <v>11119</v>
      </c>
      <c r="B3298" t="s">
        <v>11120</v>
      </c>
      <c r="C3298" t="s">
        <v>15</v>
      </c>
      <c r="D3298" t="s">
        <v>1030</v>
      </c>
      <c r="E3298" t="s">
        <v>11023</v>
      </c>
      <c r="F3298" t="s">
        <v>11102</v>
      </c>
      <c r="G3298" t="s">
        <v>11121</v>
      </c>
      <c r="H3298" t="str">
        <f>HYPERLINK("https://baanknet.com/view-property/229549/B0496976F0DB48D6D36C8C7D011DEFD974BA23CBE19E5E49BB77AF6DC61E5D05", "https://baanknet.com/view-property/229549/B0496976F0DB48D6D36C8C7D011DEFD974BA23CBE19E5E49BB77AF6DC61E5D05")</f>
        <v>https://baanknet.com/view-property/229549/B0496976F0DB48D6D36C8C7D011DEFD974BA23CBE19E5E49BB77AF6DC61E5D05</v>
      </c>
      <c r="I3298" t="str">
        <f>HYPERLINK("https://baanknet.com/view-property/229549/B0496976F0DB48D6D36C8C7D011DEFD974BA23CBE19E5E49BB77AF6DC61E5D05", "Open")</f>
        <v>Open</v>
      </c>
      <c r="J3298" t="s">
        <v>3803</v>
      </c>
      <c r="L3298">
        <v>7007000</v>
      </c>
      <c r="M3298">
        <v>700700</v>
      </c>
    </row>
    <row r="3299" spans="1:13" x14ac:dyDescent="0.25">
      <c r="A3299" t="s">
        <v>11122</v>
      </c>
      <c r="B3299" t="s">
        <v>11123</v>
      </c>
      <c r="C3299" t="s">
        <v>15</v>
      </c>
      <c r="D3299" t="s">
        <v>1030</v>
      </c>
      <c r="E3299" t="s">
        <v>11023</v>
      </c>
      <c r="F3299" t="s">
        <v>11102</v>
      </c>
      <c r="G3299" t="s">
        <v>11124</v>
      </c>
      <c r="H3299" t="str">
        <f>HYPERLINK("https://baanknet.com/view-property/248168/34B32BD7E4CD6FD6F5B544EBF2E41406E48DB8D01C4E630D7D5904E1488A2190", "https://baanknet.com/view-property/248168/34B32BD7E4CD6FD6F5B544EBF2E41406E48DB8D01C4E630D7D5904E1488A2190")</f>
        <v>https://baanknet.com/view-property/248168/34B32BD7E4CD6FD6F5B544EBF2E41406E48DB8D01C4E630D7D5904E1488A2190</v>
      </c>
      <c r="I3299" t="str">
        <f>HYPERLINK("https://baanknet.com/view-property/248168/34B32BD7E4CD6FD6F5B544EBF2E41406E48DB8D01C4E630D7D5904E1488A2190", "Open")</f>
        <v>Open</v>
      </c>
      <c r="J3299" t="s">
        <v>3803</v>
      </c>
      <c r="L3299">
        <v>1184820</v>
      </c>
      <c r="M3299">
        <v>118482</v>
      </c>
    </row>
    <row r="3300" spans="1:13" x14ac:dyDescent="0.25">
      <c r="A3300" t="s">
        <v>11125</v>
      </c>
      <c r="B3300" t="s">
        <v>11126</v>
      </c>
      <c r="C3300" t="s">
        <v>15</v>
      </c>
      <c r="D3300" t="s">
        <v>11127</v>
      </c>
      <c r="E3300" t="s">
        <v>11023</v>
      </c>
      <c r="F3300" t="s">
        <v>11102</v>
      </c>
      <c r="G3300" t="s">
        <v>11128</v>
      </c>
      <c r="H3300" t="str">
        <f>HYPERLINK("https://baanknet.com/view-property/230073/56A690F260810651CFED0439D50CF6005EC7C31D955BA8458395458579434898", "https://baanknet.com/view-property/230073/56A690F260810651CFED0439D50CF6005EC7C31D955BA8458395458579434898")</f>
        <v>https://baanknet.com/view-property/230073/56A690F260810651CFED0439D50CF6005EC7C31D955BA8458395458579434898</v>
      </c>
      <c r="I3300" t="str">
        <f>HYPERLINK("https://baanknet.com/view-property/230073/56A690F260810651CFED0439D50CF6005EC7C31D955BA8458395458579434898", "Open")</f>
        <v>Open</v>
      </c>
      <c r="J3300" t="s">
        <v>3803</v>
      </c>
      <c r="L3300">
        <v>3521090</v>
      </c>
      <c r="M3300">
        <v>352109</v>
      </c>
    </row>
    <row r="3301" spans="1:13" x14ac:dyDescent="0.25">
      <c r="A3301" t="s">
        <v>11129</v>
      </c>
      <c r="B3301" t="s">
        <v>11130</v>
      </c>
      <c r="C3301" t="s">
        <v>15</v>
      </c>
      <c r="D3301" t="s">
        <v>7528</v>
      </c>
      <c r="E3301" t="s">
        <v>11023</v>
      </c>
      <c r="F3301" t="s">
        <v>11102</v>
      </c>
      <c r="G3301" t="s">
        <v>11131</v>
      </c>
      <c r="H3301" t="str">
        <f>HYPERLINK("https://baanknet.com/view-property/279828/F81C923B10E9F2A0096CE165C33CFB3D3A602F20C151D4F79B1B4687B01CFA25", "https://baanknet.com/view-property/279828/F81C923B10E9F2A0096CE165C33CFB3D3A602F20C151D4F79B1B4687B01CFA25")</f>
        <v>https://baanknet.com/view-property/279828/F81C923B10E9F2A0096CE165C33CFB3D3A602F20C151D4F79B1B4687B01CFA25</v>
      </c>
      <c r="I3301" t="str">
        <f>HYPERLINK("https://baanknet.com/view-property/279828/F81C923B10E9F2A0096CE165C33CFB3D3A602F20C151D4F79B1B4687B01CFA25", "Open")</f>
        <v>Open</v>
      </c>
      <c r="J3301" t="s">
        <v>3803</v>
      </c>
      <c r="L3301">
        <v>1281000</v>
      </c>
      <c r="M3301">
        <v>128100</v>
      </c>
    </row>
    <row r="3302" spans="1:13" x14ac:dyDescent="0.25">
      <c r="A3302" t="s">
        <v>11132</v>
      </c>
      <c r="B3302" t="s">
        <v>11133</v>
      </c>
      <c r="C3302" t="s">
        <v>15</v>
      </c>
      <c r="D3302" t="s">
        <v>11134</v>
      </c>
      <c r="E3302" t="s">
        <v>11023</v>
      </c>
      <c r="F3302" t="s">
        <v>11102</v>
      </c>
      <c r="G3302" t="s">
        <v>11135</v>
      </c>
      <c r="H3302" t="str">
        <f>HYPERLINK("https://baanknet.com/view-property/262301/95561C4ADCA54DE090298277DE345DFAE78D83565E2AE411AF8905E092B507B9", "https://baanknet.com/view-property/262301/95561C4ADCA54DE090298277DE345DFAE78D83565E2AE411AF8905E092B507B9")</f>
        <v>https://baanknet.com/view-property/262301/95561C4ADCA54DE090298277DE345DFAE78D83565E2AE411AF8905E092B507B9</v>
      </c>
      <c r="I3302" t="str">
        <f>HYPERLINK("https://baanknet.com/view-property/262301/95561C4ADCA54DE090298277DE345DFAE78D83565E2AE411AF8905E092B507B9", "Open")</f>
        <v>Open</v>
      </c>
      <c r="J3302" t="s">
        <v>3803</v>
      </c>
      <c r="L3302">
        <v>942760</v>
      </c>
      <c r="M3302">
        <v>94276</v>
      </c>
    </row>
    <row r="3303" spans="1:13" x14ac:dyDescent="0.25">
      <c r="A3303" t="s">
        <v>11136</v>
      </c>
      <c r="B3303" t="s">
        <v>11137</v>
      </c>
      <c r="C3303" t="s">
        <v>15</v>
      </c>
      <c r="D3303" t="s">
        <v>1127</v>
      </c>
      <c r="E3303" t="s">
        <v>11023</v>
      </c>
      <c r="F3303" t="s">
        <v>11102</v>
      </c>
      <c r="G3303" t="s">
        <v>11138</v>
      </c>
      <c r="H3303" t="str">
        <f>HYPERLINK("https://baanknet.com/view-property/248350/84982B888154AC93ABD87C4A48C655D34BAC6039C02C7581150887390545A213", "https://baanknet.com/view-property/248350/84982B888154AC93ABD87C4A48C655D34BAC6039C02C7581150887390545A213")</f>
        <v>https://baanknet.com/view-property/248350/84982B888154AC93ABD87C4A48C655D34BAC6039C02C7581150887390545A213</v>
      </c>
      <c r="I3303" t="str">
        <f>HYPERLINK("https://baanknet.com/view-property/248350/84982B888154AC93ABD87C4A48C655D34BAC6039C02C7581150887390545A213", "Open")</f>
        <v>Open</v>
      </c>
      <c r="J3303" t="s">
        <v>3803</v>
      </c>
      <c r="L3303">
        <v>1399440</v>
      </c>
      <c r="M3303">
        <v>139944</v>
      </c>
    </row>
    <row r="3304" spans="1:13" x14ac:dyDescent="0.25">
      <c r="A3304" t="s">
        <v>11139</v>
      </c>
      <c r="B3304" t="s">
        <v>11140</v>
      </c>
      <c r="C3304" t="s">
        <v>15</v>
      </c>
      <c r="D3304" t="s">
        <v>7528</v>
      </c>
      <c r="E3304" t="s">
        <v>11023</v>
      </c>
      <c r="F3304" t="s">
        <v>11102</v>
      </c>
      <c r="G3304" t="s">
        <v>11141</v>
      </c>
      <c r="H3304" t="str">
        <f>HYPERLINK("https://baanknet.com/view-property/244956/559F1265E9E90B23BB68DE19E7840407BF1D145109B241916054FC75F2F14BDF", "https://baanknet.com/view-property/244956/559F1265E9E90B23BB68DE19E7840407BF1D145109B241916054FC75F2F14BDF")</f>
        <v>https://baanknet.com/view-property/244956/559F1265E9E90B23BB68DE19E7840407BF1D145109B241916054FC75F2F14BDF</v>
      </c>
      <c r="I3304" t="str">
        <f>HYPERLINK("https://baanknet.com/view-property/244956/559F1265E9E90B23BB68DE19E7840407BF1D145109B241916054FC75F2F14BDF", "Open")</f>
        <v>Open</v>
      </c>
      <c r="J3304" t="s">
        <v>3803</v>
      </c>
      <c r="L3304">
        <v>966280</v>
      </c>
      <c r="M3304">
        <v>96628</v>
      </c>
    </row>
    <row r="3305" spans="1:13" x14ac:dyDescent="0.25">
      <c r="A3305" t="s">
        <v>11142</v>
      </c>
      <c r="B3305" t="s">
        <v>11143</v>
      </c>
      <c r="C3305" t="s">
        <v>15</v>
      </c>
      <c r="D3305" t="s">
        <v>2813</v>
      </c>
      <c r="E3305" t="s">
        <v>11023</v>
      </c>
      <c r="F3305" t="s">
        <v>11102</v>
      </c>
      <c r="G3305" t="s">
        <v>11144</v>
      </c>
      <c r="H3305" t="str">
        <f>HYPERLINK("https://baanknet.com/view-property/202461/8261BCB1D6C58A8808B5AED8C935A9D9E14A2A603A5FA4D5240D2BBC0A2E050A", "https://baanknet.com/view-property/202461/8261BCB1D6C58A8808B5AED8C935A9D9E14A2A603A5FA4D5240D2BBC0A2E050A")</f>
        <v>https://baanknet.com/view-property/202461/8261BCB1D6C58A8808B5AED8C935A9D9E14A2A603A5FA4D5240D2BBC0A2E050A</v>
      </c>
      <c r="I3305" t="str">
        <f>HYPERLINK("https://baanknet.com/view-property/202461/8261BCB1D6C58A8808B5AED8C935A9D9E14A2A603A5FA4D5240D2BBC0A2E050A", "Open")</f>
        <v>Open</v>
      </c>
      <c r="J3305" t="s">
        <v>3803</v>
      </c>
      <c r="L3305">
        <v>3357820</v>
      </c>
      <c r="M3305">
        <v>335782</v>
      </c>
    </row>
    <row r="3306" spans="1:13" x14ac:dyDescent="0.25">
      <c r="A3306" t="s">
        <v>11145</v>
      </c>
      <c r="B3306" t="s">
        <v>11146</v>
      </c>
      <c r="C3306" t="s">
        <v>15</v>
      </c>
      <c r="D3306" t="s">
        <v>11147</v>
      </c>
      <c r="E3306" t="s">
        <v>11023</v>
      </c>
      <c r="F3306" t="s">
        <v>11102</v>
      </c>
      <c r="G3306" t="s">
        <v>11148</v>
      </c>
      <c r="H3306" t="str">
        <f>HYPERLINK("https://baanknet.com/view-property/249004/C743D0AC60AFCD3EED39DAD729BA9255101788298EAE8791F938D34185B35388", "https://baanknet.com/view-property/249004/C743D0AC60AFCD3EED39DAD729BA9255101788298EAE8791F938D34185B35388")</f>
        <v>https://baanknet.com/view-property/249004/C743D0AC60AFCD3EED39DAD729BA9255101788298EAE8791F938D34185B35388</v>
      </c>
      <c r="I3306" t="str">
        <f>HYPERLINK("https://baanknet.com/view-property/249004/C743D0AC60AFCD3EED39DAD729BA9255101788298EAE8791F938D34185B35388", "Open")</f>
        <v>Open</v>
      </c>
      <c r="J3306" t="s">
        <v>3803</v>
      </c>
      <c r="L3306">
        <v>1901200</v>
      </c>
      <c r="M3306">
        <v>190120</v>
      </c>
    </row>
    <row r="3307" spans="1:13" x14ac:dyDescent="0.25">
      <c r="A3307" t="s">
        <v>11149</v>
      </c>
      <c r="B3307" t="s">
        <v>11150</v>
      </c>
      <c r="C3307" t="s">
        <v>15</v>
      </c>
      <c r="D3307" t="s">
        <v>1127</v>
      </c>
      <c r="E3307" t="s">
        <v>11023</v>
      </c>
      <c r="F3307" t="s">
        <v>11102</v>
      </c>
      <c r="G3307" t="s">
        <v>11151</v>
      </c>
      <c r="H3307" t="str">
        <f>HYPERLINK("https://baanknet.com/view-property/202231/2DB2280256BE542F649BC7908D99A313CBCB068F11CDE489DE69CEEF6F5B4748", "https://baanknet.com/view-property/202231/2DB2280256BE542F649BC7908D99A313CBCB068F11CDE489DE69CEEF6F5B4748")</f>
        <v>https://baanknet.com/view-property/202231/2DB2280256BE542F649BC7908D99A313CBCB068F11CDE489DE69CEEF6F5B4748</v>
      </c>
      <c r="I3307" t="str">
        <f>HYPERLINK("https://baanknet.com/view-property/202231/2DB2280256BE542F649BC7908D99A313CBCB068F11CDE489DE69CEEF6F5B4748", "Open")</f>
        <v>Open</v>
      </c>
      <c r="J3307" t="s">
        <v>3803</v>
      </c>
      <c r="L3307">
        <v>615580</v>
      </c>
      <c r="M3307">
        <v>61558</v>
      </c>
    </row>
    <row r="3308" spans="1:13" x14ac:dyDescent="0.25">
      <c r="A3308" t="s">
        <v>11152</v>
      </c>
      <c r="B3308" t="s">
        <v>11153</v>
      </c>
      <c r="C3308" t="s">
        <v>15</v>
      </c>
      <c r="D3308" t="s">
        <v>11147</v>
      </c>
      <c r="E3308" t="s">
        <v>11023</v>
      </c>
      <c r="F3308" t="s">
        <v>11102</v>
      </c>
      <c r="G3308" t="s">
        <v>11154</v>
      </c>
      <c r="H3308" t="str">
        <f>HYPERLINK("https://baanknet.com/view-property/249029/260CF1A1CB6026B88E7A4F1A59BACDD792DF7AAE08CF25930DF077F6360F60CF", "https://baanknet.com/view-property/249029/260CF1A1CB6026B88E7A4F1A59BACDD792DF7AAE08CF25930DF077F6360F60CF")</f>
        <v>https://baanknet.com/view-property/249029/260CF1A1CB6026B88E7A4F1A59BACDD792DF7AAE08CF25930DF077F6360F60CF</v>
      </c>
      <c r="I3308" t="str">
        <f>HYPERLINK("https://baanknet.com/view-property/249029/260CF1A1CB6026B88E7A4F1A59BACDD792DF7AAE08CF25930DF077F6360F60CF", "Open")</f>
        <v>Open</v>
      </c>
      <c r="J3308" t="s">
        <v>3803</v>
      </c>
      <c r="L3308">
        <v>4155200</v>
      </c>
      <c r="M3308">
        <v>415520</v>
      </c>
    </row>
    <row r="3309" spans="1:13" x14ac:dyDescent="0.25">
      <c r="A3309" t="s">
        <v>11155</v>
      </c>
      <c r="B3309" t="s">
        <v>11156</v>
      </c>
      <c r="C3309" t="s">
        <v>15</v>
      </c>
      <c r="D3309" t="s">
        <v>11134</v>
      </c>
      <c r="E3309" t="s">
        <v>11023</v>
      </c>
      <c r="F3309" t="s">
        <v>11102</v>
      </c>
      <c r="G3309" t="s">
        <v>11157</v>
      </c>
      <c r="H3309" t="str">
        <f>HYPERLINK("https://baanknet.com/view-property/230216/EE8FB5F68214DA9E0E8C69298259BAF0AD67F0DAD7850040E67B4DBD0B295C19", "https://baanknet.com/view-property/230216/EE8FB5F68214DA9E0E8C69298259BAF0AD67F0DAD7850040E67B4DBD0B295C19")</f>
        <v>https://baanknet.com/view-property/230216/EE8FB5F68214DA9E0E8C69298259BAF0AD67F0DAD7850040E67B4DBD0B295C19</v>
      </c>
      <c r="I3309" t="str">
        <f>HYPERLINK("https://baanknet.com/view-property/230216/EE8FB5F68214DA9E0E8C69298259BAF0AD67F0DAD7850040E67B4DBD0B295C19", "Open")</f>
        <v>Open</v>
      </c>
      <c r="J3309" t="s">
        <v>3803</v>
      </c>
      <c r="L3309">
        <v>4420000</v>
      </c>
      <c r="M3309">
        <v>442000</v>
      </c>
    </row>
    <row r="3310" spans="1:13" x14ac:dyDescent="0.25">
      <c r="A3310" t="s">
        <v>11158</v>
      </c>
      <c r="B3310" t="s">
        <v>11159</v>
      </c>
      <c r="C3310" t="s">
        <v>15</v>
      </c>
      <c r="D3310" t="s">
        <v>7528</v>
      </c>
      <c r="E3310" t="s">
        <v>11023</v>
      </c>
      <c r="F3310" t="s">
        <v>11102</v>
      </c>
      <c r="G3310" t="s">
        <v>11160</v>
      </c>
      <c r="H3310" t="str">
        <f>HYPERLINK("https://baanknet.com/view-property/204437/2E58487E71B84EF63369B226408AC7B09C4B1F661273A158E401D5647197A4D1", "https://baanknet.com/view-property/204437/2E58487E71B84EF63369B226408AC7B09C4B1F661273A158E401D5647197A4D1")</f>
        <v>https://baanknet.com/view-property/204437/2E58487E71B84EF63369B226408AC7B09C4B1F661273A158E401D5647197A4D1</v>
      </c>
      <c r="I3310" t="str">
        <f>HYPERLINK("https://baanknet.com/view-property/204437/2E58487E71B84EF63369B226408AC7B09C4B1F661273A158E401D5647197A4D1", "Open")</f>
        <v>Open</v>
      </c>
      <c r="J3310" t="s">
        <v>3803</v>
      </c>
      <c r="L3310">
        <v>1205690</v>
      </c>
      <c r="M3310">
        <v>120569</v>
      </c>
    </row>
    <row r="3311" spans="1:13" x14ac:dyDescent="0.25">
      <c r="A3311" t="s">
        <v>11161</v>
      </c>
      <c r="B3311" t="s">
        <v>11162</v>
      </c>
      <c r="C3311" t="s">
        <v>15</v>
      </c>
      <c r="D3311" t="s">
        <v>1127</v>
      </c>
      <c r="E3311" t="s">
        <v>11023</v>
      </c>
      <c r="F3311" t="s">
        <v>11102</v>
      </c>
      <c r="G3311" t="s">
        <v>11163</v>
      </c>
      <c r="H3311" t="str">
        <f>HYPERLINK("https://baanknet.com/view-property/200429/2254626DAD5AA2D6502034F0FD0DDC20B0A7F691C2FF468CD10BD084096D16F4", "https://baanknet.com/view-property/200429/2254626DAD5AA2D6502034F0FD0DDC20B0A7F691C2FF468CD10BD084096D16F4")</f>
        <v>https://baanknet.com/view-property/200429/2254626DAD5AA2D6502034F0FD0DDC20B0A7F691C2FF468CD10BD084096D16F4</v>
      </c>
      <c r="I3311" t="str">
        <f>HYPERLINK("https://baanknet.com/view-property/200429/2254626DAD5AA2D6502034F0FD0DDC20B0A7F691C2FF468CD10BD084096D16F4", "Open")</f>
        <v>Open</v>
      </c>
      <c r="J3311" t="s">
        <v>3803</v>
      </c>
      <c r="L3311">
        <v>2797900</v>
      </c>
      <c r="M3311">
        <v>279790</v>
      </c>
    </row>
    <row r="3312" spans="1:13" x14ac:dyDescent="0.25">
      <c r="A3312" t="s">
        <v>11164</v>
      </c>
      <c r="B3312" t="s">
        <v>11165</v>
      </c>
      <c r="C3312" t="s">
        <v>15</v>
      </c>
      <c r="D3312" t="s">
        <v>1127</v>
      </c>
      <c r="E3312" t="s">
        <v>11023</v>
      </c>
      <c r="F3312" t="s">
        <v>11102</v>
      </c>
      <c r="G3312" t="s">
        <v>11166</v>
      </c>
      <c r="H3312" t="str">
        <f>HYPERLINK("https://baanknet.com/view-property/200303/26573E5AE9EC38043A23EBCD4E5A1D76ABD0B926009F99284433F0DABC177D00", "https://baanknet.com/view-property/200303/26573E5AE9EC38043A23EBCD4E5A1D76ABD0B926009F99284433F0DABC177D00")</f>
        <v>https://baanknet.com/view-property/200303/26573E5AE9EC38043A23EBCD4E5A1D76ABD0B926009F99284433F0DABC177D00</v>
      </c>
      <c r="I3312" t="str">
        <f>HYPERLINK("https://baanknet.com/view-property/200303/26573E5AE9EC38043A23EBCD4E5A1D76ABD0B926009F99284433F0DABC177D00", "Open")</f>
        <v>Open</v>
      </c>
      <c r="J3312" t="s">
        <v>3803</v>
      </c>
      <c r="L3312">
        <v>1162280</v>
      </c>
      <c r="M3312">
        <v>116228</v>
      </c>
    </row>
    <row r="3313" spans="1:13" x14ac:dyDescent="0.25">
      <c r="A3313" t="s">
        <v>11167</v>
      </c>
      <c r="B3313" t="s">
        <v>11168</v>
      </c>
      <c r="C3313" t="s">
        <v>15</v>
      </c>
      <c r="D3313" t="s">
        <v>1127</v>
      </c>
      <c r="E3313" t="s">
        <v>11023</v>
      </c>
      <c r="F3313" t="s">
        <v>11102</v>
      </c>
      <c r="G3313" t="s">
        <v>11169</v>
      </c>
      <c r="H3313" t="str">
        <f>HYPERLINK("https://baanknet.com/view-property/249039/77B12C76EC98AB56726205F935213A6BAE608E47E4D1DC11E2646A68E844178D", "https://baanknet.com/view-property/249039/77B12C76EC98AB56726205F935213A6BAE608E47E4D1DC11E2646A68E844178D")</f>
        <v>https://baanknet.com/view-property/249039/77B12C76EC98AB56726205F935213A6BAE608E47E4D1DC11E2646A68E844178D</v>
      </c>
      <c r="I3313" t="str">
        <f>HYPERLINK("https://baanknet.com/view-property/249039/77B12C76EC98AB56726205F935213A6BAE608E47E4D1DC11E2646A68E844178D", "Open")</f>
        <v>Open</v>
      </c>
      <c r="J3313" t="s">
        <v>3803</v>
      </c>
      <c r="L3313">
        <v>1048600</v>
      </c>
      <c r="M3313">
        <v>104860</v>
      </c>
    </row>
    <row r="3314" spans="1:13" x14ac:dyDescent="0.25">
      <c r="A3314" t="s">
        <v>11170</v>
      </c>
      <c r="B3314" t="s">
        <v>11171</v>
      </c>
      <c r="C3314" t="s">
        <v>15</v>
      </c>
      <c r="D3314" t="s">
        <v>1127</v>
      </c>
      <c r="E3314" t="s">
        <v>11023</v>
      </c>
      <c r="F3314" t="s">
        <v>11102</v>
      </c>
      <c r="G3314" t="s">
        <v>11172</v>
      </c>
      <c r="H3314" t="str">
        <f>HYPERLINK("https://baanknet.com/view-property/200404/AA030CDC7E3018A9F329F01AEFC993EFDE7781D66A2CE847CEBA14C30B780997", "https://baanknet.com/view-property/200404/AA030CDC7E3018A9F329F01AEFC993EFDE7781D66A2CE847CEBA14C30B780997")</f>
        <v>https://baanknet.com/view-property/200404/AA030CDC7E3018A9F329F01AEFC993EFDE7781D66A2CE847CEBA14C30B780997</v>
      </c>
      <c r="I3314" t="str">
        <f>HYPERLINK("https://baanknet.com/view-property/200404/AA030CDC7E3018A9F329F01AEFC993EFDE7781D66A2CE847CEBA14C30B780997", "Open")</f>
        <v>Open</v>
      </c>
      <c r="J3314" t="s">
        <v>3803</v>
      </c>
      <c r="L3314">
        <v>4078760</v>
      </c>
      <c r="M3314">
        <v>407876</v>
      </c>
    </row>
    <row r="3315" spans="1:13" x14ac:dyDescent="0.25">
      <c r="A3315" t="s">
        <v>11173</v>
      </c>
      <c r="B3315" t="s">
        <v>11174</v>
      </c>
      <c r="C3315" t="s">
        <v>15</v>
      </c>
      <c r="D3315" t="s">
        <v>11127</v>
      </c>
      <c r="E3315" t="s">
        <v>11023</v>
      </c>
      <c r="F3315" t="s">
        <v>11102</v>
      </c>
      <c r="G3315" t="s">
        <v>11175</v>
      </c>
      <c r="H3315" t="str">
        <f>HYPERLINK("https://baanknet.com/view-property/230452/E441CAB808ACB37B0729F244A4D5289D3E95E1800E818E238FC354B5F8FFFD85", "https://baanknet.com/view-property/230452/E441CAB808ACB37B0729F244A4D5289D3E95E1800E818E238FC354B5F8FFFD85")</f>
        <v>https://baanknet.com/view-property/230452/E441CAB808ACB37B0729F244A4D5289D3E95E1800E818E238FC354B5F8FFFD85</v>
      </c>
      <c r="I3315" t="str">
        <f>HYPERLINK("https://baanknet.com/view-property/230452/E441CAB808ACB37B0729F244A4D5289D3E95E1800E818E238FC354B5F8FFFD85", "Open")</f>
        <v>Open</v>
      </c>
      <c r="J3315" t="s">
        <v>3803</v>
      </c>
      <c r="L3315">
        <v>2143300</v>
      </c>
      <c r="M3315">
        <v>214330</v>
      </c>
    </row>
    <row r="3316" spans="1:13" x14ac:dyDescent="0.25">
      <c r="A3316" t="s">
        <v>11176</v>
      </c>
      <c r="B3316" t="s">
        <v>11177</v>
      </c>
      <c r="C3316" t="s">
        <v>15</v>
      </c>
      <c r="D3316" t="s">
        <v>1127</v>
      </c>
      <c r="E3316" t="s">
        <v>11023</v>
      </c>
      <c r="F3316" t="s">
        <v>11102</v>
      </c>
      <c r="G3316" t="s">
        <v>11178</v>
      </c>
      <c r="H3316" t="str">
        <f>HYPERLINK("https://baanknet.com/view-property/244470/862A1FA773399EFFDA7EC238A2022C40FF02D408B05740CAE3723D4BDFDD81F1", "https://baanknet.com/view-property/244470/862A1FA773399EFFDA7EC238A2022C40FF02D408B05740CAE3723D4BDFDD81F1")</f>
        <v>https://baanknet.com/view-property/244470/862A1FA773399EFFDA7EC238A2022C40FF02D408B05740CAE3723D4BDFDD81F1</v>
      </c>
      <c r="I3316" t="str">
        <f>HYPERLINK("https://baanknet.com/view-property/244470/862A1FA773399EFFDA7EC238A2022C40FF02D408B05740CAE3723D4BDFDD81F1", "Open")</f>
        <v>Open</v>
      </c>
      <c r="J3316" t="s">
        <v>3803</v>
      </c>
      <c r="L3316">
        <v>1703240</v>
      </c>
      <c r="M3316">
        <v>170324</v>
      </c>
    </row>
    <row r="3317" spans="1:13" x14ac:dyDescent="0.25">
      <c r="A3317" t="s">
        <v>11179</v>
      </c>
      <c r="B3317" t="s">
        <v>11180</v>
      </c>
      <c r="C3317" t="s">
        <v>15</v>
      </c>
      <c r="D3317" t="s">
        <v>1120</v>
      </c>
      <c r="E3317" t="s">
        <v>11023</v>
      </c>
      <c r="F3317" t="s">
        <v>11102</v>
      </c>
      <c r="G3317" t="s">
        <v>11181</v>
      </c>
      <c r="H3317" t="str">
        <f>HYPERLINK("https://baanknet.com/view-property/225019/A515BDE97B4CFE764331B02C92CBFE863B0604340C84A0B20DBA27FAB0736A9E", "https://baanknet.com/view-property/225019/A515BDE97B4CFE764331B02C92CBFE863B0604340C84A0B20DBA27FAB0736A9E")</f>
        <v>https://baanknet.com/view-property/225019/A515BDE97B4CFE764331B02C92CBFE863B0604340C84A0B20DBA27FAB0736A9E</v>
      </c>
      <c r="I3317" t="str">
        <f>HYPERLINK("https://baanknet.com/view-property/225019/A515BDE97B4CFE764331B02C92CBFE863B0604340C84A0B20DBA27FAB0736A9E", "Open")</f>
        <v>Open</v>
      </c>
      <c r="J3317" t="s">
        <v>3803</v>
      </c>
      <c r="L3317">
        <v>1383760</v>
      </c>
      <c r="M3317">
        <v>138376</v>
      </c>
    </row>
    <row r="3318" spans="1:13" x14ac:dyDescent="0.25">
      <c r="A3318" t="s">
        <v>11182</v>
      </c>
      <c r="B3318" t="s">
        <v>11183</v>
      </c>
      <c r="C3318" t="s">
        <v>15</v>
      </c>
      <c r="D3318" t="s">
        <v>1127</v>
      </c>
      <c r="E3318" t="s">
        <v>11023</v>
      </c>
      <c r="F3318" t="s">
        <v>11102</v>
      </c>
      <c r="G3318" t="s">
        <v>11184</v>
      </c>
      <c r="H3318" t="str">
        <f>HYPERLINK("https://baanknet.com/view-property/244989/8BC83CF889A825992C65277830FDF02D660F239A8B1006534B215B24EAAE0A58", "https://baanknet.com/view-property/244989/8BC83CF889A825992C65277830FDF02D660F239A8B1006534B215B24EAAE0A58")</f>
        <v>https://baanknet.com/view-property/244989/8BC83CF889A825992C65277830FDF02D660F239A8B1006534B215B24EAAE0A58</v>
      </c>
      <c r="I3318" t="str">
        <f>HYPERLINK("https://baanknet.com/view-property/244989/8BC83CF889A825992C65277830FDF02D660F239A8B1006534B215B24EAAE0A58", "Open")</f>
        <v>Open</v>
      </c>
      <c r="J3318" t="s">
        <v>3803</v>
      </c>
      <c r="L3318">
        <v>967640</v>
      </c>
      <c r="M3318">
        <v>96764</v>
      </c>
    </row>
    <row r="3319" spans="1:13" x14ac:dyDescent="0.25">
      <c r="A3319" t="s">
        <v>11185</v>
      </c>
      <c r="B3319" t="s">
        <v>11186</v>
      </c>
      <c r="C3319" t="s">
        <v>15</v>
      </c>
      <c r="D3319" t="s">
        <v>1127</v>
      </c>
      <c r="E3319" t="s">
        <v>11023</v>
      </c>
      <c r="F3319" t="s">
        <v>11102</v>
      </c>
      <c r="G3319" t="s">
        <v>11187</v>
      </c>
      <c r="H3319" t="str">
        <f>HYPERLINK("https://baanknet.com/view-property/244979/531F9A315E6C1B7360885F14DCD890C5E6DECC0BAB56345C203B93180CDE142B", "https://baanknet.com/view-property/244979/531F9A315E6C1B7360885F14DCD890C5E6DECC0BAB56345C203B93180CDE142B")</f>
        <v>https://baanknet.com/view-property/244979/531F9A315E6C1B7360885F14DCD890C5E6DECC0BAB56345C203B93180CDE142B</v>
      </c>
      <c r="I3319" t="str">
        <f>HYPERLINK("https://baanknet.com/view-property/244979/531F9A315E6C1B7360885F14DCD890C5E6DECC0BAB56345C203B93180CDE142B", "Open")</f>
        <v>Open</v>
      </c>
      <c r="J3319" t="s">
        <v>3803</v>
      </c>
      <c r="L3319">
        <v>708460</v>
      </c>
      <c r="M3319">
        <v>70846</v>
      </c>
    </row>
    <row r="3320" spans="1:13" x14ac:dyDescent="0.25">
      <c r="A3320" t="s">
        <v>11188</v>
      </c>
      <c r="B3320" t="s">
        <v>11189</v>
      </c>
      <c r="C3320" t="s">
        <v>15</v>
      </c>
      <c r="D3320" t="s">
        <v>2817</v>
      </c>
      <c r="E3320" t="s">
        <v>11023</v>
      </c>
      <c r="F3320" t="s">
        <v>11102</v>
      </c>
      <c r="G3320" t="s">
        <v>11190</v>
      </c>
      <c r="H3320" t="str">
        <f>HYPERLINK("https://baanknet.com/view-property/230978/D343E6C4B41C96C21B6FE2AD8764DC566BF93925FAEE26B1B5DAFB807452E9FD", "https://baanknet.com/view-property/230978/D343E6C4B41C96C21B6FE2AD8764DC566BF93925FAEE26B1B5DAFB807452E9FD")</f>
        <v>https://baanknet.com/view-property/230978/D343E6C4B41C96C21B6FE2AD8764DC566BF93925FAEE26B1B5DAFB807452E9FD</v>
      </c>
      <c r="I3320" t="str">
        <f>HYPERLINK("https://baanknet.com/view-property/230978/D343E6C4B41C96C21B6FE2AD8764DC566BF93925FAEE26B1B5DAFB807452E9FD", "Open")</f>
        <v>Open</v>
      </c>
      <c r="J3320" t="s">
        <v>3803</v>
      </c>
      <c r="L3320">
        <v>916300</v>
      </c>
      <c r="M3320">
        <v>91630</v>
      </c>
    </row>
    <row r="3321" spans="1:13" x14ac:dyDescent="0.25">
      <c r="A3321" t="s">
        <v>11191</v>
      </c>
      <c r="B3321" t="s">
        <v>11192</v>
      </c>
      <c r="C3321" t="s">
        <v>15</v>
      </c>
      <c r="D3321" t="s">
        <v>1127</v>
      </c>
      <c r="E3321" t="s">
        <v>11023</v>
      </c>
      <c r="F3321" t="s">
        <v>11102</v>
      </c>
      <c r="G3321" t="s">
        <v>11193</v>
      </c>
      <c r="H3321" t="str">
        <f>HYPERLINK("https://baanknet.com/view-property/279796/EB801F9D6CBDF4B2DB6EDE89B40DDFB3083D8AC6658A4A0A711298E91A0093FD", "https://baanknet.com/view-property/279796/EB801F9D6CBDF4B2DB6EDE89B40DDFB3083D8AC6658A4A0A711298E91A0093FD")</f>
        <v>https://baanknet.com/view-property/279796/EB801F9D6CBDF4B2DB6EDE89B40DDFB3083D8AC6658A4A0A711298E91A0093FD</v>
      </c>
      <c r="I3321" t="str">
        <f>HYPERLINK("https://baanknet.com/view-property/279796/EB801F9D6CBDF4B2DB6EDE89B40DDFB3083D8AC6658A4A0A711298E91A0093FD", "Open")</f>
        <v>Open</v>
      </c>
      <c r="J3321" t="s">
        <v>3803</v>
      </c>
      <c r="L3321">
        <v>1077000</v>
      </c>
      <c r="M3321">
        <v>107700</v>
      </c>
    </row>
    <row r="3322" spans="1:13" x14ac:dyDescent="0.25">
      <c r="A3322" t="s">
        <v>11194</v>
      </c>
      <c r="B3322" t="s">
        <v>11195</v>
      </c>
      <c r="C3322" t="s">
        <v>15</v>
      </c>
      <c r="D3322" t="s">
        <v>1030</v>
      </c>
      <c r="E3322" t="s">
        <v>11023</v>
      </c>
      <c r="F3322" t="s">
        <v>11102</v>
      </c>
      <c r="G3322" t="s">
        <v>11196</v>
      </c>
      <c r="H3322" t="str">
        <f>HYPERLINK("https://baanknet.com/view-property/230983/BB4150BF9036D3C3FF6256D17AE5EA7F3DB90DE0F2E48066E0DFF9FAD11339F3", "https://baanknet.com/view-property/230983/BB4150BF9036D3C3FF6256D17AE5EA7F3DB90DE0F2E48066E0DFF9FAD11339F3")</f>
        <v>https://baanknet.com/view-property/230983/BB4150BF9036D3C3FF6256D17AE5EA7F3DB90DE0F2E48066E0DFF9FAD11339F3</v>
      </c>
      <c r="I3322" t="str">
        <f>HYPERLINK("https://baanknet.com/view-property/230983/BB4150BF9036D3C3FF6256D17AE5EA7F3DB90DE0F2E48066E0DFF9FAD11339F3", "Open")</f>
        <v>Open</v>
      </c>
      <c r="J3322" t="s">
        <v>3803</v>
      </c>
      <c r="L3322">
        <v>1470000</v>
      </c>
      <c r="M3322">
        <v>147000</v>
      </c>
    </row>
    <row r="3323" spans="1:13" x14ac:dyDescent="0.25">
      <c r="A3323" t="s">
        <v>11197</v>
      </c>
      <c r="B3323" t="s">
        <v>11198</v>
      </c>
      <c r="C3323" t="s">
        <v>15</v>
      </c>
      <c r="D3323" t="s">
        <v>2817</v>
      </c>
      <c r="E3323" t="s">
        <v>11023</v>
      </c>
      <c r="F3323" t="s">
        <v>11102</v>
      </c>
      <c r="G3323" t="s">
        <v>11199</v>
      </c>
      <c r="H3323" t="str">
        <f>HYPERLINK("https://baanknet.com/view-property/244994/C71F70DC03A6F30E56FE686F46A17A6987ED4FD0E919A33AA54C94F57B9FFBA8", "https://baanknet.com/view-property/244994/C71F70DC03A6F30E56FE686F46A17A6987ED4FD0E919A33AA54C94F57B9FFBA8")</f>
        <v>https://baanknet.com/view-property/244994/C71F70DC03A6F30E56FE686F46A17A6987ED4FD0E919A33AA54C94F57B9FFBA8</v>
      </c>
      <c r="I3323" t="str">
        <f>HYPERLINK("https://baanknet.com/view-property/244994/C71F70DC03A6F30E56FE686F46A17A6987ED4FD0E919A33AA54C94F57B9FFBA8", "Open")</f>
        <v>Open</v>
      </c>
      <c r="J3323" t="s">
        <v>3803</v>
      </c>
      <c r="L3323">
        <v>1421980</v>
      </c>
      <c r="M3323">
        <v>142198</v>
      </c>
    </row>
    <row r="3324" spans="1:13" x14ac:dyDescent="0.25">
      <c r="A3324" t="s">
        <v>11200</v>
      </c>
      <c r="B3324" t="s">
        <v>11201</v>
      </c>
      <c r="C3324" t="s">
        <v>15</v>
      </c>
      <c r="D3324" t="s">
        <v>11202</v>
      </c>
      <c r="E3324" t="s">
        <v>11023</v>
      </c>
      <c r="F3324" t="s">
        <v>11102</v>
      </c>
      <c r="G3324" t="s">
        <v>11203</v>
      </c>
      <c r="H3324" t="str">
        <f>HYPERLINK("https://baanknet.com/view-property/253980/FCB2237B4D772A8D08EF20E1937609126070782586B27DF46F4F1BE2382A3977", "https://baanknet.com/view-property/253980/FCB2237B4D772A8D08EF20E1937609126070782586B27DF46F4F1BE2382A3977")</f>
        <v>https://baanknet.com/view-property/253980/FCB2237B4D772A8D08EF20E1937609126070782586B27DF46F4F1BE2382A3977</v>
      </c>
      <c r="I3324" t="str">
        <f>HYPERLINK("https://baanknet.com/view-property/253980/FCB2237B4D772A8D08EF20E1937609126070782586B27DF46F4F1BE2382A3977", "Open")</f>
        <v>Open</v>
      </c>
      <c r="J3324" t="s">
        <v>3803</v>
      </c>
      <c r="L3324">
        <v>1833680</v>
      </c>
      <c r="M3324">
        <v>183368</v>
      </c>
    </row>
    <row r="3325" spans="1:13" x14ac:dyDescent="0.25">
      <c r="A3325" t="s">
        <v>11204</v>
      </c>
      <c r="B3325" t="s">
        <v>11205</v>
      </c>
      <c r="C3325" t="s">
        <v>15</v>
      </c>
      <c r="D3325" t="s">
        <v>7541</v>
      </c>
      <c r="E3325" t="s">
        <v>11023</v>
      </c>
      <c r="F3325" t="s">
        <v>11102</v>
      </c>
      <c r="G3325" t="s">
        <v>11206</v>
      </c>
      <c r="H3325" t="str">
        <f>HYPERLINK("https://baanknet.com/view-property/204397/6AE1FEA6247BC3889484BA3EE0CF766AEEBCAEB1EE8B84B8370B3D83AABEA478", "https://baanknet.com/view-property/204397/6AE1FEA6247BC3889484BA3EE0CF766AEEBCAEB1EE8B84B8370B3D83AABEA478")</f>
        <v>https://baanknet.com/view-property/204397/6AE1FEA6247BC3889484BA3EE0CF766AEEBCAEB1EE8B84B8370B3D83AABEA478</v>
      </c>
      <c r="I3325" t="str">
        <f>HYPERLINK("https://baanknet.com/view-property/204397/6AE1FEA6247BC3889484BA3EE0CF766AEEBCAEB1EE8B84B8370B3D83AABEA478", "Open")</f>
        <v>Open</v>
      </c>
      <c r="J3325" t="s">
        <v>3803</v>
      </c>
      <c r="L3325">
        <v>2215780</v>
      </c>
      <c r="M3325">
        <v>221578</v>
      </c>
    </row>
    <row r="3326" spans="1:13" x14ac:dyDescent="0.25">
      <c r="A3326" t="s">
        <v>11207</v>
      </c>
      <c r="B3326" t="s">
        <v>11208</v>
      </c>
      <c r="C3326" t="s">
        <v>15</v>
      </c>
      <c r="D3326" t="s">
        <v>2817</v>
      </c>
      <c r="E3326" t="s">
        <v>11023</v>
      </c>
      <c r="F3326" t="s">
        <v>11102</v>
      </c>
      <c r="G3326" t="s">
        <v>11209</v>
      </c>
      <c r="H3326" t="str">
        <f>HYPERLINK("https://baanknet.com/view-property/230999/0B3ABA14561AA1E006F0E904A2F5C31195BF660CD17207B7C243E0B6D76DCD7D", "https://baanknet.com/view-property/230999/0B3ABA14561AA1E006F0E904A2F5C31195BF660CD17207B7C243E0B6D76DCD7D")</f>
        <v>https://baanknet.com/view-property/230999/0B3ABA14561AA1E006F0E904A2F5C31195BF660CD17207B7C243E0B6D76DCD7D</v>
      </c>
      <c r="I3326" t="str">
        <f>HYPERLINK("https://baanknet.com/view-property/230999/0B3ABA14561AA1E006F0E904A2F5C31195BF660CD17207B7C243E0B6D76DCD7D", "Open")</f>
        <v>Open</v>
      </c>
      <c r="J3326" t="s">
        <v>3803</v>
      </c>
      <c r="L3326">
        <v>1038800</v>
      </c>
      <c r="M3326">
        <v>103880</v>
      </c>
    </row>
    <row r="3327" spans="1:13" x14ac:dyDescent="0.25">
      <c r="A3327" t="s">
        <v>11210</v>
      </c>
      <c r="B3327" t="s">
        <v>11211</v>
      </c>
      <c r="C3327" t="s">
        <v>15</v>
      </c>
      <c r="D3327" t="s">
        <v>1127</v>
      </c>
      <c r="E3327" t="s">
        <v>11023</v>
      </c>
      <c r="F3327" t="s">
        <v>11102</v>
      </c>
      <c r="G3327" t="s">
        <v>11212</v>
      </c>
      <c r="H3327" t="str">
        <f>HYPERLINK("https://baanknet.com/view-property/275261/79A3E07258B1EFC7669693A78BE9C5A30C2D645C133139513F871DAEFCF666B1", "https://baanknet.com/view-property/275261/79A3E07258B1EFC7669693A78BE9C5A30C2D645C133139513F871DAEFCF666B1")</f>
        <v>https://baanknet.com/view-property/275261/79A3E07258B1EFC7669693A78BE9C5A30C2D645C133139513F871DAEFCF666B1</v>
      </c>
      <c r="I3327" t="str">
        <f>HYPERLINK("https://baanknet.com/view-property/275261/79A3E07258B1EFC7669693A78BE9C5A30C2D645C133139513F871DAEFCF666B1", "Open")</f>
        <v>Open</v>
      </c>
      <c r="J3327" t="s">
        <v>3803</v>
      </c>
      <c r="L3327">
        <v>816340</v>
      </c>
      <c r="M3327">
        <v>81634</v>
      </c>
    </row>
    <row r="3328" spans="1:13" x14ac:dyDescent="0.25">
      <c r="A3328" t="s">
        <v>11213</v>
      </c>
      <c r="B3328" t="s">
        <v>11214</v>
      </c>
      <c r="C3328" t="s">
        <v>15</v>
      </c>
      <c r="D3328" t="s">
        <v>1120</v>
      </c>
      <c r="E3328" t="s">
        <v>11023</v>
      </c>
      <c r="F3328" t="s">
        <v>11102</v>
      </c>
      <c r="G3328" t="s">
        <v>11215</v>
      </c>
      <c r="H3328" t="str">
        <f>HYPERLINK("https://baanknet.com/view-property/249051/FC6F00A1A37573BCE458CC75A0BD1E6BAF35B24BF6C796F29138026A772BF549", "https://baanknet.com/view-property/249051/FC6F00A1A37573BCE458CC75A0BD1E6BAF35B24BF6C796F29138026A772BF549")</f>
        <v>https://baanknet.com/view-property/249051/FC6F00A1A37573BCE458CC75A0BD1E6BAF35B24BF6C796F29138026A772BF549</v>
      </c>
      <c r="I3328" t="str">
        <f>HYPERLINK("https://baanknet.com/view-property/249051/FC6F00A1A37573BCE458CC75A0BD1E6BAF35B24BF6C796F29138026A772BF549", "Open")</f>
        <v>Open</v>
      </c>
      <c r="J3328" t="s">
        <v>3803</v>
      </c>
      <c r="L3328">
        <v>735000</v>
      </c>
      <c r="M3328">
        <v>73500</v>
      </c>
    </row>
    <row r="3329" spans="1:13" x14ac:dyDescent="0.25">
      <c r="A3329" t="s">
        <v>11216</v>
      </c>
      <c r="B3329" t="s">
        <v>11217</v>
      </c>
      <c r="C3329" t="s">
        <v>15</v>
      </c>
      <c r="D3329" t="s">
        <v>1030</v>
      </c>
      <c r="E3329" t="s">
        <v>11023</v>
      </c>
      <c r="F3329" t="s">
        <v>11102</v>
      </c>
      <c r="G3329" t="s">
        <v>11218</v>
      </c>
      <c r="H3329" t="str">
        <f>HYPERLINK("https://baanknet.com/view-property/256144/67C504D8097BBDEC2423EED17D1BE05045C92DC002996BB8C450075B193FB031", "https://baanknet.com/view-property/256144/67C504D8097BBDEC2423EED17D1BE05045C92DC002996BB8C450075B193FB031")</f>
        <v>https://baanknet.com/view-property/256144/67C504D8097BBDEC2423EED17D1BE05045C92DC002996BB8C450075B193FB031</v>
      </c>
      <c r="I3329" t="str">
        <f>HYPERLINK("https://baanknet.com/view-property/256144/67C504D8097BBDEC2423EED17D1BE05045C92DC002996BB8C450075B193FB031", "Open")</f>
        <v>Open</v>
      </c>
      <c r="J3329" t="s">
        <v>3803</v>
      </c>
      <c r="L3329">
        <v>2979200</v>
      </c>
      <c r="M3329">
        <v>297920</v>
      </c>
    </row>
    <row r="3330" spans="1:13" x14ac:dyDescent="0.25">
      <c r="A3330" t="s">
        <v>11219</v>
      </c>
      <c r="B3330" t="s">
        <v>11220</v>
      </c>
      <c r="C3330" t="s">
        <v>15</v>
      </c>
      <c r="D3330" t="s">
        <v>1120</v>
      </c>
      <c r="E3330" t="s">
        <v>11023</v>
      </c>
      <c r="F3330" t="s">
        <v>11102</v>
      </c>
      <c r="G3330" t="s">
        <v>11221</v>
      </c>
      <c r="H3330" t="str">
        <f>HYPERLINK("https://baanknet.com/view-property/249048/A0295C5760E247C5D53CB98F5EA650FC0802D2ADED85523B0CE3CEFBD4731074", "https://baanknet.com/view-property/249048/A0295C5760E247C5D53CB98F5EA650FC0802D2ADED85523B0CE3CEFBD4731074")</f>
        <v>https://baanknet.com/view-property/249048/A0295C5760E247C5D53CB98F5EA650FC0802D2ADED85523B0CE3CEFBD4731074</v>
      </c>
      <c r="I3330" t="str">
        <f>HYPERLINK("https://baanknet.com/view-property/249048/A0295C5760E247C5D53CB98F5EA650FC0802D2ADED85523B0CE3CEFBD4731074", "Open")</f>
        <v>Open</v>
      </c>
      <c r="J3330" t="s">
        <v>3803</v>
      </c>
      <c r="L3330">
        <v>1188000</v>
      </c>
      <c r="M3330">
        <v>118800</v>
      </c>
    </row>
    <row r="3331" spans="1:13" x14ac:dyDescent="0.25">
      <c r="A3331" t="s">
        <v>11222</v>
      </c>
      <c r="B3331" t="s">
        <v>11223</v>
      </c>
      <c r="C3331" t="s">
        <v>571</v>
      </c>
      <c r="D3331" t="s">
        <v>3065</v>
      </c>
      <c r="E3331" t="s">
        <v>11023</v>
      </c>
      <c r="F3331" t="s">
        <v>11004</v>
      </c>
      <c r="G3331" t="s">
        <v>11224</v>
      </c>
      <c r="H3331" t="str">
        <f>HYPERLINK("https://baanknet.com/view-property/285650/9EC14B69062F28234B3BEE35D0CB316F540150AE2C66B403BFF3983CE88F95E3", "https://baanknet.com/view-property/285650/9EC14B69062F28234B3BEE35D0CB316F540150AE2C66B403BFF3983CE88F95E3")</f>
        <v>https://baanknet.com/view-property/285650/9EC14B69062F28234B3BEE35D0CB316F540150AE2C66B403BFF3983CE88F95E3</v>
      </c>
      <c r="I3331" t="str">
        <f>HYPERLINK("https://baanknet.com/view-property/285650/9EC14B69062F28234B3BEE35D0CB316F540150AE2C66B403BFF3983CE88F95E3", "Open")</f>
        <v>Open</v>
      </c>
      <c r="J3331" t="s">
        <v>3803</v>
      </c>
      <c r="L3331">
        <v>2425000</v>
      </c>
      <c r="M3331">
        <v>242500</v>
      </c>
    </row>
    <row r="3332" spans="1:13" x14ac:dyDescent="0.25">
      <c r="A3332" t="s">
        <v>11225</v>
      </c>
      <c r="B3332" t="s">
        <v>11226</v>
      </c>
      <c r="C3332" t="s">
        <v>571</v>
      </c>
      <c r="D3332" t="s">
        <v>1246</v>
      </c>
      <c r="E3332" t="s">
        <v>11023</v>
      </c>
      <c r="F3332" t="s">
        <v>11004</v>
      </c>
      <c r="G3332" t="s">
        <v>11227</v>
      </c>
      <c r="H3332" t="str">
        <f>HYPERLINK("https://baanknet.com/view-property/165190/C430C51F3B6523177B3CFBE511F71DE0F567FB1C095B8A7144C781AF4E48530F", "https://baanknet.com/view-property/165190/C430C51F3B6523177B3CFBE511F71DE0F567FB1C095B8A7144C781AF4E48530F")</f>
        <v>https://baanknet.com/view-property/165190/C430C51F3B6523177B3CFBE511F71DE0F567FB1C095B8A7144C781AF4E48530F</v>
      </c>
      <c r="I3332" t="str">
        <f>HYPERLINK("https://baanknet.com/view-property/165190/C430C51F3B6523177B3CFBE511F71DE0F567FB1C095B8A7144C781AF4E48530F", "Open")</f>
        <v>Open</v>
      </c>
      <c r="J3332" t="s">
        <v>3803</v>
      </c>
      <c r="L3332">
        <v>4650000</v>
      </c>
      <c r="M3332">
        <v>465000</v>
      </c>
    </row>
    <row r="3333" spans="1:13" x14ac:dyDescent="0.25">
      <c r="A3333" t="s">
        <v>11228</v>
      </c>
      <c r="B3333" t="s">
        <v>11229</v>
      </c>
      <c r="C3333" t="s">
        <v>387</v>
      </c>
      <c r="D3333" t="s">
        <v>578</v>
      </c>
      <c r="E3333" t="s">
        <v>11023</v>
      </c>
      <c r="F3333" t="s">
        <v>11004</v>
      </c>
      <c r="G3333" t="s">
        <v>11230</v>
      </c>
      <c r="H3333" t="str">
        <f>HYPERLINK("https://baanknet.com/view-property/242748/EA038D55B671D564A453B99F7D92D9574293BC79F5E3DFE8DE2F4D41089D9FDB", "https://baanknet.com/view-property/242748/EA038D55B671D564A453B99F7D92D9574293BC79F5E3DFE8DE2F4D41089D9FDB")</f>
        <v>https://baanknet.com/view-property/242748/EA038D55B671D564A453B99F7D92D9574293BC79F5E3DFE8DE2F4D41089D9FDB</v>
      </c>
      <c r="I3333" t="str">
        <f>HYPERLINK("https://baanknet.com/view-property/242748/EA038D55B671D564A453B99F7D92D9574293BC79F5E3DFE8DE2F4D41089D9FDB", "Open")</f>
        <v>Open</v>
      </c>
      <c r="J3333" t="s">
        <v>3803</v>
      </c>
      <c r="L3333">
        <v>7843500</v>
      </c>
      <c r="M3333">
        <v>784350</v>
      </c>
    </row>
    <row r="3334" spans="1:13" x14ac:dyDescent="0.25">
      <c r="A3334" t="s">
        <v>11231</v>
      </c>
      <c r="B3334" t="s">
        <v>11232</v>
      </c>
      <c r="C3334" t="s">
        <v>387</v>
      </c>
      <c r="D3334" t="s">
        <v>578</v>
      </c>
      <c r="E3334" t="s">
        <v>11023</v>
      </c>
      <c r="F3334" t="s">
        <v>11004</v>
      </c>
      <c r="G3334" t="s">
        <v>11233</v>
      </c>
      <c r="H3334" t="str">
        <f>HYPERLINK("https://baanknet.com/view-property/204965/1094F2C33A14AB6A8421AAB0CF548B75C93EF5D10ED8CFBFEB285307AF92F92A", "https://baanknet.com/view-property/204965/1094F2C33A14AB6A8421AAB0CF548B75C93EF5D10ED8CFBFEB285307AF92F92A")</f>
        <v>https://baanknet.com/view-property/204965/1094F2C33A14AB6A8421AAB0CF548B75C93EF5D10ED8CFBFEB285307AF92F92A</v>
      </c>
      <c r="I3334" t="str">
        <f>HYPERLINK("https://baanknet.com/view-property/204965/1094F2C33A14AB6A8421AAB0CF548B75C93EF5D10ED8CFBFEB285307AF92F92A", "Open")</f>
        <v>Open</v>
      </c>
      <c r="J3334" t="s">
        <v>3803</v>
      </c>
      <c r="L3334">
        <v>5366000</v>
      </c>
      <c r="M3334">
        <v>536600</v>
      </c>
    </row>
    <row r="3335" spans="1:13" x14ac:dyDescent="0.25">
      <c r="A3335" t="s">
        <v>11234</v>
      </c>
      <c r="B3335" t="s">
        <v>11235</v>
      </c>
      <c r="C3335" t="s">
        <v>571</v>
      </c>
      <c r="D3335" t="s">
        <v>3460</v>
      </c>
      <c r="E3335" t="s">
        <v>11023</v>
      </c>
      <c r="F3335" t="s">
        <v>11004</v>
      </c>
      <c r="G3335" t="s">
        <v>11236</v>
      </c>
      <c r="H3335" t="str">
        <f>HYPERLINK("https://baanknet.com/view-property/52846/F621F0A86F9A2D1DA488A99F430F1C6FD3501465F41A44FA6D14379375B4083D", "https://baanknet.com/view-property/52846/F621F0A86F9A2D1DA488A99F430F1C6FD3501465F41A44FA6D14379375B4083D")</f>
        <v>https://baanknet.com/view-property/52846/F621F0A86F9A2D1DA488A99F430F1C6FD3501465F41A44FA6D14379375B4083D</v>
      </c>
      <c r="I3335" t="str">
        <f>HYPERLINK("https://baanknet.com/view-property/52846/F621F0A86F9A2D1DA488A99F430F1C6FD3501465F41A44FA6D14379375B4083D", "Open")</f>
        <v>Open</v>
      </c>
      <c r="J3335" t="s">
        <v>3803</v>
      </c>
    </row>
    <row r="3336" spans="1:13" x14ac:dyDescent="0.25">
      <c r="A3336" t="s">
        <v>11237</v>
      </c>
      <c r="B3336" t="s">
        <v>11238</v>
      </c>
      <c r="C3336" t="s">
        <v>332</v>
      </c>
      <c r="D3336" t="s">
        <v>608</v>
      </c>
      <c r="E3336" t="s">
        <v>11023</v>
      </c>
      <c r="F3336" t="s">
        <v>11004</v>
      </c>
      <c r="G3336" t="s">
        <v>11239</v>
      </c>
      <c r="H3336" t="str">
        <f>HYPERLINK("https://baanknet.com/view-property/285411/96DC5F91CFE4990F841EE948FD770CA180F0612BD04FAFCD513C717035A44B5F", "https://baanknet.com/view-property/285411/96DC5F91CFE4990F841EE948FD770CA180F0612BD04FAFCD513C717035A44B5F")</f>
        <v>https://baanknet.com/view-property/285411/96DC5F91CFE4990F841EE948FD770CA180F0612BD04FAFCD513C717035A44B5F</v>
      </c>
      <c r="I3336" t="str">
        <f>HYPERLINK("https://baanknet.com/view-property/285411/96DC5F91CFE4990F841EE948FD770CA180F0612BD04FAFCD513C717035A44B5F", "Open")</f>
        <v>Open</v>
      </c>
      <c r="J3336" t="s">
        <v>3803</v>
      </c>
      <c r="L3336">
        <v>83810000</v>
      </c>
      <c r="M3336">
        <v>8381000</v>
      </c>
    </row>
    <row r="3337" spans="1:13" x14ac:dyDescent="0.25">
      <c r="A3337" t="s">
        <v>11240</v>
      </c>
      <c r="B3337" t="s">
        <v>11241</v>
      </c>
      <c r="C3337" t="s">
        <v>571</v>
      </c>
      <c r="D3337" t="s">
        <v>3460</v>
      </c>
      <c r="E3337" t="s">
        <v>11023</v>
      </c>
      <c r="F3337" t="s">
        <v>11004</v>
      </c>
      <c r="G3337" t="s">
        <v>11242</v>
      </c>
      <c r="H3337" t="str">
        <f>HYPERLINK("https://baanknet.com/view-property/137801/420A1E32469CD4CFDF273FCE10E16DB6A9E5D88BCA6305DF41ECBB9EC1E8B61E", "https://baanknet.com/view-property/137801/420A1E32469CD4CFDF273FCE10E16DB6A9E5D88BCA6305DF41ECBB9EC1E8B61E")</f>
        <v>https://baanknet.com/view-property/137801/420A1E32469CD4CFDF273FCE10E16DB6A9E5D88BCA6305DF41ECBB9EC1E8B61E</v>
      </c>
      <c r="I3337" t="str">
        <f>HYPERLINK("https://baanknet.com/view-property/137801/420A1E32469CD4CFDF273FCE10E16DB6A9E5D88BCA6305DF41ECBB9EC1E8B61E", "Open")</f>
        <v>Open</v>
      </c>
      <c r="J3337" t="s">
        <v>3803</v>
      </c>
      <c r="L3337">
        <v>1480000</v>
      </c>
      <c r="M3337">
        <v>148000</v>
      </c>
    </row>
    <row r="3338" spans="1:13" x14ac:dyDescent="0.25">
      <c r="A3338" t="s">
        <v>11243</v>
      </c>
      <c r="B3338" t="s">
        <v>11244</v>
      </c>
      <c r="C3338" t="s">
        <v>571</v>
      </c>
      <c r="D3338" t="s">
        <v>3460</v>
      </c>
      <c r="E3338" t="s">
        <v>11023</v>
      </c>
      <c r="F3338" t="s">
        <v>11004</v>
      </c>
      <c r="G3338" t="s">
        <v>11245</v>
      </c>
      <c r="H3338" t="str">
        <f>HYPERLINK("https://baanknet.com/view-property/136225/045EA56BB76A1BBCBE0FC3ACEFEA5BC335867F25C5A240262F12134F73832904", "https://baanknet.com/view-property/136225/045EA56BB76A1BBCBE0FC3ACEFEA5BC335867F25C5A240262F12134F73832904")</f>
        <v>https://baanknet.com/view-property/136225/045EA56BB76A1BBCBE0FC3ACEFEA5BC335867F25C5A240262F12134F73832904</v>
      </c>
      <c r="I3338" t="str">
        <f>HYPERLINK("https://baanknet.com/view-property/136225/045EA56BB76A1BBCBE0FC3ACEFEA5BC335867F25C5A240262F12134F73832904", "Open")</f>
        <v>Open</v>
      </c>
      <c r="J3338" t="s">
        <v>3803</v>
      </c>
      <c r="L3338">
        <v>1098000</v>
      </c>
      <c r="M3338">
        <v>109800</v>
      </c>
    </row>
    <row r="3339" spans="1:13" x14ac:dyDescent="0.25">
      <c r="A3339" t="s">
        <v>11246</v>
      </c>
      <c r="B3339" t="s">
        <v>11247</v>
      </c>
      <c r="C3339" t="s">
        <v>571</v>
      </c>
      <c r="D3339" t="s">
        <v>11248</v>
      </c>
      <c r="E3339" t="s">
        <v>11023</v>
      </c>
      <c r="F3339" t="s">
        <v>11004</v>
      </c>
      <c r="G3339" t="s">
        <v>11249</v>
      </c>
      <c r="H3339" t="str">
        <f>HYPERLINK("https://baanknet.com/view-property/139262/65027B8619FF0858E484CB84A16F60A96644CF62F37C02CFD800C209B8168ACF", "https://baanknet.com/view-property/139262/65027B8619FF0858E484CB84A16F60A96644CF62F37C02CFD800C209B8168ACF")</f>
        <v>https://baanknet.com/view-property/139262/65027B8619FF0858E484CB84A16F60A96644CF62F37C02CFD800C209B8168ACF</v>
      </c>
      <c r="I3339" t="str">
        <f>HYPERLINK("https://baanknet.com/view-property/139262/65027B8619FF0858E484CB84A16F60A96644CF62F37C02CFD800C209B8168ACF", "Open")</f>
        <v>Open</v>
      </c>
      <c r="J3339" t="s">
        <v>3803</v>
      </c>
      <c r="L3339">
        <v>1125000</v>
      </c>
      <c r="M3339">
        <v>112500</v>
      </c>
    </row>
    <row r="3340" spans="1:13" x14ac:dyDescent="0.25">
      <c r="A3340" t="s">
        <v>11250</v>
      </c>
      <c r="B3340" t="s">
        <v>11251</v>
      </c>
      <c r="C3340" t="s">
        <v>332</v>
      </c>
      <c r="D3340" t="s">
        <v>4430</v>
      </c>
      <c r="E3340" t="s">
        <v>11023</v>
      </c>
      <c r="F3340" t="s">
        <v>11004</v>
      </c>
      <c r="G3340" t="s">
        <v>11252</v>
      </c>
      <c r="H3340" t="str">
        <f>HYPERLINK("https://baanknet.com/view-property/266100/1694D44CEDF70E5940BC595923487316666E71C13EDB2505D4CDCDBD99713279", "https://baanknet.com/view-property/266100/1694D44CEDF70E5940BC595923487316666E71C13EDB2505D4CDCDBD99713279")</f>
        <v>https://baanknet.com/view-property/266100/1694D44CEDF70E5940BC595923487316666E71C13EDB2505D4CDCDBD99713279</v>
      </c>
      <c r="I3340" t="str">
        <f>HYPERLINK("https://baanknet.com/view-property/266100/1694D44CEDF70E5940BC595923487316666E71C13EDB2505D4CDCDBD99713279", "Open")</f>
        <v>Open</v>
      </c>
      <c r="J3340" t="s">
        <v>3803</v>
      </c>
      <c r="L3340">
        <v>16100000</v>
      </c>
      <c r="M3340">
        <v>1610000</v>
      </c>
    </row>
    <row r="3341" spans="1:13" x14ac:dyDescent="0.25">
      <c r="A3341" t="s">
        <v>11253</v>
      </c>
      <c r="B3341" t="s">
        <v>11254</v>
      </c>
      <c r="C3341" t="s">
        <v>121</v>
      </c>
      <c r="D3341" t="s">
        <v>11255</v>
      </c>
      <c r="E3341" t="s">
        <v>11023</v>
      </c>
      <c r="F3341" t="s">
        <v>11004</v>
      </c>
      <c r="G3341" t="s">
        <v>11256</v>
      </c>
      <c r="H3341" t="str">
        <f>HYPERLINK("https://baanknet.com/view-property/174957/7C6B1BF5D0F9E068DDF0B9830F2F1EFB0214C10F3991C603B7DEBD814EFEBCD8", "https://baanknet.com/view-property/174957/7C6B1BF5D0F9E068DDF0B9830F2F1EFB0214C10F3991C603B7DEBD814EFEBCD8")</f>
        <v>https://baanknet.com/view-property/174957/7C6B1BF5D0F9E068DDF0B9830F2F1EFB0214C10F3991C603B7DEBD814EFEBCD8</v>
      </c>
      <c r="I3341" t="str">
        <f>HYPERLINK("https://baanknet.com/view-property/174957/7C6B1BF5D0F9E068DDF0B9830F2F1EFB0214C10F3991C603B7DEBD814EFEBCD8", "Open")</f>
        <v>Open</v>
      </c>
      <c r="J3341" t="s">
        <v>3803</v>
      </c>
      <c r="L3341">
        <v>2150000</v>
      </c>
      <c r="M3341">
        <v>215000</v>
      </c>
    </row>
    <row r="3342" spans="1:13" x14ac:dyDescent="0.25">
      <c r="A3342" t="s">
        <v>11257</v>
      </c>
      <c r="B3342" t="s">
        <v>11258</v>
      </c>
      <c r="C3342" t="s">
        <v>144</v>
      </c>
      <c r="D3342" t="s">
        <v>653</v>
      </c>
      <c r="E3342" t="s">
        <v>11023</v>
      </c>
      <c r="F3342" t="s">
        <v>11004</v>
      </c>
      <c r="G3342" t="s">
        <v>11259</v>
      </c>
      <c r="H3342" t="str">
        <f>HYPERLINK("https://baanknet.com/view-property/285125/3625A28EB9DB451645853974430D7C813A699FBAB7B00E984F563F0DC8A1FC66", "https://baanknet.com/view-property/285125/3625A28EB9DB451645853974430D7C813A699FBAB7B00E984F563F0DC8A1FC66")</f>
        <v>https://baanknet.com/view-property/285125/3625A28EB9DB451645853974430D7C813A699FBAB7B00E984F563F0DC8A1FC66</v>
      </c>
      <c r="I3342" t="str">
        <f>HYPERLINK("https://baanknet.com/view-property/285125/3625A28EB9DB451645853974430D7C813A699FBAB7B00E984F563F0DC8A1FC66", "Open")</f>
        <v>Open</v>
      </c>
      <c r="J3342" t="s">
        <v>3803</v>
      </c>
      <c r="L3342">
        <v>2360000</v>
      </c>
      <c r="M3342">
        <v>236000</v>
      </c>
    </row>
    <row r="3343" spans="1:13" x14ac:dyDescent="0.25">
      <c r="A3343" t="s">
        <v>11260</v>
      </c>
      <c r="B3343" t="s">
        <v>11261</v>
      </c>
      <c r="C3343" t="s">
        <v>144</v>
      </c>
      <c r="D3343" t="s">
        <v>11262</v>
      </c>
      <c r="E3343" t="s">
        <v>11023</v>
      </c>
      <c r="F3343" t="s">
        <v>11004</v>
      </c>
      <c r="G3343" t="s">
        <v>11263</v>
      </c>
      <c r="H3343" t="str">
        <f>HYPERLINK("https://baanknet.com/view-property/284333/AB02D94DAE97F2DB10A7A054D2E1A8DD65B70EB673EC45568DE75A22ED0505B2", "https://baanknet.com/view-property/284333/AB02D94DAE97F2DB10A7A054D2E1A8DD65B70EB673EC45568DE75A22ED0505B2")</f>
        <v>https://baanknet.com/view-property/284333/AB02D94DAE97F2DB10A7A054D2E1A8DD65B70EB673EC45568DE75A22ED0505B2</v>
      </c>
      <c r="I3343" t="str">
        <f>HYPERLINK("https://baanknet.com/view-property/284333/AB02D94DAE97F2DB10A7A054D2E1A8DD65B70EB673EC45568DE75A22ED0505B2", "Open")</f>
        <v>Open</v>
      </c>
      <c r="J3343" t="s">
        <v>3803</v>
      </c>
      <c r="L3343">
        <v>5900000</v>
      </c>
      <c r="M3343">
        <v>590000</v>
      </c>
    </row>
    <row r="3344" spans="1:13" x14ac:dyDescent="0.25">
      <c r="A3344" t="s">
        <v>11264</v>
      </c>
      <c r="B3344" t="s">
        <v>11265</v>
      </c>
      <c r="C3344" t="s">
        <v>144</v>
      </c>
      <c r="D3344" t="s">
        <v>11266</v>
      </c>
      <c r="E3344" t="s">
        <v>11023</v>
      </c>
      <c r="F3344" t="s">
        <v>11004</v>
      </c>
      <c r="G3344" t="s">
        <v>11267</v>
      </c>
      <c r="H3344" t="str">
        <f>HYPERLINK("https://baanknet.com/view-property/279777/C27FAEF8EE5F7A2590E9AE0B2B7ABD6EDADD20780AC41BEFE36C2833E0529395", "https://baanknet.com/view-property/279777/C27FAEF8EE5F7A2590E9AE0B2B7ABD6EDADD20780AC41BEFE36C2833E0529395")</f>
        <v>https://baanknet.com/view-property/279777/C27FAEF8EE5F7A2590E9AE0B2B7ABD6EDADD20780AC41BEFE36C2833E0529395</v>
      </c>
      <c r="I3344" t="str">
        <f>HYPERLINK("https://baanknet.com/view-property/279777/C27FAEF8EE5F7A2590E9AE0B2B7ABD6EDADD20780AC41BEFE36C2833E0529395", "Open")</f>
        <v>Open</v>
      </c>
      <c r="J3344" t="s">
        <v>3803</v>
      </c>
      <c r="L3344">
        <v>2929000</v>
      </c>
      <c r="M3344">
        <v>292900</v>
      </c>
    </row>
    <row r="3345" spans="1:13" x14ac:dyDescent="0.25">
      <c r="A3345" t="s">
        <v>11268</v>
      </c>
      <c r="B3345" t="s">
        <v>11269</v>
      </c>
      <c r="C3345" t="s">
        <v>144</v>
      </c>
      <c r="D3345" t="s">
        <v>11266</v>
      </c>
      <c r="E3345" t="s">
        <v>11023</v>
      </c>
      <c r="F3345" t="s">
        <v>11004</v>
      </c>
      <c r="G3345" t="s">
        <v>11270</v>
      </c>
      <c r="H3345" t="str">
        <f>HYPERLINK("https://baanknet.com/view-property/279768/05B271791FF20478903303F7DC3A54FE2C5B9A37940DE860666E330C9F4F94AD", "https://baanknet.com/view-property/279768/05B271791FF20478903303F7DC3A54FE2C5B9A37940DE860666E330C9F4F94AD")</f>
        <v>https://baanknet.com/view-property/279768/05B271791FF20478903303F7DC3A54FE2C5B9A37940DE860666E330C9F4F94AD</v>
      </c>
      <c r="I3345" t="str">
        <f>HYPERLINK("https://baanknet.com/view-property/279768/05B271791FF20478903303F7DC3A54FE2C5B9A37940DE860666E330C9F4F94AD", "Open")</f>
        <v>Open</v>
      </c>
      <c r="J3345" t="s">
        <v>3803</v>
      </c>
      <c r="L3345">
        <v>2310000</v>
      </c>
      <c r="M3345">
        <v>231000</v>
      </c>
    </row>
    <row r="3346" spans="1:13" x14ac:dyDescent="0.25">
      <c r="A3346" t="s">
        <v>11271</v>
      </c>
      <c r="B3346" t="s">
        <v>11272</v>
      </c>
      <c r="C3346" t="s">
        <v>144</v>
      </c>
      <c r="D3346" t="s">
        <v>11266</v>
      </c>
      <c r="E3346" t="s">
        <v>11023</v>
      </c>
      <c r="F3346" t="s">
        <v>11004</v>
      </c>
      <c r="G3346" t="s">
        <v>11273</v>
      </c>
      <c r="H3346" t="str">
        <f>HYPERLINK("https://baanknet.com/view-property/279759/200FE2EFF363C22457EF2C387933DE9F3E42FCB6236D58DB1ADC7F8A0D32CF36", "https://baanknet.com/view-property/279759/200FE2EFF363C22457EF2C387933DE9F3E42FCB6236D58DB1ADC7F8A0D32CF36")</f>
        <v>https://baanknet.com/view-property/279759/200FE2EFF363C22457EF2C387933DE9F3E42FCB6236D58DB1ADC7F8A0D32CF36</v>
      </c>
      <c r="I3346" t="str">
        <f>HYPERLINK("https://baanknet.com/view-property/279759/200FE2EFF363C22457EF2C387933DE9F3E42FCB6236D58DB1ADC7F8A0D32CF36", "Open")</f>
        <v>Open</v>
      </c>
      <c r="J3346" t="s">
        <v>3803</v>
      </c>
      <c r="L3346">
        <v>1007000</v>
      </c>
      <c r="M3346">
        <v>100700</v>
      </c>
    </row>
    <row r="3347" spans="1:13" x14ac:dyDescent="0.25">
      <c r="A3347" t="s">
        <v>11274</v>
      </c>
      <c r="B3347" t="s">
        <v>11275</v>
      </c>
      <c r="C3347" t="s">
        <v>83</v>
      </c>
      <c r="D3347" t="s">
        <v>90</v>
      </c>
      <c r="E3347" t="s">
        <v>11023</v>
      </c>
      <c r="F3347" t="s">
        <v>11004</v>
      </c>
      <c r="G3347" t="s">
        <v>11276</v>
      </c>
      <c r="H3347" t="str">
        <f>HYPERLINK("https://baanknet.com/view-property/280233/B3AC490C64FFDCEDFCE2AA794BF9240240E33015F7D17614078F8CA30DFEDFD1", "https://baanknet.com/view-property/280233/B3AC490C64FFDCEDFCE2AA794BF9240240E33015F7D17614078F8CA30DFEDFD1")</f>
        <v>https://baanknet.com/view-property/280233/B3AC490C64FFDCEDFCE2AA794BF9240240E33015F7D17614078F8CA30DFEDFD1</v>
      </c>
      <c r="I3347" t="str">
        <f>HYPERLINK("https://baanknet.com/view-property/280233/B3AC490C64FFDCEDFCE2AA794BF9240240E33015F7D17614078F8CA30DFEDFD1", "Open")</f>
        <v>Open</v>
      </c>
      <c r="J3347" t="s">
        <v>3803</v>
      </c>
      <c r="L3347">
        <v>2023542</v>
      </c>
      <c r="M3347">
        <v>202355</v>
      </c>
    </row>
    <row r="3348" spans="1:13" x14ac:dyDescent="0.25">
      <c r="A3348" t="s">
        <v>11277</v>
      </c>
      <c r="B3348" t="s">
        <v>11278</v>
      </c>
      <c r="C3348" t="s">
        <v>571</v>
      </c>
      <c r="D3348" t="s">
        <v>11279</v>
      </c>
      <c r="E3348" t="s">
        <v>11023</v>
      </c>
      <c r="F3348" t="s">
        <v>11004</v>
      </c>
      <c r="G3348" t="s">
        <v>11280</v>
      </c>
      <c r="H3348" t="str">
        <f>HYPERLINK("https://baanknet.com/view-property/285335/8DB9C1B905BE4F19955CDF0C3094E00F15787CD06A2B4DA1EF51E6656AE8D207", "https://baanknet.com/view-property/285335/8DB9C1B905BE4F19955CDF0C3094E00F15787CD06A2B4DA1EF51E6656AE8D207")</f>
        <v>https://baanknet.com/view-property/285335/8DB9C1B905BE4F19955CDF0C3094E00F15787CD06A2B4DA1EF51E6656AE8D207</v>
      </c>
      <c r="I3348" t="str">
        <f>HYPERLINK("https://baanknet.com/view-property/285335/8DB9C1B905BE4F19955CDF0C3094E00F15787CD06A2B4DA1EF51E6656AE8D207", "Open")</f>
        <v>Open</v>
      </c>
      <c r="J3348" t="s">
        <v>3803</v>
      </c>
      <c r="L3348">
        <v>66600000</v>
      </c>
      <c r="M3348">
        <v>6660000</v>
      </c>
    </row>
    <row r="3349" spans="1:13" x14ac:dyDescent="0.25">
      <c r="A3349" t="s">
        <v>11281</v>
      </c>
      <c r="B3349" t="s">
        <v>11282</v>
      </c>
      <c r="C3349" t="s">
        <v>387</v>
      </c>
      <c r="D3349" t="s">
        <v>2425</v>
      </c>
      <c r="E3349" t="s">
        <v>11023</v>
      </c>
      <c r="F3349" t="s">
        <v>11004</v>
      </c>
      <c r="G3349" t="s">
        <v>11283</v>
      </c>
      <c r="H3349" t="str">
        <f>HYPERLINK("https://baanknet.com/view-property/187582/D0C5EB6213536089E71B7D8B55AD078CF2AA2F71A953D1F5E5BE1785437AC2F4", "https://baanknet.com/view-property/187582/D0C5EB6213536089E71B7D8B55AD078CF2AA2F71A953D1F5E5BE1785437AC2F4")</f>
        <v>https://baanknet.com/view-property/187582/D0C5EB6213536089E71B7D8B55AD078CF2AA2F71A953D1F5E5BE1785437AC2F4</v>
      </c>
      <c r="I3349" t="str">
        <f>HYPERLINK("https://baanknet.com/view-property/187582/D0C5EB6213536089E71B7D8B55AD078CF2AA2F71A953D1F5E5BE1785437AC2F4", "Open")</f>
        <v>Open</v>
      </c>
      <c r="J3349" t="s">
        <v>3803</v>
      </c>
      <c r="L3349">
        <v>1600000</v>
      </c>
      <c r="M3349">
        <v>160000</v>
      </c>
    </row>
    <row r="3350" spans="1:13" x14ac:dyDescent="0.25">
      <c r="A3350" t="s">
        <v>11284</v>
      </c>
      <c r="B3350" t="s">
        <v>11285</v>
      </c>
      <c r="C3350" t="s">
        <v>332</v>
      </c>
      <c r="D3350" t="s">
        <v>1246</v>
      </c>
      <c r="E3350" t="s">
        <v>11023</v>
      </c>
      <c r="F3350" t="s">
        <v>11004</v>
      </c>
      <c r="G3350" t="s">
        <v>11286</v>
      </c>
      <c r="H3350" t="str">
        <f>HYPERLINK("https://baanknet.com/view-property/229368/A14863BF618916808ABFE4AECA031B617F6C284785D7FE53CAEBD2B4E1FCA4A5", "https://baanknet.com/view-property/229368/A14863BF618916808ABFE4AECA031B617F6C284785D7FE53CAEBD2B4E1FCA4A5")</f>
        <v>https://baanknet.com/view-property/229368/A14863BF618916808ABFE4AECA031B617F6C284785D7FE53CAEBD2B4E1FCA4A5</v>
      </c>
      <c r="I3350" t="str">
        <f>HYPERLINK("https://baanknet.com/view-property/229368/A14863BF618916808ABFE4AECA031B617F6C284785D7FE53CAEBD2B4E1FCA4A5", "Open")</f>
        <v>Open</v>
      </c>
      <c r="J3350" t="s">
        <v>3803</v>
      </c>
      <c r="L3350">
        <v>4500000</v>
      </c>
      <c r="M3350">
        <v>450000</v>
      </c>
    </row>
    <row r="3351" spans="1:13" x14ac:dyDescent="0.25">
      <c r="A3351" t="s">
        <v>11287</v>
      </c>
      <c r="B3351" t="s">
        <v>11288</v>
      </c>
      <c r="C3351" t="s">
        <v>332</v>
      </c>
      <c r="D3351" t="s">
        <v>1246</v>
      </c>
      <c r="E3351" t="s">
        <v>11023</v>
      </c>
      <c r="F3351" t="s">
        <v>11004</v>
      </c>
      <c r="G3351" t="s">
        <v>11289</v>
      </c>
      <c r="H3351" t="str">
        <f>HYPERLINK("https://baanknet.com/view-property/229375/B5FEF006C5CDE93E15FFD54AB07ECC025BD601604EBB8E8C6613D3E389E15BBC", "https://baanknet.com/view-property/229375/B5FEF006C5CDE93E15FFD54AB07ECC025BD601604EBB8E8C6613D3E389E15BBC")</f>
        <v>https://baanknet.com/view-property/229375/B5FEF006C5CDE93E15FFD54AB07ECC025BD601604EBB8E8C6613D3E389E15BBC</v>
      </c>
      <c r="I3351" t="str">
        <f>HYPERLINK("https://baanknet.com/view-property/229375/B5FEF006C5CDE93E15FFD54AB07ECC025BD601604EBB8E8C6613D3E389E15BBC", "Open")</f>
        <v>Open</v>
      </c>
      <c r="J3351" t="s">
        <v>3803</v>
      </c>
      <c r="L3351">
        <v>4500000</v>
      </c>
      <c r="M3351">
        <v>450000</v>
      </c>
    </row>
    <row r="3352" spans="1:13" x14ac:dyDescent="0.25">
      <c r="A3352" t="s">
        <v>11290</v>
      </c>
      <c r="B3352" t="s">
        <v>11291</v>
      </c>
      <c r="C3352" t="s">
        <v>387</v>
      </c>
      <c r="D3352" t="s">
        <v>778</v>
      </c>
      <c r="E3352" t="s">
        <v>11023</v>
      </c>
      <c r="F3352" t="s">
        <v>11004</v>
      </c>
      <c r="G3352" t="s">
        <v>11292</v>
      </c>
      <c r="H3352" t="str">
        <f>HYPERLINK("https://baanknet.com/view-property/266071/57529CFAE64D687BC9FCF9E9E2E19A660CF9E503868D655FB2738C3F25478016", "https://baanknet.com/view-property/266071/57529CFAE64D687BC9FCF9E9E2E19A660CF9E503868D655FB2738C3F25478016")</f>
        <v>https://baanknet.com/view-property/266071/57529CFAE64D687BC9FCF9E9E2E19A660CF9E503868D655FB2738C3F25478016</v>
      </c>
      <c r="I3352" t="str">
        <f>HYPERLINK("https://baanknet.com/view-property/266071/57529CFAE64D687BC9FCF9E9E2E19A660CF9E503868D655FB2738C3F25478016", "Open")</f>
        <v>Open</v>
      </c>
      <c r="J3352" t="s">
        <v>3803</v>
      </c>
      <c r="L3352">
        <v>913000</v>
      </c>
      <c r="M3352">
        <v>91300</v>
      </c>
    </row>
    <row r="3353" spans="1:13" x14ac:dyDescent="0.25">
      <c r="A3353" t="s">
        <v>11293</v>
      </c>
      <c r="B3353" t="s">
        <v>11294</v>
      </c>
      <c r="C3353" t="s">
        <v>387</v>
      </c>
      <c r="D3353" t="s">
        <v>11295</v>
      </c>
      <c r="E3353" t="s">
        <v>11023</v>
      </c>
      <c r="F3353" t="s">
        <v>11004</v>
      </c>
      <c r="G3353" t="s">
        <v>11296</v>
      </c>
      <c r="H3353" t="str">
        <f>HYPERLINK("https://baanknet.com/view-property/189549/3C87B69BCA7431690B249889EE03EFA87C5E534740B938873694364C4479BED3", "https://baanknet.com/view-property/189549/3C87B69BCA7431690B249889EE03EFA87C5E534740B938873694364C4479BED3")</f>
        <v>https://baanknet.com/view-property/189549/3C87B69BCA7431690B249889EE03EFA87C5E534740B938873694364C4479BED3</v>
      </c>
      <c r="I3353" t="str">
        <f>HYPERLINK("https://baanknet.com/view-property/189549/3C87B69BCA7431690B249889EE03EFA87C5E534740B938873694364C4479BED3", "Open")</f>
        <v>Open</v>
      </c>
      <c r="J3353" t="s">
        <v>3803</v>
      </c>
      <c r="L3353">
        <v>1980000</v>
      </c>
      <c r="M3353">
        <v>198000</v>
      </c>
    </row>
    <row r="3354" spans="1:13" x14ac:dyDescent="0.25">
      <c r="A3354" t="s">
        <v>11297</v>
      </c>
      <c r="B3354" t="s">
        <v>11298</v>
      </c>
      <c r="C3354" t="s">
        <v>387</v>
      </c>
      <c r="D3354" t="s">
        <v>11295</v>
      </c>
      <c r="E3354" t="s">
        <v>11023</v>
      </c>
      <c r="F3354" t="s">
        <v>11004</v>
      </c>
      <c r="G3354" t="s">
        <v>11299</v>
      </c>
      <c r="H3354" t="str">
        <f>HYPERLINK("https://baanknet.com/view-property/189582/FEB16956DC56879DD8AD0354DAF624A59F4C853203AAFFE2399057B15FDB3754", "https://baanknet.com/view-property/189582/FEB16956DC56879DD8AD0354DAF624A59F4C853203AAFFE2399057B15FDB3754")</f>
        <v>https://baanknet.com/view-property/189582/FEB16956DC56879DD8AD0354DAF624A59F4C853203AAFFE2399057B15FDB3754</v>
      </c>
      <c r="I3354" t="str">
        <f>HYPERLINK("https://baanknet.com/view-property/189582/FEB16956DC56879DD8AD0354DAF624A59F4C853203AAFFE2399057B15FDB3754", "Open")</f>
        <v>Open</v>
      </c>
      <c r="J3354" t="s">
        <v>3803</v>
      </c>
      <c r="L3354">
        <v>1560000</v>
      </c>
      <c r="M3354">
        <v>156000</v>
      </c>
    </row>
    <row r="3355" spans="1:13" x14ac:dyDescent="0.25">
      <c r="A3355" t="s">
        <v>11300</v>
      </c>
      <c r="B3355" t="s">
        <v>11301</v>
      </c>
      <c r="C3355" t="s">
        <v>121</v>
      </c>
      <c r="D3355" t="s">
        <v>11302</v>
      </c>
      <c r="E3355" t="s">
        <v>11023</v>
      </c>
      <c r="F3355" t="s">
        <v>11004</v>
      </c>
      <c r="G3355" t="s">
        <v>11303</v>
      </c>
      <c r="H3355" t="str">
        <f>HYPERLINK("https://baanknet.com/view-property/234267/E7444218B487E345F12B64F2066959F87B57B0C8D8C01889816D8B3B990C2865", "https://baanknet.com/view-property/234267/E7444218B487E345F12B64F2066959F87B57B0C8D8C01889816D8B3B990C2865")</f>
        <v>https://baanknet.com/view-property/234267/E7444218B487E345F12B64F2066959F87B57B0C8D8C01889816D8B3B990C2865</v>
      </c>
      <c r="I3355" t="str">
        <f>HYPERLINK("https://baanknet.com/view-property/234267/E7444218B487E345F12B64F2066959F87B57B0C8D8C01889816D8B3B990C2865", "Open")</f>
        <v>Open</v>
      </c>
      <c r="J3355" t="s">
        <v>3803</v>
      </c>
      <c r="L3355">
        <v>1356345</v>
      </c>
      <c r="M3355">
        <v>135634.5</v>
      </c>
    </row>
    <row r="3356" spans="1:13" x14ac:dyDescent="0.25">
      <c r="A3356" t="s">
        <v>11304</v>
      </c>
      <c r="B3356" t="s">
        <v>11305</v>
      </c>
      <c r="C3356" t="s">
        <v>121</v>
      </c>
      <c r="D3356" t="s">
        <v>11302</v>
      </c>
      <c r="E3356" t="s">
        <v>11023</v>
      </c>
      <c r="F3356" t="s">
        <v>11004</v>
      </c>
      <c r="G3356" t="s">
        <v>11306</v>
      </c>
      <c r="H3356" t="str">
        <f>HYPERLINK("https://baanknet.com/view-property/234416/8573218FF14B64F333230388704073644E2A821FFA989E70E5A8EEBBFE27C3BA", "https://baanknet.com/view-property/234416/8573218FF14B64F333230388704073644E2A821FFA989E70E5A8EEBBFE27C3BA")</f>
        <v>https://baanknet.com/view-property/234416/8573218FF14B64F333230388704073644E2A821FFA989E70E5A8EEBBFE27C3BA</v>
      </c>
      <c r="I3356" t="str">
        <f>HYPERLINK("https://baanknet.com/view-property/234416/8573218FF14B64F333230388704073644E2A821FFA989E70E5A8EEBBFE27C3BA", "Open")</f>
        <v>Open</v>
      </c>
      <c r="J3356" t="s">
        <v>3803</v>
      </c>
      <c r="L3356">
        <v>1712875</v>
      </c>
      <c r="M3356">
        <v>171287.5</v>
      </c>
    </row>
    <row r="3357" spans="1:13" x14ac:dyDescent="0.25">
      <c r="A3357" t="s">
        <v>11307</v>
      </c>
      <c r="B3357" t="s">
        <v>11308</v>
      </c>
      <c r="C3357" t="s">
        <v>121</v>
      </c>
      <c r="D3357" t="s">
        <v>9804</v>
      </c>
      <c r="E3357" t="s">
        <v>11023</v>
      </c>
      <c r="F3357" t="s">
        <v>11004</v>
      </c>
      <c r="G3357" t="s">
        <v>11309</v>
      </c>
      <c r="H3357" t="str">
        <f>HYPERLINK("https://baanknet.com/view-property/261841/9781FEEDCCE793EF5FC001E2EC4FBE8DDDFF384722E33BEC653B418F238CA30E", "https://baanknet.com/view-property/261841/9781FEEDCCE793EF5FC001E2EC4FBE8DDDFF384722E33BEC653B418F238CA30E")</f>
        <v>https://baanknet.com/view-property/261841/9781FEEDCCE793EF5FC001E2EC4FBE8DDDFF384722E33BEC653B418F238CA30E</v>
      </c>
      <c r="I3357" t="str">
        <f>HYPERLINK("https://baanknet.com/view-property/261841/9781FEEDCCE793EF5FC001E2EC4FBE8DDDFF384722E33BEC653B418F238CA30E", "Open")</f>
        <v>Open</v>
      </c>
      <c r="J3357" t="s">
        <v>3803</v>
      </c>
      <c r="L3357">
        <v>3534952</v>
      </c>
      <c r="M3357">
        <v>353495.2</v>
      </c>
    </row>
    <row r="3358" spans="1:13" x14ac:dyDescent="0.25">
      <c r="A3358" t="s">
        <v>11310</v>
      </c>
      <c r="B3358" t="s">
        <v>11311</v>
      </c>
      <c r="C3358" t="s">
        <v>121</v>
      </c>
      <c r="D3358" t="s">
        <v>9804</v>
      </c>
      <c r="E3358" t="s">
        <v>11023</v>
      </c>
      <c r="F3358" t="s">
        <v>11004</v>
      </c>
      <c r="G3358" t="s">
        <v>11312</v>
      </c>
      <c r="H3358" t="str">
        <f>HYPERLINK("https://baanknet.com/view-property/281209/945A4B06828E2C3B4FAD1EA886E3ABF215C03E3A875B64876BCF97B9E8F86C95", "https://baanknet.com/view-property/281209/945A4B06828E2C3B4FAD1EA886E3ABF215C03E3A875B64876BCF97B9E8F86C95")</f>
        <v>https://baanknet.com/view-property/281209/945A4B06828E2C3B4FAD1EA886E3ABF215C03E3A875B64876BCF97B9E8F86C95</v>
      </c>
      <c r="I3358" t="str">
        <f>HYPERLINK("https://baanknet.com/view-property/281209/945A4B06828E2C3B4FAD1EA886E3ABF215C03E3A875B64876BCF97B9E8F86C95", "Open")</f>
        <v>Open</v>
      </c>
      <c r="J3358" t="s">
        <v>3803</v>
      </c>
      <c r="L3358">
        <v>2372818</v>
      </c>
      <c r="M3358">
        <v>237281.8</v>
      </c>
    </row>
    <row r="3359" spans="1:13" x14ac:dyDescent="0.25">
      <c r="A3359" t="s">
        <v>11313</v>
      </c>
      <c r="B3359" t="s">
        <v>11314</v>
      </c>
      <c r="C3359" t="s">
        <v>121</v>
      </c>
      <c r="D3359" t="s">
        <v>9804</v>
      </c>
      <c r="E3359" t="s">
        <v>11023</v>
      </c>
      <c r="F3359" t="s">
        <v>11004</v>
      </c>
      <c r="G3359" t="s">
        <v>11315</v>
      </c>
      <c r="H3359" t="str">
        <f>HYPERLINK("https://baanknet.com/view-property/281255/58707975CC92BAAFF137EA693B166C6C8CF97B2A5152655831E6CD5CAFD07790", "https://baanknet.com/view-property/281255/58707975CC92BAAFF137EA693B166C6C8CF97B2A5152655831E6CD5CAFD07790")</f>
        <v>https://baanknet.com/view-property/281255/58707975CC92BAAFF137EA693B166C6C8CF97B2A5152655831E6CD5CAFD07790</v>
      </c>
      <c r="I3359" t="str">
        <f>HYPERLINK("https://baanknet.com/view-property/281255/58707975CC92BAAFF137EA693B166C6C8CF97B2A5152655831E6CD5CAFD07790", "Open")</f>
        <v>Open</v>
      </c>
      <c r="J3359" t="s">
        <v>3803</v>
      </c>
      <c r="L3359">
        <v>3247691</v>
      </c>
      <c r="M3359">
        <v>324769.09999999998</v>
      </c>
    </row>
    <row r="3360" spans="1:13" x14ac:dyDescent="0.25">
      <c r="A3360" t="s">
        <v>11316</v>
      </c>
      <c r="B3360" t="s">
        <v>11317</v>
      </c>
      <c r="C3360" t="s">
        <v>387</v>
      </c>
      <c r="D3360" t="s">
        <v>11318</v>
      </c>
      <c r="E3360" t="s">
        <v>11023</v>
      </c>
      <c r="F3360" t="s">
        <v>11004</v>
      </c>
      <c r="G3360" t="s">
        <v>11319</v>
      </c>
      <c r="H3360" t="str">
        <f>HYPERLINK("https://baanknet.com/view-property/203961/7F03910C45BDE0569C988F7F40B6E9E5E676A98A509963676524C93FE4FF1308", "https://baanknet.com/view-property/203961/7F03910C45BDE0569C988F7F40B6E9E5E676A98A509963676524C93FE4FF1308")</f>
        <v>https://baanknet.com/view-property/203961/7F03910C45BDE0569C988F7F40B6E9E5E676A98A509963676524C93FE4FF1308</v>
      </c>
      <c r="I3360" t="str">
        <f>HYPERLINK("https://baanknet.com/view-property/203961/7F03910C45BDE0569C988F7F40B6E9E5E676A98A509963676524C93FE4FF1308", "Open")</f>
        <v>Open</v>
      </c>
      <c r="J3360" t="s">
        <v>3803</v>
      </c>
      <c r="L3360">
        <v>1078000</v>
      </c>
      <c r="M3360">
        <v>107800</v>
      </c>
    </row>
    <row r="3361" spans="1:13" x14ac:dyDescent="0.25">
      <c r="A3361" t="s">
        <v>11320</v>
      </c>
      <c r="B3361" t="s">
        <v>11321</v>
      </c>
      <c r="C3361" t="s">
        <v>387</v>
      </c>
      <c r="D3361" t="s">
        <v>4799</v>
      </c>
      <c r="E3361" t="s">
        <v>11023</v>
      </c>
      <c r="F3361" t="s">
        <v>11004</v>
      </c>
      <c r="G3361" t="s">
        <v>11322</v>
      </c>
      <c r="H3361" t="str">
        <f>HYPERLINK("https://baanknet.com/view-property/267984/E0941AD5D290373FA066AED328267CFFB93925C3EF60B4F02184DFA4ABE065A7", "https://baanknet.com/view-property/267984/E0941AD5D290373FA066AED328267CFFB93925C3EF60B4F02184DFA4ABE065A7")</f>
        <v>https://baanknet.com/view-property/267984/E0941AD5D290373FA066AED328267CFFB93925C3EF60B4F02184DFA4ABE065A7</v>
      </c>
      <c r="I3361" t="str">
        <f>HYPERLINK("https://baanknet.com/view-property/267984/E0941AD5D290373FA066AED328267CFFB93925C3EF60B4F02184DFA4ABE065A7", "Open")</f>
        <v>Open</v>
      </c>
      <c r="J3361" t="s">
        <v>3803</v>
      </c>
      <c r="L3361">
        <v>1970000</v>
      </c>
      <c r="M3361">
        <v>197000</v>
      </c>
    </row>
    <row r="3362" spans="1:13" x14ac:dyDescent="0.25">
      <c r="A3362" t="s">
        <v>11323</v>
      </c>
      <c r="B3362" t="s">
        <v>11324</v>
      </c>
      <c r="C3362" t="s">
        <v>387</v>
      </c>
      <c r="D3362" t="s">
        <v>4799</v>
      </c>
      <c r="E3362" t="s">
        <v>11023</v>
      </c>
      <c r="F3362" t="s">
        <v>11004</v>
      </c>
      <c r="G3362" t="s">
        <v>11325</v>
      </c>
      <c r="H3362" t="str">
        <f>HYPERLINK("https://baanknet.com/view-property/248579/883790904DBBA1EA3E2B3428B7A3FBD97C7457D295FCC22B956CC41EFA32D55A", "https://baanknet.com/view-property/248579/883790904DBBA1EA3E2B3428B7A3FBD97C7457D295FCC22B956CC41EFA32D55A")</f>
        <v>https://baanknet.com/view-property/248579/883790904DBBA1EA3E2B3428B7A3FBD97C7457D295FCC22B956CC41EFA32D55A</v>
      </c>
      <c r="I3362" t="str">
        <f>HYPERLINK("https://baanknet.com/view-property/248579/883790904DBBA1EA3E2B3428B7A3FBD97C7457D295FCC22B956CC41EFA32D55A", "Open")</f>
        <v>Open</v>
      </c>
      <c r="J3362" t="s">
        <v>3803</v>
      </c>
      <c r="L3362">
        <v>2525000</v>
      </c>
      <c r="M3362">
        <v>252500</v>
      </c>
    </row>
    <row r="3363" spans="1:13" x14ac:dyDescent="0.25">
      <c r="A3363" t="s">
        <v>11326</v>
      </c>
      <c r="B3363" t="s">
        <v>11327</v>
      </c>
      <c r="C3363" t="s">
        <v>387</v>
      </c>
      <c r="D3363" t="s">
        <v>4799</v>
      </c>
      <c r="E3363" t="s">
        <v>11023</v>
      </c>
      <c r="F3363" t="s">
        <v>11004</v>
      </c>
      <c r="G3363" t="s">
        <v>11328</v>
      </c>
      <c r="H3363" t="str">
        <f>HYPERLINK("https://baanknet.com/view-property/248590/664CEF3E027E965FE2E8ACDCFE43F7C5B66D58A0CA261FD1397B49DD3D1C31BD", "https://baanknet.com/view-property/248590/664CEF3E027E965FE2E8ACDCFE43F7C5B66D58A0CA261FD1397B49DD3D1C31BD")</f>
        <v>https://baanknet.com/view-property/248590/664CEF3E027E965FE2E8ACDCFE43F7C5B66D58A0CA261FD1397B49DD3D1C31BD</v>
      </c>
      <c r="I3363" t="str">
        <f>HYPERLINK("https://baanknet.com/view-property/248590/664CEF3E027E965FE2E8ACDCFE43F7C5B66D58A0CA261FD1397B49DD3D1C31BD", "Open")</f>
        <v>Open</v>
      </c>
      <c r="J3363" t="s">
        <v>3803</v>
      </c>
      <c r="L3363">
        <v>1350000</v>
      </c>
      <c r="M3363">
        <v>135000</v>
      </c>
    </row>
    <row r="3364" spans="1:13" x14ac:dyDescent="0.25">
      <c r="A3364" t="s">
        <v>11329</v>
      </c>
      <c r="B3364" t="s">
        <v>11330</v>
      </c>
      <c r="C3364" t="s">
        <v>387</v>
      </c>
      <c r="D3364" t="s">
        <v>4799</v>
      </c>
      <c r="E3364" t="s">
        <v>11023</v>
      </c>
      <c r="F3364" t="s">
        <v>11004</v>
      </c>
      <c r="G3364" t="s">
        <v>11331</v>
      </c>
      <c r="H3364" t="str">
        <f>HYPERLINK("https://baanknet.com/view-property/248494/B7A51FAE605AD9DBA7FBCB2B5AA168D4B23ED7D96DCA153E3BC88CA30593980C", "https://baanknet.com/view-property/248494/B7A51FAE605AD9DBA7FBCB2B5AA168D4B23ED7D96DCA153E3BC88CA30593980C")</f>
        <v>https://baanknet.com/view-property/248494/B7A51FAE605AD9DBA7FBCB2B5AA168D4B23ED7D96DCA153E3BC88CA30593980C</v>
      </c>
      <c r="I3364" t="str">
        <f>HYPERLINK("https://baanknet.com/view-property/248494/B7A51FAE605AD9DBA7FBCB2B5AA168D4B23ED7D96DCA153E3BC88CA30593980C", "Open")</f>
        <v>Open</v>
      </c>
      <c r="J3364" t="s">
        <v>3803</v>
      </c>
      <c r="L3364">
        <v>1200000</v>
      </c>
      <c r="M3364">
        <v>120000</v>
      </c>
    </row>
    <row r="3365" spans="1:13" x14ac:dyDescent="0.25">
      <c r="A3365" t="s">
        <v>11332</v>
      </c>
      <c r="B3365" t="s">
        <v>11333</v>
      </c>
      <c r="C3365" t="s">
        <v>387</v>
      </c>
      <c r="D3365" t="s">
        <v>11334</v>
      </c>
      <c r="E3365" t="s">
        <v>11023</v>
      </c>
      <c r="F3365" t="s">
        <v>11004</v>
      </c>
      <c r="G3365" t="s">
        <v>11335</v>
      </c>
      <c r="H3365" t="str">
        <f>HYPERLINK("https://baanknet.com/view-property/262795/3C678F21EE614401445970BEB81FDBE73D5E8EBACC29EBC72BCF4D6AC6BE980E", "https://baanknet.com/view-property/262795/3C678F21EE614401445970BEB81FDBE73D5E8EBACC29EBC72BCF4D6AC6BE980E")</f>
        <v>https://baanknet.com/view-property/262795/3C678F21EE614401445970BEB81FDBE73D5E8EBACC29EBC72BCF4D6AC6BE980E</v>
      </c>
      <c r="I3365" t="str">
        <f>HYPERLINK("https://baanknet.com/view-property/262795/3C678F21EE614401445970BEB81FDBE73D5E8EBACC29EBC72BCF4D6AC6BE980E", "Open")</f>
        <v>Open</v>
      </c>
      <c r="J3365" t="s">
        <v>3803</v>
      </c>
      <c r="L3365">
        <v>631000</v>
      </c>
      <c r="M3365">
        <v>63100</v>
      </c>
    </row>
    <row r="3366" spans="1:13" x14ac:dyDescent="0.25">
      <c r="A3366" t="s">
        <v>11336</v>
      </c>
      <c r="B3366" t="s">
        <v>11337</v>
      </c>
      <c r="C3366" t="s">
        <v>387</v>
      </c>
      <c r="D3366" t="s">
        <v>11334</v>
      </c>
      <c r="E3366" t="s">
        <v>11023</v>
      </c>
      <c r="F3366" t="s">
        <v>11004</v>
      </c>
      <c r="G3366" t="s">
        <v>11338</v>
      </c>
      <c r="H3366" t="str">
        <f>HYPERLINK("https://baanknet.com/view-property/262819/A1A3A4F49DE8CA163A67EB46A04BB3BE1C3BDAB0C19AED431E4EE2D7D38CD282", "https://baanknet.com/view-property/262819/A1A3A4F49DE8CA163A67EB46A04BB3BE1C3BDAB0C19AED431E4EE2D7D38CD282")</f>
        <v>https://baanknet.com/view-property/262819/A1A3A4F49DE8CA163A67EB46A04BB3BE1C3BDAB0C19AED431E4EE2D7D38CD282</v>
      </c>
      <c r="I3366" t="str">
        <f>HYPERLINK("https://baanknet.com/view-property/262819/A1A3A4F49DE8CA163A67EB46A04BB3BE1C3BDAB0C19AED431E4EE2D7D38CD282", "Open")</f>
        <v>Open</v>
      </c>
      <c r="J3366" t="s">
        <v>3803</v>
      </c>
      <c r="L3366">
        <v>631000</v>
      </c>
      <c r="M3366">
        <v>63100</v>
      </c>
    </row>
    <row r="3367" spans="1:13" x14ac:dyDescent="0.25">
      <c r="A3367" t="s">
        <v>11339</v>
      </c>
      <c r="B3367" t="s">
        <v>11340</v>
      </c>
      <c r="C3367" t="s">
        <v>387</v>
      </c>
      <c r="D3367" t="s">
        <v>11334</v>
      </c>
      <c r="E3367" t="s">
        <v>11023</v>
      </c>
      <c r="F3367" t="s">
        <v>11004</v>
      </c>
      <c r="G3367" t="s">
        <v>11341</v>
      </c>
      <c r="H3367" t="str">
        <f>HYPERLINK("https://baanknet.com/view-property/262827/8069946FCC9CAFCEC6C104C6ADDF22828D70041D5E989222B8607ADDB197A64F", "https://baanknet.com/view-property/262827/8069946FCC9CAFCEC6C104C6ADDF22828D70041D5E989222B8607ADDB197A64F")</f>
        <v>https://baanknet.com/view-property/262827/8069946FCC9CAFCEC6C104C6ADDF22828D70041D5E989222B8607ADDB197A64F</v>
      </c>
      <c r="I3367" t="str">
        <f>HYPERLINK("https://baanknet.com/view-property/262827/8069946FCC9CAFCEC6C104C6ADDF22828D70041D5E989222B8607ADDB197A64F", "Open")</f>
        <v>Open</v>
      </c>
      <c r="J3367" t="s">
        <v>3803</v>
      </c>
      <c r="L3367">
        <v>4018000</v>
      </c>
      <c r="M3367">
        <v>401800</v>
      </c>
    </row>
    <row r="3368" spans="1:13" x14ac:dyDescent="0.25">
      <c r="A3368" t="s">
        <v>11342</v>
      </c>
      <c r="B3368" t="s">
        <v>11343</v>
      </c>
      <c r="C3368" t="s">
        <v>387</v>
      </c>
      <c r="D3368" t="s">
        <v>11344</v>
      </c>
      <c r="E3368" t="s">
        <v>11023</v>
      </c>
      <c r="F3368" t="s">
        <v>11004</v>
      </c>
      <c r="G3368" t="s">
        <v>11345</v>
      </c>
      <c r="H3368" t="str">
        <f>HYPERLINK("https://baanknet.com/view-property/267952/345EEE55E345D46A53E98A8CC32F82527CA6B8073776A992AB10EBEA54797CFC", "https://baanknet.com/view-property/267952/345EEE55E345D46A53E98A8CC32F82527CA6B8073776A992AB10EBEA54797CFC")</f>
        <v>https://baanknet.com/view-property/267952/345EEE55E345D46A53E98A8CC32F82527CA6B8073776A992AB10EBEA54797CFC</v>
      </c>
      <c r="I3368" t="str">
        <f>HYPERLINK("https://baanknet.com/view-property/267952/345EEE55E345D46A53E98A8CC32F82527CA6B8073776A992AB10EBEA54797CFC", "Open")</f>
        <v>Open</v>
      </c>
      <c r="J3368" t="s">
        <v>3803</v>
      </c>
      <c r="L3368">
        <v>1754000</v>
      </c>
      <c r="M3368">
        <v>175400</v>
      </c>
    </row>
    <row r="3369" spans="1:13" x14ac:dyDescent="0.25">
      <c r="A3369" t="s">
        <v>11346</v>
      </c>
      <c r="B3369" t="s">
        <v>11347</v>
      </c>
      <c r="C3369" t="s">
        <v>387</v>
      </c>
      <c r="D3369" t="s">
        <v>4471</v>
      </c>
      <c r="E3369" t="s">
        <v>11023</v>
      </c>
      <c r="F3369" t="s">
        <v>11004</v>
      </c>
      <c r="G3369" t="s">
        <v>11348</v>
      </c>
      <c r="H3369" t="str">
        <f>HYPERLINK("https://baanknet.com/view-property/277757/11FEF214C5B1FF70C4E3E163E0066F1DC7CE87B260345D6B52CF7C03F8EA03C1", "https://baanknet.com/view-property/277757/11FEF214C5B1FF70C4E3E163E0066F1DC7CE87B260345D6B52CF7C03F8EA03C1")</f>
        <v>https://baanknet.com/view-property/277757/11FEF214C5B1FF70C4E3E163E0066F1DC7CE87B260345D6B52CF7C03F8EA03C1</v>
      </c>
      <c r="I3369" t="str">
        <f>HYPERLINK("https://baanknet.com/view-property/277757/11FEF214C5B1FF70C4E3E163E0066F1DC7CE87B260345D6B52CF7C03F8EA03C1", "Open")</f>
        <v>Open</v>
      </c>
      <c r="J3369" t="s">
        <v>3803</v>
      </c>
      <c r="L3369">
        <v>1291000</v>
      </c>
      <c r="M3369">
        <v>129100</v>
      </c>
    </row>
    <row r="3370" spans="1:13" x14ac:dyDescent="0.25">
      <c r="A3370" t="s">
        <v>11349</v>
      </c>
      <c r="B3370" t="s">
        <v>11350</v>
      </c>
      <c r="C3370" t="s">
        <v>387</v>
      </c>
      <c r="D3370" t="s">
        <v>5193</v>
      </c>
      <c r="E3370" t="s">
        <v>11023</v>
      </c>
      <c r="F3370" t="s">
        <v>11004</v>
      </c>
      <c r="G3370" t="s">
        <v>11351</v>
      </c>
      <c r="H3370" t="str">
        <f>HYPERLINK("https://baanknet.com/view-property/277996/E3F847AF1E0B121FD9E67783266C9F18096D57A7672BC73AAF0BAD5A183DA9B8", "https://baanknet.com/view-property/277996/E3F847AF1E0B121FD9E67783266C9F18096D57A7672BC73AAF0BAD5A183DA9B8")</f>
        <v>https://baanknet.com/view-property/277996/E3F847AF1E0B121FD9E67783266C9F18096D57A7672BC73AAF0BAD5A183DA9B8</v>
      </c>
      <c r="I3370" t="str">
        <f>HYPERLINK("https://baanknet.com/view-property/277996/E3F847AF1E0B121FD9E67783266C9F18096D57A7672BC73AAF0BAD5A183DA9B8", "Open")</f>
        <v>Open</v>
      </c>
      <c r="J3370" t="s">
        <v>3803</v>
      </c>
      <c r="L3370">
        <v>1051000</v>
      </c>
      <c r="M3370">
        <v>105100</v>
      </c>
    </row>
    <row r="3371" spans="1:13" x14ac:dyDescent="0.25">
      <c r="A3371" t="s">
        <v>11352</v>
      </c>
      <c r="B3371" t="s">
        <v>11353</v>
      </c>
      <c r="C3371" t="s">
        <v>387</v>
      </c>
      <c r="D3371" t="s">
        <v>11344</v>
      </c>
      <c r="E3371" t="s">
        <v>11023</v>
      </c>
      <c r="F3371" t="s">
        <v>11004</v>
      </c>
      <c r="G3371" t="s">
        <v>11354</v>
      </c>
      <c r="H3371" t="str">
        <f>HYPERLINK("https://baanknet.com/view-property/267955/65301D82A676AB346CB9EC492AE6513E73F0C1DE272F9FE5033FF61389F1DD68", "https://baanknet.com/view-property/267955/65301D82A676AB346CB9EC492AE6513E73F0C1DE272F9FE5033FF61389F1DD68")</f>
        <v>https://baanknet.com/view-property/267955/65301D82A676AB346CB9EC492AE6513E73F0C1DE272F9FE5033FF61389F1DD68</v>
      </c>
      <c r="I3371" t="str">
        <f>HYPERLINK("https://baanknet.com/view-property/267955/65301D82A676AB346CB9EC492AE6513E73F0C1DE272F9FE5033FF61389F1DD68", "Open")</f>
        <v>Open</v>
      </c>
      <c r="J3371" t="s">
        <v>3803</v>
      </c>
      <c r="L3371">
        <v>910000</v>
      </c>
      <c r="M3371">
        <v>91000</v>
      </c>
    </row>
    <row r="3372" spans="1:13" x14ac:dyDescent="0.25">
      <c r="A3372" t="s">
        <v>11355</v>
      </c>
      <c r="B3372" t="s">
        <v>11356</v>
      </c>
      <c r="C3372" t="s">
        <v>387</v>
      </c>
      <c r="D3372" t="s">
        <v>11357</v>
      </c>
      <c r="E3372" t="s">
        <v>11023</v>
      </c>
      <c r="F3372" t="s">
        <v>11004</v>
      </c>
      <c r="G3372" t="s">
        <v>11358</v>
      </c>
      <c r="H3372" t="str">
        <f>HYPERLINK("https://baanknet.com/view-property/277956/CBF6D839E6B55D6ED5440EA30283D3A7574D4FF7850E87D7CBEE6B81300CED8F", "https://baanknet.com/view-property/277956/CBF6D839E6B55D6ED5440EA30283D3A7574D4FF7850E87D7CBEE6B81300CED8F")</f>
        <v>https://baanknet.com/view-property/277956/CBF6D839E6B55D6ED5440EA30283D3A7574D4FF7850E87D7CBEE6B81300CED8F</v>
      </c>
      <c r="I3372" t="str">
        <f>HYPERLINK("https://baanknet.com/view-property/277956/CBF6D839E6B55D6ED5440EA30283D3A7574D4FF7850E87D7CBEE6B81300CED8F", "Open")</f>
        <v>Open</v>
      </c>
      <c r="J3372" t="s">
        <v>3803</v>
      </c>
      <c r="L3372">
        <v>2576000</v>
      </c>
      <c r="M3372">
        <v>257600</v>
      </c>
    </row>
    <row r="3373" spans="1:13" x14ac:dyDescent="0.25">
      <c r="A3373" t="s">
        <v>11359</v>
      </c>
      <c r="B3373" t="s">
        <v>11360</v>
      </c>
      <c r="C3373" t="s">
        <v>387</v>
      </c>
      <c r="D3373" t="s">
        <v>11361</v>
      </c>
      <c r="E3373" t="s">
        <v>11023</v>
      </c>
      <c r="F3373" t="s">
        <v>11004</v>
      </c>
      <c r="G3373" t="s">
        <v>11362</v>
      </c>
      <c r="H3373" t="str">
        <f>HYPERLINK("https://baanknet.com/view-property/277967/4E1F8D44FCA8BB7FBF8AD9022051128392A07498F0F268BD1E7E535339A0BF66", "https://baanknet.com/view-property/277967/4E1F8D44FCA8BB7FBF8AD9022051128392A07498F0F268BD1E7E535339A0BF66")</f>
        <v>https://baanknet.com/view-property/277967/4E1F8D44FCA8BB7FBF8AD9022051128392A07498F0F268BD1E7E535339A0BF66</v>
      </c>
      <c r="I3373" t="str">
        <f>HYPERLINK("https://baanknet.com/view-property/277967/4E1F8D44FCA8BB7FBF8AD9022051128392A07498F0F268BD1E7E535339A0BF66", "Open")</f>
        <v>Open</v>
      </c>
      <c r="J3373" t="s">
        <v>3803</v>
      </c>
      <c r="L3373">
        <v>221000</v>
      </c>
      <c r="M3373">
        <v>22100</v>
      </c>
    </row>
    <row r="3374" spans="1:13" x14ac:dyDescent="0.25">
      <c r="A3374" t="s">
        <v>11363</v>
      </c>
      <c r="B3374" t="s">
        <v>11364</v>
      </c>
      <c r="C3374" t="s">
        <v>387</v>
      </c>
      <c r="D3374" t="s">
        <v>5239</v>
      </c>
      <c r="E3374" t="s">
        <v>11023</v>
      </c>
      <c r="F3374" t="s">
        <v>11004</v>
      </c>
      <c r="G3374" t="s">
        <v>11365</v>
      </c>
      <c r="H3374" t="str">
        <f>HYPERLINK("https://baanknet.com/view-property/278061/76831B89D376692275EF2C369A03CCEBD0E1BF4539CF383295B5726E3C5F91BD", "https://baanknet.com/view-property/278061/76831B89D376692275EF2C369A03CCEBD0E1BF4539CF383295B5726E3C5F91BD")</f>
        <v>https://baanknet.com/view-property/278061/76831B89D376692275EF2C369A03CCEBD0E1BF4539CF383295B5726E3C5F91BD</v>
      </c>
      <c r="I3374" t="str">
        <f>HYPERLINK("https://baanknet.com/view-property/278061/76831B89D376692275EF2C369A03CCEBD0E1BF4539CF383295B5726E3C5F91BD", "Open")</f>
        <v>Open</v>
      </c>
      <c r="J3374" t="s">
        <v>3803</v>
      </c>
      <c r="L3374">
        <v>2102000</v>
      </c>
      <c r="M3374">
        <v>210200</v>
      </c>
    </row>
    <row r="3375" spans="1:13" x14ac:dyDescent="0.25">
      <c r="A3375" t="s">
        <v>11366</v>
      </c>
      <c r="B3375" t="s">
        <v>11367</v>
      </c>
      <c r="C3375" t="s">
        <v>387</v>
      </c>
      <c r="D3375" t="s">
        <v>6417</v>
      </c>
      <c r="E3375" t="s">
        <v>11023</v>
      </c>
      <c r="F3375" t="s">
        <v>11004</v>
      </c>
      <c r="G3375" t="s">
        <v>11368</v>
      </c>
      <c r="H3375" t="str">
        <f>HYPERLINK("https://baanknet.com/view-property/278045/2D5AEBD4FC958A6CAC4B1B8AC6825FA5F9DCC8B539D6C6D8747902A338582557", "https://baanknet.com/view-property/278045/2D5AEBD4FC958A6CAC4B1B8AC6825FA5F9DCC8B539D6C6D8747902A338582557")</f>
        <v>https://baanknet.com/view-property/278045/2D5AEBD4FC958A6CAC4B1B8AC6825FA5F9DCC8B539D6C6D8747902A338582557</v>
      </c>
      <c r="I3375" t="str">
        <f>HYPERLINK("https://baanknet.com/view-property/278045/2D5AEBD4FC958A6CAC4B1B8AC6825FA5F9DCC8B539D6C6D8747902A338582557", "Open")</f>
        <v>Open</v>
      </c>
      <c r="J3375" t="s">
        <v>3803</v>
      </c>
      <c r="L3375">
        <v>1971000</v>
      </c>
      <c r="M3375">
        <v>197100</v>
      </c>
    </row>
    <row r="3376" spans="1:13" x14ac:dyDescent="0.25">
      <c r="A3376" t="s">
        <v>11369</v>
      </c>
      <c r="B3376" t="s">
        <v>11370</v>
      </c>
      <c r="C3376" t="s">
        <v>387</v>
      </c>
      <c r="D3376" t="s">
        <v>5239</v>
      </c>
      <c r="E3376" t="s">
        <v>11023</v>
      </c>
      <c r="F3376" t="s">
        <v>11004</v>
      </c>
      <c r="G3376" t="s">
        <v>11371</v>
      </c>
      <c r="H3376" t="str">
        <f>HYPERLINK("https://baanknet.com/view-property/278035/22ADF5D8F35684BDCDBD894E2E3F8DB78C0353E4DAAE0BA12DCDD6675C8C9656", "https://baanknet.com/view-property/278035/22ADF5D8F35684BDCDBD894E2E3F8DB78C0353E4DAAE0BA12DCDD6675C8C9656")</f>
        <v>https://baanknet.com/view-property/278035/22ADF5D8F35684BDCDBD894E2E3F8DB78C0353E4DAAE0BA12DCDD6675C8C9656</v>
      </c>
      <c r="I3376" t="str">
        <f>HYPERLINK("https://baanknet.com/view-property/278035/22ADF5D8F35684BDCDBD894E2E3F8DB78C0353E4DAAE0BA12DCDD6675C8C9656", "Open")</f>
        <v>Open</v>
      </c>
      <c r="J3376" t="s">
        <v>3803</v>
      </c>
      <c r="L3376">
        <v>981000</v>
      </c>
      <c r="M3376">
        <v>98100</v>
      </c>
    </row>
    <row r="3377" spans="1:13" x14ac:dyDescent="0.25">
      <c r="A3377" t="s">
        <v>11372</v>
      </c>
      <c r="B3377" t="s">
        <v>11373</v>
      </c>
      <c r="C3377" t="s">
        <v>387</v>
      </c>
      <c r="D3377" t="s">
        <v>11334</v>
      </c>
      <c r="E3377" t="s">
        <v>11023</v>
      </c>
      <c r="F3377" t="s">
        <v>11004</v>
      </c>
      <c r="G3377" t="s">
        <v>11374</v>
      </c>
      <c r="H3377" t="str">
        <f>HYPERLINK("https://baanknet.com/view-property/262814/D1F111FBAD54E0C51AA363BAE331CD19E6D15301939596DD664415C3803F1073", "https://baanknet.com/view-property/262814/D1F111FBAD54E0C51AA363BAE331CD19E6D15301939596DD664415C3803F1073")</f>
        <v>https://baanknet.com/view-property/262814/D1F111FBAD54E0C51AA363BAE331CD19E6D15301939596DD664415C3803F1073</v>
      </c>
      <c r="I3377" t="str">
        <f>HYPERLINK("https://baanknet.com/view-property/262814/D1F111FBAD54E0C51AA363BAE331CD19E6D15301939596DD664415C3803F1073", "Open")</f>
        <v>Open</v>
      </c>
      <c r="J3377" t="s">
        <v>3803</v>
      </c>
      <c r="L3377">
        <v>822000</v>
      </c>
      <c r="M3377">
        <v>82200</v>
      </c>
    </row>
    <row r="3378" spans="1:13" x14ac:dyDescent="0.25">
      <c r="A3378" t="s">
        <v>11375</v>
      </c>
      <c r="B3378" t="s">
        <v>11376</v>
      </c>
      <c r="C3378" t="s">
        <v>387</v>
      </c>
      <c r="D3378" t="s">
        <v>5025</v>
      </c>
      <c r="E3378" t="s">
        <v>11023</v>
      </c>
      <c r="F3378" t="s">
        <v>11004</v>
      </c>
      <c r="G3378" t="s">
        <v>11377</v>
      </c>
      <c r="H3378" t="str">
        <f>HYPERLINK("https://baanknet.com/view-property/219148/AC01AB7EB52E9854B51A5E89DF0F61D1080ADEB59646162990A517A1C2938583", "https://baanknet.com/view-property/219148/AC01AB7EB52E9854B51A5E89DF0F61D1080ADEB59646162990A517A1C2938583")</f>
        <v>https://baanknet.com/view-property/219148/AC01AB7EB52E9854B51A5E89DF0F61D1080ADEB59646162990A517A1C2938583</v>
      </c>
      <c r="I3378" t="str">
        <f>HYPERLINK("https://baanknet.com/view-property/219148/AC01AB7EB52E9854B51A5E89DF0F61D1080ADEB59646162990A517A1C2938583", "Open")</f>
        <v>Open</v>
      </c>
      <c r="J3378" t="s">
        <v>3803</v>
      </c>
      <c r="L3378">
        <v>1800000</v>
      </c>
      <c r="M3378">
        <v>180000</v>
      </c>
    </row>
    <row r="3379" spans="1:13" x14ac:dyDescent="0.25">
      <c r="A3379" t="s">
        <v>11378</v>
      </c>
      <c r="B3379" t="s">
        <v>11379</v>
      </c>
      <c r="C3379" t="s">
        <v>387</v>
      </c>
      <c r="D3379" t="s">
        <v>5025</v>
      </c>
      <c r="E3379" t="s">
        <v>11023</v>
      </c>
      <c r="F3379" t="s">
        <v>11004</v>
      </c>
      <c r="G3379" t="s">
        <v>11380</v>
      </c>
      <c r="H3379" t="str">
        <f>HYPERLINK("https://baanknet.com/view-property/219146/C13E9DD96397E1CA96999D85AF2514C5CDFE73657E272F9636F54DC369799178", "https://baanknet.com/view-property/219146/C13E9DD96397E1CA96999D85AF2514C5CDFE73657E272F9636F54DC369799178")</f>
        <v>https://baanknet.com/view-property/219146/C13E9DD96397E1CA96999D85AF2514C5CDFE73657E272F9636F54DC369799178</v>
      </c>
      <c r="I3379" t="str">
        <f>HYPERLINK("https://baanknet.com/view-property/219146/C13E9DD96397E1CA96999D85AF2514C5CDFE73657E272F9636F54DC369799178", "Open")</f>
        <v>Open</v>
      </c>
      <c r="J3379" t="s">
        <v>3803</v>
      </c>
      <c r="L3379">
        <v>6600000</v>
      </c>
      <c r="M3379">
        <v>660000</v>
      </c>
    </row>
    <row r="3380" spans="1:13" x14ac:dyDescent="0.25">
      <c r="A3380" t="s">
        <v>11381</v>
      </c>
      <c r="B3380" t="s">
        <v>11382</v>
      </c>
      <c r="C3380" t="s">
        <v>387</v>
      </c>
      <c r="D3380" t="s">
        <v>5025</v>
      </c>
      <c r="E3380" t="s">
        <v>11023</v>
      </c>
      <c r="F3380" t="s">
        <v>11004</v>
      </c>
      <c r="G3380" t="s">
        <v>11383</v>
      </c>
      <c r="H3380" t="str">
        <f>HYPERLINK("https://baanknet.com/view-property/219140/9E0A3DAF9AF830AED40B07715482C100B1D8CAA5452ED8E606F1500B230626B6", "https://baanknet.com/view-property/219140/9E0A3DAF9AF830AED40B07715482C100B1D8CAA5452ED8E606F1500B230626B6")</f>
        <v>https://baanknet.com/view-property/219140/9E0A3DAF9AF830AED40B07715482C100B1D8CAA5452ED8E606F1500B230626B6</v>
      </c>
      <c r="I3380" t="str">
        <f>HYPERLINK("https://baanknet.com/view-property/219140/9E0A3DAF9AF830AED40B07715482C100B1D8CAA5452ED8E606F1500B230626B6", "Open")</f>
        <v>Open</v>
      </c>
      <c r="J3380" t="s">
        <v>3803</v>
      </c>
      <c r="L3380">
        <v>3200000</v>
      </c>
      <c r="M3380">
        <v>320000</v>
      </c>
    </row>
    <row r="3381" spans="1:13" x14ac:dyDescent="0.25">
      <c r="A3381" t="s">
        <v>11384</v>
      </c>
      <c r="B3381" t="s">
        <v>11385</v>
      </c>
      <c r="C3381" t="s">
        <v>387</v>
      </c>
      <c r="D3381" t="s">
        <v>5018</v>
      </c>
      <c r="E3381" t="s">
        <v>11023</v>
      </c>
      <c r="F3381" t="s">
        <v>11004</v>
      </c>
      <c r="G3381" t="s">
        <v>11386</v>
      </c>
      <c r="H3381" t="str">
        <f>HYPERLINK("https://baanknet.com/view-property/213708/03E2EB3D1634B8927B9660E9F4A4E000BB7DCD8133ECCB9EB05F271D8604C049", "https://baanknet.com/view-property/213708/03E2EB3D1634B8927B9660E9F4A4E000BB7DCD8133ECCB9EB05F271D8604C049")</f>
        <v>https://baanknet.com/view-property/213708/03E2EB3D1634B8927B9660E9F4A4E000BB7DCD8133ECCB9EB05F271D8604C049</v>
      </c>
      <c r="I3381" t="str">
        <f>HYPERLINK("https://baanknet.com/view-property/213708/03E2EB3D1634B8927B9660E9F4A4E000BB7DCD8133ECCB9EB05F271D8604C049", "Open")</f>
        <v>Open</v>
      </c>
      <c r="J3381" t="s">
        <v>3803</v>
      </c>
      <c r="L3381">
        <v>5546000</v>
      </c>
      <c r="M3381">
        <v>554600</v>
      </c>
    </row>
    <row r="3382" spans="1:13" x14ac:dyDescent="0.25">
      <c r="A3382" t="s">
        <v>11387</v>
      </c>
      <c r="B3382" t="s">
        <v>11388</v>
      </c>
      <c r="C3382" t="s">
        <v>387</v>
      </c>
      <c r="D3382" t="s">
        <v>102</v>
      </c>
      <c r="E3382" t="s">
        <v>11023</v>
      </c>
      <c r="F3382" t="s">
        <v>11004</v>
      </c>
      <c r="G3382" t="s">
        <v>11389</v>
      </c>
      <c r="H3382" t="str">
        <f>HYPERLINK("https://baanknet.com/view-property/202136/48DEF6BF08FEF9FE7921220C314F8340BA9A240CBA9C7BF2F3055D2CF7D43DCF", "https://baanknet.com/view-property/202136/48DEF6BF08FEF9FE7921220C314F8340BA9A240CBA9C7BF2F3055D2CF7D43DCF")</f>
        <v>https://baanknet.com/view-property/202136/48DEF6BF08FEF9FE7921220C314F8340BA9A240CBA9C7BF2F3055D2CF7D43DCF</v>
      </c>
      <c r="I3382" t="str">
        <f>HYPERLINK("https://baanknet.com/view-property/202136/48DEF6BF08FEF9FE7921220C314F8340BA9A240CBA9C7BF2F3055D2CF7D43DCF", "Open")</f>
        <v>Open</v>
      </c>
      <c r="J3382" t="s">
        <v>3803</v>
      </c>
      <c r="L3382">
        <v>2848000</v>
      </c>
      <c r="M3382">
        <v>284800</v>
      </c>
    </row>
    <row r="3383" spans="1:13" x14ac:dyDescent="0.25">
      <c r="A3383" t="s">
        <v>11390</v>
      </c>
      <c r="B3383" t="s">
        <v>11391</v>
      </c>
      <c r="C3383" t="s">
        <v>387</v>
      </c>
      <c r="D3383" t="s">
        <v>4888</v>
      </c>
      <c r="E3383" t="s">
        <v>11023</v>
      </c>
      <c r="F3383" t="s">
        <v>11004</v>
      </c>
      <c r="G3383" t="s">
        <v>11392</v>
      </c>
      <c r="H3383" t="str">
        <f>HYPERLINK("https://baanknet.com/view-property/203033/B64DF977E18296A83F1685280AEC1FFE16891F418E28250BFFA7DDB32437B72A", "https://baanknet.com/view-property/203033/B64DF977E18296A83F1685280AEC1FFE16891F418E28250BFFA7DDB32437B72A")</f>
        <v>https://baanknet.com/view-property/203033/B64DF977E18296A83F1685280AEC1FFE16891F418E28250BFFA7DDB32437B72A</v>
      </c>
      <c r="I3383" t="str">
        <f>HYPERLINK("https://baanknet.com/view-property/203033/B64DF977E18296A83F1685280AEC1FFE16891F418E28250BFFA7DDB32437B72A", "Open")</f>
        <v>Open</v>
      </c>
      <c r="J3383" t="s">
        <v>3803</v>
      </c>
      <c r="L3383">
        <v>18700000</v>
      </c>
      <c r="M3383">
        <v>1870000</v>
      </c>
    </row>
    <row r="3384" spans="1:13" x14ac:dyDescent="0.25">
      <c r="A3384" t="s">
        <v>11393</v>
      </c>
      <c r="B3384" t="s">
        <v>11394</v>
      </c>
      <c r="C3384" t="s">
        <v>387</v>
      </c>
      <c r="D3384" t="s">
        <v>4888</v>
      </c>
      <c r="E3384" t="s">
        <v>11023</v>
      </c>
      <c r="F3384" t="s">
        <v>11004</v>
      </c>
      <c r="G3384" t="s">
        <v>11395</v>
      </c>
      <c r="H3384" t="str">
        <f>HYPERLINK("https://baanknet.com/view-property/202145/2F798254DDC20780CCD766F638D1397305E05ADD177FF7558C2C593471EE49C7", "https://baanknet.com/view-property/202145/2F798254DDC20780CCD766F638D1397305E05ADD177FF7558C2C593471EE49C7")</f>
        <v>https://baanknet.com/view-property/202145/2F798254DDC20780CCD766F638D1397305E05ADD177FF7558C2C593471EE49C7</v>
      </c>
      <c r="I3384" t="str">
        <f>HYPERLINK("https://baanknet.com/view-property/202145/2F798254DDC20780CCD766F638D1397305E05ADD177FF7558C2C593471EE49C7", "Open")</f>
        <v>Open</v>
      </c>
      <c r="J3384" t="s">
        <v>3803</v>
      </c>
      <c r="L3384">
        <v>10125000</v>
      </c>
      <c r="M3384">
        <v>1012500</v>
      </c>
    </row>
    <row r="3385" spans="1:13" x14ac:dyDescent="0.25">
      <c r="A3385" t="s">
        <v>11396</v>
      </c>
      <c r="B3385" t="s">
        <v>11397</v>
      </c>
      <c r="C3385" t="s">
        <v>387</v>
      </c>
      <c r="D3385" t="s">
        <v>3709</v>
      </c>
      <c r="E3385" t="s">
        <v>11023</v>
      </c>
      <c r="F3385" t="s">
        <v>11004</v>
      </c>
      <c r="G3385" t="s">
        <v>11398</v>
      </c>
      <c r="H3385" t="str">
        <f>HYPERLINK("https://baanknet.com/view-property/203048/C60B35267BDE26695192FCCE3CE32CE103DD0948DABD0613C9DD7D10B9631E31", "https://baanknet.com/view-property/203048/C60B35267BDE26695192FCCE3CE32CE103DD0948DABD0613C9DD7D10B9631E31")</f>
        <v>https://baanknet.com/view-property/203048/C60B35267BDE26695192FCCE3CE32CE103DD0948DABD0613C9DD7D10B9631E31</v>
      </c>
      <c r="I3385" t="str">
        <f>HYPERLINK("https://baanknet.com/view-property/203048/C60B35267BDE26695192FCCE3CE32CE103DD0948DABD0613C9DD7D10B9631E31", "Open")</f>
        <v>Open</v>
      </c>
      <c r="J3385" t="s">
        <v>3803</v>
      </c>
      <c r="L3385">
        <v>3900000</v>
      </c>
      <c r="M3385">
        <v>390000</v>
      </c>
    </row>
    <row r="3386" spans="1:13" x14ac:dyDescent="0.25">
      <c r="A3386" t="s">
        <v>11399</v>
      </c>
      <c r="B3386" t="s">
        <v>11400</v>
      </c>
      <c r="C3386" t="s">
        <v>387</v>
      </c>
      <c r="D3386" t="s">
        <v>11401</v>
      </c>
      <c r="E3386" t="s">
        <v>11023</v>
      </c>
      <c r="F3386" t="s">
        <v>11004</v>
      </c>
      <c r="G3386" t="s">
        <v>11402</v>
      </c>
      <c r="H3386" t="str">
        <f>HYPERLINK("https://baanknet.com/view-property/184611/D3D890A8C470B5DDE25E76A7681861BABC6E0A91B14D7EA55F93936AD8F51F74", "https://baanknet.com/view-property/184611/D3D890A8C470B5DDE25E76A7681861BABC6E0A91B14D7EA55F93936AD8F51F74")</f>
        <v>https://baanknet.com/view-property/184611/D3D890A8C470B5DDE25E76A7681861BABC6E0A91B14D7EA55F93936AD8F51F74</v>
      </c>
      <c r="I3386" t="str">
        <f>HYPERLINK("https://baanknet.com/view-property/184611/D3D890A8C470B5DDE25E76A7681861BABC6E0A91B14D7EA55F93936AD8F51F74", "Open")</f>
        <v>Open</v>
      </c>
      <c r="J3386" t="s">
        <v>3803</v>
      </c>
      <c r="L3386">
        <v>6800000</v>
      </c>
      <c r="M3386">
        <v>680000</v>
      </c>
    </row>
    <row r="3387" spans="1:13" x14ac:dyDescent="0.25">
      <c r="A3387" t="s">
        <v>11403</v>
      </c>
      <c r="B3387" t="s">
        <v>11404</v>
      </c>
      <c r="C3387" t="s">
        <v>387</v>
      </c>
      <c r="D3387" t="s">
        <v>3285</v>
      </c>
      <c r="E3387" t="s">
        <v>11023</v>
      </c>
      <c r="F3387" t="s">
        <v>11004</v>
      </c>
      <c r="G3387" t="s">
        <v>11405</v>
      </c>
      <c r="H3387" t="str">
        <f>HYPERLINK("https://baanknet.com/view-property/278733/5A9F4A8FCC96199AF47B36B46483B7FAACFD9D58C8C4E801610AE9EBD4FCF121", "https://baanknet.com/view-property/278733/5A9F4A8FCC96199AF47B36B46483B7FAACFD9D58C8C4E801610AE9EBD4FCF121")</f>
        <v>https://baanknet.com/view-property/278733/5A9F4A8FCC96199AF47B36B46483B7FAACFD9D58C8C4E801610AE9EBD4FCF121</v>
      </c>
      <c r="I3387" t="str">
        <f>HYPERLINK("https://baanknet.com/view-property/278733/5A9F4A8FCC96199AF47B36B46483B7FAACFD9D58C8C4E801610AE9EBD4FCF121", "Open")</f>
        <v>Open</v>
      </c>
      <c r="J3387" t="s">
        <v>3803</v>
      </c>
      <c r="L3387">
        <v>5800000</v>
      </c>
      <c r="M3387">
        <v>580000</v>
      </c>
    </row>
    <row r="3388" spans="1:13" x14ac:dyDescent="0.25">
      <c r="A3388" t="s">
        <v>11406</v>
      </c>
      <c r="B3388" t="s">
        <v>11407</v>
      </c>
      <c r="C3388" t="s">
        <v>387</v>
      </c>
      <c r="D3388" t="s">
        <v>102</v>
      </c>
      <c r="E3388" t="s">
        <v>11023</v>
      </c>
      <c r="F3388" t="s">
        <v>11004</v>
      </c>
      <c r="G3388" t="s">
        <v>11408</v>
      </c>
      <c r="H3388" t="str">
        <f>HYPERLINK("https://baanknet.com/view-property/201823/80785A5F9D97FD87C2DC4C3BAA8937B5E0014A43721D47DED7E139745F060C71", "https://baanknet.com/view-property/201823/80785A5F9D97FD87C2DC4C3BAA8937B5E0014A43721D47DED7E139745F060C71")</f>
        <v>https://baanknet.com/view-property/201823/80785A5F9D97FD87C2DC4C3BAA8937B5E0014A43721D47DED7E139745F060C71</v>
      </c>
      <c r="I3388" t="str">
        <f>HYPERLINK("https://baanknet.com/view-property/201823/80785A5F9D97FD87C2DC4C3BAA8937B5E0014A43721D47DED7E139745F060C71", "Open")</f>
        <v>Open</v>
      </c>
      <c r="J3388" t="s">
        <v>3803</v>
      </c>
      <c r="L3388">
        <v>8000000</v>
      </c>
      <c r="M3388">
        <v>800000</v>
      </c>
    </row>
    <row r="3389" spans="1:13" x14ac:dyDescent="0.25">
      <c r="A3389" t="s">
        <v>11409</v>
      </c>
      <c r="B3389" t="s">
        <v>11410</v>
      </c>
      <c r="C3389" t="s">
        <v>387</v>
      </c>
      <c r="D3389" t="s">
        <v>4884</v>
      </c>
      <c r="E3389" t="s">
        <v>11023</v>
      </c>
      <c r="F3389" t="s">
        <v>11004</v>
      </c>
      <c r="G3389" t="s">
        <v>11411</v>
      </c>
      <c r="H3389" t="str">
        <f>HYPERLINK("https://baanknet.com/view-property/202053/192002C388985A56C715BE59190525A684484C5223B77EDEC849687B20A13428", "https://baanknet.com/view-property/202053/192002C388985A56C715BE59190525A684484C5223B77EDEC849687B20A13428")</f>
        <v>https://baanknet.com/view-property/202053/192002C388985A56C715BE59190525A684484C5223B77EDEC849687B20A13428</v>
      </c>
      <c r="I3389" t="str">
        <f>HYPERLINK("https://baanknet.com/view-property/202053/192002C388985A56C715BE59190525A684484C5223B77EDEC849687B20A13428", "Open")</f>
        <v>Open</v>
      </c>
      <c r="J3389" t="s">
        <v>3803</v>
      </c>
      <c r="L3389">
        <v>23000000</v>
      </c>
      <c r="M3389">
        <v>2300000</v>
      </c>
    </row>
    <row r="3390" spans="1:13" x14ac:dyDescent="0.25">
      <c r="A3390" t="s">
        <v>11412</v>
      </c>
      <c r="B3390" t="s">
        <v>11413</v>
      </c>
      <c r="C3390" t="s">
        <v>387</v>
      </c>
      <c r="D3390" t="s">
        <v>5036</v>
      </c>
      <c r="E3390" t="s">
        <v>11023</v>
      </c>
      <c r="F3390" t="s">
        <v>11004</v>
      </c>
      <c r="G3390" t="s">
        <v>11414</v>
      </c>
      <c r="H3390" t="str">
        <f>HYPERLINK("https://baanknet.com/view-property/192409/B8D7AB37F12D93C7B43EB89F90B77BE42CFC31E625D701458B82E437C1DC5AFC", "https://baanknet.com/view-property/192409/B8D7AB37F12D93C7B43EB89F90B77BE42CFC31E625D701458B82E437C1DC5AFC")</f>
        <v>https://baanknet.com/view-property/192409/B8D7AB37F12D93C7B43EB89F90B77BE42CFC31E625D701458B82E437C1DC5AFC</v>
      </c>
      <c r="I3390" t="str">
        <f>HYPERLINK("https://baanknet.com/view-property/192409/B8D7AB37F12D93C7B43EB89F90B77BE42CFC31E625D701458B82E437C1DC5AFC", "Open")</f>
        <v>Open</v>
      </c>
      <c r="J3390" t="s">
        <v>3803</v>
      </c>
      <c r="L3390">
        <v>3900000</v>
      </c>
      <c r="M3390">
        <v>390000</v>
      </c>
    </row>
    <row r="3391" spans="1:13" x14ac:dyDescent="0.25">
      <c r="A3391" t="s">
        <v>11415</v>
      </c>
      <c r="B3391" t="s">
        <v>11416</v>
      </c>
      <c r="C3391" t="s">
        <v>387</v>
      </c>
      <c r="D3391" t="s">
        <v>11417</v>
      </c>
      <c r="E3391" t="s">
        <v>11023</v>
      </c>
      <c r="F3391" t="s">
        <v>11004</v>
      </c>
      <c r="G3391" t="s">
        <v>11418</v>
      </c>
      <c r="H3391" t="str">
        <f>HYPERLINK("https://baanknet.com/view-property/278727/021A57D691F245ABBFDCA79F89967C8D2277377F159BD8C9E470C890C8E79B53", "https://baanknet.com/view-property/278727/021A57D691F245ABBFDCA79F89967C8D2277377F159BD8C9E470C890C8E79B53")</f>
        <v>https://baanknet.com/view-property/278727/021A57D691F245ABBFDCA79F89967C8D2277377F159BD8C9E470C890C8E79B53</v>
      </c>
      <c r="I3391" t="str">
        <f>HYPERLINK("https://baanknet.com/view-property/278727/021A57D691F245ABBFDCA79F89967C8D2277377F159BD8C9E470C890C8E79B53", "Open")</f>
        <v>Open</v>
      </c>
      <c r="J3391" t="s">
        <v>3803</v>
      </c>
      <c r="L3391">
        <v>4600000</v>
      </c>
      <c r="M3391">
        <v>460000</v>
      </c>
    </row>
    <row r="3392" spans="1:13" x14ac:dyDescent="0.25">
      <c r="A3392" t="s">
        <v>11419</v>
      </c>
      <c r="B3392" t="s">
        <v>11420</v>
      </c>
      <c r="C3392" t="s">
        <v>387</v>
      </c>
      <c r="D3392" t="s">
        <v>6974</v>
      </c>
      <c r="E3392" t="s">
        <v>11023</v>
      </c>
      <c r="F3392" t="s">
        <v>11004</v>
      </c>
      <c r="G3392" t="s">
        <v>11421</v>
      </c>
      <c r="H3392" t="str">
        <f>HYPERLINK("https://baanknet.com/view-property/202006/102F812CD729D1A45A591614970E5E93B97F5B29644167B8B9EAF43DFB972D69", "https://baanknet.com/view-property/202006/102F812CD729D1A45A591614970E5E93B97F5B29644167B8B9EAF43DFB972D69")</f>
        <v>https://baanknet.com/view-property/202006/102F812CD729D1A45A591614970E5E93B97F5B29644167B8B9EAF43DFB972D69</v>
      </c>
      <c r="I3392" t="str">
        <f>HYPERLINK("https://baanknet.com/view-property/202006/102F812CD729D1A45A591614970E5E93B97F5B29644167B8B9EAF43DFB972D69", "Open")</f>
        <v>Open</v>
      </c>
      <c r="J3392" t="s">
        <v>3803</v>
      </c>
      <c r="L3392">
        <v>3162000</v>
      </c>
      <c r="M3392">
        <v>316200</v>
      </c>
    </row>
    <row r="3393" spans="1:13" x14ac:dyDescent="0.25">
      <c r="A3393" t="s">
        <v>11422</v>
      </c>
      <c r="B3393" t="s">
        <v>11423</v>
      </c>
      <c r="C3393" t="s">
        <v>121</v>
      </c>
      <c r="D3393" t="s">
        <v>429</v>
      </c>
      <c r="E3393" t="s">
        <v>11023</v>
      </c>
      <c r="F3393" t="s">
        <v>11004</v>
      </c>
      <c r="G3393" t="s">
        <v>11424</v>
      </c>
      <c r="H3393" t="str">
        <f>HYPERLINK("https://baanknet.com/view-property/175742/2A6DC464178C53ADD9B4F440CAA66ABBBDD480BC6D3E273005BE54A6806D4BED", "https://baanknet.com/view-property/175742/2A6DC464178C53ADD9B4F440CAA66ABBBDD480BC6D3E273005BE54A6806D4BED")</f>
        <v>https://baanknet.com/view-property/175742/2A6DC464178C53ADD9B4F440CAA66ABBBDD480BC6D3E273005BE54A6806D4BED</v>
      </c>
      <c r="I3393" t="str">
        <f>HYPERLINK("https://baanknet.com/view-property/175742/2A6DC464178C53ADD9B4F440CAA66ABBBDD480BC6D3E273005BE54A6806D4BED", "Open")</f>
        <v>Open</v>
      </c>
      <c r="J3393" t="s">
        <v>3803</v>
      </c>
      <c r="L3393">
        <v>1750000</v>
      </c>
      <c r="M3393">
        <v>175000</v>
      </c>
    </row>
    <row r="3394" spans="1:13" x14ac:dyDescent="0.25">
      <c r="A3394" t="s">
        <v>11425</v>
      </c>
      <c r="B3394" t="s">
        <v>11426</v>
      </c>
      <c r="C3394" t="s">
        <v>387</v>
      </c>
      <c r="D3394" t="s">
        <v>3515</v>
      </c>
      <c r="E3394" t="s">
        <v>11023</v>
      </c>
      <c r="F3394" t="s">
        <v>11004</v>
      </c>
      <c r="G3394" t="s">
        <v>11427</v>
      </c>
      <c r="H3394" t="str">
        <f>HYPERLINK("https://baanknet.com/view-property/288163/057374917E8C374AA4A414A60F6A317ECB88F8F440399A31447D615A2BB0BAE8", "https://baanknet.com/view-property/288163/057374917E8C374AA4A414A60F6A317ECB88F8F440399A31447D615A2BB0BAE8")</f>
        <v>https://baanknet.com/view-property/288163/057374917E8C374AA4A414A60F6A317ECB88F8F440399A31447D615A2BB0BAE8</v>
      </c>
      <c r="I3394" t="str">
        <f>HYPERLINK("https://baanknet.com/view-property/288163/057374917E8C374AA4A414A60F6A317ECB88F8F440399A31447D615A2BB0BAE8", "Open")</f>
        <v>Open</v>
      </c>
      <c r="J3394" t="s">
        <v>3803</v>
      </c>
      <c r="L3394">
        <v>2035000</v>
      </c>
      <c r="M3394">
        <v>203500</v>
      </c>
    </row>
    <row r="3395" spans="1:13" x14ac:dyDescent="0.25">
      <c r="A3395" t="s">
        <v>11428</v>
      </c>
      <c r="B3395" t="s">
        <v>11429</v>
      </c>
      <c r="C3395" t="s">
        <v>332</v>
      </c>
      <c r="D3395" t="s">
        <v>6934</v>
      </c>
      <c r="E3395" t="s">
        <v>11023</v>
      </c>
      <c r="F3395" t="s">
        <v>11430</v>
      </c>
      <c r="G3395" t="s">
        <v>11431</v>
      </c>
      <c r="H3395" t="str">
        <f>HYPERLINK("https://baanknet.com/view-property/284612/7E3EFE1F19506D19186721CEB584FE95CABB8C99EF9986F6B531C2671B737785", "https://baanknet.com/view-property/284612/7E3EFE1F19506D19186721CEB584FE95CABB8C99EF9986F6B531C2671B737785")</f>
        <v>https://baanknet.com/view-property/284612/7E3EFE1F19506D19186721CEB584FE95CABB8C99EF9986F6B531C2671B737785</v>
      </c>
      <c r="I3395" t="str">
        <f>HYPERLINK("https://baanknet.com/view-property/284612/7E3EFE1F19506D19186721CEB584FE95CABB8C99EF9986F6B531C2671B737785", "Open")</f>
        <v>Open</v>
      </c>
      <c r="J3395" t="s">
        <v>3803</v>
      </c>
      <c r="L3395">
        <v>5256000</v>
      </c>
      <c r="M3395">
        <v>525600</v>
      </c>
    </row>
    <row r="3396" spans="1:13" x14ac:dyDescent="0.25">
      <c r="A3396" t="s">
        <v>11432</v>
      </c>
      <c r="B3396" t="s">
        <v>11433</v>
      </c>
      <c r="C3396" t="s">
        <v>332</v>
      </c>
      <c r="D3396" t="s">
        <v>11434</v>
      </c>
      <c r="E3396" t="s">
        <v>11023</v>
      </c>
      <c r="F3396" t="s">
        <v>11430</v>
      </c>
      <c r="G3396" t="s">
        <v>11435</v>
      </c>
      <c r="H3396" t="str">
        <f>HYPERLINK("https://baanknet.com/view-property/63179/87FD270BD601B95C95DCF0099BF018AFA9F2B2A51450541973C40A1BFB7DC7A6", "https://baanknet.com/view-property/63179/87FD270BD601B95C95DCF0099BF018AFA9F2B2A51450541973C40A1BFB7DC7A6")</f>
        <v>https://baanknet.com/view-property/63179/87FD270BD601B95C95DCF0099BF018AFA9F2B2A51450541973C40A1BFB7DC7A6</v>
      </c>
      <c r="I3396" t="str">
        <f>HYPERLINK("https://baanknet.com/view-property/63179/87FD270BD601B95C95DCF0099BF018AFA9F2B2A51450541973C40A1BFB7DC7A6", "Open")</f>
        <v>Open</v>
      </c>
      <c r="J3396" t="s">
        <v>3803</v>
      </c>
      <c r="L3396">
        <v>3150000</v>
      </c>
      <c r="M3396">
        <v>315000</v>
      </c>
    </row>
    <row r="3397" spans="1:13" x14ac:dyDescent="0.25">
      <c r="A3397" t="s">
        <v>11436</v>
      </c>
      <c r="B3397" t="s">
        <v>11437</v>
      </c>
      <c r="C3397" t="s">
        <v>332</v>
      </c>
      <c r="D3397" t="s">
        <v>11438</v>
      </c>
      <c r="E3397" t="s">
        <v>11023</v>
      </c>
      <c r="F3397" t="s">
        <v>11430</v>
      </c>
      <c r="G3397" t="s">
        <v>11439</v>
      </c>
      <c r="H3397" t="str">
        <f>HYPERLINK("https://baanknet.com/view-property/265139/877F7ED083A6BC9367B13002C061BA9C028B156DC51C6930039863BF3E6B0B51", "https://baanknet.com/view-property/265139/877F7ED083A6BC9367B13002C061BA9C028B156DC51C6930039863BF3E6B0B51")</f>
        <v>https://baanknet.com/view-property/265139/877F7ED083A6BC9367B13002C061BA9C028B156DC51C6930039863BF3E6B0B51</v>
      </c>
      <c r="I3397" t="str">
        <f>HYPERLINK("https://baanknet.com/view-property/265139/877F7ED083A6BC9367B13002C061BA9C028B156DC51C6930039863BF3E6B0B51", "Open")</f>
        <v>Open</v>
      </c>
      <c r="J3397" t="s">
        <v>3803</v>
      </c>
      <c r="L3397">
        <v>11850000</v>
      </c>
      <c r="M3397">
        <v>1185000</v>
      </c>
    </row>
    <row r="3398" spans="1:13" x14ac:dyDescent="0.25">
      <c r="A3398" t="s">
        <v>11440</v>
      </c>
      <c r="B3398" t="s">
        <v>11441</v>
      </c>
      <c r="C3398" t="s">
        <v>332</v>
      </c>
      <c r="D3398" t="s">
        <v>8454</v>
      </c>
      <c r="E3398" t="s">
        <v>11023</v>
      </c>
      <c r="F3398" t="s">
        <v>11430</v>
      </c>
      <c r="G3398" t="s">
        <v>11442</v>
      </c>
      <c r="H3398" t="str">
        <f>HYPERLINK("https://baanknet.com/view-property/256214/9196017B931A4A0555FABBFAC806E72B944E85CAF5DC1716A879F11C2CD1BB62", "https://baanknet.com/view-property/256214/9196017B931A4A0555FABBFAC806E72B944E85CAF5DC1716A879F11C2CD1BB62")</f>
        <v>https://baanknet.com/view-property/256214/9196017B931A4A0555FABBFAC806E72B944E85CAF5DC1716A879F11C2CD1BB62</v>
      </c>
      <c r="I3398" t="str">
        <f>HYPERLINK("https://baanknet.com/view-property/256214/9196017B931A4A0555FABBFAC806E72B944E85CAF5DC1716A879F11C2CD1BB62", "Open")</f>
        <v>Open</v>
      </c>
      <c r="J3398" t="s">
        <v>3803</v>
      </c>
      <c r="L3398">
        <v>3215000</v>
      </c>
      <c r="M3398">
        <v>321500</v>
      </c>
    </row>
    <row r="3399" spans="1:13" x14ac:dyDescent="0.25">
      <c r="A3399" t="s">
        <v>11443</v>
      </c>
      <c r="B3399" t="s">
        <v>11444</v>
      </c>
      <c r="C3399" t="s">
        <v>332</v>
      </c>
      <c r="D3399" t="s">
        <v>11445</v>
      </c>
      <c r="E3399" t="s">
        <v>11023</v>
      </c>
      <c r="F3399" t="s">
        <v>11430</v>
      </c>
      <c r="G3399" t="s">
        <v>11446</v>
      </c>
      <c r="H3399" t="str">
        <f>HYPERLINK("https://baanknet.com/view-property/109276/426D90DFBD8FE96B1DEDB5503D44E8B15B397D0997BBBFE2C845BDC8E0A3C268", "https://baanknet.com/view-property/109276/426D90DFBD8FE96B1DEDB5503D44E8B15B397D0997BBBFE2C845BDC8E0A3C268")</f>
        <v>https://baanknet.com/view-property/109276/426D90DFBD8FE96B1DEDB5503D44E8B15B397D0997BBBFE2C845BDC8E0A3C268</v>
      </c>
      <c r="I3399" t="str">
        <f>HYPERLINK("https://baanknet.com/view-property/109276/426D90DFBD8FE96B1DEDB5503D44E8B15B397D0997BBBFE2C845BDC8E0A3C268", "Open")</f>
        <v>Open</v>
      </c>
      <c r="J3399" t="s">
        <v>3803</v>
      </c>
      <c r="L3399">
        <v>2905000</v>
      </c>
      <c r="M3399">
        <v>290500</v>
      </c>
    </row>
    <row r="3400" spans="1:13" x14ac:dyDescent="0.25">
      <c r="A3400" t="s">
        <v>11447</v>
      </c>
      <c r="B3400" t="s">
        <v>11448</v>
      </c>
      <c r="C3400" t="s">
        <v>525</v>
      </c>
      <c r="D3400" t="s">
        <v>578</v>
      </c>
      <c r="E3400" t="s">
        <v>11023</v>
      </c>
      <c r="F3400" t="s">
        <v>11430</v>
      </c>
      <c r="G3400" t="s">
        <v>11449</v>
      </c>
      <c r="H3400" t="str">
        <f>HYPERLINK("https://baanknet.com/view-property/279496/5DF6119B6ACE7216D4444C397CE6BABE976515271926399A15A15909800A2FE2", "https://baanknet.com/view-property/279496/5DF6119B6ACE7216D4444C397CE6BABE976515271926399A15A15909800A2FE2")</f>
        <v>https://baanknet.com/view-property/279496/5DF6119B6ACE7216D4444C397CE6BABE976515271926399A15A15909800A2FE2</v>
      </c>
      <c r="I3400" t="str">
        <f>HYPERLINK("https://baanknet.com/view-property/279496/5DF6119B6ACE7216D4444C397CE6BABE976515271926399A15A15909800A2FE2", "Open")</f>
        <v>Open</v>
      </c>
      <c r="J3400" t="s">
        <v>3803</v>
      </c>
      <c r="L3400">
        <v>4100000</v>
      </c>
      <c r="M3400">
        <v>410000</v>
      </c>
    </row>
    <row r="3401" spans="1:13" x14ac:dyDescent="0.25">
      <c r="A3401" t="s">
        <v>11450</v>
      </c>
      <c r="B3401" t="s">
        <v>11451</v>
      </c>
      <c r="C3401" t="s">
        <v>525</v>
      </c>
      <c r="D3401" t="s">
        <v>9091</v>
      </c>
      <c r="E3401" t="s">
        <v>11023</v>
      </c>
      <c r="F3401" t="s">
        <v>11430</v>
      </c>
      <c r="G3401" t="s">
        <v>11452</v>
      </c>
      <c r="H3401" t="str">
        <f>HYPERLINK("https://baanknet.com/view-property/279469/76D9DC4A1C62AB10BFEA8B1BCDFE6B47EF7CF941C84CB417D5AC3032F43E4FF4", "https://baanknet.com/view-property/279469/76D9DC4A1C62AB10BFEA8B1BCDFE6B47EF7CF941C84CB417D5AC3032F43E4FF4")</f>
        <v>https://baanknet.com/view-property/279469/76D9DC4A1C62AB10BFEA8B1BCDFE6B47EF7CF941C84CB417D5AC3032F43E4FF4</v>
      </c>
      <c r="I3401" t="str">
        <f>HYPERLINK("https://baanknet.com/view-property/279469/76D9DC4A1C62AB10BFEA8B1BCDFE6B47EF7CF941C84CB417D5AC3032F43E4FF4", "Open")</f>
        <v>Open</v>
      </c>
      <c r="J3401" t="s">
        <v>3803</v>
      </c>
      <c r="L3401">
        <v>2750000</v>
      </c>
      <c r="M3401">
        <v>275000</v>
      </c>
    </row>
    <row r="3402" spans="1:13" x14ac:dyDescent="0.25">
      <c r="A3402" t="s">
        <v>11453</v>
      </c>
      <c r="B3402" t="s">
        <v>11454</v>
      </c>
      <c r="C3402" t="s">
        <v>525</v>
      </c>
      <c r="D3402" t="s">
        <v>578</v>
      </c>
      <c r="E3402" t="s">
        <v>11023</v>
      </c>
      <c r="F3402" t="s">
        <v>11430</v>
      </c>
      <c r="G3402" t="s">
        <v>11455</v>
      </c>
      <c r="H3402" t="str">
        <f>HYPERLINK("https://baanknet.com/view-property/275049/947A01218804FF513DA7D89F72AADBA122A8C0EAAE14D7A3F254E62285CA3FAC", "https://baanknet.com/view-property/275049/947A01218804FF513DA7D89F72AADBA122A8C0EAAE14D7A3F254E62285CA3FAC")</f>
        <v>https://baanknet.com/view-property/275049/947A01218804FF513DA7D89F72AADBA122A8C0EAAE14D7A3F254E62285CA3FAC</v>
      </c>
      <c r="I3402" t="str">
        <f>HYPERLINK("https://baanknet.com/view-property/275049/947A01218804FF513DA7D89F72AADBA122A8C0EAAE14D7A3F254E62285CA3FAC", "Open")</f>
        <v>Open</v>
      </c>
      <c r="J3402" t="s">
        <v>3803</v>
      </c>
      <c r="L3402">
        <v>3185000</v>
      </c>
      <c r="M3402">
        <v>318500</v>
      </c>
    </row>
    <row r="3403" spans="1:13" x14ac:dyDescent="0.25">
      <c r="A3403" t="s">
        <v>11456</v>
      </c>
      <c r="B3403" t="s">
        <v>11457</v>
      </c>
      <c r="C3403" t="s">
        <v>525</v>
      </c>
      <c r="D3403" t="s">
        <v>2891</v>
      </c>
      <c r="E3403" t="s">
        <v>11023</v>
      </c>
      <c r="F3403" t="s">
        <v>11430</v>
      </c>
      <c r="G3403" t="s">
        <v>11458</v>
      </c>
      <c r="H3403" t="str">
        <f>HYPERLINK("https://baanknet.com/view-property/279610/DCAAB8D6793FBE6607545BD26200A269539CC066D0F2C0EADFC096529BC653D2", "https://baanknet.com/view-property/279610/DCAAB8D6793FBE6607545BD26200A269539CC066D0F2C0EADFC096529BC653D2")</f>
        <v>https://baanknet.com/view-property/279610/DCAAB8D6793FBE6607545BD26200A269539CC066D0F2C0EADFC096529BC653D2</v>
      </c>
      <c r="I3403" t="str">
        <f>HYPERLINK("https://baanknet.com/view-property/279610/DCAAB8D6793FBE6607545BD26200A269539CC066D0F2C0EADFC096529BC653D2", "Open")</f>
        <v>Open</v>
      </c>
      <c r="J3403" t="s">
        <v>3803</v>
      </c>
      <c r="L3403">
        <v>7100000</v>
      </c>
      <c r="M3403">
        <v>710000</v>
      </c>
    </row>
    <row r="3404" spans="1:13" x14ac:dyDescent="0.25">
      <c r="A3404" t="s">
        <v>11459</v>
      </c>
      <c r="B3404" t="s">
        <v>11460</v>
      </c>
      <c r="C3404" t="s">
        <v>525</v>
      </c>
      <c r="D3404" t="s">
        <v>578</v>
      </c>
      <c r="E3404" t="s">
        <v>11023</v>
      </c>
      <c r="F3404" t="s">
        <v>11430</v>
      </c>
      <c r="G3404" t="s">
        <v>11461</v>
      </c>
      <c r="H3404" t="str">
        <f>HYPERLINK("https://baanknet.com/view-property/264038/F001BCE952CFD95A114789CCEBFC766063B91B7C6D8AE749BDEFE811810D0FFE", "https://baanknet.com/view-property/264038/F001BCE952CFD95A114789CCEBFC766063B91B7C6D8AE749BDEFE811810D0FFE")</f>
        <v>https://baanknet.com/view-property/264038/F001BCE952CFD95A114789CCEBFC766063B91B7C6D8AE749BDEFE811810D0FFE</v>
      </c>
      <c r="I3404" t="str">
        <f>HYPERLINK("https://baanknet.com/view-property/264038/F001BCE952CFD95A114789CCEBFC766063B91B7C6D8AE749BDEFE811810D0FFE", "Open")</f>
        <v>Open</v>
      </c>
      <c r="J3404" t="s">
        <v>3803</v>
      </c>
      <c r="L3404">
        <v>6600000</v>
      </c>
      <c r="M3404">
        <v>660000</v>
      </c>
    </row>
    <row r="3405" spans="1:13" x14ac:dyDescent="0.25">
      <c r="A3405" t="s">
        <v>11462</v>
      </c>
      <c r="B3405" t="s">
        <v>11463</v>
      </c>
      <c r="C3405" t="s">
        <v>525</v>
      </c>
      <c r="D3405" t="s">
        <v>578</v>
      </c>
      <c r="E3405" t="s">
        <v>11023</v>
      </c>
      <c r="F3405" t="s">
        <v>11430</v>
      </c>
      <c r="G3405" t="s">
        <v>11464</v>
      </c>
      <c r="H3405" t="str">
        <f>HYPERLINK("https://baanknet.com/view-property/264037/DA52246BC6D556A63F9C90FE291DD6956045965303D0A3158D38CB45CF3AFC66", "https://baanknet.com/view-property/264037/DA52246BC6D556A63F9C90FE291DD6956045965303D0A3158D38CB45CF3AFC66")</f>
        <v>https://baanknet.com/view-property/264037/DA52246BC6D556A63F9C90FE291DD6956045965303D0A3158D38CB45CF3AFC66</v>
      </c>
      <c r="I3405" t="str">
        <f>HYPERLINK("https://baanknet.com/view-property/264037/DA52246BC6D556A63F9C90FE291DD6956045965303D0A3158D38CB45CF3AFC66", "Open")</f>
        <v>Open</v>
      </c>
      <c r="J3405" t="s">
        <v>3803</v>
      </c>
      <c r="L3405">
        <v>5900000</v>
      </c>
      <c r="M3405">
        <v>590000</v>
      </c>
    </row>
    <row r="3406" spans="1:13" x14ac:dyDescent="0.25">
      <c r="A3406" t="s">
        <v>11465</v>
      </c>
      <c r="B3406" t="s">
        <v>11466</v>
      </c>
      <c r="C3406" t="s">
        <v>525</v>
      </c>
      <c r="D3406" t="s">
        <v>11467</v>
      </c>
      <c r="E3406" t="s">
        <v>11023</v>
      </c>
      <c r="F3406" t="s">
        <v>11430</v>
      </c>
      <c r="G3406" t="s">
        <v>11468</v>
      </c>
      <c r="H3406" t="str">
        <f>HYPERLINK("https://baanknet.com/view-property/198036/4D7ED66E53D06DBC5D8B151AEBB325E03DE6142553CA499889CE9DDA60CFE90C", "https://baanknet.com/view-property/198036/4D7ED66E53D06DBC5D8B151AEBB325E03DE6142553CA499889CE9DDA60CFE90C")</f>
        <v>https://baanknet.com/view-property/198036/4D7ED66E53D06DBC5D8B151AEBB325E03DE6142553CA499889CE9DDA60CFE90C</v>
      </c>
      <c r="I3406" t="str">
        <f>HYPERLINK("https://baanknet.com/view-property/198036/4D7ED66E53D06DBC5D8B151AEBB325E03DE6142553CA499889CE9DDA60CFE90C", "Open")</f>
        <v>Open</v>
      </c>
      <c r="J3406" t="s">
        <v>3803</v>
      </c>
      <c r="L3406">
        <v>2550000</v>
      </c>
      <c r="M3406">
        <v>255000</v>
      </c>
    </row>
    <row r="3407" spans="1:13" x14ac:dyDescent="0.25">
      <c r="A3407" t="s">
        <v>11469</v>
      </c>
      <c r="B3407" t="s">
        <v>11470</v>
      </c>
      <c r="C3407" t="s">
        <v>525</v>
      </c>
      <c r="D3407" t="s">
        <v>11031</v>
      </c>
      <c r="E3407" t="s">
        <v>11023</v>
      </c>
      <c r="F3407" t="s">
        <v>11430</v>
      </c>
      <c r="G3407" t="s">
        <v>11471</v>
      </c>
      <c r="H3407" t="str">
        <f>HYPERLINK("https://baanknet.com/view-property/279635/8896BBB525D557CB7C72AADF02B31F8971A5ED91D843B6E8A610F8D5799C3B76", "https://baanknet.com/view-property/279635/8896BBB525D557CB7C72AADF02B31F8971A5ED91D843B6E8A610F8D5799C3B76")</f>
        <v>https://baanknet.com/view-property/279635/8896BBB525D557CB7C72AADF02B31F8971A5ED91D843B6E8A610F8D5799C3B76</v>
      </c>
      <c r="I3407" t="str">
        <f>HYPERLINK("https://baanknet.com/view-property/279635/8896BBB525D557CB7C72AADF02B31F8971A5ED91D843B6E8A610F8D5799C3B76", "Open")</f>
        <v>Open</v>
      </c>
      <c r="J3407" t="s">
        <v>3803</v>
      </c>
      <c r="L3407">
        <v>3300000</v>
      </c>
      <c r="M3407">
        <v>330000</v>
      </c>
    </row>
    <row r="3408" spans="1:13" x14ac:dyDescent="0.25">
      <c r="A3408" t="s">
        <v>11472</v>
      </c>
      <c r="B3408" t="s">
        <v>11473</v>
      </c>
      <c r="C3408" t="s">
        <v>525</v>
      </c>
      <c r="D3408" t="s">
        <v>11467</v>
      </c>
      <c r="E3408" t="s">
        <v>11023</v>
      </c>
      <c r="F3408" t="s">
        <v>11430</v>
      </c>
      <c r="G3408" t="s">
        <v>11474</v>
      </c>
      <c r="H3408" t="str">
        <f>HYPERLINK("https://baanknet.com/view-property/197898/86014573D68F88FA14EEF83F83F99F762A99B63FB6F50FA0A31F6124D3030C9A", "https://baanknet.com/view-property/197898/86014573D68F88FA14EEF83F83F99F762A99B63FB6F50FA0A31F6124D3030C9A")</f>
        <v>https://baanknet.com/view-property/197898/86014573D68F88FA14EEF83F83F99F762A99B63FB6F50FA0A31F6124D3030C9A</v>
      </c>
      <c r="I3408" t="str">
        <f>HYPERLINK("https://baanknet.com/view-property/197898/86014573D68F88FA14EEF83F83F99F762A99B63FB6F50FA0A31F6124D3030C9A", "Open")</f>
        <v>Open</v>
      </c>
      <c r="J3408" t="s">
        <v>3803</v>
      </c>
      <c r="L3408">
        <v>4100000</v>
      </c>
      <c r="M3408">
        <v>410000</v>
      </c>
    </row>
    <row r="3409" spans="1:13" x14ac:dyDescent="0.25">
      <c r="A3409" t="s">
        <v>11475</v>
      </c>
      <c r="B3409" t="s">
        <v>11476</v>
      </c>
      <c r="C3409" t="s">
        <v>15</v>
      </c>
      <c r="D3409" t="s">
        <v>7528</v>
      </c>
      <c r="E3409" t="s">
        <v>11023</v>
      </c>
      <c r="F3409" t="s">
        <v>11430</v>
      </c>
      <c r="G3409" t="s">
        <v>11477</v>
      </c>
      <c r="H3409" t="str">
        <f>HYPERLINK("https://baanknet.com/view-property/244953/9805CF0E930D96F728506C64D46708D570CD6BC3DED4BCDA82BEEF81360A6168", "https://baanknet.com/view-property/244953/9805CF0E930D96F728506C64D46708D570CD6BC3DED4BCDA82BEEF81360A6168")</f>
        <v>https://baanknet.com/view-property/244953/9805CF0E930D96F728506C64D46708D570CD6BC3DED4BCDA82BEEF81360A6168</v>
      </c>
      <c r="I3409" t="str">
        <f>HYPERLINK("https://baanknet.com/view-property/244953/9805CF0E930D96F728506C64D46708D570CD6BC3DED4BCDA82BEEF81360A6168", "Open")</f>
        <v>Open</v>
      </c>
      <c r="J3409" t="s">
        <v>3803</v>
      </c>
      <c r="L3409">
        <v>3133740</v>
      </c>
      <c r="M3409">
        <v>313374</v>
      </c>
    </row>
    <row r="3410" spans="1:13" x14ac:dyDescent="0.25">
      <c r="A3410" t="s">
        <v>11478</v>
      </c>
      <c r="B3410" t="s">
        <v>11479</v>
      </c>
      <c r="C3410" t="s">
        <v>83</v>
      </c>
      <c r="D3410" t="s">
        <v>11480</v>
      </c>
      <c r="E3410" t="s">
        <v>11023</v>
      </c>
      <c r="F3410" t="s">
        <v>11430</v>
      </c>
      <c r="G3410" t="s">
        <v>11481</v>
      </c>
      <c r="H3410" t="str">
        <f>HYPERLINK("https://baanknet.com/view-property/267818/173B2F6C4AFB453C565319114A69E60AC21CA763C412EE96B08E3CA6B58CEBE4", "https://baanknet.com/view-property/267818/173B2F6C4AFB453C565319114A69E60AC21CA763C412EE96B08E3CA6B58CEBE4")</f>
        <v>https://baanknet.com/view-property/267818/173B2F6C4AFB453C565319114A69E60AC21CA763C412EE96B08E3CA6B58CEBE4</v>
      </c>
      <c r="I3410" t="str">
        <f>HYPERLINK("https://baanknet.com/view-property/267818/173B2F6C4AFB453C565319114A69E60AC21CA763C412EE96B08E3CA6B58CEBE4", "Open")</f>
        <v>Open</v>
      </c>
      <c r="J3410" t="s">
        <v>3803</v>
      </c>
      <c r="L3410">
        <v>3277725</v>
      </c>
      <c r="M3410">
        <v>327773</v>
      </c>
    </row>
    <row r="3411" spans="1:13" x14ac:dyDescent="0.25">
      <c r="A3411" t="s">
        <v>11482</v>
      </c>
      <c r="B3411" t="s">
        <v>11483</v>
      </c>
      <c r="C3411" t="s">
        <v>83</v>
      </c>
      <c r="D3411" t="s">
        <v>90</v>
      </c>
      <c r="E3411" t="s">
        <v>11023</v>
      </c>
      <c r="F3411" t="s">
        <v>11430</v>
      </c>
      <c r="G3411" t="s">
        <v>11484</v>
      </c>
      <c r="H3411" t="str">
        <f>HYPERLINK("https://baanknet.com/view-property/275465/8FC04BFD1D1CAC1DF7163FD450DCCECA0D7EA0C9F015D6FDC885969EF9492787", "https://baanknet.com/view-property/275465/8FC04BFD1D1CAC1DF7163FD450DCCECA0D7EA0C9F015D6FDC885969EF9492787")</f>
        <v>https://baanknet.com/view-property/275465/8FC04BFD1D1CAC1DF7163FD450DCCECA0D7EA0C9F015D6FDC885969EF9492787</v>
      </c>
      <c r="I3411" t="str">
        <f>HYPERLINK("https://baanknet.com/view-property/275465/8FC04BFD1D1CAC1DF7163FD450DCCECA0D7EA0C9F015D6FDC885969EF9492787", "Open")</f>
        <v>Open</v>
      </c>
      <c r="J3411" t="s">
        <v>3803</v>
      </c>
      <c r="L3411">
        <v>4259790</v>
      </c>
      <c r="M3411">
        <v>425979</v>
      </c>
    </row>
    <row r="3412" spans="1:13" x14ac:dyDescent="0.25">
      <c r="A3412" t="s">
        <v>11485</v>
      </c>
      <c r="B3412" t="s">
        <v>11486</v>
      </c>
      <c r="C3412" t="s">
        <v>387</v>
      </c>
      <c r="D3412" t="s">
        <v>11487</v>
      </c>
      <c r="E3412" t="s">
        <v>11023</v>
      </c>
      <c r="F3412" t="s">
        <v>11430</v>
      </c>
      <c r="G3412" t="s">
        <v>11488</v>
      </c>
      <c r="H3412" t="str">
        <f>HYPERLINK("https://baanknet.com/view-property/229017/9B048A5ED77B379857B15F0714556B5D018433C8CF4B24873357A7C88494A37F", "https://baanknet.com/view-property/229017/9B048A5ED77B379857B15F0714556B5D018433C8CF4B24873357A7C88494A37F")</f>
        <v>https://baanknet.com/view-property/229017/9B048A5ED77B379857B15F0714556B5D018433C8CF4B24873357A7C88494A37F</v>
      </c>
      <c r="I3412" t="str">
        <f>HYPERLINK("https://baanknet.com/view-property/229017/9B048A5ED77B379857B15F0714556B5D018433C8CF4B24873357A7C88494A37F", "Open")</f>
        <v>Open</v>
      </c>
      <c r="J3412" t="s">
        <v>3803</v>
      </c>
      <c r="L3412">
        <v>1051500</v>
      </c>
      <c r="M3412">
        <v>105150</v>
      </c>
    </row>
    <row r="3413" spans="1:13" x14ac:dyDescent="0.25">
      <c r="A3413" t="s">
        <v>11489</v>
      </c>
      <c r="B3413" t="s">
        <v>11490</v>
      </c>
      <c r="C3413" t="s">
        <v>387</v>
      </c>
      <c r="D3413" t="s">
        <v>7596</v>
      </c>
      <c r="E3413" t="s">
        <v>11023</v>
      </c>
      <c r="F3413" t="s">
        <v>11430</v>
      </c>
      <c r="G3413" t="s">
        <v>11491</v>
      </c>
      <c r="H3413" t="str">
        <f>HYPERLINK("https://baanknet.com/view-property/279016/99036BEAF1C37F097503D31DB02B7B6ECC6CCA91F48E3ECB245D57BAD1D16CCF", "https://baanknet.com/view-property/279016/99036BEAF1C37F097503D31DB02B7B6ECC6CCA91F48E3ECB245D57BAD1D16CCF")</f>
        <v>https://baanknet.com/view-property/279016/99036BEAF1C37F097503D31DB02B7B6ECC6CCA91F48E3ECB245D57BAD1D16CCF</v>
      </c>
      <c r="I3413" t="str">
        <f>HYPERLINK("https://baanknet.com/view-property/279016/99036BEAF1C37F097503D31DB02B7B6ECC6CCA91F48E3ECB245D57BAD1D16CCF", "Open")</f>
        <v>Open</v>
      </c>
      <c r="J3413" t="s">
        <v>3803</v>
      </c>
      <c r="L3413">
        <v>1157608</v>
      </c>
      <c r="M3413">
        <v>115760.8</v>
      </c>
    </row>
    <row r="3414" spans="1:13" x14ac:dyDescent="0.25">
      <c r="A3414" t="s">
        <v>11492</v>
      </c>
      <c r="B3414" t="s">
        <v>11493</v>
      </c>
      <c r="C3414" t="s">
        <v>525</v>
      </c>
      <c r="D3414" t="s">
        <v>578</v>
      </c>
      <c r="E3414" t="s">
        <v>11023</v>
      </c>
      <c r="F3414" t="s">
        <v>11430</v>
      </c>
      <c r="G3414" t="s">
        <v>11494</v>
      </c>
      <c r="H3414" t="str">
        <f>HYPERLINK("https://baanknet.com/view-property/287082/5D8713B25DD105124478794C71C4BD704522C32EA5DEC816AAB527C842388358", "https://baanknet.com/view-property/287082/5D8713B25DD105124478794C71C4BD704522C32EA5DEC816AAB527C842388358")</f>
        <v>https://baanknet.com/view-property/287082/5D8713B25DD105124478794C71C4BD704522C32EA5DEC816AAB527C842388358</v>
      </c>
      <c r="I3414" t="str">
        <f>HYPERLINK("https://baanknet.com/view-property/287082/5D8713B25DD105124478794C71C4BD704522C32EA5DEC816AAB527C842388358", "Open")</f>
        <v>Open</v>
      </c>
      <c r="J3414" t="s">
        <v>3803</v>
      </c>
      <c r="L3414">
        <v>9781000</v>
      </c>
      <c r="M3414">
        <v>978100</v>
      </c>
    </row>
    <row r="3415" spans="1:13" x14ac:dyDescent="0.25">
      <c r="A3415" t="s">
        <v>11495</v>
      </c>
      <c r="B3415" t="s">
        <v>11496</v>
      </c>
      <c r="C3415" t="s">
        <v>7449</v>
      </c>
      <c r="D3415" t="s">
        <v>518</v>
      </c>
      <c r="E3415" t="s">
        <v>11023</v>
      </c>
      <c r="F3415" t="s">
        <v>11430</v>
      </c>
      <c r="G3415" t="s">
        <v>11497</v>
      </c>
      <c r="H3415" t="str">
        <f>HYPERLINK("https://baanknet.com/view-property/262681/CF24E19778D7EAFA1252BCC46962ACF49242436B944FF10270A0B210A674D0A0", "https://baanknet.com/view-property/262681/CF24E19778D7EAFA1252BCC46962ACF49242436B944FF10270A0B210A674D0A0")</f>
        <v>https://baanknet.com/view-property/262681/CF24E19778D7EAFA1252BCC46962ACF49242436B944FF10270A0B210A674D0A0</v>
      </c>
      <c r="I3415" t="str">
        <f>HYPERLINK("https://baanknet.com/view-property/262681/CF24E19778D7EAFA1252BCC46962ACF49242436B944FF10270A0B210A674D0A0", "Open")</f>
        <v>Open</v>
      </c>
      <c r="J3415" t="s">
        <v>3803</v>
      </c>
      <c r="L3415">
        <v>1359000</v>
      </c>
      <c r="M3415">
        <v>135900</v>
      </c>
    </row>
    <row r="3416" spans="1:13" x14ac:dyDescent="0.25">
      <c r="A3416" t="s">
        <v>11498</v>
      </c>
      <c r="B3416" t="s">
        <v>11499</v>
      </c>
      <c r="C3416" t="s">
        <v>7449</v>
      </c>
      <c r="D3416" t="s">
        <v>9101</v>
      </c>
      <c r="E3416" t="s">
        <v>11023</v>
      </c>
      <c r="F3416" t="s">
        <v>11430</v>
      </c>
      <c r="G3416" t="s">
        <v>11500</v>
      </c>
      <c r="H3416" t="str">
        <f>HYPERLINK("https://baanknet.com/view-property/259416/09D212DD2FB2EEF90FF3FFD10682D0C3BDBB1E5BD3A228F689178CFDD1210169", "https://baanknet.com/view-property/259416/09D212DD2FB2EEF90FF3FFD10682D0C3BDBB1E5BD3A228F689178CFDD1210169")</f>
        <v>https://baanknet.com/view-property/259416/09D212DD2FB2EEF90FF3FFD10682D0C3BDBB1E5BD3A228F689178CFDD1210169</v>
      </c>
      <c r="I3416" t="str">
        <f>HYPERLINK("https://baanknet.com/view-property/259416/09D212DD2FB2EEF90FF3FFD10682D0C3BDBB1E5BD3A228F689178CFDD1210169", "Open")</f>
        <v>Open</v>
      </c>
      <c r="J3416" t="s">
        <v>3803</v>
      </c>
      <c r="L3416">
        <v>1200000</v>
      </c>
      <c r="M3416">
        <v>120000</v>
      </c>
    </row>
    <row r="3417" spans="1:13" x14ac:dyDescent="0.25">
      <c r="A3417" t="s">
        <v>11501</v>
      </c>
      <c r="B3417" t="s">
        <v>11502</v>
      </c>
      <c r="C3417" t="s">
        <v>7449</v>
      </c>
      <c r="D3417" t="s">
        <v>9101</v>
      </c>
      <c r="E3417" t="s">
        <v>11023</v>
      </c>
      <c r="F3417" t="s">
        <v>11430</v>
      </c>
      <c r="G3417" t="s">
        <v>11503</v>
      </c>
      <c r="H3417" t="str">
        <f>HYPERLINK("https://baanknet.com/view-property/259412/2D9EA3CFE01F257BAF7C9A4BE5BA4CB5A8C52CBB8FAEE31D31DDA74D1F6AD5DD", "https://baanknet.com/view-property/259412/2D9EA3CFE01F257BAF7C9A4BE5BA4CB5A8C52CBB8FAEE31D31DDA74D1F6AD5DD")</f>
        <v>https://baanknet.com/view-property/259412/2D9EA3CFE01F257BAF7C9A4BE5BA4CB5A8C52CBB8FAEE31D31DDA74D1F6AD5DD</v>
      </c>
      <c r="I3417" t="str">
        <f>HYPERLINK("https://baanknet.com/view-property/259412/2D9EA3CFE01F257BAF7C9A4BE5BA4CB5A8C52CBB8FAEE31D31DDA74D1F6AD5DD", "Open")</f>
        <v>Open</v>
      </c>
      <c r="J3417" t="s">
        <v>3803</v>
      </c>
      <c r="L3417">
        <v>455000</v>
      </c>
      <c r="M3417">
        <v>45500</v>
      </c>
    </row>
    <row r="3418" spans="1:13" x14ac:dyDescent="0.25">
      <c r="A3418" t="s">
        <v>11504</v>
      </c>
      <c r="B3418" t="s">
        <v>11505</v>
      </c>
      <c r="C3418" t="s">
        <v>571</v>
      </c>
      <c r="D3418" t="s">
        <v>1380</v>
      </c>
      <c r="E3418" t="s">
        <v>11023</v>
      </c>
      <c r="F3418" t="s">
        <v>11430</v>
      </c>
      <c r="G3418" t="s">
        <v>11506</v>
      </c>
      <c r="H3418" t="str">
        <f>HYPERLINK("https://baanknet.com/view-property/287811/5B2DD697929B3F8A870462E51F92FD823325719397A31FCFBD378CFAF80F9309", "https://baanknet.com/view-property/287811/5B2DD697929B3F8A870462E51F92FD823325719397A31FCFBD378CFAF80F9309")</f>
        <v>https://baanknet.com/view-property/287811/5B2DD697929B3F8A870462E51F92FD823325719397A31FCFBD378CFAF80F9309</v>
      </c>
      <c r="I3418" t="str">
        <f>HYPERLINK("https://baanknet.com/view-property/287811/5B2DD697929B3F8A870462E51F92FD823325719397A31FCFBD378CFAF80F9309", "Open")</f>
        <v>Open</v>
      </c>
      <c r="J3418" t="s">
        <v>3803</v>
      </c>
      <c r="L3418">
        <v>1600000</v>
      </c>
      <c r="M3418">
        <v>160000</v>
      </c>
    </row>
    <row r="3419" spans="1:13" x14ac:dyDescent="0.25">
      <c r="A3419" t="s">
        <v>11507</v>
      </c>
      <c r="B3419" t="s">
        <v>11508</v>
      </c>
      <c r="C3419" t="s">
        <v>525</v>
      </c>
      <c r="D3419" t="s">
        <v>578</v>
      </c>
      <c r="E3419" t="s">
        <v>11023</v>
      </c>
      <c r="F3419" t="s">
        <v>11430</v>
      </c>
      <c r="G3419" t="s">
        <v>11509</v>
      </c>
      <c r="H3419" t="str">
        <f>HYPERLINK("https://baanknet.com/view-property/287109/04608EF0A2E0235BC54C724DC5200EB32AED66BE9FDF9C928A2D3F422C01FCAD", "https://baanknet.com/view-property/287109/04608EF0A2E0235BC54C724DC5200EB32AED66BE9FDF9C928A2D3F422C01FCAD")</f>
        <v>https://baanknet.com/view-property/287109/04608EF0A2E0235BC54C724DC5200EB32AED66BE9FDF9C928A2D3F422C01FCAD</v>
      </c>
      <c r="I3419" t="str">
        <f>HYPERLINK("https://baanknet.com/view-property/287109/04608EF0A2E0235BC54C724DC5200EB32AED66BE9FDF9C928A2D3F422C01FCAD", "Open")</f>
        <v>Open</v>
      </c>
      <c r="J3419" t="s">
        <v>3803</v>
      </c>
      <c r="L3419">
        <v>3400000</v>
      </c>
      <c r="M3419">
        <v>340000</v>
      </c>
    </row>
    <row r="3420" spans="1:13" x14ac:dyDescent="0.25">
      <c r="A3420" t="s">
        <v>11510</v>
      </c>
      <c r="B3420" t="s">
        <v>11511</v>
      </c>
      <c r="C3420" t="s">
        <v>387</v>
      </c>
      <c r="D3420" t="s">
        <v>6258</v>
      </c>
      <c r="E3420" t="s">
        <v>11023</v>
      </c>
      <c r="F3420" t="s">
        <v>11430</v>
      </c>
      <c r="G3420" t="s">
        <v>11512</v>
      </c>
      <c r="H3420" t="str">
        <f>HYPERLINK("https://baanknet.com/view-property/284515/D1B66C8918260A365C0AB2C72A06A6B243C29F3A4A9A97526BB6FC30702DF83B", "https://baanknet.com/view-property/284515/D1B66C8918260A365C0AB2C72A06A6B243C29F3A4A9A97526BB6FC30702DF83B")</f>
        <v>https://baanknet.com/view-property/284515/D1B66C8918260A365C0AB2C72A06A6B243C29F3A4A9A97526BB6FC30702DF83B</v>
      </c>
      <c r="I3420" t="str">
        <f>HYPERLINK("https://baanknet.com/view-property/284515/D1B66C8918260A365C0AB2C72A06A6B243C29F3A4A9A97526BB6FC30702DF83B", "Open")</f>
        <v>Open</v>
      </c>
      <c r="J3420" t="s">
        <v>3803</v>
      </c>
      <c r="L3420">
        <v>672000</v>
      </c>
      <c r="M3420">
        <v>67200</v>
      </c>
    </row>
    <row r="3421" spans="1:13" x14ac:dyDescent="0.25">
      <c r="A3421" t="s">
        <v>11513</v>
      </c>
      <c r="B3421" t="s">
        <v>11514</v>
      </c>
      <c r="C3421" t="s">
        <v>387</v>
      </c>
      <c r="D3421" t="s">
        <v>6258</v>
      </c>
      <c r="E3421" t="s">
        <v>11023</v>
      </c>
      <c r="F3421" t="s">
        <v>11430</v>
      </c>
      <c r="G3421" t="s">
        <v>11515</v>
      </c>
      <c r="H3421" t="str">
        <f>HYPERLINK("https://baanknet.com/view-property/284513/A690453878603C22557FD44F0A5819EE918DCEB9730B1E910DF531EAA5590B43", "https://baanknet.com/view-property/284513/A690453878603C22557FD44F0A5819EE918DCEB9730B1E910DF531EAA5590B43")</f>
        <v>https://baanknet.com/view-property/284513/A690453878603C22557FD44F0A5819EE918DCEB9730B1E910DF531EAA5590B43</v>
      </c>
      <c r="I3421" t="str">
        <f>HYPERLINK("https://baanknet.com/view-property/284513/A690453878603C22557FD44F0A5819EE918DCEB9730B1E910DF531EAA5590B43", "Open")</f>
        <v>Open</v>
      </c>
      <c r="J3421" t="s">
        <v>3803</v>
      </c>
      <c r="L3421">
        <v>672000</v>
      </c>
      <c r="M3421">
        <v>67200</v>
      </c>
    </row>
    <row r="3422" spans="1:13" x14ac:dyDescent="0.25">
      <c r="A3422" t="s">
        <v>11516</v>
      </c>
      <c r="B3422" t="s">
        <v>11517</v>
      </c>
      <c r="C3422" t="s">
        <v>387</v>
      </c>
      <c r="D3422" t="s">
        <v>6258</v>
      </c>
      <c r="E3422" t="s">
        <v>11023</v>
      </c>
      <c r="F3422" t="s">
        <v>11430</v>
      </c>
      <c r="G3422" t="s">
        <v>11518</v>
      </c>
      <c r="H3422" t="str">
        <f>HYPERLINK("https://baanknet.com/view-property/284512/8396B25A995AD0332CB1006AE17C131F1EBB16370311C6572E725EED8893BD3D", "https://baanknet.com/view-property/284512/8396B25A995AD0332CB1006AE17C131F1EBB16370311C6572E725EED8893BD3D")</f>
        <v>https://baanknet.com/view-property/284512/8396B25A995AD0332CB1006AE17C131F1EBB16370311C6572E725EED8893BD3D</v>
      </c>
      <c r="I3422" t="str">
        <f>HYPERLINK("https://baanknet.com/view-property/284512/8396B25A995AD0332CB1006AE17C131F1EBB16370311C6572E725EED8893BD3D", "Open")</f>
        <v>Open</v>
      </c>
      <c r="J3422" t="s">
        <v>3803</v>
      </c>
      <c r="L3422">
        <v>667000</v>
      </c>
      <c r="M3422">
        <v>66700</v>
      </c>
    </row>
    <row r="3423" spans="1:13" x14ac:dyDescent="0.25">
      <c r="A3423" t="s">
        <v>11519</v>
      </c>
      <c r="B3423" t="s">
        <v>11520</v>
      </c>
      <c r="C3423" t="s">
        <v>387</v>
      </c>
      <c r="D3423" t="s">
        <v>9101</v>
      </c>
      <c r="E3423" t="s">
        <v>11023</v>
      </c>
      <c r="F3423" t="s">
        <v>11430</v>
      </c>
      <c r="G3423" t="s">
        <v>11521</v>
      </c>
      <c r="H3423" t="str">
        <f>HYPERLINK("https://baanknet.com/view-property/254105/9452F7E338A35C7C315F0C255A06C1886616AE861F31D5E3538701C2C7FDB7B8", "https://baanknet.com/view-property/254105/9452F7E338A35C7C315F0C255A06C1886616AE861F31D5E3538701C2C7FDB7B8")</f>
        <v>https://baanknet.com/view-property/254105/9452F7E338A35C7C315F0C255A06C1886616AE861F31D5E3538701C2C7FDB7B8</v>
      </c>
      <c r="I3423" t="str">
        <f>HYPERLINK("https://baanknet.com/view-property/254105/9452F7E338A35C7C315F0C255A06C1886616AE861F31D5E3538701C2C7FDB7B8", "Open")</f>
        <v>Open</v>
      </c>
      <c r="J3423" t="s">
        <v>3803</v>
      </c>
      <c r="L3423">
        <v>2950000</v>
      </c>
      <c r="M3423">
        <v>295000</v>
      </c>
    </row>
    <row r="3424" spans="1:13" x14ac:dyDescent="0.25">
      <c r="A3424" t="s">
        <v>11522</v>
      </c>
      <c r="B3424" t="s">
        <v>11523</v>
      </c>
      <c r="C3424" t="s">
        <v>387</v>
      </c>
      <c r="D3424" t="s">
        <v>6258</v>
      </c>
      <c r="E3424" t="s">
        <v>11023</v>
      </c>
      <c r="F3424" t="s">
        <v>11430</v>
      </c>
      <c r="G3424" t="s">
        <v>11524</v>
      </c>
      <c r="H3424" t="str">
        <f>HYPERLINK("https://baanknet.com/view-property/284468/CF98B00FBA529B0D380A28870BE9A98390FED4FE02ABE8B29F300A53551B3882", "https://baanknet.com/view-property/284468/CF98B00FBA529B0D380A28870BE9A98390FED4FE02ABE8B29F300A53551B3882")</f>
        <v>https://baanknet.com/view-property/284468/CF98B00FBA529B0D380A28870BE9A98390FED4FE02ABE8B29F300A53551B3882</v>
      </c>
      <c r="I3424" t="str">
        <f>HYPERLINK("https://baanknet.com/view-property/284468/CF98B00FBA529B0D380A28870BE9A98390FED4FE02ABE8B29F300A53551B3882", "Open")</f>
        <v>Open</v>
      </c>
      <c r="J3424" t="s">
        <v>3803</v>
      </c>
      <c r="L3424">
        <v>672000</v>
      </c>
      <c r="M3424">
        <v>67200</v>
      </c>
    </row>
    <row r="3425" spans="1:13" x14ac:dyDescent="0.25">
      <c r="A3425" t="s">
        <v>11525</v>
      </c>
      <c r="B3425" t="s">
        <v>11526</v>
      </c>
      <c r="C3425" t="s">
        <v>387</v>
      </c>
      <c r="D3425" t="s">
        <v>6258</v>
      </c>
      <c r="E3425" t="s">
        <v>11023</v>
      </c>
      <c r="F3425" t="s">
        <v>11430</v>
      </c>
      <c r="G3425" t="s">
        <v>11527</v>
      </c>
      <c r="H3425" t="str">
        <f>HYPERLINK("https://baanknet.com/view-property/284466/75A0FDA5D9C6F284C4019A816062FC320C95945E4A549638BAE06C025833D6C7", "https://baanknet.com/view-property/284466/75A0FDA5D9C6F284C4019A816062FC320C95945E4A549638BAE06C025833D6C7")</f>
        <v>https://baanknet.com/view-property/284466/75A0FDA5D9C6F284C4019A816062FC320C95945E4A549638BAE06C025833D6C7</v>
      </c>
      <c r="I3425" t="str">
        <f>HYPERLINK("https://baanknet.com/view-property/284466/75A0FDA5D9C6F284C4019A816062FC320C95945E4A549638BAE06C025833D6C7", "Open")</f>
        <v>Open</v>
      </c>
      <c r="J3425" t="s">
        <v>3803</v>
      </c>
      <c r="L3425">
        <v>672000</v>
      </c>
      <c r="M3425">
        <v>67200</v>
      </c>
    </row>
    <row r="3426" spans="1:13" x14ac:dyDescent="0.25">
      <c r="A3426" t="s">
        <v>11528</v>
      </c>
      <c r="B3426" t="s">
        <v>11529</v>
      </c>
      <c r="C3426" t="s">
        <v>387</v>
      </c>
      <c r="D3426" t="s">
        <v>6258</v>
      </c>
      <c r="E3426" t="s">
        <v>11023</v>
      </c>
      <c r="F3426" t="s">
        <v>11430</v>
      </c>
      <c r="G3426" t="s">
        <v>11530</v>
      </c>
      <c r="H3426" t="str">
        <f>HYPERLINK("https://baanknet.com/view-property/284463/72901D35075E5F35FC66E566CEFEDCD451101E79D035519509E22AC734A2A94C", "https://baanknet.com/view-property/284463/72901D35075E5F35FC66E566CEFEDCD451101E79D035519509E22AC734A2A94C")</f>
        <v>https://baanknet.com/view-property/284463/72901D35075E5F35FC66E566CEFEDCD451101E79D035519509E22AC734A2A94C</v>
      </c>
      <c r="I3426" t="str">
        <f>HYPERLINK("https://baanknet.com/view-property/284463/72901D35075E5F35FC66E566CEFEDCD451101E79D035519509E22AC734A2A94C", "Open")</f>
        <v>Open</v>
      </c>
      <c r="J3426" t="s">
        <v>3803</v>
      </c>
      <c r="L3426">
        <v>988000</v>
      </c>
      <c r="M3426">
        <v>98800</v>
      </c>
    </row>
    <row r="3427" spans="1:13" x14ac:dyDescent="0.25">
      <c r="A3427" t="s">
        <v>11531</v>
      </c>
      <c r="B3427" t="s">
        <v>11532</v>
      </c>
      <c r="C3427" t="s">
        <v>387</v>
      </c>
      <c r="D3427" t="s">
        <v>6258</v>
      </c>
      <c r="E3427" t="s">
        <v>11023</v>
      </c>
      <c r="F3427" t="s">
        <v>11430</v>
      </c>
      <c r="G3427" t="s">
        <v>11533</v>
      </c>
      <c r="H3427" t="str">
        <f>HYPERLINK("https://baanknet.com/view-property/284459/FCC20403E0F0DEFBC4C2F6823D7F3FD061C6554D210E9FA99E1B9F0FB48A979D", "https://baanknet.com/view-property/284459/FCC20403E0F0DEFBC4C2F6823D7F3FD061C6554D210E9FA99E1B9F0FB48A979D")</f>
        <v>https://baanknet.com/view-property/284459/FCC20403E0F0DEFBC4C2F6823D7F3FD061C6554D210E9FA99E1B9F0FB48A979D</v>
      </c>
      <c r="I3427" t="str">
        <f>HYPERLINK("https://baanknet.com/view-property/284459/FCC20403E0F0DEFBC4C2F6823D7F3FD061C6554D210E9FA99E1B9F0FB48A979D", "Open")</f>
        <v>Open</v>
      </c>
      <c r="J3427" t="s">
        <v>3803</v>
      </c>
      <c r="L3427">
        <v>653000</v>
      </c>
      <c r="M3427">
        <v>65300</v>
      </c>
    </row>
    <row r="3428" spans="1:13" x14ac:dyDescent="0.25">
      <c r="A3428" t="s">
        <v>11534</v>
      </c>
      <c r="B3428" t="s">
        <v>11535</v>
      </c>
      <c r="C3428" t="s">
        <v>387</v>
      </c>
      <c r="D3428" t="s">
        <v>11536</v>
      </c>
      <c r="E3428" t="s">
        <v>11023</v>
      </c>
      <c r="F3428" t="s">
        <v>11430</v>
      </c>
      <c r="G3428" t="s">
        <v>11537</v>
      </c>
      <c r="H3428" t="str">
        <f>HYPERLINK("https://baanknet.com/view-property/251207/A23470F8D1A75C0D5C5A94C5C90E0C319C1CEB5A7328DF3DFDBF991CD886BDC9", "https://baanknet.com/view-property/251207/A23470F8D1A75C0D5C5A94C5C90E0C319C1CEB5A7328DF3DFDBF991CD886BDC9")</f>
        <v>https://baanknet.com/view-property/251207/A23470F8D1A75C0D5C5A94C5C90E0C319C1CEB5A7328DF3DFDBF991CD886BDC9</v>
      </c>
      <c r="I3428" t="str">
        <f>HYPERLINK("https://baanknet.com/view-property/251207/A23470F8D1A75C0D5C5A94C5C90E0C319C1CEB5A7328DF3DFDBF991CD886BDC9", "Open")</f>
        <v>Open</v>
      </c>
      <c r="J3428" t="s">
        <v>3803</v>
      </c>
      <c r="L3428">
        <v>4195000</v>
      </c>
      <c r="M3428">
        <v>419500</v>
      </c>
    </row>
    <row r="3429" spans="1:13" x14ac:dyDescent="0.25">
      <c r="A3429" t="s">
        <v>11538</v>
      </c>
      <c r="B3429" t="s">
        <v>11539</v>
      </c>
      <c r="C3429" t="s">
        <v>387</v>
      </c>
      <c r="D3429" t="s">
        <v>6258</v>
      </c>
      <c r="E3429" t="s">
        <v>11023</v>
      </c>
      <c r="F3429" t="s">
        <v>11430</v>
      </c>
      <c r="G3429" t="s">
        <v>11540</v>
      </c>
      <c r="H3429" t="str">
        <f>HYPERLINK("https://baanknet.com/view-property/284396/6CF58601FB9C9020C520A65E24304AE3CDC351C074C26C8BF2F7925FF24245C8", "https://baanknet.com/view-property/284396/6CF58601FB9C9020C520A65E24304AE3CDC351C074C26C8BF2F7925FF24245C8")</f>
        <v>https://baanknet.com/view-property/284396/6CF58601FB9C9020C520A65E24304AE3CDC351C074C26C8BF2F7925FF24245C8</v>
      </c>
      <c r="I3429" t="str">
        <f>HYPERLINK("https://baanknet.com/view-property/284396/6CF58601FB9C9020C520A65E24304AE3CDC351C074C26C8BF2F7925FF24245C8", "Open")</f>
        <v>Open</v>
      </c>
      <c r="J3429" t="s">
        <v>3803</v>
      </c>
      <c r="L3429">
        <v>1445000</v>
      </c>
      <c r="M3429">
        <v>144500</v>
      </c>
    </row>
    <row r="3430" spans="1:13" x14ac:dyDescent="0.25">
      <c r="A3430" t="s">
        <v>11541</v>
      </c>
      <c r="B3430" t="s">
        <v>11542</v>
      </c>
      <c r="C3430" t="s">
        <v>387</v>
      </c>
      <c r="D3430" t="s">
        <v>9101</v>
      </c>
      <c r="E3430" t="s">
        <v>11023</v>
      </c>
      <c r="F3430" t="s">
        <v>11430</v>
      </c>
      <c r="G3430" t="s">
        <v>11543</v>
      </c>
      <c r="H3430" t="str">
        <f>HYPERLINK("https://baanknet.com/view-property/278674/FA0B301EBC46E050A4A978CFBE384DF4C707DFF91B3E1FCE668F77C555D5010E", "https://baanknet.com/view-property/278674/FA0B301EBC46E050A4A978CFBE384DF4C707DFF91B3E1FCE668F77C555D5010E")</f>
        <v>https://baanknet.com/view-property/278674/FA0B301EBC46E050A4A978CFBE384DF4C707DFF91B3E1FCE668F77C555D5010E</v>
      </c>
      <c r="I3430" t="str">
        <f>HYPERLINK("https://baanknet.com/view-property/278674/FA0B301EBC46E050A4A978CFBE384DF4C707DFF91B3E1FCE668F77C555D5010E", "Open")</f>
        <v>Open</v>
      </c>
      <c r="J3430" t="s">
        <v>3803</v>
      </c>
      <c r="L3430">
        <v>1002000</v>
      </c>
      <c r="M3430">
        <v>100200</v>
      </c>
    </row>
    <row r="3431" spans="1:13" x14ac:dyDescent="0.25">
      <c r="A3431" t="s">
        <v>11544</v>
      </c>
      <c r="B3431" t="s">
        <v>11545</v>
      </c>
      <c r="C3431" t="s">
        <v>387</v>
      </c>
      <c r="D3431" t="s">
        <v>9101</v>
      </c>
      <c r="E3431" t="s">
        <v>11023</v>
      </c>
      <c r="F3431" t="s">
        <v>11430</v>
      </c>
      <c r="G3431" t="s">
        <v>11546</v>
      </c>
      <c r="H3431" t="str">
        <f>HYPERLINK("https://baanknet.com/view-property/278680/F1E5DB912EC2DDCA129F3A8F04233554C5FD0C84CC20824ADF0F2A0F70DBFA43", "https://baanknet.com/view-property/278680/F1E5DB912EC2DDCA129F3A8F04233554C5FD0C84CC20824ADF0F2A0F70DBFA43")</f>
        <v>https://baanknet.com/view-property/278680/F1E5DB912EC2DDCA129F3A8F04233554C5FD0C84CC20824ADF0F2A0F70DBFA43</v>
      </c>
      <c r="I3431" t="str">
        <f>HYPERLINK("https://baanknet.com/view-property/278680/F1E5DB912EC2DDCA129F3A8F04233554C5FD0C84CC20824ADF0F2A0F70DBFA43", "Open")</f>
        <v>Open</v>
      </c>
      <c r="J3431" t="s">
        <v>3803</v>
      </c>
      <c r="L3431">
        <v>1002000</v>
      </c>
      <c r="M3431">
        <v>100200</v>
      </c>
    </row>
    <row r="3432" spans="1:13" x14ac:dyDescent="0.25">
      <c r="A3432" t="s">
        <v>11547</v>
      </c>
      <c r="B3432" t="s">
        <v>11548</v>
      </c>
      <c r="C3432" t="s">
        <v>387</v>
      </c>
      <c r="D3432" t="s">
        <v>9101</v>
      </c>
      <c r="E3432" t="s">
        <v>11023</v>
      </c>
      <c r="F3432" t="s">
        <v>11430</v>
      </c>
      <c r="G3432" t="s">
        <v>11549</v>
      </c>
      <c r="H3432" t="str">
        <f>HYPERLINK("https://baanknet.com/view-property/239209/3D022CF9D9954AB17992F255A0DAB091098C16056AD83E7EDFB054D8DBD79B64", "https://baanknet.com/view-property/239209/3D022CF9D9954AB17992F255A0DAB091098C16056AD83E7EDFB054D8DBD79B64")</f>
        <v>https://baanknet.com/view-property/239209/3D022CF9D9954AB17992F255A0DAB091098C16056AD83E7EDFB054D8DBD79B64</v>
      </c>
      <c r="I3432" t="str">
        <f>HYPERLINK("https://baanknet.com/view-property/239209/3D022CF9D9954AB17992F255A0DAB091098C16056AD83E7EDFB054D8DBD79B64", "Open")</f>
        <v>Open</v>
      </c>
      <c r="J3432" t="s">
        <v>3803</v>
      </c>
      <c r="L3432">
        <v>1459000</v>
      </c>
      <c r="M3432">
        <v>145900</v>
      </c>
    </row>
    <row r="3433" spans="1:13" x14ac:dyDescent="0.25">
      <c r="A3433" t="s">
        <v>11550</v>
      </c>
      <c r="B3433" t="s">
        <v>11551</v>
      </c>
      <c r="C3433" t="s">
        <v>387</v>
      </c>
      <c r="D3433" t="s">
        <v>6258</v>
      </c>
      <c r="E3433" t="s">
        <v>11023</v>
      </c>
      <c r="F3433" t="s">
        <v>11430</v>
      </c>
      <c r="G3433" t="s">
        <v>11552</v>
      </c>
      <c r="H3433" t="str">
        <f>HYPERLINK("https://baanknet.com/view-property/284390/E20268793AFF982BC12364B8BE5BC35A5E05A85933E25C683D7B80DED77BA1E8", "https://baanknet.com/view-property/284390/E20268793AFF982BC12364B8BE5BC35A5E05A85933E25C683D7B80DED77BA1E8")</f>
        <v>https://baanknet.com/view-property/284390/E20268793AFF982BC12364B8BE5BC35A5E05A85933E25C683D7B80DED77BA1E8</v>
      </c>
      <c r="I3433" t="str">
        <f>HYPERLINK("https://baanknet.com/view-property/284390/E20268793AFF982BC12364B8BE5BC35A5E05A85933E25C683D7B80DED77BA1E8", "Open")</f>
        <v>Open</v>
      </c>
      <c r="J3433" t="s">
        <v>3803</v>
      </c>
      <c r="L3433">
        <v>639000</v>
      </c>
      <c r="M3433">
        <v>63900</v>
      </c>
    </row>
    <row r="3434" spans="1:13" x14ac:dyDescent="0.25">
      <c r="A3434" t="s">
        <v>11553</v>
      </c>
      <c r="B3434" t="s">
        <v>11554</v>
      </c>
      <c r="C3434" t="s">
        <v>387</v>
      </c>
      <c r="D3434" t="s">
        <v>11555</v>
      </c>
      <c r="E3434" t="s">
        <v>11023</v>
      </c>
      <c r="F3434" t="s">
        <v>11430</v>
      </c>
      <c r="G3434" t="s">
        <v>11556</v>
      </c>
      <c r="H3434" t="str">
        <f>HYPERLINK("https://baanknet.com/view-property/271027/A3BD479045AF76550E20C5B73681291AAEC9ED7A8DD10D439107EDD8DB813527", "https://baanknet.com/view-property/271027/A3BD479045AF76550E20C5B73681291AAEC9ED7A8DD10D439107EDD8DB813527")</f>
        <v>https://baanknet.com/view-property/271027/A3BD479045AF76550E20C5B73681291AAEC9ED7A8DD10D439107EDD8DB813527</v>
      </c>
      <c r="I3434" t="str">
        <f>HYPERLINK("https://baanknet.com/view-property/271027/A3BD479045AF76550E20C5B73681291AAEC9ED7A8DD10D439107EDD8DB813527", "Open")</f>
        <v>Open</v>
      </c>
      <c r="J3434" t="s">
        <v>3803</v>
      </c>
      <c r="L3434">
        <v>686000</v>
      </c>
      <c r="M3434">
        <v>68600</v>
      </c>
    </row>
    <row r="3435" spans="1:13" x14ac:dyDescent="0.25">
      <c r="A3435" t="s">
        <v>11557</v>
      </c>
      <c r="B3435" t="s">
        <v>11558</v>
      </c>
      <c r="C3435" t="s">
        <v>387</v>
      </c>
      <c r="D3435" t="s">
        <v>6258</v>
      </c>
      <c r="E3435" t="s">
        <v>11023</v>
      </c>
      <c r="F3435" t="s">
        <v>11430</v>
      </c>
      <c r="G3435" t="s">
        <v>11559</v>
      </c>
      <c r="H3435" t="str">
        <f>HYPERLINK("https://baanknet.com/view-property/284383/0D43E0EC045244B92CDF6000657B344977802884114AFD589B889C0AB27AA576", "https://baanknet.com/view-property/284383/0D43E0EC045244B92CDF6000657B344977802884114AFD589B889C0AB27AA576")</f>
        <v>https://baanknet.com/view-property/284383/0D43E0EC045244B92CDF6000657B344977802884114AFD589B889C0AB27AA576</v>
      </c>
      <c r="I3435" t="str">
        <f>HYPERLINK("https://baanknet.com/view-property/284383/0D43E0EC045244B92CDF6000657B344977802884114AFD589B889C0AB27AA576", "Open")</f>
        <v>Open</v>
      </c>
      <c r="J3435" t="s">
        <v>3803</v>
      </c>
      <c r="L3435">
        <v>896000</v>
      </c>
      <c r="M3435">
        <v>89600</v>
      </c>
    </row>
    <row r="3436" spans="1:13" x14ac:dyDescent="0.25">
      <c r="A3436" t="s">
        <v>11560</v>
      </c>
      <c r="B3436" t="s">
        <v>11561</v>
      </c>
      <c r="C3436" t="s">
        <v>387</v>
      </c>
      <c r="D3436" t="s">
        <v>1619</v>
      </c>
      <c r="E3436" t="s">
        <v>11023</v>
      </c>
      <c r="F3436" t="s">
        <v>11430</v>
      </c>
      <c r="G3436" t="s">
        <v>11562</v>
      </c>
      <c r="H3436" t="str">
        <f>HYPERLINK("https://baanknet.com/view-property/170507/CA92938C32E26F981D53C36F95671959A4328939B49D24DE26BDC9C5A54EA04F", "https://baanknet.com/view-property/170507/CA92938C32E26F981D53C36F95671959A4328939B49D24DE26BDC9C5A54EA04F")</f>
        <v>https://baanknet.com/view-property/170507/CA92938C32E26F981D53C36F95671959A4328939B49D24DE26BDC9C5A54EA04F</v>
      </c>
      <c r="I3436" t="str">
        <f>HYPERLINK("https://baanknet.com/view-property/170507/CA92938C32E26F981D53C36F95671959A4328939B49D24DE26BDC9C5A54EA04F", "Open")</f>
        <v>Open</v>
      </c>
      <c r="J3436" t="s">
        <v>3803</v>
      </c>
      <c r="L3436">
        <v>995000</v>
      </c>
      <c r="M3436">
        <v>99500</v>
      </c>
    </row>
    <row r="3437" spans="1:13" x14ac:dyDescent="0.25">
      <c r="A3437" t="s">
        <v>11563</v>
      </c>
      <c r="B3437" t="s">
        <v>11564</v>
      </c>
      <c r="C3437" t="s">
        <v>387</v>
      </c>
      <c r="D3437" t="s">
        <v>11565</v>
      </c>
      <c r="E3437" t="s">
        <v>11023</v>
      </c>
      <c r="F3437" t="s">
        <v>11430</v>
      </c>
      <c r="G3437" t="s">
        <v>11566</v>
      </c>
      <c r="H3437" t="str">
        <f>HYPERLINK("https://baanknet.com/view-property/284168/F654709D9BD318C40F791F1853DA58AA1501D3E587AFCB9FA485765CDAA1ACA7", "https://baanknet.com/view-property/284168/F654709D9BD318C40F791F1853DA58AA1501D3E587AFCB9FA485765CDAA1ACA7")</f>
        <v>https://baanknet.com/view-property/284168/F654709D9BD318C40F791F1853DA58AA1501D3E587AFCB9FA485765CDAA1ACA7</v>
      </c>
      <c r="I3437" t="str">
        <f>HYPERLINK("https://baanknet.com/view-property/284168/F654709D9BD318C40F791F1853DA58AA1501D3E587AFCB9FA485765CDAA1ACA7", "Open")</f>
        <v>Open</v>
      </c>
      <c r="J3437" t="s">
        <v>3803</v>
      </c>
      <c r="L3437">
        <v>1445000</v>
      </c>
      <c r="M3437">
        <v>144500</v>
      </c>
    </row>
    <row r="3438" spans="1:13" x14ac:dyDescent="0.25">
      <c r="A3438" t="s">
        <v>11567</v>
      </c>
      <c r="B3438" t="s">
        <v>11568</v>
      </c>
      <c r="C3438" t="s">
        <v>387</v>
      </c>
      <c r="D3438" t="s">
        <v>1619</v>
      </c>
      <c r="E3438" t="s">
        <v>11023</v>
      </c>
      <c r="F3438" t="s">
        <v>11430</v>
      </c>
      <c r="G3438" t="s">
        <v>11569</v>
      </c>
      <c r="H3438" t="str">
        <f>HYPERLINK("https://baanknet.com/view-property/170503/33B1B86118C906F3C50FFAFC6F0DA792299D5137AAED40BBF0D52DC1FF499144", "https://baanknet.com/view-property/170503/33B1B86118C906F3C50FFAFC6F0DA792299D5137AAED40BBF0D52DC1FF499144")</f>
        <v>https://baanknet.com/view-property/170503/33B1B86118C906F3C50FFAFC6F0DA792299D5137AAED40BBF0D52DC1FF499144</v>
      </c>
      <c r="I3438" t="str">
        <f>HYPERLINK("https://baanknet.com/view-property/170503/33B1B86118C906F3C50FFAFC6F0DA792299D5137AAED40BBF0D52DC1FF499144", "Open")</f>
        <v>Open</v>
      </c>
      <c r="J3438" t="s">
        <v>3803</v>
      </c>
      <c r="L3438">
        <v>780000</v>
      </c>
      <c r="M3438">
        <v>78000</v>
      </c>
    </row>
    <row r="3439" spans="1:13" x14ac:dyDescent="0.25">
      <c r="A3439" t="s">
        <v>11570</v>
      </c>
      <c r="B3439" t="s">
        <v>11571</v>
      </c>
      <c r="C3439" t="s">
        <v>387</v>
      </c>
      <c r="D3439" t="s">
        <v>11572</v>
      </c>
      <c r="E3439" t="s">
        <v>11023</v>
      </c>
      <c r="F3439" t="s">
        <v>11430</v>
      </c>
      <c r="G3439" t="s">
        <v>11573</v>
      </c>
      <c r="H3439" t="str">
        <f>HYPERLINK("https://baanknet.com/view-property/248714/E6B20B668A5951548B5BFE8B59BD8BA058422ADC332ABCC376FED2FE4901940B", "https://baanknet.com/view-property/248714/E6B20B668A5951548B5BFE8B59BD8BA058422ADC332ABCC376FED2FE4901940B")</f>
        <v>https://baanknet.com/view-property/248714/E6B20B668A5951548B5BFE8B59BD8BA058422ADC332ABCC376FED2FE4901940B</v>
      </c>
      <c r="I3439" t="str">
        <f>HYPERLINK("https://baanknet.com/view-property/248714/E6B20B668A5951548B5BFE8B59BD8BA058422ADC332ABCC376FED2FE4901940B", "Open")</f>
        <v>Open</v>
      </c>
      <c r="J3439" t="s">
        <v>3803</v>
      </c>
      <c r="L3439">
        <v>2250000</v>
      </c>
      <c r="M3439">
        <v>225000</v>
      </c>
    </row>
    <row r="3440" spans="1:13" x14ac:dyDescent="0.25">
      <c r="A3440" t="s">
        <v>11574</v>
      </c>
      <c r="B3440" t="s">
        <v>11575</v>
      </c>
      <c r="C3440" t="s">
        <v>387</v>
      </c>
      <c r="D3440" t="s">
        <v>9101</v>
      </c>
      <c r="E3440" t="s">
        <v>11023</v>
      </c>
      <c r="F3440" t="s">
        <v>11430</v>
      </c>
      <c r="G3440" t="s">
        <v>11576</v>
      </c>
      <c r="H3440" t="str">
        <f>HYPERLINK("https://baanknet.com/view-property/273211/69F2C3C06215B0E3D725D3D3498DD5B3C5567FD2AF3F451272541AE61AA3F14F", "https://baanknet.com/view-property/273211/69F2C3C06215B0E3D725D3D3498DD5B3C5567FD2AF3F451272541AE61AA3F14F")</f>
        <v>https://baanknet.com/view-property/273211/69F2C3C06215B0E3D725D3D3498DD5B3C5567FD2AF3F451272541AE61AA3F14F</v>
      </c>
      <c r="I3440" t="str">
        <f>HYPERLINK("https://baanknet.com/view-property/273211/69F2C3C06215B0E3D725D3D3498DD5B3C5567FD2AF3F451272541AE61AA3F14F", "Open")</f>
        <v>Open</v>
      </c>
      <c r="J3440" t="s">
        <v>3803</v>
      </c>
      <c r="L3440">
        <v>2016000</v>
      </c>
      <c r="M3440">
        <v>201600</v>
      </c>
    </row>
    <row r="3441" spans="1:13" x14ac:dyDescent="0.25">
      <c r="A3441" t="s">
        <v>11577</v>
      </c>
      <c r="B3441" t="s">
        <v>11578</v>
      </c>
      <c r="C3441" t="s">
        <v>387</v>
      </c>
      <c r="D3441" t="s">
        <v>11555</v>
      </c>
      <c r="E3441" t="s">
        <v>11023</v>
      </c>
      <c r="F3441" t="s">
        <v>11430</v>
      </c>
      <c r="G3441" t="s">
        <v>11579</v>
      </c>
      <c r="H3441" t="str">
        <f>HYPERLINK("https://baanknet.com/view-property/189500/D5DD8BC8279C2744D5604079493FB8DF79187A0881E7CEAE7AF07F16BA4E466A", "https://baanknet.com/view-property/189500/D5DD8BC8279C2744D5604079493FB8DF79187A0881E7CEAE7AF07F16BA4E466A")</f>
        <v>https://baanknet.com/view-property/189500/D5DD8BC8279C2744D5604079493FB8DF79187A0881E7CEAE7AF07F16BA4E466A</v>
      </c>
      <c r="I3441" t="str">
        <f>HYPERLINK("https://baanknet.com/view-property/189500/D5DD8BC8279C2744D5604079493FB8DF79187A0881E7CEAE7AF07F16BA4E466A", "Open")</f>
        <v>Open</v>
      </c>
      <c r="J3441" t="s">
        <v>3803</v>
      </c>
      <c r="L3441">
        <v>3130000</v>
      </c>
      <c r="M3441">
        <v>313000</v>
      </c>
    </row>
    <row r="3442" spans="1:13" x14ac:dyDescent="0.25">
      <c r="A3442" t="s">
        <v>11580</v>
      </c>
      <c r="B3442" t="s">
        <v>11581</v>
      </c>
      <c r="C3442" t="s">
        <v>387</v>
      </c>
      <c r="D3442" t="s">
        <v>1993</v>
      </c>
      <c r="E3442" t="s">
        <v>11023</v>
      </c>
      <c r="F3442" t="s">
        <v>11430</v>
      </c>
      <c r="G3442" t="s">
        <v>11582</v>
      </c>
      <c r="H3442" t="str">
        <f>HYPERLINK("https://baanknet.com/view-property/187521/74C8D889F95CD28B535604E79C4BD1FB7F603CDD4AE536B67DADDB1618C43F90", "https://baanknet.com/view-property/187521/74C8D889F95CD28B535604E79C4BD1FB7F603CDD4AE536B67DADDB1618C43F90")</f>
        <v>https://baanknet.com/view-property/187521/74C8D889F95CD28B535604E79C4BD1FB7F603CDD4AE536B67DADDB1618C43F90</v>
      </c>
      <c r="I3442" t="str">
        <f>HYPERLINK("https://baanknet.com/view-property/187521/74C8D889F95CD28B535604E79C4BD1FB7F603CDD4AE536B67DADDB1618C43F90", "Open")</f>
        <v>Open</v>
      </c>
      <c r="J3442" t="s">
        <v>3803</v>
      </c>
      <c r="L3442">
        <v>4467000</v>
      </c>
      <c r="M3442">
        <v>446700</v>
      </c>
    </row>
    <row r="3443" spans="1:13" x14ac:dyDescent="0.25">
      <c r="A3443" t="s">
        <v>11583</v>
      </c>
      <c r="B3443" t="s">
        <v>11584</v>
      </c>
      <c r="C3443" t="s">
        <v>387</v>
      </c>
      <c r="D3443" t="s">
        <v>1993</v>
      </c>
      <c r="E3443" t="s">
        <v>11023</v>
      </c>
      <c r="F3443" t="s">
        <v>11430</v>
      </c>
      <c r="G3443" t="s">
        <v>11585</v>
      </c>
      <c r="H3443" t="str">
        <f>HYPERLINK("https://baanknet.com/view-property/185711/6E736D0085141C700AA2874D9E1BC0AE790BF29DA2011919FEF490C740DD244E", "https://baanknet.com/view-property/185711/6E736D0085141C700AA2874D9E1BC0AE790BF29DA2011919FEF490C740DD244E")</f>
        <v>https://baanknet.com/view-property/185711/6E736D0085141C700AA2874D9E1BC0AE790BF29DA2011919FEF490C740DD244E</v>
      </c>
      <c r="I3443" t="str">
        <f>HYPERLINK("https://baanknet.com/view-property/185711/6E736D0085141C700AA2874D9E1BC0AE790BF29DA2011919FEF490C740DD244E", "Open")</f>
        <v>Open</v>
      </c>
      <c r="J3443" t="s">
        <v>3803</v>
      </c>
      <c r="L3443">
        <v>5300000</v>
      </c>
      <c r="M3443">
        <v>530000</v>
      </c>
    </row>
    <row r="3444" spans="1:13" x14ac:dyDescent="0.25">
      <c r="A3444" t="s">
        <v>11586</v>
      </c>
      <c r="B3444" t="s">
        <v>11587</v>
      </c>
      <c r="C3444" t="s">
        <v>387</v>
      </c>
      <c r="D3444" t="s">
        <v>7424</v>
      </c>
      <c r="E3444" t="s">
        <v>11023</v>
      </c>
      <c r="F3444" t="s">
        <v>11430</v>
      </c>
      <c r="G3444" t="s">
        <v>11588</v>
      </c>
      <c r="H3444" t="str">
        <f>HYPERLINK("https://baanknet.com/view-property/187992/E8A4AE924E036160AA9CF72BB72E76371CE58594DE7AB6F81AD2F07C5EC99AA1", "https://baanknet.com/view-property/187992/E8A4AE924E036160AA9CF72BB72E76371CE58594DE7AB6F81AD2F07C5EC99AA1")</f>
        <v>https://baanknet.com/view-property/187992/E8A4AE924E036160AA9CF72BB72E76371CE58594DE7AB6F81AD2F07C5EC99AA1</v>
      </c>
      <c r="I3444" t="str">
        <f>HYPERLINK("https://baanknet.com/view-property/187992/E8A4AE924E036160AA9CF72BB72E76371CE58594DE7AB6F81AD2F07C5EC99AA1", "Open")</f>
        <v>Open</v>
      </c>
      <c r="J3444" t="s">
        <v>3803</v>
      </c>
      <c r="L3444">
        <v>541800</v>
      </c>
      <c r="M3444">
        <v>54180</v>
      </c>
    </row>
    <row r="3445" spans="1:13" x14ac:dyDescent="0.25">
      <c r="A3445" t="s">
        <v>11589</v>
      </c>
      <c r="B3445" t="s">
        <v>11590</v>
      </c>
      <c r="C3445" t="s">
        <v>7449</v>
      </c>
      <c r="D3445" t="s">
        <v>1892</v>
      </c>
      <c r="E3445" t="s">
        <v>11023</v>
      </c>
      <c r="F3445" t="s">
        <v>11430</v>
      </c>
      <c r="G3445" t="s">
        <v>11591</v>
      </c>
      <c r="H3445" t="str">
        <f>HYPERLINK("https://baanknet.com/view-property/267330/8D2853DD13B3C27D0768CF137CFFBD2A6863E4A064DF4E8553AEBA294EABBC3F", "https://baanknet.com/view-property/267330/8D2853DD13B3C27D0768CF137CFFBD2A6863E4A064DF4E8553AEBA294EABBC3F")</f>
        <v>https://baanknet.com/view-property/267330/8D2853DD13B3C27D0768CF137CFFBD2A6863E4A064DF4E8553AEBA294EABBC3F</v>
      </c>
      <c r="I3445" t="str">
        <f>HYPERLINK("https://baanknet.com/view-property/267330/8D2853DD13B3C27D0768CF137CFFBD2A6863E4A064DF4E8553AEBA294EABBC3F", "Open")</f>
        <v>Open</v>
      </c>
      <c r="J3445" t="s">
        <v>3803</v>
      </c>
      <c r="L3445">
        <v>3200000</v>
      </c>
      <c r="M3445">
        <v>320000</v>
      </c>
    </row>
    <row r="3446" spans="1:13" x14ac:dyDescent="0.25">
      <c r="A3446" t="s">
        <v>11592</v>
      </c>
      <c r="B3446" t="s">
        <v>11593</v>
      </c>
      <c r="C3446" t="s">
        <v>7449</v>
      </c>
      <c r="D3446" t="s">
        <v>11594</v>
      </c>
      <c r="E3446" t="s">
        <v>11023</v>
      </c>
      <c r="F3446" t="s">
        <v>11430</v>
      </c>
      <c r="G3446" t="s">
        <v>11595</v>
      </c>
      <c r="H3446" t="str">
        <f>HYPERLINK("https://baanknet.com/view-property/288206/F629FB8C91D1DD684CC3C2DADCF14C0C823689F74E896B7EFD214A76FEF6DC16", "https://baanknet.com/view-property/288206/F629FB8C91D1DD684CC3C2DADCF14C0C823689F74E896B7EFD214A76FEF6DC16")</f>
        <v>https://baanknet.com/view-property/288206/F629FB8C91D1DD684CC3C2DADCF14C0C823689F74E896B7EFD214A76FEF6DC16</v>
      </c>
      <c r="I3446" t="str">
        <f>HYPERLINK("https://baanknet.com/view-property/288206/F629FB8C91D1DD684CC3C2DADCF14C0C823689F74E896B7EFD214A76FEF6DC16", "Open")</f>
        <v>Open</v>
      </c>
      <c r="J3446" t="s">
        <v>3803</v>
      </c>
      <c r="L3446">
        <v>1482000</v>
      </c>
      <c r="M3446">
        <v>149000</v>
      </c>
    </row>
    <row r="3447" spans="1:13" x14ac:dyDescent="0.25">
      <c r="A3447" t="s">
        <v>11596</v>
      </c>
      <c r="B3447" t="s">
        <v>11597</v>
      </c>
      <c r="C3447" t="s">
        <v>7449</v>
      </c>
      <c r="D3447" t="s">
        <v>11594</v>
      </c>
      <c r="E3447" t="s">
        <v>11023</v>
      </c>
      <c r="F3447" t="s">
        <v>11430</v>
      </c>
      <c r="G3447" t="s">
        <v>11598</v>
      </c>
      <c r="H3447" t="str">
        <f>HYPERLINK("https://baanknet.com/view-property/288204/5C75422A5E89AE5342DB29F49C94F4DC77DEE5A911F14A691B3BB6BA460AEB0C", "https://baanknet.com/view-property/288204/5C75422A5E89AE5342DB29F49C94F4DC77DEE5A911F14A691B3BB6BA460AEB0C")</f>
        <v>https://baanknet.com/view-property/288204/5C75422A5E89AE5342DB29F49C94F4DC77DEE5A911F14A691B3BB6BA460AEB0C</v>
      </c>
      <c r="I3447" t="str">
        <f>HYPERLINK("https://baanknet.com/view-property/288204/5C75422A5E89AE5342DB29F49C94F4DC77DEE5A911F14A691B3BB6BA460AEB0C", "Open")</f>
        <v>Open</v>
      </c>
      <c r="J3447" t="s">
        <v>3803</v>
      </c>
      <c r="L3447">
        <v>2070000</v>
      </c>
      <c r="M3447">
        <v>207000</v>
      </c>
    </row>
    <row r="3448" spans="1:13" x14ac:dyDescent="0.25">
      <c r="A3448" t="s">
        <v>11599</v>
      </c>
      <c r="B3448" t="s">
        <v>11600</v>
      </c>
      <c r="C3448" t="s">
        <v>387</v>
      </c>
      <c r="D3448" t="s">
        <v>845</v>
      </c>
      <c r="E3448" t="s">
        <v>11023</v>
      </c>
      <c r="F3448" t="s">
        <v>11010</v>
      </c>
      <c r="G3448" t="s">
        <v>11601</v>
      </c>
      <c r="H3448" t="str">
        <f>HYPERLINK("https://baanknet.com/view-property/127455/24AC54B9E19E4EC9758112D0A48E79534380076821D6F50900C018110C64C8C2", "https://baanknet.com/view-property/127455/24AC54B9E19E4EC9758112D0A48E79534380076821D6F50900C018110C64C8C2")</f>
        <v>https://baanknet.com/view-property/127455/24AC54B9E19E4EC9758112D0A48E79534380076821D6F50900C018110C64C8C2</v>
      </c>
      <c r="I3448" t="str">
        <f>HYPERLINK("https://baanknet.com/view-property/127455/24AC54B9E19E4EC9758112D0A48E79534380076821D6F50900C018110C64C8C2", "Open")</f>
        <v>Open</v>
      </c>
      <c r="J3448" t="s">
        <v>3803</v>
      </c>
      <c r="L3448">
        <v>810000</v>
      </c>
      <c r="M3448">
        <v>81000</v>
      </c>
    </row>
    <row r="3449" spans="1:13" x14ac:dyDescent="0.25">
      <c r="A3449" t="s">
        <v>11602</v>
      </c>
      <c r="B3449" t="s">
        <v>11603</v>
      </c>
      <c r="C3449" t="s">
        <v>387</v>
      </c>
      <c r="D3449" t="s">
        <v>8087</v>
      </c>
      <c r="E3449" t="s">
        <v>11023</v>
      </c>
      <c r="F3449" t="s">
        <v>11010</v>
      </c>
      <c r="G3449" t="s">
        <v>11604</v>
      </c>
      <c r="H3449" t="str">
        <f>HYPERLINK("https://baanknet.com/view-property/215994/4E84793D179D03B61F5661478B5E4810D20BAF928BBBEDA73B4057C8C2DECD28", "https://baanknet.com/view-property/215994/4E84793D179D03B61F5661478B5E4810D20BAF928BBBEDA73B4057C8C2DECD28")</f>
        <v>https://baanknet.com/view-property/215994/4E84793D179D03B61F5661478B5E4810D20BAF928BBBEDA73B4057C8C2DECD28</v>
      </c>
      <c r="I3449" t="str">
        <f>HYPERLINK("https://baanknet.com/view-property/215994/4E84793D179D03B61F5661478B5E4810D20BAF928BBBEDA73B4057C8C2DECD28", "Open")</f>
        <v>Open</v>
      </c>
      <c r="J3449" t="s">
        <v>3803</v>
      </c>
      <c r="L3449">
        <v>2805000</v>
      </c>
      <c r="M3449">
        <v>280500</v>
      </c>
    </row>
    <row r="3450" spans="1:13" x14ac:dyDescent="0.25">
      <c r="A3450" t="s">
        <v>11605</v>
      </c>
      <c r="B3450" t="s">
        <v>11606</v>
      </c>
      <c r="C3450" t="s">
        <v>387</v>
      </c>
      <c r="D3450" t="s">
        <v>849</v>
      </c>
      <c r="E3450" t="s">
        <v>11023</v>
      </c>
      <c r="F3450" t="s">
        <v>11010</v>
      </c>
      <c r="G3450" t="s">
        <v>11607</v>
      </c>
      <c r="H3450" t="str">
        <f>HYPERLINK("https://baanknet.com/view-property/107457/59BBC19922307AB2078342F1FB0A80A183CF14FAC49D6ECABE6ABC4D29C3F4AB", "https://baanknet.com/view-property/107457/59BBC19922307AB2078342F1FB0A80A183CF14FAC49D6ECABE6ABC4D29C3F4AB")</f>
        <v>https://baanknet.com/view-property/107457/59BBC19922307AB2078342F1FB0A80A183CF14FAC49D6ECABE6ABC4D29C3F4AB</v>
      </c>
      <c r="I3450" t="str">
        <f>HYPERLINK("https://baanknet.com/view-property/107457/59BBC19922307AB2078342F1FB0A80A183CF14FAC49D6ECABE6ABC4D29C3F4AB", "Open")</f>
        <v>Open</v>
      </c>
      <c r="J3450" t="s">
        <v>3803</v>
      </c>
      <c r="L3450">
        <v>1421000</v>
      </c>
      <c r="M3450">
        <v>142100</v>
      </c>
    </row>
    <row r="3451" spans="1:13" x14ac:dyDescent="0.25">
      <c r="A3451" t="s">
        <v>11608</v>
      </c>
      <c r="B3451" t="s">
        <v>11609</v>
      </c>
      <c r="C3451" t="s">
        <v>571</v>
      </c>
      <c r="D3451" t="s">
        <v>5564</v>
      </c>
      <c r="E3451" t="s">
        <v>11023</v>
      </c>
      <c r="F3451" t="s">
        <v>11010</v>
      </c>
      <c r="G3451" t="s">
        <v>11610</v>
      </c>
      <c r="H3451" t="str">
        <f>HYPERLINK("https://baanknet.com/view-property/285972/F5D771922397D12767B9204F55F552187E1D0B5DC82F92ACB7F657F7CBC3678B", "https://baanknet.com/view-property/285972/F5D771922397D12767B9204F55F552187E1D0B5DC82F92ACB7F657F7CBC3678B")</f>
        <v>https://baanknet.com/view-property/285972/F5D771922397D12767B9204F55F552187E1D0B5DC82F92ACB7F657F7CBC3678B</v>
      </c>
      <c r="I3451" t="str">
        <f>HYPERLINK("https://baanknet.com/view-property/285972/F5D771922397D12767B9204F55F552187E1D0B5DC82F92ACB7F657F7CBC3678B", "Open")</f>
        <v>Open</v>
      </c>
      <c r="J3451" t="s">
        <v>3803</v>
      </c>
      <c r="L3451">
        <v>5400000</v>
      </c>
      <c r="M3451">
        <v>540000</v>
      </c>
    </row>
    <row r="3452" spans="1:13" x14ac:dyDescent="0.25">
      <c r="A3452" t="s">
        <v>11611</v>
      </c>
      <c r="B3452" t="s">
        <v>11612</v>
      </c>
      <c r="C3452" t="s">
        <v>571</v>
      </c>
      <c r="D3452" t="s">
        <v>11613</v>
      </c>
      <c r="E3452" t="s">
        <v>11023</v>
      </c>
      <c r="F3452" t="s">
        <v>11010</v>
      </c>
      <c r="G3452" t="s">
        <v>11614</v>
      </c>
      <c r="H3452" t="str">
        <f>HYPERLINK("https://baanknet.com/view-property/283280/D9FD27F17D85A6057F8071E66EE84373DF2350553EBF6E59F2FE1B92DDF924DE", "https://baanknet.com/view-property/283280/D9FD27F17D85A6057F8071E66EE84373DF2350553EBF6E59F2FE1B92DDF924DE")</f>
        <v>https://baanknet.com/view-property/283280/D9FD27F17D85A6057F8071E66EE84373DF2350553EBF6E59F2FE1B92DDF924DE</v>
      </c>
      <c r="I3452" t="str">
        <f>HYPERLINK("https://baanknet.com/view-property/283280/D9FD27F17D85A6057F8071E66EE84373DF2350553EBF6E59F2FE1B92DDF924DE", "Open")</f>
        <v>Open</v>
      </c>
      <c r="J3452" t="s">
        <v>3803</v>
      </c>
      <c r="L3452">
        <v>27830000</v>
      </c>
      <c r="M3452">
        <v>2783000</v>
      </c>
    </row>
    <row r="3453" spans="1:13" x14ac:dyDescent="0.25">
      <c r="A3453" t="s">
        <v>11615</v>
      </c>
      <c r="B3453" t="s">
        <v>11616</v>
      </c>
      <c r="C3453" t="s">
        <v>7449</v>
      </c>
      <c r="D3453" t="s">
        <v>1619</v>
      </c>
      <c r="E3453" t="s">
        <v>11023</v>
      </c>
      <c r="F3453" t="s">
        <v>11010</v>
      </c>
      <c r="G3453" t="s">
        <v>11617</v>
      </c>
      <c r="H3453" t="str">
        <f>HYPERLINK("https://baanknet.com/view-property/275247/EA450FB04ABB3D83599E5D7BFC15CA05A87F3B7ED3091A200B1179A340FD1E89", "https://baanknet.com/view-property/275247/EA450FB04ABB3D83599E5D7BFC15CA05A87F3B7ED3091A200B1179A340FD1E89")</f>
        <v>https://baanknet.com/view-property/275247/EA450FB04ABB3D83599E5D7BFC15CA05A87F3B7ED3091A200B1179A340FD1E89</v>
      </c>
      <c r="I3453" t="str">
        <f>HYPERLINK("https://baanknet.com/view-property/275247/EA450FB04ABB3D83599E5D7BFC15CA05A87F3B7ED3091A200B1179A340FD1E89", "Open")</f>
        <v>Open</v>
      </c>
      <c r="J3453" t="s">
        <v>3803</v>
      </c>
      <c r="L3453">
        <v>1100000</v>
      </c>
      <c r="M3453">
        <v>110000</v>
      </c>
    </row>
    <row r="3454" spans="1:13" x14ac:dyDescent="0.25">
      <c r="A3454" t="s">
        <v>11618</v>
      </c>
      <c r="B3454" t="s">
        <v>11619</v>
      </c>
      <c r="C3454" t="s">
        <v>83</v>
      </c>
      <c r="D3454" t="s">
        <v>845</v>
      </c>
      <c r="E3454" t="s">
        <v>11023</v>
      </c>
      <c r="F3454" t="s">
        <v>11010</v>
      </c>
      <c r="G3454" t="s">
        <v>11620</v>
      </c>
      <c r="H3454" t="str">
        <f>HYPERLINK("https://baanknet.com/view-property/228767/B5DFAFD6FDA47D0BF755BEE260703F36FFD60304E262E5C3ABFD6A3ED6F84E55", "https://baanknet.com/view-property/228767/B5DFAFD6FDA47D0BF755BEE260703F36FFD60304E262E5C3ABFD6A3ED6F84E55")</f>
        <v>https://baanknet.com/view-property/228767/B5DFAFD6FDA47D0BF755BEE260703F36FFD60304E262E5C3ABFD6A3ED6F84E55</v>
      </c>
      <c r="I3454" t="str">
        <f>HYPERLINK("https://baanknet.com/view-property/228767/B5DFAFD6FDA47D0BF755BEE260703F36FFD60304E262E5C3ABFD6A3ED6F84E55", "Open")</f>
        <v>Open</v>
      </c>
      <c r="J3454" t="s">
        <v>3803</v>
      </c>
      <c r="L3454">
        <v>918000</v>
      </c>
      <c r="M3454">
        <v>91800</v>
      </c>
    </row>
    <row r="3455" spans="1:13" x14ac:dyDescent="0.25">
      <c r="A3455" t="s">
        <v>11621</v>
      </c>
      <c r="B3455" t="s">
        <v>11622</v>
      </c>
      <c r="C3455" t="s">
        <v>387</v>
      </c>
      <c r="D3455" t="s">
        <v>11623</v>
      </c>
      <c r="E3455" t="s">
        <v>11023</v>
      </c>
      <c r="F3455" t="s">
        <v>11010</v>
      </c>
      <c r="G3455" t="s">
        <v>11624</v>
      </c>
      <c r="H3455" t="str">
        <f>HYPERLINK("https://baanknet.com/view-property/250703/68D1453168F6DAF3D5F6CCD35E341066DB24D1D3090CD11730E7518271484A3E", "https://baanknet.com/view-property/250703/68D1453168F6DAF3D5F6CCD35E341066DB24D1D3090CD11730E7518271484A3E")</f>
        <v>https://baanknet.com/view-property/250703/68D1453168F6DAF3D5F6CCD35E341066DB24D1D3090CD11730E7518271484A3E</v>
      </c>
      <c r="I3455" t="str">
        <f>HYPERLINK("https://baanknet.com/view-property/250703/68D1453168F6DAF3D5F6CCD35E341066DB24D1D3090CD11730E7518271484A3E", "Open")</f>
        <v>Open</v>
      </c>
      <c r="J3455" t="s">
        <v>3803</v>
      </c>
      <c r="L3455">
        <v>4603000</v>
      </c>
      <c r="M3455">
        <v>460300</v>
      </c>
    </row>
    <row r="3456" spans="1:13" x14ac:dyDescent="0.25">
      <c r="A3456" t="s">
        <v>11625</v>
      </c>
      <c r="B3456" t="s">
        <v>11626</v>
      </c>
      <c r="C3456" t="s">
        <v>387</v>
      </c>
      <c r="D3456" t="s">
        <v>309</v>
      </c>
      <c r="E3456" t="s">
        <v>11023</v>
      </c>
      <c r="F3456" t="s">
        <v>11010</v>
      </c>
      <c r="G3456" t="s">
        <v>11627</v>
      </c>
      <c r="H3456" t="str">
        <f>HYPERLINK("https://baanknet.com/view-property/272214/7CB0CBE3957D3B969A0B8211EFC63FBBD2EB38218D3605C535C8D7EEFD5EAD1E", "https://baanknet.com/view-property/272214/7CB0CBE3957D3B969A0B8211EFC63FBBD2EB38218D3605C535C8D7EEFD5EAD1E")</f>
        <v>https://baanknet.com/view-property/272214/7CB0CBE3957D3B969A0B8211EFC63FBBD2EB38218D3605C535C8D7EEFD5EAD1E</v>
      </c>
      <c r="I3456" t="str">
        <f>HYPERLINK("https://baanknet.com/view-property/272214/7CB0CBE3957D3B969A0B8211EFC63FBBD2EB38218D3605C535C8D7EEFD5EAD1E", "Open")</f>
        <v>Open</v>
      </c>
      <c r="J3456" t="s">
        <v>3803</v>
      </c>
      <c r="L3456">
        <v>2672000</v>
      </c>
      <c r="M3456">
        <v>267200</v>
      </c>
    </row>
    <row r="3457" spans="1:13" x14ac:dyDescent="0.25">
      <c r="A3457" t="s">
        <v>11628</v>
      </c>
      <c r="B3457" t="s">
        <v>11629</v>
      </c>
      <c r="C3457" t="s">
        <v>387</v>
      </c>
      <c r="D3457" t="s">
        <v>309</v>
      </c>
      <c r="E3457" t="s">
        <v>11023</v>
      </c>
      <c r="F3457" t="s">
        <v>11010</v>
      </c>
      <c r="G3457" t="s">
        <v>11630</v>
      </c>
      <c r="H3457" t="str">
        <f>HYPERLINK("https://baanknet.com/view-property/265192/EB235DB185C75E411F32ECBE1CB8D894AD5490B0949C3FD440705037C6F968A8", "https://baanknet.com/view-property/265192/EB235DB185C75E411F32ECBE1CB8D894AD5490B0949C3FD440705037C6F968A8")</f>
        <v>https://baanknet.com/view-property/265192/EB235DB185C75E411F32ECBE1CB8D894AD5490B0949C3FD440705037C6F968A8</v>
      </c>
      <c r="I3457" t="str">
        <f>HYPERLINK("https://baanknet.com/view-property/265192/EB235DB185C75E411F32ECBE1CB8D894AD5490B0949C3FD440705037C6F968A8", "Open")</f>
        <v>Open</v>
      </c>
      <c r="J3457" t="s">
        <v>3803</v>
      </c>
      <c r="L3457">
        <v>7344800</v>
      </c>
      <c r="M3457">
        <v>734480</v>
      </c>
    </row>
    <row r="3458" spans="1:13" x14ac:dyDescent="0.25">
      <c r="A3458" t="s">
        <v>11631</v>
      </c>
      <c r="B3458" t="s">
        <v>11632</v>
      </c>
      <c r="C3458" t="s">
        <v>387</v>
      </c>
      <c r="D3458" t="s">
        <v>309</v>
      </c>
      <c r="E3458" t="s">
        <v>11023</v>
      </c>
      <c r="F3458" t="s">
        <v>11010</v>
      </c>
      <c r="G3458" t="s">
        <v>11633</v>
      </c>
      <c r="H3458" t="str">
        <f>HYPERLINK("https://baanknet.com/view-property/265025/637A43769D790B70EA887FCB8E68C89D2026D19AAC748AAE770C925FB75049E4", "https://baanknet.com/view-property/265025/637A43769D790B70EA887FCB8E68C89D2026D19AAC748AAE770C925FB75049E4")</f>
        <v>https://baanknet.com/view-property/265025/637A43769D790B70EA887FCB8E68C89D2026D19AAC748AAE770C925FB75049E4</v>
      </c>
      <c r="I3458" t="str">
        <f>HYPERLINK("https://baanknet.com/view-property/265025/637A43769D790B70EA887FCB8E68C89D2026D19AAC748AAE770C925FB75049E4", "Open")</f>
        <v>Open</v>
      </c>
      <c r="J3458" t="s">
        <v>3803</v>
      </c>
      <c r="L3458">
        <v>1245000</v>
      </c>
      <c r="M3458">
        <v>124500</v>
      </c>
    </row>
    <row r="3459" spans="1:13" x14ac:dyDescent="0.25">
      <c r="A3459" t="s">
        <v>11634</v>
      </c>
      <c r="B3459" t="s">
        <v>11635</v>
      </c>
      <c r="C3459" t="s">
        <v>387</v>
      </c>
      <c r="D3459" t="s">
        <v>309</v>
      </c>
      <c r="E3459" t="s">
        <v>11023</v>
      </c>
      <c r="F3459" t="s">
        <v>11010</v>
      </c>
      <c r="G3459" t="s">
        <v>11636</v>
      </c>
      <c r="H3459" t="str">
        <f>HYPERLINK("https://baanknet.com/view-property/265020/D2E10E15D7FFFDE3C07CE5E0AFA719F1F00918C56738062359CFAF08B617D654", "https://baanknet.com/view-property/265020/D2E10E15D7FFFDE3C07CE5E0AFA719F1F00918C56738062359CFAF08B617D654")</f>
        <v>https://baanknet.com/view-property/265020/D2E10E15D7FFFDE3C07CE5E0AFA719F1F00918C56738062359CFAF08B617D654</v>
      </c>
      <c r="I3459" t="str">
        <f>HYPERLINK("https://baanknet.com/view-property/265020/D2E10E15D7FFFDE3C07CE5E0AFA719F1F00918C56738062359CFAF08B617D654", "Open")</f>
        <v>Open</v>
      </c>
      <c r="J3459" t="s">
        <v>3803</v>
      </c>
      <c r="L3459">
        <v>1875000</v>
      </c>
      <c r="M3459">
        <v>187500</v>
      </c>
    </row>
    <row r="3460" spans="1:13" x14ac:dyDescent="0.25">
      <c r="A3460" t="s">
        <v>11637</v>
      </c>
      <c r="B3460" t="s">
        <v>11638</v>
      </c>
      <c r="C3460" t="s">
        <v>387</v>
      </c>
      <c r="D3460" t="s">
        <v>11639</v>
      </c>
      <c r="E3460" t="s">
        <v>11023</v>
      </c>
      <c r="F3460" t="s">
        <v>11010</v>
      </c>
      <c r="G3460" t="s">
        <v>11640</v>
      </c>
      <c r="H3460" t="str">
        <f>HYPERLINK("https://baanknet.com/view-property/265015/ECB60F98C63CF41B08AEC7DE86E288A680E55DC10069FD67922960B51B0C9201", "https://baanknet.com/view-property/265015/ECB60F98C63CF41B08AEC7DE86E288A680E55DC10069FD67922960B51B0C9201")</f>
        <v>https://baanknet.com/view-property/265015/ECB60F98C63CF41B08AEC7DE86E288A680E55DC10069FD67922960B51B0C9201</v>
      </c>
      <c r="I3460" t="str">
        <f>HYPERLINK("https://baanknet.com/view-property/265015/ECB60F98C63CF41B08AEC7DE86E288A680E55DC10069FD67922960B51B0C9201", "Open")</f>
        <v>Open</v>
      </c>
      <c r="J3460" t="s">
        <v>3803</v>
      </c>
      <c r="L3460">
        <v>770000</v>
      </c>
      <c r="M3460">
        <v>77000</v>
      </c>
    </row>
    <row r="3461" spans="1:13" x14ac:dyDescent="0.25">
      <c r="A3461" t="s">
        <v>11641</v>
      </c>
      <c r="B3461" t="s">
        <v>11642</v>
      </c>
      <c r="C3461" t="s">
        <v>387</v>
      </c>
      <c r="D3461" t="s">
        <v>11643</v>
      </c>
      <c r="E3461" t="s">
        <v>11023</v>
      </c>
      <c r="F3461" t="s">
        <v>11010</v>
      </c>
      <c r="G3461" t="s">
        <v>11644</v>
      </c>
      <c r="H3461" t="str">
        <f>HYPERLINK("https://baanknet.com/view-property/258387/831CA68832484E6D81B10A74DF201E9108C5317E696AEF02FBF8E1B5BBC87A17", "https://baanknet.com/view-property/258387/831CA68832484E6D81B10A74DF201E9108C5317E696AEF02FBF8E1B5BBC87A17")</f>
        <v>https://baanknet.com/view-property/258387/831CA68832484E6D81B10A74DF201E9108C5317E696AEF02FBF8E1B5BBC87A17</v>
      </c>
      <c r="I3461" t="str">
        <f>HYPERLINK("https://baanknet.com/view-property/258387/831CA68832484E6D81B10A74DF201E9108C5317E696AEF02FBF8E1B5BBC87A17", "Open")</f>
        <v>Open</v>
      </c>
      <c r="J3461" t="s">
        <v>3803</v>
      </c>
      <c r="L3461">
        <v>1248000</v>
      </c>
      <c r="M3461">
        <v>124800</v>
      </c>
    </row>
    <row r="3462" spans="1:13" x14ac:dyDescent="0.25">
      <c r="A3462" t="s">
        <v>11645</v>
      </c>
      <c r="B3462" t="s">
        <v>11646</v>
      </c>
      <c r="C3462" t="s">
        <v>387</v>
      </c>
      <c r="D3462" t="s">
        <v>309</v>
      </c>
      <c r="E3462" t="s">
        <v>11023</v>
      </c>
      <c r="F3462" t="s">
        <v>11010</v>
      </c>
      <c r="G3462" t="s">
        <v>11647</v>
      </c>
      <c r="H3462" t="str">
        <f>HYPERLINK("https://baanknet.com/view-property/258385/8C209B12F01AC03C2AA7B6A39D935F29A413EC34BC947ACBDD89AAC9EC38CA94", "https://baanknet.com/view-property/258385/8C209B12F01AC03C2AA7B6A39D935F29A413EC34BC947ACBDD89AAC9EC38CA94")</f>
        <v>https://baanknet.com/view-property/258385/8C209B12F01AC03C2AA7B6A39D935F29A413EC34BC947ACBDD89AAC9EC38CA94</v>
      </c>
      <c r="I3462" t="str">
        <f>HYPERLINK("https://baanknet.com/view-property/258385/8C209B12F01AC03C2AA7B6A39D935F29A413EC34BC947ACBDD89AAC9EC38CA94", "Open")</f>
        <v>Open</v>
      </c>
      <c r="J3462" t="s">
        <v>3803</v>
      </c>
      <c r="L3462">
        <v>936800</v>
      </c>
      <c r="M3462">
        <v>93680</v>
      </c>
    </row>
    <row r="3463" spans="1:13" x14ac:dyDescent="0.25">
      <c r="A3463" t="s">
        <v>11648</v>
      </c>
      <c r="B3463" t="s">
        <v>11649</v>
      </c>
      <c r="C3463" t="s">
        <v>387</v>
      </c>
      <c r="D3463" t="s">
        <v>309</v>
      </c>
      <c r="E3463" t="s">
        <v>11023</v>
      </c>
      <c r="F3463" t="s">
        <v>11010</v>
      </c>
      <c r="G3463" t="s">
        <v>11650</v>
      </c>
      <c r="H3463" t="str">
        <f>HYPERLINK("https://baanknet.com/view-property/258255/1863F397DCD54538FCD12F5ACF97EBAEF9BAFCE5AF867E16FDD18606470457D4", "https://baanknet.com/view-property/258255/1863F397DCD54538FCD12F5ACF97EBAEF9BAFCE5AF867E16FDD18606470457D4")</f>
        <v>https://baanknet.com/view-property/258255/1863F397DCD54538FCD12F5ACF97EBAEF9BAFCE5AF867E16FDD18606470457D4</v>
      </c>
      <c r="I3463" t="str">
        <f>HYPERLINK("https://baanknet.com/view-property/258255/1863F397DCD54538FCD12F5ACF97EBAEF9BAFCE5AF867E16FDD18606470457D4", "Open")</f>
        <v>Open</v>
      </c>
      <c r="J3463" t="s">
        <v>3803</v>
      </c>
      <c r="L3463">
        <v>1360000</v>
      </c>
      <c r="M3463">
        <v>136000</v>
      </c>
    </row>
    <row r="3464" spans="1:13" x14ac:dyDescent="0.25">
      <c r="A3464" t="s">
        <v>11651</v>
      </c>
      <c r="B3464" t="s">
        <v>11652</v>
      </c>
      <c r="C3464" t="s">
        <v>387</v>
      </c>
      <c r="D3464" t="s">
        <v>11653</v>
      </c>
      <c r="E3464" t="s">
        <v>11023</v>
      </c>
      <c r="F3464" t="s">
        <v>11010</v>
      </c>
      <c r="G3464" t="s">
        <v>11654</v>
      </c>
      <c r="H3464" t="str">
        <f>HYPERLINK("https://baanknet.com/view-property/229328/F33FDADA7CFE3F0573B1D982220B506C8159F9DEF4D96E45CA37993E37E3C407", "https://baanknet.com/view-property/229328/F33FDADA7CFE3F0573B1D982220B506C8159F9DEF4D96E45CA37993E37E3C407")</f>
        <v>https://baanknet.com/view-property/229328/F33FDADA7CFE3F0573B1D982220B506C8159F9DEF4D96E45CA37993E37E3C407</v>
      </c>
      <c r="I3464" t="str">
        <f>HYPERLINK("https://baanknet.com/view-property/229328/F33FDADA7CFE3F0573B1D982220B506C8159F9DEF4D96E45CA37993E37E3C407", "Open")</f>
        <v>Open</v>
      </c>
      <c r="J3464" t="s">
        <v>3803</v>
      </c>
      <c r="L3464">
        <v>1085000</v>
      </c>
      <c r="M3464">
        <v>108500</v>
      </c>
    </row>
    <row r="3465" spans="1:13" x14ac:dyDescent="0.25">
      <c r="A3465" t="s">
        <v>11655</v>
      </c>
      <c r="B3465" t="s">
        <v>11656</v>
      </c>
      <c r="C3465" t="s">
        <v>387</v>
      </c>
      <c r="D3465" t="s">
        <v>309</v>
      </c>
      <c r="E3465" t="s">
        <v>11023</v>
      </c>
      <c r="F3465" t="s">
        <v>11010</v>
      </c>
      <c r="G3465" t="s">
        <v>11657</v>
      </c>
      <c r="H3465" t="str">
        <f>HYPERLINK("https://baanknet.com/view-property/229315/01C186F8BC5651168B8C7DE83430996D38882530D0437A9525978C7988239932", "https://baanknet.com/view-property/229315/01C186F8BC5651168B8C7DE83430996D38882530D0437A9525978C7988239932")</f>
        <v>https://baanknet.com/view-property/229315/01C186F8BC5651168B8C7DE83430996D38882530D0437A9525978C7988239932</v>
      </c>
      <c r="I3465" t="str">
        <f>HYPERLINK("https://baanknet.com/view-property/229315/01C186F8BC5651168B8C7DE83430996D38882530D0437A9525978C7988239932", "Open")</f>
        <v>Open</v>
      </c>
      <c r="J3465" t="s">
        <v>3803</v>
      </c>
      <c r="L3465">
        <v>1395000</v>
      </c>
      <c r="M3465">
        <v>139500</v>
      </c>
    </row>
    <row r="3466" spans="1:13" x14ac:dyDescent="0.25">
      <c r="A3466" t="s">
        <v>11658</v>
      </c>
      <c r="B3466" t="s">
        <v>11659</v>
      </c>
      <c r="C3466" t="s">
        <v>387</v>
      </c>
      <c r="D3466" t="s">
        <v>309</v>
      </c>
      <c r="E3466" t="s">
        <v>11023</v>
      </c>
      <c r="F3466" t="s">
        <v>11010</v>
      </c>
      <c r="G3466" t="s">
        <v>11660</v>
      </c>
      <c r="H3466" t="str">
        <f>HYPERLINK("https://baanknet.com/view-property/220407/02A7301FA5249DF5903F4B1C2ADF22AE381FA0876AB0E1089417A13F1FC5DF4A", "https://baanknet.com/view-property/220407/02A7301FA5249DF5903F4B1C2ADF22AE381FA0876AB0E1089417A13F1FC5DF4A")</f>
        <v>https://baanknet.com/view-property/220407/02A7301FA5249DF5903F4B1C2ADF22AE381FA0876AB0E1089417A13F1FC5DF4A</v>
      </c>
      <c r="I3466" t="str">
        <f>HYPERLINK("https://baanknet.com/view-property/220407/02A7301FA5249DF5903F4B1C2ADF22AE381FA0876AB0E1089417A13F1FC5DF4A", "Open")</f>
        <v>Open</v>
      </c>
      <c r="J3466" t="s">
        <v>3803</v>
      </c>
      <c r="L3466">
        <v>861050</v>
      </c>
      <c r="M3466">
        <v>86105</v>
      </c>
    </row>
    <row r="3467" spans="1:13" x14ac:dyDescent="0.25">
      <c r="A3467" t="s">
        <v>11661</v>
      </c>
      <c r="B3467" t="s">
        <v>11662</v>
      </c>
      <c r="C3467" t="s">
        <v>387</v>
      </c>
      <c r="D3467" t="s">
        <v>309</v>
      </c>
      <c r="E3467" t="s">
        <v>11023</v>
      </c>
      <c r="F3467" t="s">
        <v>11010</v>
      </c>
      <c r="G3467" t="s">
        <v>11663</v>
      </c>
      <c r="H3467" t="str">
        <f>HYPERLINK("https://baanknet.com/view-property/220404/F6B4252663DC1E7F3EF87E0952A6BCF1B7A8DE1D553D910A3BB845B372494D31", "https://baanknet.com/view-property/220404/F6B4252663DC1E7F3EF87E0952A6BCF1B7A8DE1D553D910A3BB845B372494D31")</f>
        <v>https://baanknet.com/view-property/220404/F6B4252663DC1E7F3EF87E0952A6BCF1B7A8DE1D553D910A3BB845B372494D31</v>
      </c>
      <c r="I3467" t="str">
        <f>HYPERLINK("https://baanknet.com/view-property/220404/F6B4252663DC1E7F3EF87E0952A6BCF1B7A8DE1D553D910A3BB845B372494D31", "Open")</f>
        <v>Open</v>
      </c>
      <c r="J3467" t="s">
        <v>3803</v>
      </c>
      <c r="L3467">
        <v>861050</v>
      </c>
      <c r="M3467">
        <v>86105</v>
      </c>
    </row>
    <row r="3468" spans="1:13" x14ac:dyDescent="0.25">
      <c r="A3468" t="s">
        <v>11664</v>
      </c>
      <c r="B3468" t="s">
        <v>11665</v>
      </c>
      <c r="C3468" t="s">
        <v>387</v>
      </c>
      <c r="D3468" t="s">
        <v>11666</v>
      </c>
      <c r="E3468" t="s">
        <v>11023</v>
      </c>
      <c r="F3468" t="s">
        <v>11010</v>
      </c>
      <c r="G3468" t="s">
        <v>11667</v>
      </c>
      <c r="H3468" t="str">
        <f>HYPERLINK("https://baanknet.com/view-property/187918/799C38219E508833A441D2D0E9711E3523B828DE76B736E0CEEAB17AC67DC36C", "https://baanknet.com/view-property/187918/799C38219E508833A441D2D0E9711E3523B828DE76B736E0CEEAB17AC67DC36C")</f>
        <v>https://baanknet.com/view-property/187918/799C38219E508833A441D2D0E9711E3523B828DE76B736E0CEEAB17AC67DC36C</v>
      </c>
      <c r="I3468" t="str">
        <f>HYPERLINK("https://baanknet.com/view-property/187918/799C38219E508833A441D2D0E9711E3523B828DE76B736E0CEEAB17AC67DC36C", "Open")</f>
        <v>Open</v>
      </c>
      <c r="J3468" t="s">
        <v>3803</v>
      </c>
      <c r="L3468">
        <v>1968000</v>
      </c>
      <c r="M3468">
        <v>196800</v>
      </c>
    </row>
    <row r="3469" spans="1:13" x14ac:dyDescent="0.25">
      <c r="A3469" t="s">
        <v>11668</v>
      </c>
      <c r="B3469" t="s">
        <v>11669</v>
      </c>
      <c r="C3469" t="s">
        <v>387</v>
      </c>
      <c r="D3469" t="s">
        <v>1310</v>
      </c>
      <c r="E3469" t="s">
        <v>11023</v>
      </c>
      <c r="F3469" t="s">
        <v>11010</v>
      </c>
      <c r="G3469" t="s">
        <v>11670</v>
      </c>
      <c r="H3469" t="str">
        <f>HYPERLINK("https://baanknet.com/view-property/258844/D0EC721469B5379E5166FC84898D0DFDF89B3597FAA8AD23D2077EBD4FFB3167", "https://baanknet.com/view-property/258844/D0EC721469B5379E5166FC84898D0DFDF89B3597FAA8AD23D2077EBD4FFB3167")</f>
        <v>https://baanknet.com/view-property/258844/D0EC721469B5379E5166FC84898D0DFDF89B3597FAA8AD23D2077EBD4FFB3167</v>
      </c>
      <c r="I3469" t="str">
        <f>HYPERLINK("https://baanknet.com/view-property/258844/D0EC721469B5379E5166FC84898D0DFDF89B3597FAA8AD23D2077EBD4FFB3167", "Open")</f>
        <v>Open</v>
      </c>
      <c r="J3469" t="s">
        <v>3803</v>
      </c>
      <c r="L3469">
        <v>22110000</v>
      </c>
      <c r="M3469">
        <v>2211000</v>
      </c>
    </row>
    <row r="3470" spans="1:13" x14ac:dyDescent="0.25">
      <c r="A3470" t="s">
        <v>11671</v>
      </c>
      <c r="B3470" t="s">
        <v>11672</v>
      </c>
      <c r="C3470" t="s">
        <v>7449</v>
      </c>
      <c r="D3470" t="s">
        <v>1619</v>
      </c>
      <c r="E3470" t="s">
        <v>11023</v>
      </c>
      <c r="F3470" t="s">
        <v>11010</v>
      </c>
      <c r="G3470" t="s">
        <v>11673</v>
      </c>
      <c r="H3470" t="str">
        <f>HYPERLINK("https://baanknet.com/view-property/274987/5F5ECACB9D9FAADCACCF67AB88C2C0A7462B0BA6D4107D4201DCFBB35FAC3CC8", "https://baanknet.com/view-property/274987/5F5ECACB9D9FAADCACCF67AB88C2C0A7462B0BA6D4107D4201DCFBB35FAC3CC8")</f>
        <v>https://baanknet.com/view-property/274987/5F5ECACB9D9FAADCACCF67AB88C2C0A7462B0BA6D4107D4201DCFBB35FAC3CC8</v>
      </c>
      <c r="I3470" t="str">
        <f>HYPERLINK("https://baanknet.com/view-property/274987/5F5ECACB9D9FAADCACCF67AB88C2C0A7462B0BA6D4107D4201DCFBB35FAC3CC8", "Open")</f>
        <v>Open</v>
      </c>
      <c r="J3470" t="s">
        <v>3803</v>
      </c>
      <c r="L3470">
        <v>4000000</v>
      </c>
      <c r="M3470">
        <v>400000</v>
      </c>
    </row>
    <row r="3471" spans="1:13" x14ac:dyDescent="0.25">
      <c r="A3471" t="s">
        <v>11674</v>
      </c>
      <c r="B3471" t="s">
        <v>11675</v>
      </c>
      <c r="C3471" t="s">
        <v>7449</v>
      </c>
      <c r="D3471" t="s">
        <v>1619</v>
      </c>
      <c r="E3471" t="s">
        <v>11023</v>
      </c>
      <c r="F3471" t="s">
        <v>11010</v>
      </c>
      <c r="G3471" t="s">
        <v>11676</v>
      </c>
      <c r="H3471" t="str">
        <f>HYPERLINK("https://baanknet.com/view-property/287554/8BA81621C754853B3F862C223BB67C8E1A9D99FDF772670010D21E629ACDFEB1", "https://baanknet.com/view-property/287554/8BA81621C754853B3F862C223BB67C8E1A9D99FDF772670010D21E629ACDFEB1")</f>
        <v>https://baanknet.com/view-property/287554/8BA81621C754853B3F862C223BB67C8E1A9D99FDF772670010D21E629ACDFEB1</v>
      </c>
      <c r="I3471" t="str">
        <f>HYPERLINK("https://baanknet.com/view-property/287554/8BA81621C754853B3F862C223BB67C8E1A9D99FDF772670010D21E629ACDFEB1", "Open")</f>
        <v>Open</v>
      </c>
      <c r="J3471" t="s">
        <v>3803</v>
      </c>
      <c r="L3471">
        <v>1070000</v>
      </c>
      <c r="M3471">
        <v>107000</v>
      </c>
    </row>
    <row r="3472" spans="1:13" x14ac:dyDescent="0.25">
      <c r="A3472" t="s">
        <v>11677</v>
      </c>
      <c r="B3472" t="s">
        <v>11678</v>
      </c>
      <c r="C3472" t="s">
        <v>7449</v>
      </c>
      <c r="D3472" t="s">
        <v>1619</v>
      </c>
      <c r="E3472" t="s">
        <v>11023</v>
      </c>
      <c r="F3472" t="s">
        <v>11010</v>
      </c>
      <c r="G3472" t="s">
        <v>11679</v>
      </c>
      <c r="H3472" t="str">
        <f>HYPERLINK("https://baanknet.com/view-property/287238/26B0525D32FFD022D8D74D38029E7A78D50036D5EF5240E10D2604E799EF7EE1", "https://baanknet.com/view-property/287238/26B0525D32FFD022D8D74D38029E7A78D50036D5EF5240E10D2604E799EF7EE1")</f>
        <v>https://baanknet.com/view-property/287238/26B0525D32FFD022D8D74D38029E7A78D50036D5EF5240E10D2604E799EF7EE1</v>
      </c>
      <c r="I3472" t="str">
        <f>HYPERLINK("https://baanknet.com/view-property/287238/26B0525D32FFD022D8D74D38029E7A78D50036D5EF5240E10D2604E799EF7EE1", "Open")</f>
        <v>Open</v>
      </c>
      <c r="J3472" t="s">
        <v>3803</v>
      </c>
      <c r="L3472">
        <v>1070000</v>
      </c>
      <c r="M3472">
        <v>107000</v>
      </c>
    </row>
    <row r="3473" spans="1:13" x14ac:dyDescent="0.25">
      <c r="A3473" t="s">
        <v>11680</v>
      </c>
      <c r="B3473" t="s">
        <v>11681</v>
      </c>
      <c r="C3473" t="s">
        <v>387</v>
      </c>
      <c r="D3473" t="s">
        <v>7730</v>
      </c>
      <c r="E3473" t="s">
        <v>11023</v>
      </c>
      <c r="F3473" t="s">
        <v>11010</v>
      </c>
      <c r="G3473" t="s">
        <v>11682</v>
      </c>
      <c r="H3473" t="str">
        <f>HYPERLINK("https://baanknet.com/view-property/189900/1184EC701F616F01577D602D9B2944B4D229DE69777AAA02E47CDBEC022D2664", "https://baanknet.com/view-property/189900/1184EC701F616F01577D602D9B2944B4D229DE69777AAA02E47CDBEC022D2664")</f>
        <v>https://baanknet.com/view-property/189900/1184EC701F616F01577D602D9B2944B4D229DE69777AAA02E47CDBEC022D2664</v>
      </c>
      <c r="I3473" t="str">
        <f>HYPERLINK("https://baanknet.com/view-property/189900/1184EC701F616F01577D602D9B2944B4D229DE69777AAA02E47CDBEC022D2664", "Open")</f>
        <v>Open</v>
      </c>
      <c r="J3473" t="s">
        <v>3803</v>
      </c>
      <c r="L3473">
        <v>971000</v>
      </c>
      <c r="M3473">
        <v>97100</v>
      </c>
    </row>
    <row r="3474" spans="1:13" x14ac:dyDescent="0.25">
      <c r="A3474" t="s">
        <v>11683</v>
      </c>
      <c r="B3474" t="s">
        <v>11684</v>
      </c>
      <c r="C3474" t="s">
        <v>387</v>
      </c>
      <c r="D3474" t="s">
        <v>584</v>
      </c>
      <c r="E3474" t="s">
        <v>11023</v>
      </c>
      <c r="F3474" t="s">
        <v>11010</v>
      </c>
      <c r="G3474" t="s">
        <v>11685</v>
      </c>
      <c r="H3474" t="str">
        <f>HYPERLINK("https://baanknet.com/view-property/270321/371A46FD9A0C11490030AF21E9051313EF17089AA57CF12D5CBF3705C6EA6441", "https://baanknet.com/view-property/270321/371A46FD9A0C11490030AF21E9051313EF17089AA57CF12D5CBF3705C6EA6441")</f>
        <v>https://baanknet.com/view-property/270321/371A46FD9A0C11490030AF21E9051313EF17089AA57CF12D5CBF3705C6EA6441</v>
      </c>
      <c r="I3474" t="str">
        <f>HYPERLINK("https://baanknet.com/view-property/270321/371A46FD9A0C11490030AF21E9051313EF17089AA57CF12D5CBF3705C6EA6441", "Open")</f>
        <v>Open</v>
      </c>
      <c r="J3474" t="s">
        <v>3803</v>
      </c>
      <c r="L3474">
        <v>12250000</v>
      </c>
      <c r="M3474">
        <v>1225000</v>
      </c>
    </row>
    <row r="3475" spans="1:13" x14ac:dyDescent="0.25">
      <c r="A3475" t="s">
        <v>11686</v>
      </c>
      <c r="B3475" t="s">
        <v>11687</v>
      </c>
      <c r="C3475" t="s">
        <v>387</v>
      </c>
      <c r="D3475" t="s">
        <v>1800</v>
      </c>
      <c r="E3475" t="s">
        <v>11023</v>
      </c>
      <c r="F3475" t="s">
        <v>11010</v>
      </c>
      <c r="G3475" t="s">
        <v>11688</v>
      </c>
      <c r="H3475" t="str">
        <f>HYPERLINK("https://baanknet.com/view-property/270387/2615B81DFC939C984302FD47C4D459924DF92D3CD59973A49DA82A679617F78E", "https://baanknet.com/view-property/270387/2615B81DFC939C984302FD47C4D459924DF92D3CD59973A49DA82A679617F78E")</f>
        <v>https://baanknet.com/view-property/270387/2615B81DFC939C984302FD47C4D459924DF92D3CD59973A49DA82A679617F78E</v>
      </c>
      <c r="I3475" t="str">
        <f>HYPERLINK("https://baanknet.com/view-property/270387/2615B81DFC939C984302FD47C4D459924DF92D3CD59973A49DA82A679617F78E", "Open")</f>
        <v>Open</v>
      </c>
      <c r="J3475" t="s">
        <v>3803</v>
      </c>
      <c r="L3475">
        <v>2550000</v>
      </c>
      <c r="M3475">
        <v>255000</v>
      </c>
    </row>
    <row r="3476" spans="1:13" x14ac:dyDescent="0.25">
      <c r="A3476" t="s">
        <v>11689</v>
      </c>
      <c r="B3476" t="s">
        <v>11690</v>
      </c>
      <c r="C3476" t="s">
        <v>387</v>
      </c>
      <c r="D3476" t="s">
        <v>157</v>
      </c>
      <c r="E3476" t="s">
        <v>11023</v>
      </c>
      <c r="F3476" t="s">
        <v>11010</v>
      </c>
      <c r="G3476" t="s">
        <v>11691</v>
      </c>
      <c r="H3476" t="str">
        <f>HYPERLINK("https://baanknet.com/view-property/235495/7043554E458544B71E51043CE830426A869237101E17919FCDC4B0334DE2BB40", "https://baanknet.com/view-property/235495/7043554E458544B71E51043CE830426A869237101E17919FCDC4B0334DE2BB40")</f>
        <v>https://baanknet.com/view-property/235495/7043554E458544B71E51043CE830426A869237101E17919FCDC4B0334DE2BB40</v>
      </c>
      <c r="I3476" t="str">
        <f>HYPERLINK("https://baanknet.com/view-property/235495/7043554E458544B71E51043CE830426A869237101E17919FCDC4B0334DE2BB40", "Open")</f>
        <v>Open</v>
      </c>
      <c r="J3476" t="s">
        <v>3803</v>
      </c>
      <c r="L3476">
        <v>1988000</v>
      </c>
      <c r="M3476">
        <v>198800</v>
      </c>
    </row>
    <row r="3477" spans="1:13" x14ac:dyDescent="0.25">
      <c r="A3477" t="s">
        <v>11692</v>
      </c>
      <c r="B3477" t="s">
        <v>11693</v>
      </c>
      <c r="C3477" t="s">
        <v>387</v>
      </c>
      <c r="D3477" t="s">
        <v>149</v>
      </c>
      <c r="E3477" t="s">
        <v>11023</v>
      </c>
      <c r="F3477" t="s">
        <v>11010</v>
      </c>
      <c r="G3477" t="s">
        <v>11694</v>
      </c>
      <c r="H3477" t="str">
        <f>HYPERLINK("https://baanknet.com/view-property/218232/8B89BFC0F67CCA41CDC9C47A6105244F9F649D4498F8474BA8786871476408E9", "https://baanknet.com/view-property/218232/8B89BFC0F67CCA41CDC9C47A6105244F9F649D4498F8474BA8786871476408E9")</f>
        <v>https://baanknet.com/view-property/218232/8B89BFC0F67CCA41CDC9C47A6105244F9F649D4498F8474BA8786871476408E9</v>
      </c>
      <c r="I3477" t="str">
        <f>HYPERLINK("https://baanknet.com/view-property/218232/8B89BFC0F67CCA41CDC9C47A6105244F9F649D4498F8474BA8786871476408E9", "Open")</f>
        <v>Open</v>
      </c>
      <c r="J3477" t="s">
        <v>3803</v>
      </c>
      <c r="L3477">
        <v>835000</v>
      </c>
      <c r="M3477">
        <v>83500</v>
      </c>
    </row>
    <row r="3478" spans="1:13" x14ac:dyDescent="0.25">
      <c r="A3478" t="s">
        <v>11695</v>
      </c>
      <c r="B3478" t="s">
        <v>11696</v>
      </c>
      <c r="C3478" t="s">
        <v>387</v>
      </c>
      <c r="D3478" t="s">
        <v>157</v>
      </c>
      <c r="E3478" t="s">
        <v>11023</v>
      </c>
      <c r="F3478" t="s">
        <v>11010</v>
      </c>
      <c r="G3478" t="s">
        <v>11697</v>
      </c>
      <c r="H3478" t="str">
        <f>HYPERLINK("https://baanknet.com/view-property/236174/E51784865FE0E7F0BD9E79BC78A496E82BED43E2E8A27954E412D9A5E565C544", "https://baanknet.com/view-property/236174/E51784865FE0E7F0BD9E79BC78A496E82BED43E2E8A27954E412D9A5E565C544")</f>
        <v>https://baanknet.com/view-property/236174/E51784865FE0E7F0BD9E79BC78A496E82BED43E2E8A27954E412D9A5E565C544</v>
      </c>
      <c r="I3478" t="str">
        <f>HYPERLINK("https://baanknet.com/view-property/236174/E51784865FE0E7F0BD9E79BC78A496E82BED43E2E8A27954E412D9A5E565C544", "Open")</f>
        <v>Open</v>
      </c>
      <c r="J3478" t="s">
        <v>3803</v>
      </c>
      <c r="L3478">
        <v>2742000</v>
      </c>
      <c r="M3478">
        <v>274200</v>
      </c>
    </row>
    <row r="3479" spans="1:13" x14ac:dyDescent="0.25">
      <c r="A3479" t="s">
        <v>11698</v>
      </c>
      <c r="B3479" t="s">
        <v>11699</v>
      </c>
      <c r="C3479" t="s">
        <v>387</v>
      </c>
      <c r="D3479" t="s">
        <v>157</v>
      </c>
      <c r="E3479" t="s">
        <v>11023</v>
      </c>
      <c r="F3479" t="s">
        <v>11010</v>
      </c>
      <c r="G3479" t="s">
        <v>11700</v>
      </c>
      <c r="H3479" t="str">
        <f>HYPERLINK("https://baanknet.com/view-property/199328/6F42EF2E00CF791D2A04A77E5B5BF22BACDA7BDED342DE70D7A8A43BA6754B26", "https://baanknet.com/view-property/199328/6F42EF2E00CF791D2A04A77E5B5BF22BACDA7BDED342DE70D7A8A43BA6754B26")</f>
        <v>https://baanknet.com/view-property/199328/6F42EF2E00CF791D2A04A77E5B5BF22BACDA7BDED342DE70D7A8A43BA6754B26</v>
      </c>
      <c r="I3479" t="str">
        <f>HYPERLINK("https://baanknet.com/view-property/199328/6F42EF2E00CF791D2A04A77E5B5BF22BACDA7BDED342DE70D7A8A43BA6754B26", "Open")</f>
        <v>Open</v>
      </c>
      <c r="J3479" t="s">
        <v>3803</v>
      </c>
      <c r="L3479">
        <v>1583000</v>
      </c>
      <c r="M3479">
        <v>158300</v>
      </c>
    </row>
    <row r="3480" spans="1:13" x14ac:dyDescent="0.25">
      <c r="A3480" t="s">
        <v>11701</v>
      </c>
      <c r="B3480" t="s">
        <v>11702</v>
      </c>
      <c r="C3480" t="s">
        <v>387</v>
      </c>
      <c r="D3480" t="s">
        <v>2453</v>
      </c>
      <c r="E3480" t="s">
        <v>11023</v>
      </c>
      <c r="F3480" t="s">
        <v>11010</v>
      </c>
      <c r="G3480" t="s">
        <v>11703</v>
      </c>
      <c r="H3480" t="str">
        <f>HYPERLINK("https://baanknet.com/view-property/270334/C3C4FC1585B943E485F80A1FCF4EBB7B2BC23BCD8FCA73BFBB6382C8623789D8", "https://baanknet.com/view-property/270334/C3C4FC1585B943E485F80A1FCF4EBB7B2BC23BCD8FCA73BFBB6382C8623789D8")</f>
        <v>https://baanknet.com/view-property/270334/C3C4FC1585B943E485F80A1FCF4EBB7B2BC23BCD8FCA73BFBB6382C8623789D8</v>
      </c>
      <c r="I3480" t="str">
        <f>HYPERLINK("https://baanknet.com/view-property/270334/C3C4FC1585B943E485F80A1FCF4EBB7B2BC23BCD8FCA73BFBB6382C8623789D8", "Open")</f>
        <v>Open</v>
      </c>
      <c r="J3480" t="s">
        <v>3803</v>
      </c>
      <c r="L3480">
        <v>1698000</v>
      </c>
      <c r="M3480">
        <v>169800</v>
      </c>
    </row>
    <row r="3481" spans="1:13" x14ac:dyDescent="0.25">
      <c r="A3481" t="s">
        <v>11704</v>
      </c>
      <c r="B3481" t="s">
        <v>11705</v>
      </c>
      <c r="C3481" t="s">
        <v>387</v>
      </c>
      <c r="D3481" t="s">
        <v>706</v>
      </c>
      <c r="E3481" t="s">
        <v>11023</v>
      </c>
      <c r="F3481" t="s">
        <v>11010</v>
      </c>
      <c r="G3481" t="s">
        <v>11706</v>
      </c>
      <c r="H3481" t="str">
        <f>HYPERLINK("https://baanknet.com/view-property/54285/917AD6EF2B9BF3EAC44A371B9338E0DA7791637CDC077A14E8DE73DA38F24406", "https://baanknet.com/view-property/54285/917AD6EF2B9BF3EAC44A371B9338E0DA7791637CDC077A14E8DE73DA38F24406")</f>
        <v>https://baanknet.com/view-property/54285/917AD6EF2B9BF3EAC44A371B9338E0DA7791637CDC077A14E8DE73DA38F24406</v>
      </c>
      <c r="I3481" t="str">
        <f>HYPERLINK("https://baanknet.com/view-property/54285/917AD6EF2B9BF3EAC44A371B9338E0DA7791637CDC077A14E8DE73DA38F24406", "Open")</f>
        <v>Open</v>
      </c>
      <c r="J3481" t="s">
        <v>3803</v>
      </c>
      <c r="L3481">
        <v>3180000</v>
      </c>
      <c r="M3481">
        <v>318000</v>
      </c>
    </row>
    <row r="3482" spans="1:13" x14ac:dyDescent="0.25">
      <c r="A3482" t="s">
        <v>11707</v>
      </c>
      <c r="B3482" t="s">
        <v>11708</v>
      </c>
      <c r="C3482" t="s">
        <v>387</v>
      </c>
      <c r="D3482" t="s">
        <v>4246</v>
      </c>
      <c r="E3482" t="s">
        <v>11023</v>
      </c>
      <c r="F3482" t="s">
        <v>11010</v>
      </c>
      <c r="G3482" t="s">
        <v>11709</v>
      </c>
      <c r="H3482" t="str">
        <f>HYPERLINK("https://baanknet.com/view-property/273228/FAE1A953746F19BFBEEC602F5DCCB2BD6986F345E4812D3450E41AD24681A691", "https://baanknet.com/view-property/273228/FAE1A953746F19BFBEEC602F5DCCB2BD6986F345E4812D3450E41AD24681A691")</f>
        <v>https://baanknet.com/view-property/273228/FAE1A953746F19BFBEEC602F5DCCB2BD6986F345E4812D3450E41AD24681A691</v>
      </c>
      <c r="I3482" t="str">
        <f>HYPERLINK("https://baanknet.com/view-property/273228/FAE1A953746F19BFBEEC602F5DCCB2BD6986F345E4812D3450E41AD24681A691", "Open")</f>
        <v>Open</v>
      </c>
      <c r="J3482" t="s">
        <v>3803</v>
      </c>
      <c r="L3482">
        <v>2890000</v>
      </c>
      <c r="M3482">
        <v>289000</v>
      </c>
    </row>
    <row r="3483" spans="1:13" x14ac:dyDescent="0.25">
      <c r="A3483" t="s">
        <v>11710</v>
      </c>
      <c r="B3483" t="s">
        <v>11711</v>
      </c>
      <c r="C3483" t="s">
        <v>387</v>
      </c>
      <c r="D3483" t="s">
        <v>853</v>
      </c>
      <c r="E3483" t="s">
        <v>11023</v>
      </c>
      <c r="F3483" t="s">
        <v>11010</v>
      </c>
      <c r="G3483" t="s">
        <v>11712</v>
      </c>
      <c r="H3483" t="str">
        <f>HYPERLINK("https://baanknet.com/view-property/172367/E802F3B42151A23BCE75121937BCEE9F2BB084A66069A6319DC05F7F20D1F863", "https://baanknet.com/view-property/172367/E802F3B42151A23BCE75121937BCEE9F2BB084A66069A6319DC05F7F20D1F863")</f>
        <v>https://baanknet.com/view-property/172367/E802F3B42151A23BCE75121937BCEE9F2BB084A66069A6319DC05F7F20D1F863</v>
      </c>
      <c r="I3483" t="str">
        <f>HYPERLINK("https://baanknet.com/view-property/172367/E802F3B42151A23BCE75121937BCEE9F2BB084A66069A6319DC05F7F20D1F863", "Open")</f>
        <v>Open</v>
      </c>
      <c r="J3483" t="s">
        <v>3803</v>
      </c>
      <c r="L3483">
        <v>832000</v>
      </c>
      <c r="M3483">
        <v>83200</v>
      </c>
    </row>
    <row r="3484" spans="1:13" x14ac:dyDescent="0.25">
      <c r="A3484" t="s">
        <v>11713</v>
      </c>
      <c r="B3484" t="s">
        <v>11714</v>
      </c>
      <c r="C3484" t="s">
        <v>387</v>
      </c>
      <c r="D3484" t="s">
        <v>553</v>
      </c>
      <c r="E3484" t="s">
        <v>11023</v>
      </c>
      <c r="F3484" t="s">
        <v>11010</v>
      </c>
      <c r="G3484" t="s">
        <v>11715</v>
      </c>
      <c r="H3484" t="str">
        <f>HYPERLINK("https://baanknet.com/view-property/185927/C222F1084C3E5D844B4C46960C0E9587E92F24EE9B75590A269EE3B6E2EE77BD", "https://baanknet.com/view-property/185927/C222F1084C3E5D844B4C46960C0E9587E92F24EE9B75590A269EE3B6E2EE77BD")</f>
        <v>https://baanknet.com/view-property/185927/C222F1084C3E5D844B4C46960C0E9587E92F24EE9B75590A269EE3B6E2EE77BD</v>
      </c>
      <c r="I3484" t="str">
        <f>HYPERLINK("https://baanknet.com/view-property/185927/C222F1084C3E5D844B4C46960C0E9587E92F24EE9B75590A269EE3B6E2EE77BD", "Open")</f>
        <v>Open</v>
      </c>
      <c r="J3484" t="s">
        <v>3803</v>
      </c>
      <c r="L3484">
        <v>1478000</v>
      </c>
      <c r="M3484">
        <v>147800</v>
      </c>
    </row>
    <row r="3485" spans="1:13" x14ac:dyDescent="0.25">
      <c r="A3485" t="s">
        <v>11716</v>
      </c>
      <c r="B3485" t="s">
        <v>11717</v>
      </c>
      <c r="C3485" t="s">
        <v>387</v>
      </c>
      <c r="D3485" t="s">
        <v>853</v>
      </c>
      <c r="E3485" t="s">
        <v>11023</v>
      </c>
      <c r="F3485" t="s">
        <v>11010</v>
      </c>
      <c r="G3485" t="s">
        <v>11718</v>
      </c>
      <c r="H3485" t="str">
        <f>HYPERLINK("https://baanknet.com/view-property/241111/05FE04430E83F5D60DC08E9CCCB4977D197708BA91AA33862EA27BF490DBDC24", "https://baanknet.com/view-property/241111/05FE04430E83F5D60DC08E9CCCB4977D197708BA91AA33862EA27BF490DBDC24")</f>
        <v>https://baanknet.com/view-property/241111/05FE04430E83F5D60DC08E9CCCB4977D197708BA91AA33862EA27BF490DBDC24</v>
      </c>
      <c r="I3485" t="str">
        <f>HYPERLINK("https://baanknet.com/view-property/241111/05FE04430E83F5D60DC08E9CCCB4977D197708BA91AA33862EA27BF490DBDC24", "Open")</f>
        <v>Open</v>
      </c>
      <c r="J3485" t="s">
        <v>3803</v>
      </c>
      <c r="L3485">
        <v>743000</v>
      </c>
      <c r="M3485">
        <v>74300</v>
      </c>
    </row>
    <row r="3486" spans="1:13" x14ac:dyDescent="0.25">
      <c r="A3486" t="s">
        <v>11719</v>
      </c>
      <c r="B3486" t="s">
        <v>11720</v>
      </c>
      <c r="C3486" t="s">
        <v>387</v>
      </c>
      <c r="D3486" t="s">
        <v>1300</v>
      </c>
      <c r="E3486" t="s">
        <v>11023</v>
      </c>
      <c r="F3486" t="s">
        <v>11010</v>
      </c>
      <c r="G3486" t="s">
        <v>11721</v>
      </c>
      <c r="H3486" t="str">
        <f>HYPERLINK("https://baanknet.com/view-property/224949/3B6E7D5D7974A96AB93E620A7014C16DF39B3E037D6A9CB56353753C049E5340", "https://baanknet.com/view-property/224949/3B6E7D5D7974A96AB93E620A7014C16DF39B3E037D6A9CB56353753C049E5340")</f>
        <v>https://baanknet.com/view-property/224949/3B6E7D5D7974A96AB93E620A7014C16DF39B3E037D6A9CB56353753C049E5340</v>
      </c>
      <c r="I3486" t="str">
        <f>HYPERLINK("https://baanknet.com/view-property/224949/3B6E7D5D7974A96AB93E620A7014C16DF39B3E037D6A9CB56353753C049E5340", "Open")</f>
        <v>Open</v>
      </c>
      <c r="J3486" t="s">
        <v>3803</v>
      </c>
      <c r="L3486">
        <v>3868000</v>
      </c>
      <c r="M3486">
        <v>386800</v>
      </c>
    </row>
    <row r="3487" spans="1:13" x14ac:dyDescent="0.25">
      <c r="A3487" t="s">
        <v>11722</v>
      </c>
      <c r="B3487" t="s">
        <v>11723</v>
      </c>
      <c r="C3487" t="s">
        <v>387</v>
      </c>
      <c r="D3487" t="s">
        <v>853</v>
      </c>
      <c r="E3487" t="s">
        <v>11023</v>
      </c>
      <c r="F3487" t="s">
        <v>11010</v>
      </c>
      <c r="G3487" t="s">
        <v>11724</v>
      </c>
      <c r="H3487" t="str">
        <f>HYPERLINK("https://baanknet.com/view-property/248941/1B235D8D94300EA00BDD5BF225C76266DE143EA7F01AC5D67C238C794156B6BC", "https://baanknet.com/view-property/248941/1B235D8D94300EA00BDD5BF225C76266DE143EA7F01AC5D67C238C794156B6BC")</f>
        <v>https://baanknet.com/view-property/248941/1B235D8D94300EA00BDD5BF225C76266DE143EA7F01AC5D67C238C794156B6BC</v>
      </c>
      <c r="I3487" t="str">
        <f>HYPERLINK("https://baanknet.com/view-property/248941/1B235D8D94300EA00BDD5BF225C76266DE143EA7F01AC5D67C238C794156B6BC", "Open")</f>
        <v>Open</v>
      </c>
      <c r="J3487" t="s">
        <v>3803</v>
      </c>
      <c r="L3487">
        <v>3210000</v>
      </c>
      <c r="M3487">
        <v>321000</v>
      </c>
    </row>
    <row r="3488" spans="1:13" x14ac:dyDescent="0.25">
      <c r="A3488" t="s">
        <v>11725</v>
      </c>
      <c r="B3488" t="s">
        <v>11726</v>
      </c>
      <c r="C3488" t="s">
        <v>387</v>
      </c>
      <c r="D3488" t="s">
        <v>706</v>
      </c>
      <c r="E3488" t="s">
        <v>11023</v>
      </c>
      <c r="F3488" t="s">
        <v>11010</v>
      </c>
      <c r="G3488" t="s">
        <v>11727</v>
      </c>
      <c r="H3488" t="str">
        <f>HYPERLINK("https://baanknet.com/view-property/224954/E7B1C02F4374264672C226359A223BBCC3514378B9F098E23F2EA7F477B7612D", "https://baanknet.com/view-property/224954/E7B1C02F4374264672C226359A223BBCC3514378B9F098E23F2EA7F477B7612D")</f>
        <v>https://baanknet.com/view-property/224954/E7B1C02F4374264672C226359A223BBCC3514378B9F098E23F2EA7F477B7612D</v>
      </c>
      <c r="I3488" t="str">
        <f>HYPERLINK("https://baanknet.com/view-property/224954/E7B1C02F4374264672C226359A223BBCC3514378B9F098E23F2EA7F477B7612D", "Open")</f>
        <v>Open</v>
      </c>
      <c r="J3488" t="s">
        <v>3803</v>
      </c>
      <c r="L3488">
        <v>1148000</v>
      </c>
      <c r="M3488">
        <v>114800</v>
      </c>
    </row>
    <row r="3489" spans="1:13" x14ac:dyDescent="0.25">
      <c r="A3489" t="s">
        <v>11728</v>
      </c>
      <c r="B3489" t="s">
        <v>11729</v>
      </c>
      <c r="C3489" t="s">
        <v>387</v>
      </c>
      <c r="D3489" t="s">
        <v>1300</v>
      </c>
      <c r="E3489" t="s">
        <v>11023</v>
      </c>
      <c r="F3489" t="s">
        <v>11010</v>
      </c>
      <c r="G3489" t="s">
        <v>11730</v>
      </c>
      <c r="H3489" t="str">
        <f>HYPERLINK("https://baanknet.com/view-property/253758/2E6BC76ACDB2E41AD33F50803781702B343727D48CF57278F5639805538DB640", "https://baanknet.com/view-property/253758/2E6BC76ACDB2E41AD33F50803781702B343727D48CF57278F5639805538DB640")</f>
        <v>https://baanknet.com/view-property/253758/2E6BC76ACDB2E41AD33F50803781702B343727D48CF57278F5639805538DB640</v>
      </c>
      <c r="I3489" t="str">
        <f>HYPERLINK("https://baanknet.com/view-property/253758/2E6BC76ACDB2E41AD33F50803781702B343727D48CF57278F5639805538DB640", "Open")</f>
        <v>Open</v>
      </c>
      <c r="J3489" t="s">
        <v>3803</v>
      </c>
      <c r="L3489">
        <v>4565000</v>
      </c>
      <c r="M3489">
        <v>456500</v>
      </c>
    </row>
    <row r="3490" spans="1:13" x14ac:dyDescent="0.25">
      <c r="A3490" t="s">
        <v>11731</v>
      </c>
      <c r="B3490" t="s">
        <v>11732</v>
      </c>
      <c r="C3490" t="s">
        <v>387</v>
      </c>
      <c r="D3490" t="s">
        <v>4246</v>
      </c>
      <c r="E3490" t="s">
        <v>11023</v>
      </c>
      <c r="F3490" t="s">
        <v>11010</v>
      </c>
      <c r="G3490" t="s">
        <v>11733</v>
      </c>
      <c r="H3490" t="str">
        <f>HYPERLINK("https://baanknet.com/view-property/236083/310E009E8052B93849A74A4342EEF7B9C9E3D506489ADAC9A86A757BF1058294", "https://baanknet.com/view-property/236083/310E009E8052B93849A74A4342EEF7B9C9E3D506489ADAC9A86A757BF1058294")</f>
        <v>https://baanknet.com/view-property/236083/310E009E8052B93849A74A4342EEF7B9C9E3D506489ADAC9A86A757BF1058294</v>
      </c>
      <c r="I3490" t="str">
        <f>HYPERLINK("https://baanknet.com/view-property/236083/310E009E8052B93849A74A4342EEF7B9C9E3D506489ADAC9A86A757BF1058294", "Open")</f>
        <v>Open</v>
      </c>
      <c r="J3490" t="s">
        <v>3803</v>
      </c>
      <c r="L3490">
        <v>1698000</v>
      </c>
      <c r="M3490">
        <v>169800</v>
      </c>
    </row>
    <row r="3491" spans="1:13" x14ac:dyDescent="0.25">
      <c r="A3491" t="s">
        <v>11734</v>
      </c>
      <c r="B3491" t="s">
        <v>11735</v>
      </c>
      <c r="C3491" t="s">
        <v>387</v>
      </c>
      <c r="D3491" t="s">
        <v>4246</v>
      </c>
      <c r="E3491" t="s">
        <v>11023</v>
      </c>
      <c r="F3491" t="s">
        <v>11010</v>
      </c>
      <c r="G3491" t="s">
        <v>11736</v>
      </c>
      <c r="H3491" t="str">
        <f>HYPERLINK("https://baanknet.com/view-property/239150/755E94E6EDBA2634FCBFA1777C6477E49F247D0230E9AC3827EF8A522FC37CE5", "https://baanknet.com/view-property/239150/755E94E6EDBA2634FCBFA1777C6477E49F247D0230E9AC3827EF8A522FC37CE5")</f>
        <v>https://baanknet.com/view-property/239150/755E94E6EDBA2634FCBFA1777C6477E49F247D0230E9AC3827EF8A522FC37CE5</v>
      </c>
      <c r="I3491" t="str">
        <f>HYPERLINK("https://baanknet.com/view-property/239150/755E94E6EDBA2634FCBFA1777C6477E49F247D0230E9AC3827EF8A522FC37CE5", "Open")</f>
        <v>Open</v>
      </c>
      <c r="J3491" t="s">
        <v>3803</v>
      </c>
      <c r="L3491">
        <v>1668000</v>
      </c>
      <c r="M3491">
        <v>166800</v>
      </c>
    </row>
    <row r="3492" spans="1:13" x14ac:dyDescent="0.25">
      <c r="A3492" t="s">
        <v>11737</v>
      </c>
      <c r="B3492" t="s">
        <v>11738</v>
      </c>
      <c r="C3492" t="s">
        <v>387</v>
      </c>
      <c r="D3492" t="s">
        <v>11739</v>
      </c>
      <c r="E3492" t="s">
        <v>11023</v>
      </c>
      <c r="F3492" t="s">
        <v>11010</v>
      </c>
      <c r="G3492" t="s">
        <v>11740</v>
      </c>
      <c r="H3492" t="str">
        <f>HYPERLINK("https://baanknet.com/view-property/172133/EAF62148103E58C24EE418EFC48994885036B9508B16094F6CF713F00FEB77AF", "https://baanknet.com/view-property/172133/EAF62148103E58C24EE418EFC48994885036B9508B16094F6CF713F00FEB77AF")</f>
        <v>https://baanknet.com/view-property/172133/EAF62148103E58C24EE418EFC48994885036B9508B16094F6CF713F00FEB77AF</v>
      </c>
      <c r="I3492" t="str">
        <f>HYPERLINK("https://baanknet.com/view-property/172133/EAF62148103E58C24EE418EFC48994885036B9508B16094F6CF713F00FEB77AF", "Open")</f>
        <v>Open</v>
      </c>
      <c r="J3492" t="s">
        <v>3803</v>
      </c>
      <c r="L3492">
        <v>1825000</v>
      </c>
      <c r="M3492">
        <v>182500</v>
      </c>
    </row>
    <row r="3493" spans="1:13" x14ac:dyDescent="0.25">
      <c r="A3493" t="s">
        <v>11741</v>
      </c>
      <c r="B3493" t="s">
        <v>11742</v>
      </c>
      <c r="C3493" t="s">
        <v>387</v>
      </c>
      <c r="D3493" t="s">
        <v>853</v>
      </c>
      <c r="E3493" t="s">
        <v>11023</v>
      </c>
      <c r="F3493" t="s">
        <v>11010</v>
      </c>
      <c r="G3493" t="s">
        <v>11743</v>
      </c>
      <c r="H3493" t="str">
        <f>HYPERLINK("https://baanknet.com/view-property/228286/04DD3FD3D1E7AD5C0B215F0CDDD18BC3D3C0CABF076FD1E967B117D379AA2DEC", "https://baanknet.com/view-property/228286/04DD3FD3D1E7AD5C0B215F0CDDD18BC3D3C0CABF076FD1E967B117D379AA2DEC")</f>
        <v>https://baanknet.com/view-property/228286/04DD3FD3D1E7AD5C0B215F0CDDD18BC3D3C0CABF076FD1E967B117D379AA2DEC</v>
      </c>
      <c r="I3493" t="str">
        <f>HYPERLINK("https://baanknet.com/view-property/228286/04DD3FD3D1E7AD5C0B215F0CDDD18BC3D3C0CABF076FD1E967B117D379AA2DEC", "Open")</f>
        <v>Open</v>
      </c>
      <c r="J3493" t="s">
        <v>3803</v>
      </c>
      <c r="L3493">
        <v>1350000</v>
      </c>
      <c r="M3493">
        <v>135000</v>
      </c>
    </row>
    <row r="3494" spans="1:13" x14ac:dyDescent="0.25">
      <c r="A3494" t="s">
        <v>11744</v>
      </c>
      <c r="B3494" t="s">
        <v>11745</v>
      </c>
      <c r="C3494" t="s">
        <v>387</v>
      </c>
      <c r="D3494" t="s">
        <v>11746</v>
      </c>
      <c r="E3494" t="s">
        <v>11023</v>
      </c>
      <c r="F3494" t="s">
        <v>11010</v>
      </c>
      <c r="G3494" t="s">
        <v>11747</v>
      </c>
      <c r="H3494" t="str">
        <f>HYPERLINK("https://baanknet.com/view-property/239152/DCC45E88D4BA4E0DBF198929FD81FB08B6D2BCC47D207D50AF3B676D7E9A0573", "https://baanknet.com/view-property/239152/DCC45E88D4BA4E0DBF198929FD81FB08B6D2BCC47D207D50AF3B676D7E9A0573")</f>
        <v>https://baanknet.com/view-property/239152/DCC45E88D4BA4E0DBF198929FD81FB08B6D2BCC47D207D50AF3B676D7E9A0573</v>
      </c>
      <c r="I3494" t="str">
        <f>HYPERLINK("https://baanknet.com/view-property/239152/DCC45E88D4BA4E0DBF198929FD81FB08B6D2BCC47D207D50AF3B676D7E9A0573", "Open")</f>
        <v>Open</v>
      </c>
      <c r="J3494" t="s">
        <v>3803</v>
      </c>
      <c r="L3494">
        <v>1134000</v>
      </c>
      <c r="M3494">
        <v>113400</v>
      </c>
    </row>
    <row r="3495" spans="1:13" x14ac:dyDescent="0.25">
      <c r="A3495" t="s">
        <v>11748</v>
      </c>
      <c r="B3495" t="s">
        <v>11749</v>
      </c>
      <c r="C3495" t="s">
        <v>387</v>
      </c>
      <c r="D3495" t="s">
        <v>706</v>
      </c>
      <c r="E3495" t="s">
        <v>11023</v>
      </c>
      <c r="F3495" t="s">
        <v>11010</v>
      </c>
      <c r="G3495" t="s">
        <v>11750</v>
      </c>
      <c r="H3495" t="str">
        <f>HYPERLINK("https://baanknet.com/view-property/239155/50D37B9A74A6542F432560F65EABC105593E7018EB71957E84EC8C47A24B3986", "https://baanknet.com/view-property/239155/50D37B9A74A6542F432560F65EABC105593E7018EB71957E84EC8C47A24B3986")</f>
        <v>https://baanknet.com/view-property/239155/50D37B9A74A6542F432560F65EABC105593E7018EB71957E84EC8C47A24B3986</v>
      </c>
      <c r="I3495" t="str">
        <f>HYPERLINK("https://baanknet.com/view-property/239155/50D37B9A74A6542F432560F65EABC105593E7018EB71957E84EC8C47A24B3986", "Open")</f>
        <v>Open</v>
      </c>
      <c r="J3495" t="s">
        <v>3803</v>
      </c>
      <c r="L3495">
        <v>885000</v>
      </c>
      <c r="M3495">
        <v>88500</v>
      </c>
    </row>
    <row r="3496" spans="1:13" x14ac:dyDescent="0.25">
      <c r="A3496" t="s">
        <v>11751</v>
      </c>
      <c r="B3496" t="s">
        <v>11752</v>
      </c>
      <c r="C3496" t="s">
        <v>387</v>
      </c>
      <c r="D3496" t="s">
        <v>1300</v>
      </c>
      <c r="E3496" t="s">
        <v>11023</v>
      </c>
      <c r="F3496" t="s">
        <v>11010</v>
      </c>
      <c r="G3496" t="s">
        <v>11753</v>
      </c>
      <c r="H3496" t="str">
        <f>HYPERLINK("https://baanknet.com/view-property/239159/9516375DE1B0D15CB985F7C1E23591D8090E9A85339E8C4B516BE7623B8853C8", "https://baanknet.com/view-property/239159/9516375DE1B0D15CB985F7C1E23591D8090E9A85339E8C4B516BE7623B8853C8")</f>
        <v>https://baanknet.com/view-property/239159/9516375DE1B0D15CB985F7C1E23591D8090E9A85339E8C4B516BE7623B8853C8</v>
      </c>
      <c r="I3496" t="str">
        <f>HYPERLINK("https://baanknet.com/view-property/239159/9516375DE1B0D15CB985F7C1E23591D8090E9A85339E8C4B516BE7623B8853C8", "Open")</f>
        <v>Open</v>
      </c>
      <c r="J3496" t="s">
        <v>3803</v>
      </c>
      <c r="L3496">
        <v>5265000</v>
      </c>
      <c r="M3496">
        <v>526500</v>
      </c>
    </row>
    <row r="3497" spans="1:13" x14ac:dyDescent="0.25">
      <c r="A3497" t="s">
        <v>11754</v>
      </c>
      <c r="B3497" t="s">
        <v>11755</v>
      </c>
      <c r="C3497" t="s">
        <v>387</v>
      </c>
      <c r="D3497" t="s">
        <v>845</v>
      </c>
      <c r="E3497" t="s">
        <v>11023</v>
      </c>
      <c r="F3497" t="s">
        <v>11010</v>
      </c>
      <c r="G3497" t="s">
        <v>11756</v>
      </c>
      <c r="H3497" t="str">
        <f>HYPERLINK("https://baanknet.com/view-property/249739/8529EAD5ABCB456F96BDA1B5FFF1A7657D49C1F9A8E3FAC89E76CD25D4C17F54", "https://baanknet.com/view-property/249739/8529EAD5ABCB456F96BDA1B5FFF1A7657D49C1F9A8E3FAC89E76CD25D4C17F54")</f>
        <v>https://baanknet.com/view-property/249739/8529EAD5ABCB456F96BDA1B5FFF1A7657D49C1F9A8E3FAC89E76CD25D4C17F54</v>
      </c>
      <c r="I3497" t="str">
        <f>HYPERLINK("https://baanknet.com/view-property/249739/8529EAD5ABCB456F96BDA1B5FFF1A7657D49C1F9A8E3FAC89E76CD25D4C17F54", "Open")</f>
        <v>Open</v>
      </c>
      <c r="J3497" t="s">
        <v>3803</v>
      </c>
      <c r="L3497">
        <v>596000</v>
      </c>
      <c r="M3497">
        <v>59600</v>
      </c>
    </row>
    <row r="3498" spans="1:13" x14ac:dyDescent="0.25">
      <c r="A3498" t="s">
        <v>11757</v>
      </c>
      <c r="B3498" t="s">
        <v>11758</v>
      </c>
      <c r="C3498" t="s">
        <v>387</v>
      </c>
      <c r="D3498" t="s">
        <v>710</v>
      </c>
      <c r="E3498" t="s">
        <v>11023</v>
      </c>
      <c r="F3498" t="s">
        <v>11010</v>
      </c>
      <c r="G3498" t="s">
        <v>11759</v>
      </c>
      <c r="H3498" t="str">
        <f>HYPERLINK("https://baanknet.com/view-property/249742/01A92528DEB72C54E91286DE2B1528F8C696B2D85A56A4FB324DC49D30FF3879", "https://baanknet.com/view-property/249742/01A92528DEB72C54E91286DE2B1528F8C696B2D85A56A4FB324DC49D30FF3879")</f>
        <v>https://baanknet.com/view-property/249742/01A92528DEB72C54E91286DE2B1528F8C696B2D85A56A4FB324DC49D30FF3879</v>
      </c>
      <c r="I3498" t="str">
        <f>HYPERLINK("https://baanknet.com/view-property/249742/01A92528DEB72C54E91286DE2B1528F8C696B2D85A56A4FB324DC49D30FF3879", "Open")</f>
        <v>Open</v>
      </c>
      <c r="J3498" t="s">
        <v>3803</v>
      </c>
      <c r="L3498">
        <v>970000</v>
      </c>
      <c r="M3498">
        <v>97000</v>
      </c>
    </row>
    <row r="3499" spans="1:13" x14ac:dyDescent="0.25">
      <c r="A3499" t="s">
        <v>11760</v>
      </c>
      <c r="B3499" t="s">
        <v>11761</v>
      </c>
      <c r="C3499" t="s">
        <v>387</v>
      </c>
      <c r="D3499" t="s">
        <v>1300</v>
      </c>
      <c r="E3499" t="s">
        <v>11023</v>
      </c>
      <c r="F3499" t="s">
        <v>11010</v>
      </c>
      <c r="G3499" t="s">
        <v>11762</v>
      </c>
      <c r="H3499" t="str">
        <f>HYPERLINK("https://baanknet.com/view-property/249747/B52DD62A67C441DA318C08EC7F6916BB85AD713B985DEF510EF41A5FACC4AC51", "https://baanknet.com/view-property/249747/B52DD62A67C441DA318C08EC7F6916BB85AD713B985DEF510EF41A5FACC4AC51")</f>
        <v>https://baanknet.com/view-property/249747/B52DD62A67C441DA318C08EC7F6916BB85AD713B985DEF510EF41A5FACC4AC51</v>
      </c>
      <c r="I3499" t="str">
        <f>HYPERLINK("https://baanknet.com/view-property/249747/B52DD62A67C441DA318C08EC7F6916BB85AD713B985DEF510EF41A5FACC4AC51", "Open")</f>
        <v>Open</v>
      </c>
      <c r="J3499" t="s">
        <v>3803</v>
      </c>
      <c r="L3499">
        <v>3200000</v>
      </c>
      <c r="M3499">
        <v>320000</v>
      </c>
    </row>
    <row r="3500" spans="1:13" x14ac:dyDescent="0.25">
      <c r="A3500" t="s">
        <v>11763</v>
      </c>
      <c r="B3500" t="s">
        <v>11764</v>
      </c>
      <c r="C3500" t="s">
        <v>387</v>
      </c>
      <c r="D3500" t="s">
        <v>1300</v>
      </c>
      <c r="E3500" t="s">
        <v>11023</v>
      </c>
      <c r="F3500" t="s">
        <v>11010</v>
      </c>
      <c r="G3500" t="s">
        <v>11765</v>
      </c>
      <c r="H3500" t="str">
        <f>HYPERLINK("https://baanknet.com/view-property/249746/BC49579184C29C16E62527D5C631F284D9BCD95B8882FC26228C0B4057299512", "https://baanknet.com/view-property/249746/BC49579184C29C16E62527D5C631F284D9BCD95B8882FC26228C0B4057299512")</f>
        <v>https://baanknet.com/view-property/249746/BC49579184C29C16E62527D5C631F284D9BCD95B8882FC26228C0B4057299512</v>
      </c>
      <c r="I3500" t="str">
        <f>HYPERLINK("https://baanknet.com/view-property/249746/BC49579184C29C16E62527D5C631F284D9BCD95B8882FC26228C0B4057299512", "Open")</f>
        <v>Open</v>
      </c>
      <c r="J3500" t="s">
        <v>3803</v>
      </c>
      <c r="L3500">
        <v>2418000</v>
      </c>
      <c r="M3500">
        <v>241800</v>
      </c>
    </row>
    <row r="3501" spans="1:13" x14ac:dyDescent="0.25">
      <c r="A3501" t="s">
        <v>11766</v>
      </c>
      <c r="B3501" t="s">
        <v>11767</v>
      </c>
      <c r="C3501" t="s">
        <v>387</v>
      </c>
      <c r="D3501" t="s">
        <v>1300</v>
      </c>
      <c r="E3501" t="s">
        <v>11023</v>
      </c>
      <c r="F3501" t="s">
        <v>11010</v>
      </c>
      <c r="G3501" t="s">
        <v>11768</v>
      </c>
      <c r="H3501" t="str">
        <f>HYPERLINK("https://baanknet.com/view-property/249749/655AB98C087DB75238E5C22A4709A4704756DEBA72FF72244E40F80305A35CFC", "https://baanknet.com/view-property/249749/655AB98C087DB75238E5C22A4709A4704756DEBA72FF72244E40F80305A35CFC")</f>
        <v>https://baanknet.com/view-property/249749/655AB98C087DB75238E5C22A4709A4704756DEBA72FF72244E40F80305A35CFC</v>
      </c>
      <c r="I3501" t="str">
        <f>HYPERLINK("https://baanknet.com/view-property/249749/655AB98C087DB75238E5C22A4709A4704756DEBA72FF72244E40F80305A35CFC", "Open")</f>
        <v>Open</v>
      </c>
      <c r="J3501" t="s">
        <v>3803</v>
      </c>
      <c r="L3501">
        <v>4027000</v>
      </c>
      <c r="M3501">
        <v>402700</v>
      </c>
    </row>
    <row r="3502" spans="1:13" x14ac:dyDescent="0.25">
      <c r="A3502" t="s">
        <v>11769</v>
      </c>
      <c r="B3502" t="s">
        <v>11770</v>
      </c>
      <c r="C3502" t="s">
        <v>387</v>
      </c>
      <c r="D3502" t="s">
        <v>549</v>
      </c>
      <c r="E3502" t="s">
        <v>11023</v>
      </c>
      <c r="F3502" t="s">
        <v>11010</v>
      </c>
      <c r="G3502" t="s">
        <v>11771</v>
      </c>
      <c r="H3502" t="str">
        <f>HYPERLINK("https://baanknet.com/view-property/253118/DEF3446EB10E67BDBD222CED933A30908AF6A253520F356815336583FC597750", "https://baanknet.com/view-property/253118/DEF3446EB10E67BDBD222CED933A30908AF6A253520F356815336583FC597750")</f>
        <v>https://baanknet.com/view-property/253118/DEF3446EB10E67BDBD222CED933A30908AF6A253520F356815336583FC597750</v>
      </c>
      <c r="I3502" t="str">
        <f>HYPERLINK("https://baanknet.com/view-property/253118/DEF3446EB10E67BDBD222CED933A30908AF6A253520F356815336583FC597750", "Open")</f>
        <v>Open</v>
      </c>
      <c r="J3502" t="s">
        <v>3803</v>
      </c>
      <c r="L3502">
        <v>1058000</v>
      </c>
      <c r="M3502">
        <v>105800</v>
      </c>
    </row>
    <row r="3503" spans="1:13" x14ac:dyDescent="0.25">
      <c r="A3503" t="s">
        <v>11772</v>
      </c>
      <c r="B3503" t="s">
        <v>11773</v>
      </c>
      <c r="C3503" t="s">
        <v>387</v>
      </c>
      <c r="D3503" t="s">
        <v>710</v>
      </c>
      <c r="E3503" t="s">
        <v>11023</v>
      </c>
      <c r="F3503" t="s">
        <v>11010</v>
      </c>
      <c r="G3503" t="s">
        <v>11774</v>
      </c>
      <c r="H3503" t="str">
        <f>HYPERLINK("https://baanknet.com/view-property/249751/C5F5F01E5CFC37BC4DCEAB439EF85AAA2726F233D6A7F993118BC35392706FBD", "https://baanknet.com/view-property/249751/C5F5F01E5CFC37BC4DCEAB439EF85AAA2726F233D6A7F993118BC35392706FBD")</f>
        <v>https://baanknet.com/view-property/249751/C5F5F01E5CFC37BC4DCEAB439EF85AAA2726F233D6A7F993118BC35392706FBD</v>
      </c>
      <c r="I3503" t="str">
        <f>HYPERLINK("https://baanknet.com/view-property/249751/C5F5F01E5CFC37BC4DCEAB439EF85AAA2726F233D6A7F993118BC35392706FBD", "Open")</f>
        <v>Open</v>
      </c>
      <c r="J3503" t="s">
        <v>3803</v>
      </c>
      <c r="L3503">
        <v>1058000</v>
      </c>
      <c r="M3503">
        <v>105800</v>
      </c>
    </row>
    <row r="3504" spans="1:13" x14ac:dyDescent="0.25">
      <c r="A3504" t="s">
        <v>11775</v>
      </c>
      <c r="B3504" t="s">
        <v>11776</v>
      </c>
      <c r="C3504" t="s">
        <v>387</v>
      </c>
      <c r="D3504" t="s">
        <v>1277</v>
      </c>
      <c r="E3504" t="s">
        <v>11023</v>
      </c>
      <c r="F3504" t="s">
        <v>11010</v>
      </c>
      <c r="G3504" t="s">
        <v>11777</v>
      </c>
      <c r="H3504" t="str">
        <f>HYPERLINK("https://baanknet.com/view-property/253119/B1B2712F3C1A3A4A73AD985141DC6DF4C4A6AD960BB65EE8DBDCA54273C217CA", "https://baanknet.com/view-property/253119/B1B2712F3C1A3A4A73AD985141DC6DF4C4A6AD960BB65EE8DBDCA54273C217CA")</f>
        <v>https://baanknet.com/view-property/253119/B1B2712F3C1A3A4A73AD985141DC6DF4C4A6AD960BB65EE8DBDCA54273C217CA</v>
      </c>
      <c r="I3504" t="str">
        <f>HYPERLINK("https://baanknet.com/view-property/253119/B1B2712F3C1A3A4A73AD985141DC6DF4C4A6AD960BB65EE8DBDCA54273C217CA", "Open")</f>
        <v>Open</v>
      </c>
      <c r="J3504" t="s">
        <v>3803</v>
      </c>
      <c r="L3504">
        <v>3065000</v>
      </c>
      <c r="M3504">
        <v>306500</v>
      </c>
    </row>
    <row r="3505" spans="1:13" x14ac:dyDescent="0.25">
      <c r="A3505" t="s">
        <v>11778</v>
      </c>
      <c r="B3505" t="s">
        <v>11779</v>
      </c>
      <c r="C3505" t="s">
        <v>387</v>
      </c>
      <c r="D3505" t="s">
        <v>1277</v>
      </c>
      <c r="E3505" t="s">
        <v>11023</v>
      </c>
      <c r="F3505" t="s">
        <v>11010</v>
      </c>
      <c r="G3505" t="s">
        <v>11780</v>
      </c>
      <c r="H3505" t="str">
        <f>HYPERLINK("https://baanknet.com/view-property/253126/90D376EC8DC6D5FF2714AC98852F68CC962AC96AD15AB71FE9AE33A03E10A994", "https://baanknet.com/view-property/253126/90D376EC8DC6D5FF2714AC98852F68CC962AC96AD15AB71FE9AE33A03E10A994")</f>
        <v>https://baanknet.com/view-property/253126/90D376EC8DC6D5FF2714AC98852F68CC962AC96AD15AB71FE9AE33A03E10A994</v>
      </c>
      <c r="I3505" t="str">
        <f>HYPERLINK("https://baanknet.com/view-property/253126/90D376EC8DC6D5FF2714AC98852F68CC962AC96AD15AB71FE9AE33A03E10A994", "Open")</f>
        <v>Open</v>
      </c>
      <c r="J3505" t="s">
        <v>3803</v>
      </c>
      <c r="L3505">
        <v>5760000</v>
      </c>
      <c r="M3505">
        <v>576000</v>
      </c>
    </row>
    <row r="3506" spans="1:13" x14ac:dyDescent="0.25">
      <c r="A3506" t="s">
        <v>11781</v>
      </c>
      <c r="B3506" t="s">
        <v>11782</v>
      </c>
      <c r="C3506" t="s">
        <v>387</v>
      </c>
      <c r="D3506" t="s">
        <v>1310</v>
      </c>
      <c r="E3506" t="s">
        <v>11023</v>
      </c>
      <c r="F3506" t="s">
        <v>11010</v>
      </c>
      <c r="G3506" t="s">
        <v>11783</v>
      </c>
      <c r="H3506" t="str">
        <f>HYPERLINK("https://baanknet.com/view-property/253135/7151BFA46C12F1D9F1D55F010E494DDF8EC4A594BA418FE7C840E71C2327AC9B", "https://baanknet.com/view-property/253135/7151BFA46C12F1D9F1D55F010E494DDF8EC4A594BA418FE7C840E71C2327AC9B")</f>
        <v>https://baanknet.com/view-property/253135/7151BFA46C12F1D9F1D55F010E494DDF8EC4A594BA418FE7C840E71C2327AC9B</v>
      </c>
      <c r="I3506" t="str">
        <f>HYPERLINK("https://baanknet.com/view-property/253135/7151BFA46C12F1D9F1D55F010E494DDF8EC4A594BA418FE7C840E71C2327AC9B", "Open")</f>
        <v>Open</v>
      </c>
      <c r="J3506" t="s">
        <v>3803</v>
      </c>
      <c r="L3506">
        <v>2667000</v>
      </c>
      <c r="M3506">
        <v>266700</v>
      </c>
    </row>
    <row r="3507" spans="1:13" x14ac:dyDescent="0.25">
      <c r="A3507" t="s">
        <v>11784</v>
      </c>
      <c r="B3507" t="s">
        <v>11785</v>
      </c>
      <c r="C3507" t="s">
        <v>387</v>
      </c>
      <c r="D3507" t="s">
        <v>2163</v>
      </c>
      <c r="E3507" t="s">
        <v>11023</v>
      </c>
      <c r="F3507" t="s">
        <v>11010</v>
      </c>
      <c r="G3507" t="s">
        <v>11786</v>
      </c>
      <c r="H3507" t="str">
        <f>HYPERLINK("https://baanknet.com/view-property/256062/D3C46F4BB4EA60BA89139552ED158A27C722080583C4703A81C3225018D3A52B", "https://baanknet.com/view-property/256062/D3C46F4BB4EA60BA89139552ED158A27C722080583C4703A81C3225018D3A52B")</f>
        <v>https://baanknet.com/view-property/256062/D3C46F4BB4EA60BA89139552ED158A27C722080583C4703A81C3225018D3A52B</v>
      </c>
      <c r="I3507" t="str">
        <f>HYPERLINK("https://baanknet.com/view-property/256062/D3C46F4BB4EA60BA89139552ED158A27C722080583C4703A81C3225018D3A52B", "Open")</f>
        <v>Open</v>
      </c>
      <c r="J3507" t="s">
        <v>3803</v>
      </c>
      <c r="L3507">
        <v>1123000</v>
      </c>
      <c r="M3507">
        <v>112300</v>
      </c>
    </row>
    <row r="3508" spans="1:13" x14ac:dyDescent="0.25">
      <c r="A3508" t="s">
        <v>11787</v>
      </c>
      <c r="B3508" t="s">
        <v>11788</v>
      </c>
      <c r="C3508" t="s">
        <v>387</v>
      </c>
      <c r="D3508" t="s">
        <v>4246</v>
      </c>
      <c r="E3508" t="s">
        <v>11023</v>
      </c>
      <c r="F3508" t="s">
        <v>11010</v>
      </c>
      <c r="G3508" t="s">
        <v>11789</v>
      </c>
      <c r="H3508" t="str">
        <f>HYPERLINK("https://baanknet.com/view-property/264725/BCD6844368D7E987B79DD01DA48677FF75B79794BE8144416D4ECB619639CC90", "https://baanknet.com/view-property/264725/BCD6844368D7E987B79DD01DA48677FF75B79794BE8144416D4ECB619639CC90")</f>
        <v>https://baanknet.com/view-property/264725/BCD6844368D7E987B79DD01DA48677FF75B79794BE8144416D4ECB619639CC90</v>
      </c>
      <c r="I3508" t="str">
        <f>HYPERLINK("https://baanknet.com/view-property/264725/BCD6844368D7E987B79DD01DA48677FF75B79794BE8144416D4ECB619639CC90", "Open")</f>
        <v>Open</v>
      </c>
      <c r="J3508" t="s">
        <v>3803</v>
      </c>
      <c r="L3508">
        <v>1049000</v>
      </c>
      <c r="M3508">
        <v>104900</v>
      </c>
    </row>
    <row r="3509" spans="1:13" x14ac:dyDescent="0.25">
      <c r="A3509" t="s">
        <v>11790</v>
      </c>
      <c r="B3509" t="s">
        <v>11791</v>
      </c>
      <c r="C3509" t="s">
        <v>387</v>
      </c>
      <c r="D3509" t="s">
        <v>549</v>
      </c>
      <c r="E3509" t="s">
        <v>11023</v>
      </c>
      <c r="F3509" t="s">
        <v>11010</v>
      </c>
      <c r="G3509" t="s">
        <v>11792</v>
      </c>
      <c r="H3509" t="str">
        <f>HYPERLINK("https://baanknet.com/view-property/264717/9A9E4550291B2537D8066F9876FF95FCEC9AFCC12DCC0A71A91BB768F9F15551", "https://baanknet.com/view-property/264717/9A9E4550291B2537D8066F9876FF95FCEC9AFCC12DCC0A71A91BB768F9F15551")</f>
        <v>https://baanknet.com/view-property/264717/9A9E4550291B2537D8066F9876FF95FCEC9AFCC12DCC0A71A91BB768F9F15551</v>
      </c>
      <c r="I3509" t="str">
        <f>HYPERLINK("https://baanknet.com/view-property/264717/9A9E4550291B2537D8066F9876FF95FCEC9AFCC12DCC0A71A91BB768F9F15551", "Open")</f>
        <v>Open</v>
      </c>
      <c r="J3509" t="s">
        <v>3803</v>
      </c>
      <c r="L3509">
        <v>1413000</v>
      </c>
      <c r="M3509">
        <v>141300</v>
      </c>
    </row>
    <row r="3510" spans="1:13" x14ac:dyDescent="0.25">
      <c r="A3510" t="s">
        <v>11793</v>
      </c>
      <c r="B3510" t="s">
        <v>11794</v>
      </c>
      <c r="C3510" t="s">
        <v>387</v>
      </c>
      <c r="D3510" t="s">
        <v>549</v>
      </c>
      <c r="E3510" t="s">
        <v>11023</v>
      </c>
      <c r="F3510" t="s">
        <v>11010</v>
      </c>
      <c r="G3510" t="s">
        <v>11795</v>
      </c>
      <c r="H3510" t="str">
        <f>HYPERLINK("https://baanknet.com/view-property/264714/D031560B60B82FEBC74906C2831A12C267AED0B419FC224CF88F1A335AAC857D", "https://baanknet.com/view-property/264714/D031560B60B82FEBC74906C2831A12C267AED0B419FC224CF88F1A335AAC857D")</f>
        <v>https://baanknet.com/view-property/264714/D031560B60B82FEBC74906C2831A12C267AED0B419FC224CF88F1A335AAC857D</v>
      </c>
      <c r="I3510" t="str">
        <f>HYPERLINK("https://baanknet.com/view-property/264714/D031560B60B82FEBC74906C2831A12C267AED0B419FC224CF88F1A335AAC857D", "Open")</f>
        <v>Open</v>
      </c>
      <c r="J3510" t="s">
        <v>3803</v>
      </c>
      <c r="L3510">
        <v>1413000</v>
      </c>
      <c r="M3510">
        <v>141300</v>
      </c>
    </row>
    <row r="3511" spans="1:13" x14ac:dyDescent="0.25">
      <c r="A3511" t="s">
        <v>11796</v>
      </c>
      <c r="B3511" t="s">
        <v>11797</v>
      </c>
      <c r="C3511" t="s">
        <v>387</v>
      </c>
      <c r="D3511" t="s">
        <v>1481</v>
      </c>
      <c r="E3511" t="s">
        <v>11023</v>
      </c>
      <c r="F3511" t="s">
        <v>11010</v>
      </c>
      <c r="G3511" t="s">
        <v>11798</v>
      </c>
      <c r="H3511" t="str">
        <f>HYPERLINK("https://baanknet.com/view-property/264247/8CD852608C6D28B31AD9FCAC5B1153930A45B12A39A2C9997FD0158386F8B5C9", "https://baanknet.com/view-property/264247/8CD852608C6D28B31AD9FCAC5B1153930A45B12A39A2C9997FD0158386F8B5C9")</f>
        <v>https://baanknet.com/view-property/264247/8CD852608C6D28B31AD9FCAC5B1153930A45B12A39A2C9997FD0158386F8B5C9</v>
      </c>
      <c r="I3511" t="str">
        <f>HYPERLINK("https://baanknet.com/view-property/264247/8CD852608C6D28B31AD9FCAC5B1153930A45B12A39A2C9997FD0158386F8B5C9", "Open")</f>
        <v>Open</v>
      </c>
      <c r="J3511" t="s">
        <v>3803</v>
      </c>
      <c r="L3511">
        <v>2776000</v>
      </c>
      <c r="M3511">
        <v>277600</v>
      </c>
    </row>
    <row r="3512" spans="1:13" x14ac:dyDescent="0.25">
      <c r="A3512" t="s">
        <v>11799</v>
      </c>
      <c r="B3512" t="s">
        <v>11800</v>
      </c>
      <c r="C3512" t="s">
        <v>387</v>
      </c>
      <c r="D3512" t="s">
        <v>1277</v>
      </c>
      <c r="E3512" t="s">
        <v>11023</v>
      </c>
      <c r="F3512" t="s">
        <v>11010</v>
      </c>
      <c r="G3512" t="s">
        <v>11801</v>
      </c>
      <c r="H3512" t="str">
        <f>HYPERLINK("https://baanknet.com/view-property/264243/6E449FF7003FD669AC7F2FE9727126B142A4ACEE07A5B7240A2566AD726B7E0D", "https://baanknet.com/view-property/264243/6E449FF7003FD669AC7F2FE9727126B142A4ACEE07A5B7240A2566AD726B7E0D")</f>
        <v>https://baanknet.com/view-property/264243/6E449FF7003FD669AC7F2FE9727126B142A4ACEE07A5B7240A2566AD726B7E0D</v>
      </c>
      <c r="I3512" t="str">
        <f>HYPERLINK("https://baanknet.com/view-property/264243/6E449FF7003FD669AC7F2FE9727126B142A4ACEE07A5B7240A2566AD726B7E0D", "Open")</f>
        <v>Open</v>
      </c>
      <c r="J3512" t="s">
        <v>3803</v>
      </c>
      <c r="L3512">
        <v>3118000</v>
      </c>
      <c r="M3512">
        <v>311800</v>
      </c>
    </row>
    <row r="3513" spans="1:13" x14ac:dyDescent="0.25">
      <c r="A3513" t="s">
        <v>11802</v>
      </c>
      <c r="B3513" t="s">
        <v>11803</v>
      </c>
      <c r="C3513" t="s">
        <v>387</v>
      </c>
      <c r="D3513" t="s">
        <v>1277</v>
      </c>
      <c r="E3513" t="s">
        <v>11023</v>
      </c>
      <c r="F3513" t="s">
        <v>11010</v>
      </c>
      <c r="G3513" t="s">
        <v>11804</v>
      </c>
      <c r="H3513" t="str">
        <f>HYPERLINK("https://baanknet.com/view-property/264686/734A5E84AA6975CE6FB0CDB7B980D20756B470312EA73071931A45F400A54CDF", "https://baanknet.com/view-property/264686/734A5E84AA6975CE6FB0CDB7B980D20756B470312EA73071931A45F400A54CDF")</f>
        <v>https://baanknet.com/view-property/264686/734A5E84AA6975CE6FB0CDB7B980D20756B470312EA73071931A45F400A54CDF</v>
      </c>
      <c r="I3513" t="str">
        <f>HYPERLINK("https://baanknet.com/view-property/264686/734A5E84AA6975CE6FB0CDB7B980D20756B470312EA73071931A45F400A54CDF", "Open")</f>
        <v>Open</v>
      </c>
      <c r="J3513" t="s">
        <v>3803</v>
      </c>
      <c r="L3513">
        <v>2736000</v>
      </c>
      <c r="M3513">
        <v>273600</v>
      </c>
    </row>
    <row r="3514" spans="1:13" x14ac:dyDescent="0.25">
      <c r="A3514" t="s">
        <v>11805</v>
      </c>
      <c r="B3514" t="s">
        <v>11806</v>
      </c>
      <c r="C3514" t="s">
        <v>387</v>
      </c>
      <c r="D3514" t="s">
        <v>10653</v>
      </c>
      <c r="E3514" t="s">
        <v>11023</v>
      </c>
      <c r="F3514" t="s">
        <v>11010</v>
      </c>
      <c r="G3514" t="s">
        <v>11807</v>
      </c>
      <c r="H3514" t="str">
        <f>HYPERLINK("https://baanknet.com/view-property/273232/C8695CEFD96370882804B99997FDE3DB627EF3C4D6C832B671B22237BBE40282", "https://baanknet.com/view-property/273232/C8695CEFD96370882804B99997FDE3DB627EF3C4D6C832B671B22237BBE40282")</f>
        <v>https://baanknet.com/view-property/273232/C8695CEFD96370882804B99997FDE3DB627EF3C4D6C832B671B22237BBE40282</v>
      </c>
      <c r="I3514" t="str">
        <f>HYPERLINK("https://baanknet.com/view-property/273232/C8695CEFD96370882804B99997FDE3DB627EF3C4D6C832B671B22237BBE40282", "Open")</f>
        <v>Open</v>
      </c>
      <c r="J3514" t="s">
        <v>3803</v>
      </c>
      <c r="L3514">
        <v>1797000</v>
      </c>
      <c r="M3514">
        <v>179700</v>
      </c>
    </row>
    <row r="3515" spans="1:13" x14ac:dyDescent="0.25">
      <c r="A3515" t="s">
        <v>11808</v>
      </c>
      <c r="B3515" t="s">
        <v>11809</v>
      </c>
      <c r="C3515" t="s">
        <v>387</v>
      </c>
      <c r="D3515" t="s">
        <v>710</v>
      </c>
      <c r="E3515" t="s">
        <v>11023</v>
      </c>
      <c r="F3515" t="s">
        <v>11010</v>
      </c>
      <c r="G3515" t="s">
        <v>11810</v>
      </c>
      <c r="H3515" t="str">
        <f>HYPERLINK("https://baanknet.com/view-property/273240/1409B0BF2BB1A5B0D239534DD31DE3EC47BA97C4DA901ACAB2A98A773BA5AE27", "https://baanknet.com/view-property/273240/1409B0BF2BB1A5B0D239534DD31DE3EC47BA97C4DA901ACAB2A98A773BA5AE27")</f>
        <v>https://baanknet.com/view-property/273240/1409B0BF2BB1A5B0D239534DD31DE3EC47BA97C4DA901ACAB2A98A773BA5AE27</v>
      </c>
      <c r="I3515" t="str">
        <f>HYPERLINK("https://baanknet.com/view-property/273240/1409B0BF2BB1A5B0D239534DD31DE3EC47BA97C4DA901ACAB2A98A773BA5AE27", "Open")</f>
        <v>Open</v>
      </c>
      <c r="J3515" t="s">
        <v>3803</v>
      </c>
      <c r="L3515">
        <v>2808000</v>
      </c>
      <c r="M3515">
        <v>280800</v>
      </c>
    </row>
    <row r="3516" spans="1:13" x14ac:dyDescent="0.25">
      <c r="A3516" t="s">
        <v>11811</v>
      </c>
      <c r="B3516" t="s">
        <v>11812</v>
      </c>
      <c r="C3516" t="s">
        <v>387</v>
      </c>
      <c r="D3516" t="s">
        <v>710</v>
      </c>
      <c r="E3516" t="s">
        <v>11023</v>
      </c>
      <c r="F3516" t="s">
        <v>11010</v>
      </c>
      <c r="G3516" t="s">
        <v>11813</v>
      </c>
      <c r="H3516" t="str">
        <f>HYPERLINK("https://baanknet.com/view-property/273254/E1B7C2983BDF751CC4C9D1BE3FD7C35EF6DF322B7587ACF96381F90CFD3456CB", "https://baanknet.com/view-property/273254/E1B7C2983BDF751CC4C9D1BE3FD7C35EF6DF322B7587ACF96381F90CFD3456CB")</f>
        <v>https://baanknet.com/view-property/273254/E1B7C2983BDF751CC4C9D1BE3FD7C35EF6DF322B7587ACF96381F90CFD3456CB</v>
      </c>
      <c r="I3516" t="str">
        <f>HYPERLINK("https://baanknet.com/view-property/273254/E1B7C2983BDF751CC4C9D1BE3FD7C35EF6DF322B7587ACF96381F90CFD3456CB", "Open")</f>
        <v>Open</v>
      </c>
      <c r="J3516" t="s">
        <v>3803</v>
      </c>
      <c r="L3516">
        <v>2856000</v>
      </c>
      <c r="M3516">
        <v>285600</v>
      </c>
    </row>
    <row r="3517" spans="1:13" x14ac:dyDescent="0.25">
      <c r="A3517" t="s">
        <v>11814</v>
      </c>
      <c r="B3517" t="s">
        <v>11815</v>
      </c>
      <c r="C3517" t="s">
        <v>387</v>
      </c>
      <c r="D3517" t="s">
        <v>1310</v>
      </c>
      <c r="E3517" t="s">
        <v>11023</v>
      </c>
      <c r="F3517" t="s">
        <v>11010</v>
      </c>
      <c r="G3517" t="s">
        <v>11816</v>
      </c>
      <c r="H3517" t="str">
        <f>HYPERLINK("https://baanknet.com/view-property/275606/A9C84FAA00AC57ACE99C4F586C8AA2D0C878B7F49A3868FC76208DC091090641", "https://baanknet.com/view-property/275606/A9C84FAA00AC57ACE99C4F586C8AA2D0C878B7F49A3868FC76208DC091090641")</f>
        <v>https://baanknet.com/view-property/275606/A9C84FAA00AC57ACE99C4F586C8AA2D0C878B7F49A3868FC76208DC091090641</v>
      </c>
      <c r="I3517" t="str">
        <f>HYPERLINK("https://baanknet.com/view-property/275606/A9C84FAA00AC57ACE99C4F586C8AA2D0C878B7F49A3868FC76208DC091090641", "Open")</f>
        <v>Open</v>
      </c>
      <c r="J3517" t="s">
        <v>3803</v>
      </c>
      <c r="L3517">
        <v>3547000</v>
      </c>
      <c r="M3517">
        <v>354700</v>
      </c>
    </row>
    <row r="3518" spans="1:13" x14ac:dyDescent="0.25">
      <c r="A3518" t="s">
        <v>11817</v>
      </c>
      <c r="B3518" t="s">
        <v>11818</v>
      </c>
      <c r="C3518" t="s">
        <v>387</v>
      </c>
      <c r="D3518" t="s">
        <v>553</v>
      </c>
      <c r="E3518" t="s">
        <v>11023</v>
      </c>
      <c r="F3518" t="s">
        <v>11010</v>
      </c>
      <c r="G3518" t="s">
        <v>11819</v>
      </c>
      <c r="H3518" t="str">
        <f>HYPERLINK("https://baanknet.com/view-property/282347/113C67031C1E59EA6FDDB4DF803623589ED5301202447767ABDEFB2C332E95AD", "https://baanknet.com/view-property/282347/113C67031C1E59EA6FDDB4DF803623589ED5301202447767ABDEFB2C332E95AD")</f>
        <v>https://baanknet.com/view-property/282347/113C67031C1E59EA6FDDB4DF803623589ED5301202447767ABDEFB2C332E95AD</v>
      </c>
      <c r="I3518" t="str">
        <f>HYPERLINK("https://baanknet.com/view-property/282347/113C67031C1E59EA6FDDB4DF803623589ED5301202447767ABDEFB2C332E95AD", "Open")</f>
        <v>Open</v>
      </c>
      <c r="J3518" t="s">
        <v>3803</v>
      </c>
      <c r="L3518">
        <v>1518000</v>
      </c>
      <c r="M3518">
        <v>151800</v>
      </c>
    </row>
    <row r="3519" spans="1:13" x14ac:dyDescent="0.25">
      <c r="A3519" t="s">
        <v>11820</v>
      </c>
      <c r="B3519" t="s">
        <v>11821</v>
      </c>
      <c r="C3519" t="s">
        <v>387</v>
      </c>
      <c r="D3519" t="s">
        <v>1277</v>
      </c>
      <c r="E3519" t="s">
        <v>11023</v>
      </c>
      <c r="F3519" t="s">
        <v>11010</v>
      </c>
      <c r="G3519" t="s">
        <v>11822</v>
      </c>
      <c r="H3519" t="str">
        <f>HYPERLINK("https://baanknet.com/view-property/282349/8C223A4E28A953A5C9FECAE16992E831FB46CBA6E3E9565D10FD4184DCD1CDE4", "https://baanknet.com/view-property/282349/8C223A4E28A953A5C9FECAE16992E831FB46CBA6E3E9565D10FD4184DCD1CDE4")</f>
        <v>https://baanknet.com/view-property/282349/8C223A4E28A953A5C9FECAE16992E831FB46CBA6E3E9565D10FD4184DCD1CDE4</v>
      </c>
      <c r="I3519" t="str">
        <f>HYPERLINK("https://baanknet.com/view-property/282349/8C223A4E28A953A5C9FECAE16992E831FB46CBA6E3E9565D10FD4184DCD1CDE4", "Open")</f>
        <v>Open</v>
      </c>
      <c r="J3519" t="s">
        <v>3803</v>
      </c>
      <c r="L3519">
        <v>3523000</v>
      </c>
      <c r="M3519">
        <v>352300</v>
      </c>
    </row>
    <row r="3520" spans="1:13" x14ac:dyDescent="0.25">
      <c r="A3520" t="s">
        <v>11823</v>
      </c>
      <c r="B3520" t="s">
        <v>11824</v>
      </c>
      <c r="C3520" t="s">
        <v>387</v>
      </c>
      <c r="D3520" t="s">
        <v>1300</v>
      </c>
      <c r="E3520" t="s">
        <v>11023</v>
      </c>
      <c r="F3520" t="s">
        <v>11010</v>
      </c>
      <c r="G3520" t="s">
        <v>11825</v>
      </c>
      <c r="H3520" t="str">
        <f>HYPERLINK("https://baanknet.com/view-property/243207/1D3E0A66C23DA67F67BD0B75585DFED910BFF682B61A1480E2A4C980731444C8", "https://baanknet.com/view-property/243207/1D3E0A66C23DA67F67BD0B75585DFED910BFF682B61A1480E2A4C980731444C8")</f>
        <v>https://baanknet.com/view-property/243207/1D3E0A66C23DA67F67BD0B75585DFED910BFF682B61A1480E2A4C980731444C8</v>
      </c>
      <c r="I3520" t="str">
        <f>HYPERLINK("https://baanknet.com/view-property/243207/1D3E0A66C23DA67F67BD0B75585DFED910BFF682B61A1480E2A4C980731444C8", "Open")</f>
        <v>Open</v>
      </c>
      <c r="J3520" t="s">
        <v>3803</v>
      </c>
      <c r="L3520">
        <v>2525000</v>
      </c>
      <c r="M3520">
        <v>252500</v>
      </c>
    </row>
    <row r="3521" spans="1:13" x14ac:dyDescent="0.25">
      <c r="A3521" t="s">
        <v>11826</v>
      </c>
      <c r="B3521" t="s">
        <v>11827</v>
      </c>
      <c r="C3521" t="s">
        <v>387</v>
      </c>
      <c r="D3521" t="s">
        <v>853</v>
      </c>
      <c r="E3521" t="s">
        <v>11023</v>
      </c>
      <c r="F3521" t="s">
        <v>11010</v>
      </c>
      <c r="G3521" t="s">
        <v>11828</v>
      </c>
      <c r="H3521" t="str">
        <f>HYPERLINK("https://baanknet.com/view-property/269597/EFCDFF3B9852E807853C6C7B631B732328D34A86475CAAE6455E59F0F458C73A", "https://baanknet.com/view-property/269597/EFCDFF3B9852E807853C6C7B631B732328D34A86475CAAE6455E59F0F458C73A")</f>
        <v>https://baanknet.com/view-property/269597/EFCDFF3B9852E807853C6C7B631B732328D34A86475CAAE6455E59F0F458C73A</v>
      </c>
      <c r="I3521" t="str">
        <f>HYPERLINK("https://baanknet.com/view-property/269597/EFCDFF3B9852E807853C6C7B631B732328D34A86475CAAE6455E59F0F458C73A", "Open")</f>
        <v>Open</v>
      </c>
      <c r="J3521" t="s">
        <v>3803</v>
      </c>
      <c r="L3521">
        <v>866000</v>
      </c>
      <c r="M3521">
        <v>86600</v>
      </c>
    </row>
    <row r="3522" spans="1:13" x14ac:dyDescent="0.25">
      <c r="A3522" t="s">
        <v>11829</v>
      </c>
      <c r="B3522" t="s">
        <v>11830</v>
      </c>
      <c r="C3522" t="s">
        <v>387</v>
      </c>
      <c r="D3522" t="s">
        <v>6245</v>
      </c>
      <c r="E3522" t="s">
        <v>11023</v>
      </c>
      <c r="F3522" t="s">
        <v>11010</v>
      </c>
      <c r="G3522" t="s">
        <v>11831</v>
      </c>
      <c r="H3522" t="str">
        <f>HYPERLINK("https://baanknet.com/view-property/248922/8E560BC3B74992A3519D9ACAC48B1B1A2463FD944487B7ED5D9BF395B0EF56E2", "https://baanknet.com/view-property/248922/8E560BC3B74992A3519D9ACAC48B1B1A2463FD944487B7ED5D9BF395B0EF56E2")</f>
        <v>https://baanknet.com/view-property/248922/8E560BC3B74992A3519D9ACAC48B1B1A2463FD944487B7ED5D9BF395B0EF56E2</v>
      </c>
      <c r="I3522" t="str">
        <f>HYPERLINK("https://baanknet.com/view-property/248922/8E560BC3B74992A3519D9ACAC48B1B1A2463FD944487B7ED5D9BF395B0EF56E2", "Open")</f>
        <v>Open</v>
      </c>
      <c r="J3522" t="s">
        <v>3803</v>
      </c>
      <c r="L3522">
        <v>5050000</v>
      </c>
      <c r="M3522">
        <v>505000</v>
      </c>
    </row>
    <row r="3523" spans="1:13" x14ac:dyDescent="0.25">
      <c r="A3523" t="s">
        <v>11832</v>
      </c>
      <c r="B3523" t="s">
        <v>11833</v>
      </c>
      <c r="C3523" t="s">
        <v>387</v>
      </c>
      <c r="D3523" t="s">
        <v>1300</v>
      </c>
      <c r="E3523" t="s">
        <v>11023</v>
      </c>
      <c r="F3523" t="s">
        <v>11010</v>
      </c>
      <c r="G3523" t="s">
        <v>11834</v>
      </c>
      <c r="H3523" t="str">
        <f>HYPERLINK("https://baanknet.com/view-property/248929/CAB03ABD5E5E9255966F582B72EF358D45C5FE8DBAE67B081080F003C4F714FB", "https://baanknet.com/view-property/248929/CAB03ABD5E5E9255966F582B72EF358D45C5FE8DBAE67B081080F003C4F714FB")</f>
        <v>https://baanknet.com/view-property/248929/CAB03ABD5E5E9255966F582B72EF358D45C5FE8DBAE67B081080F003C4F714FB</v>
      </c>
      <c r="I3523" t="str">
        <f>HYPERLINK("https://baanknet.com/view-property/248929/CAB03ABD5E5E9255966F582B72EF358D45C5FE8DBAE67B081080F003C4F714FB", "Open")</f>
        <v>Open</v>
      </c>
      <c r="J3523" t="s">
        <v>3803</v>
      </c>
      <c r="L3523">
        <v>2390000</v>
      </c>
      <c r="M3523">
        <v>239000</v>
      </c>
    </row>
    <row r="3524" spans="1:13" x14ac:dyDescent="0.25">
      <c r="A3524" t="s">
        <v>11835</v>
      </c>
      <c r="B3524" t="s">
        <v>11836</v>
      </c>
      <c r="C3524" t="s">
        <v>387</v>
      </c>
      <c r="D3524" t="s">
        <v>853</v>
      </c>
      <c r="E3524" t="s">
        <v>11023</v>
      </c>
      <c r="F3524" t="s">
        <v>11010</v>
      </c>
      <c r="G3524" t="s">
        <v>11837</v>
      </c>
      <c r="H3524" t="str">
        <f>HYPERLINK("https://baanknet.com/view-property/263306/5D7CE2622D1CE28DD3EB78233DD64E2E91BEA97628B1A1B7F1BC27929D3EF083", "https://baanknet.com/view-property/263306/5D7CE2622D1CE28DD3EB78233DD64E2E91BEA97628B1A1B7F1BC27929D3EF083")</f>
        <v>https://baanknet.com/view-property/263306/5D7CE2622D1CE28DD3EB78233DD64E2E91BEA97628B1A1B7F1BC27929D3EF083</v>
      </c>
      <c r="I3524" t="str">
        <f>HYPERLINK("https://baanknet.com/view-property/263306/5D7CE2622D1CE28DD3EB78233DD64E2E91BEA97628B1A1B7F1BC27929D3EF083", "Open")</f>
        <v>Open</v>
      </c>
      <c r="J3524" t="s">
        <v>3803</v>
      </c>
      <c r="L3524">
        <v>2270000</v>
      </c>
      <c r="M3524">
        <v>227000</v>
      </c>
    </row>
    <row r="3525" spans="1:13" x14ac:dyDescent="0.25">
      <c r="A3525" t="s">
        <v>11838</v>
      </c>
      <c r="B3525" t="s">
        <v>11839</v>
      </c>
      <c r="C3525" t="s">
        <v>387</v>
      </c>
      <c r="D3525" t="s">
        <v>1300</v>
      </c>
      <c r="E3525" t="s">
        <v>11023</v>
      </c>
      <c r="F3525" t="s">
        <v>11010</v>
      </c>
      <c r="G3525" t="s">
        <v>11840</v>
      </c>
      <c r="H3525" t="str">
        <f>HYPERLINK("https://baanknet.com/view-property/267939/3FF8C5298EAA71FDA0192CA6C1E345697D451677BD80F8A5DADBC894E21719C9", "https://baanknet.com/view-property/267939/3FF8C5298EAA71FDA0192CA6C1E345697D451677BD80F8A5DADBC894E21719C9")</f>
        <v>https://baanknet.com/view-property/267939/3FF8C5298EAA71FDA0192CA6C1E345697D451677BD80F8A5DADBC894E21719C9</v>
      </c>
      <c r="I3525" t="str">
        <f>HYPERLINK("https://baanknet.com/view-property/267939/3FF8C5298EAA71FDA0192CA6C1E345697D451677BD80F8A5DADBC894E21719C9", "Open")</f>
        <v>Open</v>
      </c>
      <c r="J3525" t="s">
        <v>3803</v>
      </c>
      <c r="L3525">
        <v>2382000</v>
      </c>
      <c r="M3525">
        <v>238200</v>
      </c>
    </row>
    <row r="3526" spans="1:13" x14ac:dyDescent="0.25">
      <c r="A3526" t="s">
        <v>11841</v>
      </c>
      <c r="B3526" t="s">
        <v>11842</v>
      </c>
      <c r="C3526" t="s">
        <v>387</v>
      </c>
      <c r="D3526" t="s">
        <v>853</v>
      </c>
      <c r="E3526" t="s">
        <v>11023</v>
      </c>
      <c r="F3526" t="s">
        <v>11010</v>
      </c>
      <c r="G3526" t="s">
        <v>11843</v>
      </c>
      <c r="H3526" t="str">
        <f>HYPERLINK("https://baanknet.com/view-property/274910/231B743156404BACE4988FD7A8898846D7BDAA80AB947720D112DFFE238C7B30", "https://baanknet.com/view-property/274910/231B743156404BACE4988FD7A8898846D7BDAA80AB947720D112DFFE238C7B30")</f>
        <v>https://baanknet.com/view-property/274910/231B743156404BACE4988FD7A8898846D7BDAA80AB947720D112DFFE238C7B30</v>
      </c>
      <c r="I3526" t="str">
        <f>HYPERLINK("https://baanknet.com/view-property/274910/231B743156404BACE4988FD7A8898846D7BDAA80AB947720D112DFFE238C7B30", "Open")</f>
        <v>Open</v>
      </c>
      <c r="J3526" t="s">
        <v>3803</v>
      </c>
      <c r="L3526">
        <v>2963000</v>
      </c>
      <c r="M3526">
        <v>296300</v>
      </c>
    </row>
    <row r="3527" spans="1:13" x14ac:dyDescent="0.25">
      <c r="A3527" t="s">
        <v>11844</v>
      </c>
      <c r="B3527" t="s">
        <v>11845</v>
      </c>
      <c r="C3527" t="s">
        <v>387</v>
      </c>
      <c r="D3527" t="s">
        <v>853</v>
      </c>
      <c r="E3527" t="s">
        <v>11023</v>
      </c>
      <c r="F3527" t="s">
        <v>11010</v>
      </c>
      <c r="G3527" t="s">
        <v>11846</v>
      </c>
      <c r="H3527" t="str">
        <f>HYPERLINK("https://baanknet.com/view-property/274919/87CE5C4A289EB67B7665DF5C521CD93197FB6110E4DAA5265DBC6004E46DA218", "https://baanknet.com/view-property/274919/87CE5C4A289EB67B7665DF5C521CD93197FB6110E4DAA5265DBC6004E46DA218")</f>
        <v>https://baanknet.com/view-property/274919/87CE5C4A289EB67B7665DF5C521CD93197FB6110E4DAA5265DBC6004E46DA218</v>
      </c>
      <c r="I3527" t="str">
        <f>HYPERLINK("https://baanknet.com/view-property/274919/87CE5C4A289EB67B7665DF5C521CD93197FB6110E4DAA5265DBC6004E46DA218", "Open")</f>
        <v>Open</v>
      </c>
      <c r="J3527" t="s">
        <v>3803</v>
      </c>
      <c r="L3527">
        <v>2963000</v>
      </c>
      <c r="M3527">
        <v>296300</v>
      </c>
    </row>
    <row r="3528" spans="1:13" x14ac:dyDescent="0.25">
      <c r="A3528" t="s">
        <v>11847</v>
      </c>
      <c r="B3528" t="s">
        <v>11848</v>
      </c>
      <c r="C3528" t="s">
        <v>387</v>
      </c>
      <c r="D3528" t="s">
        <v>706</v>
      </c>
      <c r="E3528" t="s">
        <v>11023</v>
      </c>
      <c r="F3528" t="s">
        <v>11010</v>
      </c>
      <c r="G3528" t="s">
        <v>11849</v>
      </c>
      <c r="H3528" t="str">
        <f>HYPERLINK("https://baanknet.com/view-property/274858/ED0C406F919E6D91F666CFF74BF253078EF4DB07F25BA23E3CDD1D5E13EEF78D", "https://baanknet.com/view-property/274858/ED0C406F919E6D91F666CFF74BF253078EF4DB07F25BA23E3CDD1D5E13EEF78D")</f>
        <v>https://baanknet.com/view-property/274858/ED0C406F919E6D91F666CFF74BF253078EF4DB07F25BA23E3CDD1D5E13EEF78D</v>
      </c>
      <c r="I3528" t="str">
        <f>HYPERLINK("https://baanknet.com/view-property/274858/ED0C406F919E6D91F666CFF74BF253078EF4DB07F25BA23E3CDD1D5E13EEF78D", "Open")</f>
        <v>Open</v>
      </c>
      <c r="J3528" t="s">
        <v>3803</v>
      </c>
      <c r="L3528">
        <v>7263000</v>
      </c>
      <c r="M3528">
        <v>726300</v>
      </c>
    </row>
    <row r="3529" spans="1:13" x14ac:dyDescent="0.25">
      <c r="A3529" t="s">
        <v>11850</v>
      </c>
      <c r="B3529" t="s">
        <v>11851</v>
      </c>
      <c r="C3529" t="s">
        <v>387</v>
      </c>
      <c r="D3529" t="s">
        <v>1300</v>
      </c>
      <c r="E3529" t="s">
        <v>11023</v>
      </c>
      <c r="F3529" t="s">
        <v>11010</v>
      </c>
      <c r="G3529" t="s">
        <v>11852</v>
      </c>
      <c r="H3529" t="str">
        <f>HYPERLINK("https://baanknet.com/view-property/274851/0779D8FE9164B4DEF4B8C39D0E587EF9E71C1302E70935CF6CD3A31ED324DC70", "https://baanknet.com/view-property/274851/0779D8FE9164B4DEF4B8C39D0E587EF9E71C1302E70935CF6CD3A31ED324DC70")</f>
        <v>https://baanknet.com/view-property/274851/0779D8FE9164B4DEF4B8C39D0E587EF9E71C1302E70935CF6CD3A31ED324DC70</v>
      </c>
      <c r="I3529" t="str">
        <f>HYPERLINK("https://baanknet.com/view-property/274851/0779D8FE9164B4DEF4B8C39D0E587EF9E71C1302E70935CF6CD3A31ED324DC70", "Open")</f>
        <v>Open</v>
      </c>
      <c r="J3529" t="s">
        <v>3803</v>
      </c>
      <c r="L3529">
        <v>2514000</v>
      </c>
      <c r="M3529">
        <v>251400</v>
      </c>
    </row>
    <row r="3530" spans="1:13" x14ac:dyDescent="0.25">
      <c r="A3530" t="s">
        <v>11853</v>
      </c>
      <c r="B3530" t="s">
        <v>11854</v>
      </c>
      <c r="C3530" t="s">
        <v>387</v>
      </c>
      <c r="D3530" t="s">
        <v>6245</v>
      </c>
      <c r="E3530" t="s">
        <v>11023</v>
      </c>
      <c r="F3530" t="s">
        <v>11010</v>
      </c>
      <c r="G3530" t="s">
        <v>11855</v>
      </c>
      <c r="H3530" t="str">
        <f>HYPERLINK("https://baanknet.com/view-property/228301/7A85C45C767A376AE23C1CD8B2D1F04B102165AFD37F3AFA79E69D6639E8EC77", "https://baanknet.com/view-property/228301/7A85C45C767A376AE23C1CD8B2D1F04B102165AFD37F3AFA79E69D6639E8EC77")</f>
        <v>https://baanknet.com/view-property/228301/7A85C45C767A376AE23C1CD8B2D1F04B102165AFD37F3AFA79E69D6639E8EC77</v>
      </c>
      <c r="I3530" t="str">
        <f>HYPERLINK("https://baanknet.com/view-property/228301/7A85C45C767A376AE23C1CD8B2D1F04B102165AFD37F3AFA79E69D6639E8EC77", "Open")</f>
        <v>Open</v>
      </c>
      <c r="J3530" t="s">
        <v>3803</v>
      </c>
      <c r="L3530">
        <v>3100000</v>
      </c>
      <c r="M3530">
        <v>310000</v>
      </c>
    </row>
    <row r="3531" spans="1:13" x14ac:dyDescent="0.25">
      <c r="A3531" t="s">
        <v>11856</v>
      </c>
      <c r="B3531" t="s">
        <v>11857</v>
      </c>
      <c r="C3531" t="s">
        <v>387</v>
      </c>
      <c r="D3531" t="s">
        <v>710</v>
      </c>
      <c r="E3531" t="s">
        <v>11023</v>
      </c>
      <c r="F3531" t="s">
        <v>11010</v>
      </c>
      <c r="G3531" t="s">
        <v>11858</v>
      </c>
      <c r="H3531" t="str">
        <f>HYPERLINK("https://baanknet.com/view-property/286488/81B7E87461BDEDB6BB72A73E8A03DEBCD933B29891E1635A2DAFC61220B914D7", "https://baanknet.com/view-property/286488/81B7E87461BDEDB6BB72A73E8A03DEBCD933B29891E1635A2DAFC61220B914D7")</f>
        <v>https://baanknet.com/view-property/286488/81B7E87461BDEDB6BB72A73E8A03DEBCD933B29891E1635A2DAFC61220B914D7</v>
      </c>
      <c r="I3531" t="str">
        <f>HYPERLINK("https://baanknet.com/view-property/286488/81B7E87461BDEDB6BB72A73E8A03DEBCD933B29891E1635A2DAFC61220B914D7", "Open")</f>
        <v>Open</v>
      </c>
      <c r="J3531" t="s">
        <v>3803</v>
      </c>
      <c r="L3531">
        <v>5591000</v>
      </c>
      <c r="M3531">
        <v>559100</v>
      </c>
    </row>
    <row r="3532" spans="1:13" x14ac:dyDescent="0.25">
      <c r="A3532" t="s">
        <v>11859</v>
      </c>
      <c r="B3532" t="s">
        <v>11860</v>
      </c>
      <c r="C3532" t="s">
        <v>387</v>
      </c>
      <c r="D3532" t="s">
        <v>853</v>
      </c>
      <c r="E3532" t="s">
        <v>11023</v>
      </c>
      <c r="F3532" t="s">
        <v>11010</v>
      </c>
      <c r="G3532" t="s">
        <v>11861</v>
      </c>
      <c r="H3532" t="str">
        <f>HYPERLINK("https://baanknet.com/view-property/267946/BBEEBAAA8E830C0F0BE8FF53A4E32909BC66B20B1EA01693EE9FAE31BE0364D6", "https://baanknet.com/view-property/267946/BBEEBAAA8E830C0F0BE8FF53A4E32909BC66B20B1EA01693EE9FAE31BE0364D6")</f>
        <v>https://baanknet.com/view-property/267946/BBEEBAAA8E830C0F0BE8FF53A4E32909BC66B20B1EA01693EE9FAE31BE0364D6</v>
      </c>
      <c r="I3532" t="str">
        <f>HYPERLINK("https://baanknet.com/view-property/267946/BBEEBAAA8E830C0F0BE8FF53A4E32909BC66B20B1EA01693EE9FAE31BE0364D6", "Open")</f>
        <v>Open</v>
      </c>
      <c r="J3532" t="s">
        <v>3803</v>
      </c>
      <c r="L3532">
        <v>1583000</v>
      </c>
      <c r="M3532">
        <v>158300</v>
      </c>
    </row>
    <row r="3533" spans="1:13" x14ac:dyDescent="0.25">
      <c r="A3533" t="s">
        <v>11862</v>
      </c>
      <c r="B3533" t="s">
        <v>11863</v>
      </c>
      <c r="C3533" t="s">
        <v>387</v>
      </c>
      <c r="D3533" t="s">
        <v>1300</v>
      </c>
      <c r="E3533" t="s">
        <v>11023</v>
      </c>
      <c r="F3533" t="s">
        <v>11010</v>
      </c>
      <c r="G3533" t="s">
        <v>11864</v>
      </c>
      <c r="H3533" t="str">
        <f>HYPERLINK("https://baanknet.com/view-property/273337/34C31C12132FB891D35FA9E287370CC1BEBF4126F7ACFEF8CB47E8FA7A50F038", "https://baanknet.com/view-property/273337/34C31C12132FB891D35FA9E287370CC1BEBF4126F7ACFEF8CB47E8FA7A50F038")</f>
        <v>https://baanknet.com/view-property/273337/34C31C12132FB891D35FA9E287370CC1BEBF4126F7ACFEF8CB47E8FA7A50F038</v>
      </c>
      <c r="I3533" t="str">
        <f>HYPERLINK("https://baanknet.com/view-property/273337/34C31C12132FB891D35FA9E287370CC1BEBF4126F7ACFEF8CB47E8FA7A50F038", "Open")</f>
        <v>Open</v>
      </c>
      <c r="J3533" t="s">
        <v>3803</v>
      </c>
      <c r="L3533">
        <v>4288000</v>
      </c>
      <c r="M3533">
        <v>428800</v>
      </c>
    </row>
    <row r="3534" spans="1:13" x14ac:dyDescent="0.25">
      <c r="A3534" t="s">
        <v>11865</v>
      </c>
      <c r="B3534" t="s">
        <v>11866</v>
      </c>
      <c r="C3534" t="s">
        <v>387</v>
      </c>
      <c r="D3534" t="s">
        <v>1300</v>
      </c>
      <c r="E3534" t="s">
        <v>11023</v>
      </c>
      <c r="F3534" t="s">
        <v>11010</v>
      </c>
      <c r="G3534" t="s">
        <v>11867</v>
      </c>
      <c r="H3534" t="str">
        <f>HYPERLINK("https://baanknet.com/view-property/252225/9522BB1ABF6870508F37DE142E51C41CA20E9A024DC9039E6A5DFF62D185046F", "https://baanknet.com/view-property/252225/9522BB1ABF6870508F37DE142E51C41CA20E9A024DC9039E6A5DFF62D185046F")</f>
        <v>https://baanknet.com/view-property/252225/9522BB1ABF6870508F37DE142E51C41CA20E9A024DC9039E6A5DFF62D185046F</v>
      </c>
      <c r="I3534" t="str">
        <f>HYPERLINK("https://baanknet.com/view-property/252225/9522BB1ABF6870508F37DE142E51C41CA20E9A024DC9039E6A5DFF62D185046F", "Open")</f>
        <v>Open</v>
      </c>
      <c r="J3534" t="s">
        <v>3803</v>
      </c>
      <c r="L3534">
        <v>3950000</v>
      </c>
      <c r="M3534">
        <v>395000</v>
      </c>
    </row>
    <row r="3535" spans="1:13" x14ac:dyDescent="0.25">
      <c r="A3535" t="s">
        <v>11868</v>
      </c>
      <c r="B3535" t="s">
        <v>11869</v>
      </c>
      <c r="C3535" t="s">
        <v>387</v>
      </c>
      <c r="D3535" t="s">
        <v>849</v>
      </c>
      <c r="E3535" t="s">
        <v>11023</v>
      </c>
      <c r="F3535" t="s">
        <v>11010</v>
      </c>
      <c r="G3535" t="s">
        <v>11870</v>
      </c>
      <c r="H3535" t="str">
        <f>HYPERLINK("https://baanknet.com/view-property/101106/3C24A4F20133F9DFCE0AF1E71CB6EC471CB048667EA6A3ACB2516A8CA3EB2B9D", "https://baanknet.com/view-property/101106/3C24A4F20133F9DFCE0AF1E71CB6EC471CB048667EA6A3ACB2516A8CA3EB2B9D")</f>
        <v>https://baanknet.com/view-property/101106/3C24A4F20133F9DFCE0AF1E71CB6EC471CB048667EA6A3ACB2516A8CA3EB2B9D</v>
      </c>
      <c r="I3535" t="str">
        <f>HYPERLINK("https://baanknet.com/view-property/101106/3C24A4F20133F9DFCE0AF1E71CB6EC471CB048667EA6A3ACB2516A8CA3EB2B9D", "Open")</f>
        <v>Open</v>
      </c>
      <c r="J3535" t="s">
        <v>3803</v>
      </c>
      <c r="L3535">
        <v>2041000</v>
      </c>
      <c r="M3535">
        <v>204100</v>
      </c>
    </row>
    <row r="3536" spans="1:13" x14ac:dyDescent="0.25">
      <c r="A3536" t="s">
        <v>11871</v>
      </c>
      <c r="B3536" t="s">
        <v>11872</v>
      </c>
      <c r="C3536" t="s">
        <v>387</v>
      </c>
      <c r="D3536" t="s">
        <v>849</v>
      </c>
      <c r="E3536" t="s">
        <v>11023</v>
      </c>
      <c r="F3536" t="s">
        <v>11010</v>
      </c>
      <c r="G3536" t="s">
        <v>11873</v>
      </c>
      <c r="H3536" t="str">
        <f>HYPERLINK("https://baanknet.com/view-property/90999/4E6F69D129D3DA30B2F0EBC7387C6E85D78FFAB40A0E18215FFC5060E4352DBF", "https://baanknet.com/view-property/90999/4E6F69D129D3DA30B2F0EBC7387C6E85D78FFAB40A0E18215FFC5060E4352DBF")</f>
        <v>https://baanknet.com/view-property/90999/4E6F69D129D3DA30B2F0EBC7387C6E85D78FFAB40A0E18215FFC5060E4352DBF</v>
      </c>
      <c r="I3536" t="str">
        <f>HYPERLINK("https://baanknet.com/view-property/90999/4E6F69D129D3DA30B2F0EBC7387C6E85D78FFAB40A0E18215FFC5060E4352DBF", "Open")</f>
        <v>Open</v>
      </c>
      <c r="J3536" t="s">
        <v>3803</v>
      </c>
      <c r="L3536">
        <v>2026000</v>
      </c>
      <c r="M3536">
        <v>202600</v>
      </c>
    </row>
    <row r="3537" spans="1:13" x14ac:dyDescent="0.25">
      <c r="A3537" t="s">
        <v>11874</v>
      </c>
      <c r="B3537" t="s">
        <v>11875</v>
      </c>
      <c r="C3537" t="s">
        <v>387</v>
      </c>
      <c r="D3537" t="s">
        <v>849</v>
      </c>
      <c r="E3537" t="s">
        <v>11023</v>
      </c>
      <c r="F3537" t="s">
        <v>11010</v>
      </c>
      <c r="G3537" t="s">
        <v>11876</v>
      </c>
      <c r="H3537" t="str">
        <f>HYPERLINK("https://baanknet.com/view-property/106171/D1C155E0EBA4CAFF4F9D9E5BD7C6C8004CBDAA9377BDBE205CAB3DE71825C7F0", "https://baanknet.com/view-property/106171/D1C155E0EBA4CAFF4F9D9E5BD7C6C8004CBDAA9377BDBE205CAB3DE71825C7F0")</f>
        <v>https://baanknet.com/view-property/106171/D1C155E0EBA4CAFF4F9D9E5BD7C6C8004CBDAA9377BDBE205CAB3DE71825C7F0</v>
      </c>
      <c r="I3537" t="str">
        <f>HYPERLINK("https://baanknet.com/view-property/106171/D1C155E0EBA4CAFF4F9D9E5BD7C6C8004CBDAA9377BDBE205CAB3DE71825C7F0", "Open")</f>
        <v>Open</v>
      </c>
      <c r="J3537" t="s">
        <v>3803</v>
      </c>
      <c r="L3537">
        <v>2056000</v>
      </c>
      <c r="M3537">
        <v>205600</v>
      </c>
    </row>
    <row r="3538" spans="1:13" x14ac:dyDescent="0.25">
      <c r="A3538" t="s">
        <v>11877</v>
      </c>
      <c r="B3538" t="s">
        <v>11878</v>
      </c>
      <c r="C3538" t="s">
        <v>387</v>
      </c>
      <c r="D3538" t="s">
        <v>849</v>
      </c>
      <c r="E3538" t="s">
        <v>11023</v>
      </c>
      <c r="F3538" t="s">
        <v>11010</v>
      </c>
      <c r="G3538" t="s">
        <v>11879</v>
      </c>
      <c r="H3538" t="str">
        <f>HYPERLINK("https://baanknet.com/view-property/106066/E10B722F8757C84F30478B70F02B246A9B5683E6B44477131EA34F877AC9B470", "https://baanknet.com/view-property/106066/E10B722F8757C84F30478B70F02B246A9B5683E6B44477131EA34F877AC9B470")</f>
        <v>https://baanknet.com/view-property/106066/E10B722F8757C84F30478B70F02B246A9B5683E6B44477131EA34F877AC9B470</v>
      </c>
      <c r="I3538" t="str">
        <f>HYPERLINK("https://baanknet.com/view-property/106066/E10B722F8757C84F30478B70F02B246A9B5683E6B44477131EA34F877AC9B470", "Open")</f>
        <v>Open</v>
      </c>
      <c r="J3538" t="s">
        <v>3803</v>
      </c>
      <c r="L3538">
        <v>1401000</v>
      </c>
      <c r="M3538">
        <v>140100</v>
      </c>
    </row>
    <row r="3539" spans="1:13" x14ac:dyDescent="0.25">
      <c r="A3539" t="s">
        <v>11880</v>
      </c>
      <c r="B3539" t="s">
        <v>11881</v>
      </c>
      <c r="C3539" t="s">
        <v>387</v>
      </c>
      <c r="D3539" t="s">
        <v>849</v>
      </c>
      <c r="E3539" t="s">
        <v>11023</v>
      </c>
      <c r="F3539" t="s">
        <v>11010</v>
      </c>
      <c r="G3539" t="s">
        <v>11882</v>
      </c>
      <c r="H3539" t="str">
        <f>HYPERLINK("https://baanknet.com/view-property/125964/7E1FEA3DB8692B0D3DC88D351A00CAC7E05762D0BBBE53496416DE86B024BF11", "https://baanknet.com/view-property/125964/7E1FEA3DB8692B0D3DC88D351A00CAC7E05762D0BBBE53496416DE86B024BF11")</f>
        <v>https://baanknet.com/view-property/125964/7E1FEA3DB8692B0D3DC88D351A00CAC7E05762D0BBBE53496416DE86B024BF11</v>
      </c>
      <c r="I3539" t="str">
        <f>HYPERLINK("https://baanknet.com/view-property/125964/7E1FEA3DB8692B0D3DC88D351A00CAC7E05762D0BBBE53496416DE86B024BF11", "Open")</f>
        <v>Open</v>
      </c>
      <c r="J3539" t="s">
        <v>3803</v>
      </c>
      <c r="L3539">
        <v>702000</v>
      </c>
      <c r="M3539">
        <v>70200</v>
      </c>
    </row>
    <row r="3540" spans="1:13" x14ac:dyDescent="0.25">
      <c r="A3540" t="s">
        <v>11883</v>
      </c>
      <c r="B3540" t="s">
        <v>11884</v>
      </c>
      <c r="C3540" t="s">
        <v>387</v>
      </c>
      <c r="D3540" t="s">
        <v>845</v>
      </c>
      <c r="E3540" t="s">
        <v>11023</v>
      </c>
      <c r="F3540" t="s">
        <v>11010</v>
      </c>
      <c r="G3540" t="s">
        <v>11885</v>
      </c>
      <c r="H3540" t="str">
        <f>HYPERLINK("https://baanknet.com/view-property/264701/A86DBDB27F4EA273B7AAA6E70C397653086F98C0307923B0CD302EE3746BBD1A", "https://baanknet.com/view-property/264701/A86DBDB27F4EA273B7AAA6E70C397653086F98C0307923B0CD302EE3746BBD1A")</f>
        <v>https://baanknet.com/view-property/264701/A86DBDB27F4EA273B7AAA6E70C397653086F98C0307923B0CD302EE3746BBD1A</v>
      </c>
      <c r="I3540" t="str">
        <f>HYPERLINK("https://baanknet.com/view-property/264701/A86DBDB27F4EA273B7AAA6E70C397653086F98C0307923B0CD302EE3746BBD1A", "Open")</f>
        <v>Open</v>
      </c>
      <c r="J3540" t="s">
        <v>3803</v>
      </c>
      <c r="L3540">
        <v>1389000</v>
      </c>
      <c r="M3540">
        <v>138900</v>
      </c>
    </row>
    <row r="3541" spans="1:13" x14ac:dyDescent="0.25">
      <c r="A3541" t="s">
        <v>11886</v>
      </c>
      <c r="B3541" t="s">
        <v>11887</v>
      </c>
      <c r="C3541" t="s">
        <v>387</v>
      </c>
      <c r="D3541" t="s">
        <v>849</v>
      </c>
      <c r="E3541" t="s">
        <v>11023</v>
      </c>
      <c r="F3541" t="s">
        <v>11010</v>
      </c>
      <c r="G3541" t="s">
        <v>11888</v>
      </c>
      <c r="H3541" t="str">
        <f>HYPERLINK("https://baanknet.com/view-property/125898/AA1297BD57665C0570DA71784B0C516499B3EC1F63941DC35432B1D3484FD36B", "https://baanknet.com/view-property/125898/AA1297BD57665C0570DA71784B0C516499B3EC1F63941DC35432B1D3484FD36B")</f>
        <v>https://baanknet.com/view-property/125898/AA1297BD57665C0570DA71784B0C516499B3EC1F63941DC35432B1D3484FD36B</v>
      </c>
      <c r="I3541" t="str">
        <f>HYPERLINK("https://baanknet.com/view-property/125898/AA1297BD57665C0570DA71784B0C516499B3EC1F63941DC35432B1D3484FD36B", "Open")</f>
        <v>Open</v>
      </c>
      <c r="J3541" t="s">
        <v>3803</v>
      </c>
      <c r="L3541">
        <v>2173000</v>
      </c>
      <c r="M3541">
        <v>217300</v>
      </c>
    </row>
    <row r="3542" spans="1:13" x14ac:dyDescent="0.25">
      <c r="A3542" t="s">
        <v>11889</v>
      </c>
      <c r="B3542" t="s">
        <v>11890</v>
      </c>
      <c r="C3542" t="s">
        <v>387</v>
      </c>
      <c r="D3542" t="s">
        <v>157</v>
      </c>
      <c r="E3542" t="s">
        <v>11023</v>
      </c>
      <c r="F3542" t="s">
        <v>11010</v>
      </c>
      <c r="G3542" t="s">
        <v>11891</v>
      </c>
      <c r="H3542" t="str">
        <f>HYPERLINK("https://baanknet.com/view-property/252411/95BBDD746BB876B72B15B5301AA7A0D06DB957245BB1100E78B538B81BD69CFF", "https://baanknet.com/view-property/252411/95BBDD746BB876B72B15B5301AA7A0D06DB957245BB1100E78B538B81BD69CFF")</f>
        <v>https://baanknet.com/view-property/252411/95BBDD746BB876B72B15B5301AA7A0D06DB957245BB1100E78B538B81BD69CFF</v>
      </c>
      <c r="I3542" t="str">
        <f>HYPERLINK("https://baanknet.com/view-property/252411/95BBDD746BB876B72B15B5301AA7A0D06DB957245BB1100E78B538B81BD69CFF", "Open")</f>
        <v>Open</v>
      </c>
      <c r="J3542" t="s">
        <v>3803</v>
      </c>
      <c r="L3542">
        <v>1156000</v>
      </c>
      <c r="M3542">
        <v>115600</v>
      </c>
    </row>
    <row r="3543" spans="1:13" x14ac:dyDescent="0.25">
      <c r="A3543" t="s">
        <v>11892</v>
      </c>
      <c r="B3543" t="s">
        <v>11893</v>
      </c>
      <c r="C3543" t="s">
        <v>387</v>
      </c>
      <c r="D3543" t="s">
        <v>11894</v>
      </c>
      <c r="E3543" t="s">
        <v>11023</v>
      </c>
      <c r="F3543" t="s">
        <v>11010</v>
      </c>
      <c r="G3543" t="s">
        <v>11895</v>
      </c>
      <c r="H3543" t="str">
        <f>HYPERLINK("https://baanknet.com/view-property/273021/9686436C3FB2057CC134ABE42C8B78A0CF51CE9969EB16B85A7C494B861DADA3", "https://baanknet.com/view-property/273021/9686436C3FB2057CC134ABE42C8B78A0CF51CE9969EB16B85A7C494B861DADA3")</f>
        <v>https://baanknet.com/view-property/273021/9686436C3FB2057CC134ABE42C8B78A0CF51CE9969EB16B85A7C494B861DADA3</v>
      </c>
      <c r="I3543" t="str">
        <f>HYPERLINK("https://baanknet.com/view-property/273021/9686436C3FB2057CC134ABE42C8B78A0CF51CE9969EB16B85A7C494B861DADA3", "Open")</f>
        <v>Open</v>
      </c>
      <c r="J3543" t="s">
        <v>3803</v>
      </c>
      <c r="L3543">
        <v>2690000</v>
      </c>
      <c r="M3543">
        <v>269000</v>
      </c>
    </row>
    <row r="3544" spans="1:13" x14ac:dyDescent="0.25">
      <c r="A3544" t="s">
        <v>11896</v>
      </c>
      <c r="B3544" t="s">
        <v>11897</v>
      </c>
      <c r="C3544" t="s">
        <v>387</v>
      </c>
      <c r="D3544" t="s">
        <v>9523</v>
      </c>
      <c r="E3544" t="s">
        <v>11023</v>
      </c>
      <c r="F3544" t="s">
        <v>11010</v>
      </c>
      <c r="G3544" t="s">
        <v>11898</v>
      </c>
      <c r="H3544" t="str">
        <f>HYPERLINK("https://baanknet.com/view-property/250798/C7DC6F7EAD413BCDC743A7B0FEEC4BF0CF21C99BDA0EC0B7D6517BB646931BF1", "https://baanknet.com/view-property/250798/C7DC6F7EAD413BCDC743A7B0FEEC4BF0CF21C99BDA0EC0B7D6517BB646931BF1")</f>
        <v>https://baanknet.com/view-property/250798/C7DC6F7EAD413BCDC743A7B0FEEC4BF0CF21C99BDA0EC0B7D6517BB646931BF1</v>
      </c>
      <c r="I3544" t="str">
        <f>HYPERLINK("https://baanknet.com/view-property/250798/C7DC6F7EAD413BCDC743A7B0FEEC4BF0CF21C99BDA0EC0B7D6517BB646931BF1", "Open")</f>
        <v>Open</v>
      </c>
      <c r="J3544" t="s">
        <v>3803</v>
      </c>
      <c r="L3544">
        <v>1824000</v>
      </c>
      <c r="M3544">
        <v>182400</v>
      </c>
    </row>
    <row r="3545" spans="1:13" x14ac:dyDescent="0.25">
      <c r="A3545" t="s">
        <v>11899</v>
      </c>
      <c r="B3545" t="s">
        <v>11900</v>
      </c>
      <c r="C3545" t="s">
        <v>387</v>
      </c>
      <c r="D3545" t="s">
        <v>3580</v>
      </c>
      <c r="E3545" t="s">
        <v>11023</v>
      </c>
      <c r="F3545" t="s">
        <v>11010</v>
      </c>
      <c r="G3545" t="s">
        <v>11901</v>
      </c>
      <c r="H3545" t="str">
        <f>HYPERLINK("https://baanknet.com/view-property/242738/2B2A4B78178CCA789C80778996A43A9B26F59453D4E463355DF21E1A294E1B78", "https://baanknet.com/view-property/242738/2B2A4B78178CCA789C80778996A43A9B26F59453D4E463355DF21E1A294E1B78")</f>
        <v>https://baanknet.com/view-property/242738/2B2A4B78178CCA789C80778996A43A9B26F59453D4E463355DF21E1A294E1B78</v>
      </c>
      <c r="I3545" t="str">
        <f>HYPERLINK("https://baanknet.com/view-property/242738/2B2A4B78178CCA789C80778996A43A9B26F59453D4E463355DF21E1A294E1B78", "Open")</f>
        <v>Open</v>
      </c>
      <c r="J3545" t="s">
        <v>3803</v>
      </c>
      <c r="L3545">
        <v>14696000</v>
      </c>
      <c r="M3545">
        <v>1469600</v>
      </c>
    </row>
    <row r="3546" spans="1:13" x14ac:dyDescent="0.25">
      <c r="A3546" t="s">
        <v>11902</v>
      </c>
      <c r="B3546" t="s">
        <v>11903</v>
      </c>
      <c r="C3546" t="s">
        <v>387</v>
      </c>
      <c r="D3546" t="s">
        <v>11904</v>
      </c>
      <c r="E3546" t="s">
        <v>11023</v>
      </c>
      <c r="F3546" t="s">
        <v>11010</v>
      </c>
      <c r="G3546" t="s">
        <v>11905</v>
      </c>
      <c r="H3546" t="str">
        <f>HYPERLINK("https://baanknet.com/view-property/214010/1FAD9C753E374AEAE16584A2F3D1D5AAEFE6A82455F3CF2785CFDC426289711B", "https://baanknet.com/view-property/214010/1FAD9C753E374AEAE16584A2F3D1D5AAEFE6A82455F3CF2785CFDC426289711B")</f>
        <v>https://baanknet.com/view-property/214010/1FAD9C753E374AEAE16584A2F3D1D5AAEFE6A82455F3CF2785CFDC426289711B</v>
      </c>
      <c r="I3546" t="str">
        <f>HYPERLINK("https://baanknet.com/view-property/214010/1FAD9C753E374AEAE16584A2F3D1D5AAEFE6A82455F3CF2785CFDC426289711B", "Open")</f>
        <v>Open</v>
      </c>
      <c r="J3546" t="s">
        <v>3803</v>
      </c>
      <c r="L3546">
        <v>1000000</v>
      </c>
      <c r="M3546">
        <v>100000</v>
      </c>
    </row>
    <row r="3547" spans="1:13" x14ac:dyDescent="0.25">
      <c r="A3547" t="s">
        <v>11906</v>
      </c>
      <c r="B3547" t="s">
        <v>11907</v>
      </c>
      <c r="C3547" t="s">
        <v>387</v>
      </c>
      <c r="D3547" t="s">
        <v>3674</v>
      </c>
      <c r="E3547" t="s">
        <v>11023</v>
      </c>
      <c r="F3547" t="s">
        <v>11010</v>
      </c>
      <c r="G3547" t="s">
        <v>11908</v>
      </c>
      <c r="H3547" t="str">
        <f>HYPERLINK("https://baanknet.com/view-property/267519/39EFE3C1EED9770FCD7EAC605C45DE5CA661264C4E211A9E5E5163E454E8A072", "https://baanknet.com/view-property/267519/39EFE3C1EED9770FCD7EAC605C45DE5CA661264C4E211A9E5E5163E454E8A072")</f>
        <v>https://baanknet.com/view-property/267519/39EFE3C1EED9770FCD7EAC605C45DE5CA661264C4E211A9E5E5163E454E8A072</v>
      </c>
      <c r="I3547" t="str">
        <f>HYPERLINK("https://baanknet.com/view-property/267519/39EFE3C1EED9770FCD7EAC605C45DE5CA661264C4E211A9E5E5163E454E8A072", "Open")</f>
        <v>Open</v>
      </c>
      <c r="J3547" t="s">
        <v>3803</v>
      </c>
      <c r="L3547">
        <v>1437000</v>
      </c>
      <c r="M3547">
        <v>143700</v>
      </c>
    </row>
    <row r="3548" spans="1:13" x14ac:dyDescent="0.25">
      <c r="A3548" t="s">
        <v>11909</v>
      </c>
      <c r="B3548" t="s">
        <v>11910</v>
      </c>
      <c r="C3548" t="s">
        <v>387</v>
      </c>
      <c r="D3548" t="s">
        <v>11911</v>
      </c>
      <c r="E3548" t="s">
        <v>11023</v>
      </c>
      <c r="F3548" t="s">
        <v>11010</v>
      </c>
      <c r="G3548" t="s">
        <v>11912</v>
      </c>
      <c r="H3548" t="str">
        <f>HYPERLINK("https://baanknet.com/view-property/248230/719BAF14A0BF951932F5BB8E9D287FB93831A21068D6A59594855752DDCF92EB", "https://baanknet.com/view-property/248230/719BAF14A0BF951932F5BB8E9D287FB93831A21068D6A59594855752DDCF92EB")</f>
        <v>https://baanknet.com/view-property/248230/719BAF14A0BF951932F5BB8E9D287FB93831A21068D6A59594855752DDCF92EB</v>
      </c>
      <c r="I3548" t="str">
        <f>HYPERLINK("https://baanknet.com/view-property/248230/719BAF14A0BF951932F5BB8E9D287FB93831A21068D6A59594855752DDCF92EB", "Open")</f>
        <v>Open</v>
      </c>
      <c r="J3548" t="s">
        <v>3803</v>
      </c>
      <c r="L3548">
        <v>6399000</v>
      </c>
      <c r="M3548">
        <v>639900</v>
      </c>
    </row>
    <row r="3549" spans="1:13" x14ac:dyDescent="0.25">
      <c r="A3549" t="s">
        <v>11913</v>
      </c>
      <c r="B3549" t="s">
        <v>11914</v>
      </c>
      <c r="C3549" t="s">
        <v>387</v>
      </c>
      <c r="D3549" t="s">
        <v>3688</v>
      </c>
      <c r="E3549" t="s">
        <v>11023</v>
      </c>
      <c r="F3549" t="s">
        <v>11010</v>
      </c>
      <c r="G3549" t="s">
        <v>11915</v>
      </c>
      <c r="H3549" t="str">
        <f>HYPERLINK("https://baanknet.com/view-property/237262/19407120E9B13A4525DD4390658C706E0B66C60AC0DB9141C42B056D5172E112", "https://baanknet.com/view-property/237262/19407120E9B13A4525DD4390658C706E0B66C60AC0DB9141C42B056D5172E112")</f>
        <v>https://baanknet.com/view-property/237262/19407120E9B13A4525DD4390658C706E0B66C60AC0DB9141C42B056D5172E112</v>
      </c>
      <c r="I3549" t="str">
        <f>HYPERLINK("https://baanknet.com/view-property/237262/19407120E9B13A4525DD4390658C706E0B66C60AC0DB9141C42B056D5172E112", "Open")</f>
        <v>Open</v>
      </c>
      <c r="J3549" t="s">
        <v>3803</v>
      </c>
      <c r="L3549">
        <v>8367000</v>
      </c>
      <c r="M3549">
        <v>836700</v>
      </c>
    </row>
    <row r="3550" spans="1:13" x14ac:dyDescent="0.25">
      <c r="A3550" t="s">
        <v>11916</v>
      </c>
      <c r="B3550" t="s">
        <v>11917</v>
      </c>
      <c r="C3550" t="s">
        <v>387</v>
      </c>
      <c r="D3550" t="s">
        <v>4778</v>
      </c>
      <c r="E3550" t="s">
        <v>11023</v>
      </c>
      <c r="F3550" t="s">
        <v>11010</v>
      </c>
      <c r="G3550" t="s">
        <v>11918</v>
      </c>
      <c r="H3550" t="str">
        <f>HYPERLINK("https://baanknet.com/view-property/267516/5150E6CE660B3410B2F83706C96409D30BF38DE6DF44E13F5E7985B32732BF8F", "https://baanknet.com/view-property/267516/5150E6CE660B3410B2F83706C96409D30BF38DE6DF44E13F5E7985B32732BF8F")</f>
        <v>https://baanknet.com/view-property/267516/5150E6CE660B3410B2F83706C96409D30BF38DE6DF44E13F5E7985B32732BF8F</v>
      </c>
      <c r="I3550" t="str">
        <f>HYPERLINK("https://baanknet.com/view-property/267516/5150E6CE660B3410B2F83706C96409D30BF38DE6DF44E13F5E7985B32732BF8F", "Open")</f>
        <v>Open</v>
      </c>
      <c r="J3550" t="s">
        <v>3803</v>
      </c>
      <c r="L3550">
        <v>1299000</v>
      </c>
      <c r="M3550">
        <v>129900</v>
      </c>
    </row>
    <row r="3551" spans="1:13" x14ac:dyDescent="0.25">
      <c r="A3551" t="s">
        <v>11919</v>
      </c>
      <c r="B3551" t="s">
        <v>11920</v>
      </c>
      <c r="C3551" t="s">
        <v>387</v>
      </c>
      <c r="D3551" t="s">
        <v>9080</v>
      </c>
      <c r="E3551" t="s">
        <v>11023</v>
      </c>
      <c r="F3551" t="s">
        <v>11010</v>
      </c>
      <c r="G3551" t="s">
        <v>11921</v>
      </c>
      <c r="H3551" t="str">
        <f>HYPERLINK("https://baanknet.com/view-property/188150/60CDD80C43A36E64E07E3A08E94DC0A0EFD44EAE4562370964C05F464ECF6D30", "https://baanknet.com/view-property/188150/60CDD80C43A36E64E07E3A08E94DC0A0EFD44EAE4562370964C05F464ECF6D30")</f>
        <v>https://baanknet.com/view-property/188150/60CDD80C43A36E64E07E3A08E94DC0A0EFD44EAE4562370964C05F464ECF6D30</v>
      </c>
      <c r="I3551" t="str">
        <f>HYPERLINK("https://baanknet.com/view-property/188150/60CDD80C43A36E64E07E3A08E94DC0A0EFD44EAE4562370964C05F464ECF6D30", "Open")</f>
        <v>Open</v>
      </c>
      <c r="J3551" t="s">
        <v>3803</v>
      </c>
      <c r="L3551">
        <v>2340000</v>
      </c>
      <c r="M3551">
        <v>234000</v>
      </c>
    </row>
    <row r="3552" spans="1:13" x14ac:dyDescent="0.25">
      <c r="A3552" t="s">
        <v>11922</v>
      </c>
      <c r="B3552" t="s">
        <v>11923</v>
      </c>
      <c r="C3552" t="s">
        <v>387</v>
      </c>
      <c r="D3552" t="s">
        <v>3344</v>
      </c>
      <c r="E3552" t="s">
        <v>11023</v>
      </c>
      <c r="F3552" t="s">
        <v>11010</v>
      </c>
      <c r="G3552" t="s">
        <v>11924</v>
      </c>
      <c r="H3552" t="str">
        <f>HYPERLINK("https://baanknet.com/view-property/267579/594079F464A89FF8AE8A88A10F583F48070CD8CF5709A5DBEE87EE049BEE9024", "https://baanknet.com/view-property/267579/594079F464A89FF8AE8A88A10F583F48070CD8CF5709A5DBEE87EE049BEE9024")</f>
        <v>https://baanknet.com/view-property/267579/594079F464A89FF8AE8A88A10F583F48070CD8CF5709A5DBEE87EE049BEE9024</v>
      </c>
      <c r="I3552" t="str">
        <f>HYPERLINK("https://baanknet.com/view-property/267579/594079F464A89FF8AE8A88A10F583F48070CD8CF5709A5DBEE87EE049BEE9024", "Open")</f>
        <v>Open</v>
      </c>
      <c r="J3552" t="s">
        <v>3803</v>
      </c>
      <c r="L3552">
        <v>2685000</v>
      </c>
      <c r="M3552">
        <v>268500</v>
      </c>
    </row>
    <row r="3553" spans="1:13" x14ac:dyDescent="0.25">
      <c r="A3553" t="s">
        <v>11925</v>
      </c>
      <c r="B3553" t="s">
        <v>11926</v>
      </c>
      <c r="C3553" t="s">
        <v>387</v>
      </c>
      <c r="D3553" t="s">
        <v>11927</v>
      </c>
      <c r="E3553" t="s">
        <v>11023</v>
      </c>
      <c r="F3553" t="s">
        <v>11010</v>
      </c>
      <c r="G3553" t="s">
        <v>11928</v>
      </c>
      <c r="H3553" t="str">
        <f>HYPERLINK("https://baanknet.com/view-property/237260/AC7A8BD95FEDF3C5A2605933F14D1A7AFBBAF2E9613D207832F367F20860666E", "https://baanknet.com/view-property/237260/AC7A8BD95FEDF3C5A2605933F14D1A7AFBBAF2E9613D207832F367F20860666E")</f>
        <v>https://baanknet.com/view-property/237260/AC7A8BD95FEDF3C5A2605933F14D1A7AFBBAF2E9613D207832F367F20860666E</v>
      </c>
      <c r="I3553" t="str">
        <f>HYPERLINK("https://baanknet.com/view-property/237260/AC7A8BD95FEDF3C5A2605933F14D1A7AFBBAF2E9613D207832F367F20860666E", "Open")</f>
        <v>Open</v>
      </c>
      <c r="J3553" t="s">
        <v>3803</v>
      </c>
      <c r="L3553">
        <v>8300000</v>
      </c>
      <c r="M3553">
        <v>830000</v>
      </c>
    </row>
    <row r="3554" spans="1:13" x14ac:dyDescent="0.25">
      <c r="A3554" t="s">
        <v>11929</v>
      </c>
      <c r="B3554" t="s">
        <v>11930</v>
      </c>
      <c r="C3554" t="s">
        <v>387</v>
      </c>
      <c r="D3554" t="s">
        <v>3713</v>
      </c>
      <c r="E3554" t="s">
        <v>11023</v>
      </c>
      <c r="F3554" t="s">
        <v>11010</v>
      </c>
      <c r="G3554" t="s">
        <v>11931</v>
      </c>
      <c r="H3554" t="str">
        <f>HYPERLINK("https://baanknet.com/view-property/188148/FBD7B5B28161F670441BE06BB5145B446CB03CC562178937FBB06947F8CCC49E", "https://baanknet.com/view-property/188148/FBD7B5B28161F670441BE06BB5145B446CB03CC562178937FBB06947F8CCC49E")</f>
        <v>https://baanknet.com/view-property/188148/FBD7B5B28161F670441BE06BB5145B446CB03CC562178937FBB06947F8CCC49E</v>
      </c>
      <c r="I3554" t="str">
        <f>HYPERLINK("https://baanknet.com/view-property/188148/FBD7B5B28161F670441BE06BB5145B446CB03CC562178937FBB06947F8CCC49E", "Open")</f>
        <v>Open</v>
      </c>
      <c r="J3554" t="s">
        <v>3803</v>
      </c>
      <c r="L3554">
        <v>3696000</v>
      </c>
      <c r="M3554">
        <v>369600</v>
      </c>
    </row>
    <row r="3555" spans="1:13" x14ac:dyDescent="0.25">
      <c r="A3555" t="s">
        <v>11932</v>
      </c>
      <c r="B3555" t="s">
        <v>11933</v>
      </c>
      <c r="C3555" t="s">
        <v>387</v>
      </c>
      <c r="D3555" t="s">
        <v>3790</v>
      </c>
      <c r="E3555" t="s">
        <v>11023</v>
      </c>
      <c r="F3555" t="s">
        <v>11010</v>
      </c>
      <c r="G3555" t="s">
        <v>11934</v>
      </c>
      <c r="H3555" t="str">
        <f>HYPERLINK("https://baanknet.com/view-property/234107/24B73AA7AB3677103822694290608B813A1E58D706F2C65EF98FB0F2096A29CE", "https://baanknet.com/view-property/234107/24B73AA7AB3677103822694290608B813A1E58D706F2C65EF98FB0F2096A29CE")</f>
        <v>https://baanknet.com/view-property/234107/24B73AA7AB3677103822694290608B813A1E58D706F2C65EF98FB0F2096A29CE</v>
      </c>
      <c r="I3555" t="str">
        <f>HYPERLINK("https://baanknet.com/view-property/234107/24B73AA7AB3677103822694290608B813A1E58D706F2C65EF98FB0F2096A29CE", "Open")</f>
        <v>Open</v>
      </c>
      <c r="J3555" t="s">
        <v>3803</v>
      </c>
      <c r="L3555">
        <v>3300000</v>
      </c>
      <c r="M3555">
        <v>330000</v>
      </c>
    </row>
    <row r="3556" spans="1:13" x14ac:dyDescent="0.25">
      <c r="A3556" t="s">
        <v>11935</v>
      </c>
      <c r="B3556" t="s">
        <v>11936</v>
      </c>
      <c r="C3556" t="s">
        <v>387</v>
      </c>
      <c r="D3556" t="s">
        <v>11937</v>
      </c>
      <c r="E3556" t="s">
        <v>11023</v>
      </c>
      <c r="F3556" t="s">
        <v>11010</v>
      </c>
      <c r="G3556" t="s">
        <v>11938</v>
      </c>
      <c r="H3556" t="str">
        <f>HYPERLINK("https://baanknet.com/view-property/275709/0B363AD7D4BEDC0195395A4C59B014685AF645A36816904D638995AC2522C711", "https://baanknet.com/view-property/275709/0B363AD7D4BEDC0195395A4C59B014685AF645A36816904D638995AC2522C711")</f>
        <v>https://baanknet.com/view-property/275709/0B363AD7D4BEDC0195395A4C59B014685AF645A36816904D638995AC2522C711</v>
      </c>
      <c r="I3556" t="str">
        <f>HYPERLINK("https://baanknet.com/view-property/275709/0B363AD7D4BEDC0195395A4C59B014685AF645A36816904D638995AC2522C711", "Open")</f>
        <v>Open</v>
      </c>
      <c r="J3556" t="s">
        <v>3803</v>
      </c>
      <c r="L3556">
        <v>2000000</v>
      </c>
      <c r="M3556">
        <v>200000</v>
      </c>
    </row>
    <row r="3557" spans="1:13" x14ac:dyDescent="0.25">
      <c r="A3557" t="s">
        <v>11939</v>
      </c>
      <c r="B3557" t="s">
        <v>11940</v>
      </c>
      <c r="C3557" t="s">
        <v>387</v>
      </c>
      <c r="D3557" t="s">
        <v>3225</v>
      </c>
      <c r="E3557" t="s">
        <v>11023</v>
      </c>
      <c r="F3557" t="s">
        <v>11010</v>
      </c>
      <c r="G3557" t="s">
        <v>11941</v>
      </c>
      <c r="H3557" t="str">
        <f>HYPERLINK("https://baanknet.com/view-property/236133/EC429F8F253E7444939C730B5331D7D8C558DBEE1C54DA62B617C4749AF8F51B", "https://baanknet.com/view-property/236133/EC429F8F253E7444939C730B5331D7D8C558DBEE1C54DA62B617C4749AF8F51B")</f>
        <v>https://baanknet.com/view-property/236133/EC429F8F253E7444939C730B5331D7D8C558DBEE1C54DA62B617C4749AF8F51B</v>
      </c>
      <c r="I3557" t="str">
        <f>HYPERLINK("https://baanknet.com/view-property/236133/EC429F8F253E7444939C730B5331D7D8C558DBEE1C54DA62B617C4749AF8F51B", "Open")</f>
        <v>Open</v>
      </c>
      <c r="J3557" t="s">
        <v>3803</v>
      </c>
      <c r="L3557">
        <v>2915000</v>
      </c>
      <c r="M3557">
        <v>291500</v>
      </c>
    </row>
    <row r="3558" spans="1:13" x14ac:dyDescent="0.25">
      <c r="A3558" t="s">
        <v>11942</v>
      </c>
      <c r="B3558" t="s">
        <v>11943</v>
      </c>
      <c r="C3558" t="s">
        <v>387</v>
      </c>
      <c r="D3558" t="s">
        <v>11944</v>
      </c>
      <c r="E3558" t="s">
        <v>11023</v>
      </c>
      <c r="F3558" t="s">
        <v>11010</v>
      </c>
      <c r="G3558" t="s">
        <v>11945</v>
      </c>
      <c r="H3558" t="str">
        <f>HYPERLINK("https://baanknet.com/view-property/213930/8A9D51F33DA40E9C9AA4B296F7D2A4F36D0AD4BA2E8B09818549966EF672F12D", "https://baanknet.com/view-property/213930/8A9D51F33DA40E9C9AA4B296F7D2A4F36D0AD4BA2E8B09818549966EF672F12D")</f>
        <v>https://baanknet.com/view-property/213930/8A9D51F33DA40E9C9AA4B296F7D2A4F36D0AD4BA2E8B09818549966EF672F12D</v>
      </c>
      <c r="I3558" t="str">
        <f>HYPERLINK("https://baanknet.com/view-property/213930/8A9D51F33DA40E9C9AA4B296F7D2A4F36D0AD4BA2E8B09818549966EF672F12D", "Open")</f>
        <v>Open</v>
      </c>
      <c r="J3558" t="s">
        <v>3803</v>
      </c>
      <c r="L3558">
        <v>6593000</v>
      </c>
      <c r="M3558">
        <v>659300</v>
      </c>
    </row>
    <row r="3559" spans="1:13" x14ac:dyDescent="0.25">
      <c r="A3559" t="s">
        <v>11946</v>
      </c>
      <c r="B3559" t="s">
        <v>11947</v>
      </c>
      <c r="C3559" t="s">
        <v>387</v>
      </c>
      <c r="D3559" t="s">
        <v>4771</v>
      </c>
      <c r="E3559" t="s">
        <v>11023</v>
      </c>
      <c r="F3559" t="s">
        <v>11010</v>
      </c>
      <c r="G3559" t="s">
        <v>11948</v>
      </c>
      <c r="H3559" t="str">
        <f>HYPERLINK("https://baanknet.com/view-property/267582/37F6F93B87DC92296ADC7D47F41504A17DB3388E8C74FE72D9290EE26F4C84EB", "https://baanknet.com/view-property/267582/37F6F93B87DC92296ADC7D47F41504A17DB3388E8C74FE72D9290EE26F4C84EB")</f>
        <v>https://baanknet.com/view-property/267582/37F6F93B87DC92296ADC7D47F41504A17DB3388E8C74FE72D9290EE26F4C84EB</v>
      </c>
      <c r="I3559" t="str">
        <f>HYPERLINK("https://baanknet.com/view-property/267582/37F6F93B87DC92296ADC7D47F41504A17DB3388E8C74FE72D9290EE26F4C84EB", "Open")</f>
        <v>Open</v>
      </c>
      <c r="J3559" t="s">
        <v>3803</v>
      </c>
      <c r="L3559">
        <v>560000</v>
      </c>
      <c r="M3559">
        <v>56000</v>
      </c>
    </row>
    <row r="3560" spans="1:13" x14ac:dyDescent="0.25">
      <c r="A3560" t="s">
        <v>11949</v>
      </c>
      <c r="B3560" t="s">
        <v>11950</v>
      </c>
      <c r="C3560" t="s">
        <v>387</v>
      </c>
      <c r="D3560" t="s">
        <v>3221</v>
      </c>
      <c r="E3560" t="s">
        <v>11023</v>
      </c>
      <c r="F3560" t="s">
        <v>11010</v>
      </c>
      <c r="G3560" t="s">
        <v>11951</v>
      </c>
      <c r="H3560" t="str">
        <f>HYPERLINK("https://baanknet.com/view-property/237263/E68503AF33C5B1ED69BCBCD30C8297D639CBCB6DDFCC048EC2E26E12B3DC56E1", "https://baanknet.com/view-property/237263/E68503AF33C5B1ED69BCBCD30C8297D639CBCB6DDFCC048EC2E26E12B3DC56E1")</f>
        <v>https://baanknet.com/view-property/237263/E68503AF33C5B1ED69BCBCD30C8297D639CBCB6DDFCC048EC2E26E12B3DC56E1</v>
      </c>
      <c r="I3560" t="str">
        <f>HYPERLINK("https://baanknet.com/view-property/237263/E68503AF33C5B1ED69BCBCD30C8297D639CBCB6DDFCC048EC2E26E12B3DC56E1", "Open")</f>
        <v>Open</v>
      </c>
      <c r="J3560" t="s">
        <v>3803</v>
      </c>
      <c r="L3560">
        <v>455000</v>
      </c>
      <c r="M3560">
        <v>45500</v>
      </c>
    </row>
    <row r="3561" spans="1:13" x14ac:dyDescent="0.25">
      <c r="A3561" t="s">
        <v>11952</v>
      </c>
      <c r="B3561" t="s">
        <v>11953</v>
      </c>
      <c r="C3561" t="s">
        <v>387</v>
      </c>
      <c r="D3561" t="s">
        <v>3266</v>
      </c>
      <c r="E3561" t="s">
        <v>11023</v>
      </c>
      <c r="F3561" t="s">
        <v>11010</v>
      </c>
      <c r="G3561" t="s">
        <v>11954</v>
      </c>
      <c r="H3561" t="str">
        <f>HYPERLINK("https://baanknet.com/view-property/243189/42CEAA86DD35FD14C681B7ECACA783B3CD43D69276644CF1DEA7FE6E955A1648", "https://baanknet.com/view-property/243189/42CEAA86DD35FD14C681B7ECACA783B3CD43D69276644CF1DEA7FE6E955A1648")</f>
        <v>https://baanknet.com/view-property/243189/42CEAA86DD35FD14C681B7ECACA783B3CD43D69276644CF1DEA7FE6E955A1648</v>
      </c>
      <c r="I3561" t="str">
        <f>HYPERLINK("https://baanknet.com/view-property/243189/42CEAA86DD35FD14C681B7ECACA783B3CD43D69276644CF1DEA7FE6E955A1648", "Open")</f>
        <v>Open</v>
      </c>
      <c r="J3561" t="s">
        <v>3803</v>
      </c>
      <c r="L3561">
        <v>1710000</v>
      </c>
      <c r="M3561">
        <v>171000</v>
      </c>
    </row>
    <row r="3562" spans="1:13" x14ac:dyDescent="0.25">
      <c r="A3562" t="s">
        <v>11955</v>
      </c>
      <c r="B3562" t="s">
        <v>11956</v>
      </c>
      <c r="C3562" t="s">
        <v>387</v>
      </c>
      <c r="D3562" t="s">
        <v>6174</v>
      </c>
      <c r="E3562" t="s">
        <v>11023</v>
      </c>
      <c r="F3562" t="s">
        <v>11010</v>
      </c>
      <c r="G3562" t="s">
        <v>11957</v>
      </c>
      <c r="H3562" t="str">
        <f>HYPERLINK("https://baanknet.com/view-property/186810/A1CC2802A2E69264E8AA1D543E2CA8F90394674D6A01B4DA348709F209D1FED7", "https://baanknet.com/view-property/186810/A1CC2802A2E69264E8AA1D543E2CA8F90394674D6A01B4DA348709F209D1FED7")</f>
        <v>https://baanknet.com/view-property/186810/A1CC2802A2E69264E8AA1D543E2CA8F90394674D6A01B4DA348709F209D1FED7</v>
      </c>
      <c r="I3562" t="str">
        <f>HYPERLINK("https://baanknet.com/view-property/186810/A1CC2802A2E69264E8AA1D543E2CA8F90394674D6A01B4DA348709F209D1FED7", "Open")</f>
        <v>Open</v>
      </c>
      <c r="J3562" t="s">
        <v>3803</v>
      </c>
      <c r="L3562">
        <v>1584000</v>
      </c>
      <c r="M3562">
        <v>158400</v>
      </c>
    </row>
    <row r="3563" spans="1:13" x14ac:dyDescent="0.25">
      <c r="A3563" t="s">
        <v>11958</v>
      </c>
      <c r="B3563" t="s">
        <v>11959</v>
      </c>
      <c r="C3563" t="s">
        <v>387</v>
      </c>
      <c r="D3563" t="s">
        <v>3225</v>
      </c>
      <c r="E3563" t="s">
        <v>11023</v>
      </c>
      <c r="F3563" t="s">
        <v>11010</v>
      </c>
      <c r="G3563" t="s">
        <v>11960</v>
      </c>
      <c r="H3563" t="str">
        <f>HYPERLINK("https://baanknet.com/view-property/267520/CD2BD8487AF209141E63885E6C6A4166D96D82B852156E5941F76EC4F989AE4A", "https://baanknet.com/view-property/267520/CD2BD8487AF209141E63885E6C6A4166D96D82B852156E5941F76EC4F989AE4A")</f>
        <v>https://baanknet.com/view-property/267520/CD2BD8487AF209141E63885E6C6A4166D96D82B852156E5941F76EC4F989AE4A</v>
      </c>
      <c r="I3563" t="str">
        <f>HYPERLINK("https://baanknet.com/view-property/267520/CD2BD8487AF209141E63885E6C6A4166D96D82B852156E5941F76EC4F989AE4A", "Open")</f>
        <v>Open</v>
      </c>
      <c r="J3563" t="s">
        <v>3803</v>
      </c>
      <c r="L3563">
        <v>4463000</v>
      </c>
      <c r="M3563">
        <v>446300</v>
      </c>
    </row>
    <row r="3564" spans="1:13" x14ac:dyDescent="0.25">
      <c r="A3564" t="s">
        <v>11961</v>
      </c>
      <c r="B3564" t="s">
        <v>11962</v>
      </c>
      <c r="C3564" t="s">
        <v>387</v>
      </c>
      <c r="D3564" t="s">
        <v>3835</v>
      </c>
      <c r="E3564" t="s">
        <v>11023</v>
      </c>
      <c r="F3564" t="s">
        <v>11010</v>
      </c>
      <c r="G3564" t="s">
        <v>11963</v>
      </c>
      <c r="H3564" t="str">
        <f>HYPERLINK("https://baanknet.com/view-property/267251/7C91D3458D5231D77B9BE76E3BB21DD220BE7DA6B8DFBBD9BC6B4E8AE483904A", "https://baanknet.com/view-property/267251/7C91D3458D5231D77B9BE76E3BB21DD220BE7DA6B8DFBBD9BC6B4E8AE483904A")</f>
        <v>https://baanknet.com/view-property/267251/7C91D3458D5231D77B9BE76E3BB21DD220BE7DA6B8DFBBD9BC6B4E8AE483904A</v>
      </c>
      <c r="I3564" t="str">
        <f>HYPERLINK("https://baanknet.com/view-property/267251/7C91D3458D5231D77B9BE76E3BB21DD220BE7DA6B8DFBBD9BC6B4E8AE483904A", "Open")</f>
        <v>Open</v>
      </c>
      <c r="J3564" t="s">
        <v>3803</v>
      </c>
      <c r="L3564">
        <v>3240000</v>
      </c>
      <c r="M3564">
        <v>324000</v>
      </c>
    </row>
    <row r="3565" spans="1:13" x14ac:dyDescent="0.25">
      <c r="A3565" t="s">
        <v>11964</v>
      </c>
      <c r="B3565" t="s">
        <v>11965</v>
      </c>
      <c r="C3565" t="s">
        <v>387</v>
      </c>
      <c r="D3565" t="s">
        <v>3797</v>
      </c>
      <c r="E3565" t="s">
        <v>11023</v>
      </c>
      <c r="F3565" t="s">
        <v>11010</v>
      </c>
      <c r="G3565" t="s">
        <v>11966</v>
      </c>
      <c r="H3565" t="str">
        <f>HYPERLINK("https://baanknet.com/view-property/267252/7CAB39905C9E5A58B4C73340EEE56A07D868943E423971C0777EC99AB14EA708", "https://baanknet.com/view-property/267252/7CAB39905C9E5A58B4C73340EEE56A07D868943E423971C0777EC99AB14EA708")</f>
        <v>https://baanknet.com/view-property/267252/7CAB39905C9E5A58B4C73340EEE56A07D868943E423971C0777EC99AB14EA708</v>
      </c>
      <c r="I3565" t="str">
        <f>HYPERLINK("https://baanknet.com/view-property/267252/7CAB39905C9E5A58B4C73340EEE56A07D868943E423971C0777EC99AB14EA708", "Open")</f>
        <v>Open</v>
      </c>
      <c r="J3565" t="s">
        <v>3803</v>
      </c>
      <c r="L3565">
        <v>1780000</v>
      </c>
      <c r="M3565">
        <v>178000</v>
      </c>
    </row>
    <row r="3566" spans="1:13" x14ac:dyDescent="0.25">
      <c r="A3566" t="s">
        <v>11967</v>
      </c>
      <c r="B3566" t="s">
        <v>11968</v>
      </c>
      <c r="C3566" t="s">
        <v>387</v>
      </c>
      <c r="D3566" t="s">
        <v>11969</v>
      </c>
      <c r="E3566" t="s">
        <v>11023</v>
      </c>
      <c r="F3566" t="s">
        <v>11010</v>
      </c>
      <c r="G3566" t="s">
        <v>11970</v>
      </c>
      <c r="H3566" t="str">
        <f>HYPERLINK("https://baanknet.com/view-property/213945/373EDF38E9DB9E532C73469EF32C3B2B0F522B4036B7A7AEBEFC50C9507CB5E6", "https://baanknet.com/view-property/213945/373EDF38E9DB9E532C73469EF32C3B2B0F522B4036B7A7AEBEFC50C9507CB5E6")</f>
        <v>https://baanknet.com/view-property/213945/373EDF38E9DB9E532C73469EF32C3B2B0F522B4036B7A7AEBEFC50C9507CB5E6</v>
      </c>
      <c r="I3566" t="str">
        <f>HYPERLINK("https://baanknet.com/view-property/213945/373EDF38E9DB9E532C73469EF32C3B2B0F522B4036B7A7AEBEFC50C9507CB5E6", "Open")</f>
        <v>Open</v>
      </c>
      <c r="J3566" t="s">
        <v>3803</v>
      </c>
      <c r="L3566">
        <v>960000</v>
      </c>
      <c r="M3566">
        <v>96000</v>
      </c>
    </row>
    <row r="3567" spans="1:13" x14ac:dyDescent="0.25">
      <c r="A3567" t="s">
        <v>11971</v>
      </c>
      <c r="B3567" t="s">
        <v>11972</v>
      </c>
      <c r="C3567" t="s">
        <v>387</v>
      </c>
      <c r="D3567" t="s">
        <v>11969</v>
      </c>
      <c r="E3567" t="s">
        <v>11023</v>
      </c>
      <c r="F3567" t="s">
        <v>11010</v>
      </c>
      <c r="G3567" t="s">
        <v>11973</v>
      </c>
      <c r="H3567" t="str">
        <f>HYPERLINK("https://baanknet.com/view-property/213995/FFF7663A70736C6F53D0A54462D9A2C842C74E44C961905B33811D4E6EECC330", "https://baanknet.com/view-property/213995/FFF7663A70736C6F53D0A54462D9A2C842C74E44C961905B33811D4E6EECC330")</f>
        <v>https://baanknet.com/view-property/213995/FFF7663A70736C6F53D0A54462D9A2C842C74E44C961905B33811D4E6EECC330</v>
      </c>
      <c r="I3567" t="str">
        <f>HYPERLINK("https://baanknet.com/view-property/213995/FFF7663A70736C6F53D0A54462D9A2C842C74E44C961905B33811D4E6EECC330", "Open")</f>
        <v>Open</v>
      </c>
      <c r="J3567" t="s">
        <v>3803</v>
      </c>
      <c r="L3567">
        <v>801000</v>
      </c>
      <c r="M3567">
        <v>80100</v>
      </c>
    </row>
    <row r="3568" spans="1:13" x14ac:dyDescent="0.25">
      <c r="A3568" t="s">
        <v>11974</v>
      </c>
      <c r="B3568" t="s">
        <v>11975</v>
      </c>
      <c r="C3568" t="s">
        <v>387</v>
      </c>
      <c r="D3568" t="s">
        <v>3250</v>
      </c>
      <c r="E3568" t="s">
        <v>11023</v>
      </c>
      <c r="F3568" t="s">
        <v>11010</v>
      </c>
      <c r="G3568" t="s">
        <v>11976</v>
      </c>
      <c r="H3568" t="str">
        <f>HYPERLINK("https://baanknet.com/view-property/188464/7CE88B8BFEE47EFF04E25F14F54F378FD3B059C2D00ED2665389434FC14C3696", "https://baanknet.com/view-property/188464/7CE88B8BFEE47EFF04E25F14F54F378FD3B059C2D00ED2665389434FC14C3696")</f>
        <v>https://baanknet.com/view-property/188464/7CE88B8BFEE47EFF04E25F14F54F378FD3B059C2D00ED2665389434FC14C3696</v>
      </c>
      <c r="I3568" t="str">
        <f>HYPERLINK("https://baanknet.com/view-property/188464/7CE88B8BFEE47EFF04E25F14F54F378FD3B059C2D00ED2665389434FC14C3696", "Open")</f>
        <v>Open</v>
      </c>
      <c r="J3568" t="s">
        <v>3803</v>
      </c>
      <c r="L3568">
        <v>1500000</v>
      </c>
      <c r="M3568">
        <v>150000</v>
      </c>
    </row>
    <row r="3569" spans="1:13" x14ac:dyDescent="0.25">
      <c r="A3569" t="s">
        <v>11977</v>
      </c>
      <c r="B3569" t="s">
        <v>11978</v>
      </c>
      <c r="C3569" t="s">
        <v>15</v>
      </c>
      <c r="D3569" t="s">
        <v>11979</v>
      </c>
      <c r="E3569" t="s">
        <v>11980</v>
      </c>
      <c r="F3569" t="s">
        <v>11981</v>
      </c>
      <c r="G3569" t="s">
        <v>11982</v>
      </c>
      <c r="H3569" t="str">
        <f>HYPERLINK("https://baanknet.com/view-property/239955/7DFDD6CEA44B010625C8297F483AD773B305AAFE86D1A4C8A791D1AFFB5D8E6F", "https://baanknet.com/view-property/239955/7DFDD6CEA44B010625C8297F483AD773B305AAFE86D1A4C8A791D1AFFB5D8E6F")</f>
        <v>https://baanknet.com/view-property/239955/7DFDD6CEA44B010625C8297F483AD773B305AAFE86D1A4C8A791D1AFFB5D8E6F</v>
      </c>
      <c r="I3569" t="str">
        <f>HYPERLINK("https://baanknet.com/view-property/239955/7DFDD6CEA44B010625C8297F483AD773B305AAFE86D1A4C8A791D1AFFB5D8E6F", "Open")</f>
        <v>Open</v>
      </c>
      <c r="J3569" t="s">
        <v>3803</v>
      </c>
      <c r="L3569">
        <v>1800000</v>
      </c>
      <c r="M3569">
        <v>180000</v>
      </c>
    </row>
    <row r="3570" spans="1:13" x14ac:dyDescent="0.25">
      <c r="A3570" t="s">
        <v>11983</v>
      </c>
      <c r="B3570" t="s">
        <v>11984</v>
      </c>
      <c r="C3570" t="s">
        <v>15</v>
      </c>
      <c r="D3570" t="s">
        <v>608</v>
      </c>
      <c r="E3570" t="s">
        <v>11980</v>
      </c>
      <c r="F3570" t="s">
        <v>11981</v>
      </c>
      <c r="G3570" t="s">
        <v>11985</v>
      </c>
      <c r="H3570" t="str">
        <f>HYPERLINK("https://baanknet.com/view-property/264559/3B857C1C36CD8E75EF20C924726BF9880654DC15F90A1779594777092029912B", "https://baanknet.com/view-property/264559/3B857C1C36CD8E75EF20C924726BF9880654DC15F90A1779594777092029912B")</f>
        <v>https://baanknet.com/view-property/264559/3B857C1C36CD8E75EF20C924726BF9880654DC15F90A1779594777092029912B</v>
      </c>
      <c r="I3570" t="str">
        <f>HYPERLINK("https://baanknet.com/view-property/264559/3B857C1C36CD8E75EF20C924726BF9880654DC15F90A1779594777092029912B", "Open")</f>
        <v>Open</v>
      </c>
      <c r="J3570" t="s">
        <v>3803</v>
      </c>
      <c r="L3570">
        <v>289000000</v>
      </c>
      <c r="M3570">
        <v>28900000</v>
      </c>
    </row>
    <row r="3571" spans="1:13" x14ac:dyDescent="0.25">
      <c r="A3571" t="s">
        <v>11986</v>
      </c>
      <c r="B3571" t="s">
        <v>11987</v>
      </c>
      <c r="C3571" t="s">
        <v>15</v>
      </c>
      <c r="D3571" t="s">
        <v>608</v>
      </c>
      <c r="E3571" t="s">
        <v>11980</v>
      </c>
      <c r="F3571" t="s">
        <v>11981</v>
      </c>
      <c r="G3571" t="s">
        <v>11988</v>
      </c>
      <c r="H3571" t="str">
        <f>HYPERLINK("https://baanknet.com/view-property/264566/9305AED35DAEB30DF7741364B2FA258EBE8F9DDED6AB6DBA9C6802FD878719A2", "https://baanknet.com/view-property/264566/9305AED35DAEB30DF7741364B2FA258EBE8F9DDED6AB6DBA9C6802FD878719A2")</f>
        <v>https://baanknet.com/view-property/264566/9305AED35DAEB30DF7741364B2FA258EBE8F9DDED6AB6DBA9C6802FD878719A2</v>
      </c>
      <c r="I3571" t="str">
        <f>HYPERLINK("https://baanknet.com/view-property/264566/9305AED35DAEB30DF7741364B2FA258EBE8F9DDED6AB6DBA9C6802FD878719A2", "Open")</f>
        <v>Open</v>
      </c>
      <c r="J3571" t="s">
        <v>3803</v>
      </c>
      <c r="L3571">
        <v>135000000</v>
      </c>
      <c r="M3571">
        <v>13500000</v>
      </c>
    </row>
    <row r="3572" spans="1:13" x14ac:dyDescent="0.25">
      <c r="A3572" t="s">
        <v>11989</v>
      </c>
      <c r="B3572" t="s">
        <v>11990</v>
      </c>
      <c r="C3572" t="s">
        <v>15</v>
      </c>
      <c r="D3572" t="s">
        <v>3580</v>
      </c>
      <c r="E3572" t="s">
        <v>11980</v>
      </c>
      <c r="F3572" t="s">
        <v>11981</v>
      </c>
      <c r="G3572" t="s">
        <v>11991</v>
      </c>
      <c r="H3572" t="str">
        <f>HYPERLINK("https://baanknet.com/view-property/263874/5AB427621A8EBE409BF22D47224D91475B235DE8B30318B29A34E02A6EBEBBD7", "https://baanknet.com/view-property/263874/5AB427621A8EBE409BF22D47224D91475B235DE8B30318B29A34E02A6EBEBBD7")</f>
        <v>https://baanknet.com/view-property/263874/5AB427621A8EBE409BF22D47224D91475B235DE8B30318B29A34E02A6EBEBBD7</v>
      </c>
      <c r="I3572" t="str">
        <f>HYPERLINK("https://baanknet.com/view-property/263874/5AB427621A8EBE409BF22D47224D91475B235DE8B30318B29A34E02A6EBEBBD7", "Open")</f>
        <v>Open</v>
      </c>
      <c r="J3572" t="s">
        <v>3803</v>
      </c>
      <c r="L3572">
        <v>9400000</v>
      </c>
      <c r="M3572">
        <v>940000</v>
      </c>
    </row>
    <row r="3573" spans="1:13" x14ac:dyDescent="0.25">
      <c r="A3573" t="s">
        <v>11992</v>
      </c>
      <c r="B3573" t="s">
        <v>11993</v>
      </c>
      <c r="C3573" t="s">
        <v>15</v>
      </c>
      <c r="D3573" t="s">
        <v>11994</v>
      </c>
      <c r="E3573" t="s">
        <v>11980</v>
      </c>
      <c r="F3573" t="s">
        <v>11981</v>
      </c>
      <c r="G3573" t="s">
        <v>11995</v>
      </c>
      <c r="H3573" t="str">
        <f>HYPERLINK("https://baanknet.com/view-property/263873/17579854F085D93FA1F0D0F41CB3E3B351071C156E7424665EE013723AF7B0C4", "https://baanknet.com/view-property/263873/17579854F085D93FA1F0D0F41CB3E3B351071C156E7424665EE013723AF7B0C4")</f>
        <v>https://baanknet.com/view-property/263873/17579854F085D93FA1F0D0F41CB3E3B351071C156E7424665EE013723AF7B0C4</v>
      </c>
      <c r="I3573" t="str">
        <f>HYPERLINK("https://baanknet.com/view-property/263873/17579854F085D93FA1F0D0F41CB3E3B351071C156E7424665EE013723AF7B0C4", "Open")</f>
        <v>Open</v>
      </c>
      <c r="J3573" t="s">
        <v>3803</v>
      </c>
      <c r="L3573">
        <v>4100000</v>
      </c>
      <c r="M3573">
        <v>410000</v>
      </c>
    </row>
    <row r="3574" spans="1:13" x14ac:dyDescent="0.25">
      <c r="A3574" t="s">
        <v>11996</v>
      </c>
      <c r="B3574" t="s">
        <v>11997</v>
      </c>
      <c r="C3574" t="s">
        <v>15</v>
      </c>
      <c r="D3574" t="s">
        <v>608</v>
      </c>
      <c r="E3574" t="s">
        <v>11980</v>
      </c>
      <c r="F3574" t="s">
        <v>11981</v>
      </c>
      <c r="G3574" t="s">
        <v>11998</v>
      </c>
      <c r="H3574" t="str">
        <f>HYPERLINK("https://baanknet.com/view-property/249119/B84F36EE1F5DC9F5A785FAAE864D40F1FE90A552EC9B91778BEB27DCA2592296", "https://baanknet.com/view-property/249119/B84F36EE1F5DC9F5A785FAAE864D40F1FE90A552EC9B91778BEB27DCA2592296")</f>
        <v>https://baanknet.com/view-property/249119/B84F36EE1F5DC9F5A785FAAE864D40F1FE90A552EC9B91778BEB27DCA2592296</v>
      </c>
      <c r="I3574" t="str">
        <f>HYPERLINK("https://baanknet.com/view-property/249119/B84F36EE1F5DC9F5A785FAAE864D40F1FE90A552EC9B91778BEB27DCA2592296", "Open")</f>
        <v>Open</v>
      </c>
      <c r="J3574" t="s">
        <v>3803</v>
      </c>
      <c r="L3574">
        <v>4000000</v>
      </c>
      <c r="M3574">
        <v>400000</v>
      </c>
    </row>
    <row r="3575" spans="1:13" x14ac:dyDescent="0.25">
      <c r="A3575" t="s">
        <v>11999</v>
      </c>
      <c r="B3575" t="s">
        <v>12000</v>
      </c>
      <c r="C3575" t="s">
        <v>15</v>
      </c>
      <c r="D3575" t="s">
        <v>3344</v>
      </c>
      <c r="E3575" t="s">
        <v>11980</v>
      </c>
      <c r="F3575" t="s">
        <v>11981</v>
      </c>
      <c r="G3575" t="s">
        <v>12001</v>
      </c>
      <c r="H3575" t="str">
        <f>HYPERLINK("https://baanknet.com/view-property/250487/8428CD19A5C7F04E29D4DB7AFF017781DDA9F81FD9BB5A5015B7CAB3EBD31BC8", "https://baanknet.com/view-property/250487/8428CD19A5C7F04E29D4DB7AFF017781DDA9F81FD9BB5A5015B7CAB3EBD31BC8")</f>
        <v>https://baanknet.com/view-property/250487/8428CD19A5C7F04E29D4DB7AFF017781DDA9F81FD9BB5A5015B7CAB3EBD31BC8</v>
      </c>
      <c r="I3575" t="str">
        <f>HYPERLINK("https://baanknet.com/view-property/250487/8428CD19A5C7F04E29D4DB7AFF017781DDA9F81FD9BB5A5015B7CAB3EBD31BC8", "Open")</f>
        <v>Open</v>
      </c>
      <c r="J3575" t="s">
        <v>3803</v>
      </c>
      <c r="L3575">
        <v>18200000</v>
      </c>
      <c r="M3575">
        <v>1820000</v>
      </c>
    </row>
    <row r="3576" spans="1:13" x14ac:dyDescent="0.25">
      <c r="A3576" t="s">
        <v>12002</v>
      </c>
      <c r="B3576" t="s">
        <v>12003</v>
      </c>
      <c r="C3576" t="s">
        <v>15</v>
      </c>
      <c r="D3576" t="s">
        <v>3692</v>
      </c>
      <c r="E3576" t="s">
        <v>11980</v>
      </c>
      <c r="F3576" t="s">
        <v>11981</v>
      </c>
      <c r="G3576" t="s">
        <v>12004</v>
      </c>
      <c r="H3576" t="str">
        <f>HYPERLINK("https://baanknet.com/view-property/257626/F42983B3F839EB78BF2F40166D3701364FD961E2AF18FA1034EE317DCF512608", "https://baanknet.com/view-property/257626/F42983B3F839EB78BF2F40166D3701364FD961E2AF18FA1034EE317DCF512608")</f>
        <v>https://baanknet.com/view-property/257626/F42983B3F839EB78BF2F40166D3701364FD961E2AF18FA1034EE317DCF512608</v>
      </c>
      <c r="I3576" t="str">
        <f>HYPERLINK("https://baanknet.com/view-property/257626/F42983B3F839EB78BF2F40166D3701364FD961E2AF18FA1034EE317DCF512608", "Open")</f>
        <v>Open</v>
      </c>
      <c r="J3576" t="s">
        <v>3803</v>
      </c>
      <c r="L3576">
        <v>4250000</v>
      </c>
      <c r="M3576">
        <v>425000</v>
      </c>
    </row>
    <row r="3577" spans="1:13" x14ac:dyDescent="0.25">
      <c r="A3577" t="s">
        <v>12005</v>
      </c>
      <c r="B3577" t="s">
        <v>12006</v>
      </c>
      <c r="C3577" t="s">
        <v>15</v>
      </c>
      <c r="D3577" t="s">
        <v>3225</v>
      </c>
      <c r="E3577" t="s">
        <v>11980</v>
      </c>
      <c r="F3577" t="s">
        <v>11981</v>
      </c>
      <c r="G3577" t="s">
        <v>12007</v>
      </c>
      <c r="H3577" t="str">
        <f>HYPERLINK("https://baanknet.com/view-property/241348/9DC059C51D6C0A3FA44F20A7E8C2EADDCE64208BF5EC40D2C1D7525E6F52592F", "https://baanknet.com/view-property/241348/9DC059C51D6C0A3FA44F20A7E8C2EADDCE64208BF5EC40D2C1D7525E6F52592F")</f>
        <v>https://baanknet.com/view-property/241348/9DC059C51D6C0A3FA44F20A7E8C2EADDCE64208BF5EC40D2C1D7525E6F52592F</v>
      </c>
      <c r="I3577" t="str">
        <f>HYPERLINK("https://baanknet.com/view-property/241348/9DC059C51D6C0A3FA44F20A7E8C2EADDCE64208BF5EC40D2C1D7525E6F52592F", "Open")</f>
        <v>Open</v>
      </c>
      <c r="J3577" t="s">
        <v>3803</v>
      </c>
      <c r="L3577">
        <v>2250000</v>
      </c>
      <c r="M3577">
        <v>225000</v>
      </c>
    </row>
    <row r="3578" spans="1:13" x14ac:dyDescent="0.25">
      <c r="A3578" t="s">
        <v>12008</v>
      </c>
      <c r="B3578" t="s">
        <v>1875</v>
      </c>
      <c r="C3578" t="s">
        <v>387</v>
      </c>
      <c r="D3578" t="s">
        <v>10573</v>
      </c>
      <c r="E3578" t="s">
        <v>11980</v>
      </c>
      <c r="F3578" t="s">
        <v>12009</v>
      </c>
      <c r="G3578" t="s">
        <v>12010</v>
      </c>
      <c r="H3578" t="str">
        <f>HYPERLINK("https://baanknet.com/view-property/249912/DBD66E8F36B16FE8827D48FB98FF9C5FDE4E2AA3F18001D61061B30B4658909E", "https://baanknet.com/view-property/249912/DBD66E8F36B16FE8827D48FB98FF9C5FDE4E2AA3F18001D61061B30B4658909E")</f>
        <v>https://baanknet.com/view-property/249912/DBD66E8F36B16FE8827D48FB98FF9C5FDE4E2AA3F18001D61061B30B4658909E</v>
      </c>
      <c r="I3578" t="str">
        <f>HYPERLINK("https://baanknet.com/view-property/249912/DBD66E8F36B16FE8827D48FB98FF9C5FDE4E2AA3F18001D61061B30B4658909E", "Open")</f>
        <v>Open</v>
      </c>
      <c r="J3578" t="s">
        <v>3803</v>
      </c>
      <c r="L3578">
        <v>1670500</v>
      </c>
      <c r="M3578">
        <v>167050</v>
      </c>
    </row>
    <row r="3579" spans="1:13" x14ac:dyDescent="0.25">
      <c r="A3579" t="s">
        <v>12011</v>
      </c>
      <c r="B3579" t="s">
        <v>12012</v>
      </c>
      <c r="C3579" t="s">
        <v>387</v>
      </c>
      <c r="D3579" t="s">
        <v>6934</v>
      </c>
      <c r="E3579" t="s">
        <v>11980</v>
      </c>
      <c r="F3579" t="s">
        <v>12009</v>
      </c>
      <c r="G3579" t="s">
        <v>12013</v>
      </c>
      <c r="H3579" t="str">
        <f>HYPERLINK("https://baanknet.com/view-property/203090/44ACAC7199E008165409979AB401F80FC703773FBC996E9E55B2738D02B2E50E", "https://baanknet.com/view-property/203090/44ACAC7199E008165409979AB401F80FC703773FBC996E9E55B2738D02B2E50E")</f>
        <v>https://baanknet.com/view-property/203090/44ACAC7199E008165409979AB401F80FC703773FBC996E9E55B2738D02B2E50E</v>
      </c>
      <c r="I3579" t="str">
        <f>HYPERLINK("https://baanknet.com/view-property/203090/44ACAC7199E008165409979AB401F80FC703773FBC996E9E55B2738D02B2E50E", "Open")</f>
        <v>Open</v>
      </c>
      <c r="J3579" t="s">
        <v>3803</v>
      </c>
      <c r="L3579">
        <v>2423000</v>
      </c>
      <c r="M3579">
        <v>242300</v>
      </c>
    </row>
    <row r="3580" spans="1:13" x14ac:dyDescent="0.25">
      <c r="A3580" t="s">
        <v>12014</v>
      </c>
      <c r="B3580" t="s">
        <v>12015</v>
      </c>
      <c r="C3580" t="s">
        <v>387</v>
      </c>
      <c r="D3580" t="s">
        <v>1892</v>
      </c>
      <c r="E3580" t="s">
        <v>11980</v>
      </c>
      <c r="F3580" t="s">
        <v>12009</v>
      </c>
      <c r="G3580" t="s">
        <v>12016</v>
      </c>
      <c r="H3580" t="str">
        <f>HYPERLINK("https://baanknet.com/view-property/275952/65CDDCB0B878FA777E690F43F11CC9B7B8EB27E9C269F12113F02B62996556CF", "https://baanknet.com/view-property/275952/65CDDCB0B878FA777E690F43F11CC9B7B8EB27E9C269F12113F02B62996556CF")</f>
        <v>https://baanknet.com/view-property/275952/65CDDCB0B878FA777E690F43F11CC9B7B8EB27E9C269F12113F02B62996556CF</v>
      </c>
      <c r="I3580" t="str">
        <f>HYPERLINK("https://baanknet.com/view-property/275952/65CDDCB0B878FA777E690F43F11CC9B7B8EB27E9C269F12113F02B62996556CF", "Open")</f>
        <v>Open</v>
      </c>
      <c r="J3580" t="s">
        <v>3803</v>
      </c>
      <c r="L3580">
        <v>4838500</v>
      </c>
      <c r="M3580">
        <v>483850</v>
      </c>
    </row>
    <row r="3581" spans="1:13" x14ac:dyDescent="0.25">
      <c r="A3581" t="s">
        <v>12017</v>
      </c>
      <c r="B3581" t="s">
        <v>12018</v>
      </c>
      <c r="C3581" t="s">
        <v>387</v>
      </c>
      <c r="D3581" t="s">
        <v>6934</v>
      </c>
      <c r="E3581" t="s">
        <v>11980</v>
      </c>
      <c r="F3581" t="s">
        <v>12009</v>
      </c>
      <c r="G3581" t="s">
        <v>12019</v>
      </c>
      <c r="H3581" t="str">
        <f>HYPERLINK("https://baanknet.com/view-property/187703/8BE7D255814284C7F99CC8DE23E5F4636785250111F1B20B2B3599BCAD07897F", "https://baanknet.com/view-property/187703/8BE7D255814284C7F99CC8DE23E5F4636785250111F1B20B2B3599BCAD07897F")</f>
        <v>https://baanknet.com/view-property/187703/8BE7D255814284C7F99CC8DE23E5F4636785250111F1B20B2B3599BCAD07897F</v>
      </c>
      <c r="I3581" t="str">
        <f>HYPERLINK("https://baanknet.com/view-property/187703/8BE7D255814284C7F99CC8DE23E5F4636785250111F1B20B2B3599BCAD07897F", "Open")</f>
        <v>Open</v>
      </c>
      <c r="J3581" t="s">
        <v>3803</v>
      </c>
      <c r="L3581">
        <v>3187000</v>
      </c>
      <c r="M3581">
        <v>318700</v>
      </c>
    </row>
    <row r="3582" spans="1:13" x14ac:dyDescent="0.25">
      <c r="A3582" t="s">
        <v>12020</v>
      </c>
      <c r="B3582" t="s">
        <v>12021</v>
      </c>
      <c r="C3582" t="s">
        <v>387</v>
      </c>
      <c r="D3582" t="s">
        <v>2569</v>
      </c>
      <c r="E3582" t="s">
        <v>11980</v>
      </c>
      <c r="F3582" t="s">
        <v>12009</v>
      </c>
      <c r="G3582" t="s">
        <v>12022</v>
      </c>
      <c r="H3582" t="str">
        <f>HYPERLINK("https://baanknet.com/view-property/287727/2D637A11878D4F15EE759FF1A4229153616B48283F9191315001367B802392BF", "https://baanknet.com/view-property/287727/2D637A11878D4F15EE759FF1A4229153616B48283F9191315001367B802392BF")</f>
        <v>https://baanknet.com/view-property/287727/2D637A11878D4F15EE759FF1A4229153616B48283F9191315001367B802392BF</v>
      </c>
      <c r="I3582" t="str">
        <f>HYPERLINK("https://baanknet.com/view-property/287727/2D637A11878D4F15EE759FF1A4229153616B48283F9191315001367B802392BF", "Open")</f>
        <v>Open</v>
      </c>
      <c r="J3582" t="s">
        <v>3803</v>
      </c>
      <c r="L3582">
        <v>1500000</v>
      </c>
      <c r="M3582">
        <v>150000</v>
      </c>
    </row>
    <row r="3583" spans="1:13" x14ac:dyDescent="0.25">
      <c r="A3583" t="s">
        <v>12023</v>
      </c>
      <c r="B3583" t="s">
        <v>12024</v>
      </c>
      <c r="C3583" t="s">
        <v>525</v>
      </c>
      <c r="D3583" t="s">
        <v>12025</v>
      </c>
      <c r="E3583" t="s">
        <v>11024</v>
      </c>
      <c r="F3583" t="s">
        <v>11032</v>
      </c>
      <c r="G3583" t="s">
        <v>12026</v>
      </c>
      <c r="H3583" t="str">
        <f>HYPERLINK("https://baanknet.com/view-property/278902/40DCAAC6D9D3CCC76557E8592BCE3D61A230904512BDEF370D4DCEF2B0747615", "https://baanknet.com/view-property/278902/40DCAAC6D9D3CCC76557E8592BCE3D61A230904512BDEF370D4DCEF2B0747615")</f>
        <v>https://baanknet.com/view-property/278902/40DCAAC6D9D3CCC76557E8592BCE3D61A230904512BDEF370D4DCEF2B0747615</v>
      </c>
      <c r="I3583" t="str">
        <f>HYPERLINK("https://baanknet.com/view-property/278902/40DCAAC6D9D3CCC76557E8592BCE3D61A230904512BDEF370D4DCEF2B0747615", "Open")</f>
        <v>Open</v>
      </c>
      <c r="J3583" t="s">
        <v>3803</v>
      </c>
      <c r="L3583">
        <v>2300000</v>
      </c>
      <c r="M3583">
        <v>230000</v>
      </c>
    </row>
    <row r="3584" spans="1:13" x14ac:dyDescent="0.25">
      <c r="A3584" t="s">
        <v>12027</v>
      </c>
      <c r="B3584" t="s">
        <v>12028</v>
      </c>
      <c r="C3584" t="s">
        <v>15</v>
      </c>
      <c r="D3584" t="s">
        <v>12029</v>
      </c>
      <c r="E3584" t="s">
        <v>11024</v>
      </c>
      <c r="F3584" t="s">
        <v>11032</v>
      </c>
      <c r="G3584" t="s">
        <v>12030</v>
      </c>
      <c r="H3584" t="str">
        <f>HYPERLINK("https://baanknet.com/view-property/285676/958E799A672631AE1033B1B08FBE68359C121892C3CBB2EA7607671B945B828F", "https://baanknet.com/view-property/285676/958E799A672631AE1033B1B08FBE68359C121892C3CBB2EA7607671B945B828F")</f>
        <v>https://baanknet.com/view-property/285676/958E799A672631AE1033B1B08FBE68359C121892C3CBB2EA7607671B945B828F</v>
      </c>
      <c r="I3584" t="str">
        <f>HYPERLINK("https://baanknet.com/view-property/285676/958E799A672631AE1033B1B08FBE68359C121892C3CBB2EA7607671B945B828F", "Open")</f>
        <v>Open</v>
      </c>
      <c r="J3584" t="s">
        <v>3803</v>
      </c>
      <c r="L3584">
        <v>2812000</v>
      </c>
      <c r="M3584">
        <v>281200</v>
      </c>
    </row>
    <row r="3585" spans="1:13" x14ac:dyDescent="0.25">
      <c r="A3585" t="s">
        <v>12031</v>
      </c>
      <c r="B3585" t="s">
        <v>12032</v>
      </c>
      <c r="C3585" t="s">
        <v>15</v>
      </c>
      <c r="D3585" t="s">
        <v>608</v>
      </c>
      <c r="E3585" t="s">
        <v>11024</v>
      </c>
      <c r="F3585" t="s">
        <v>11032</v>
      </c>
      <c r="G3585" t="s">
        <v>12033</v>
      </c>
      <c r="H3585" t="str">
        <f>HYPERLINK("https://baanknet.com/view-property/250876/490828048FAD08CBCEA742AF589D48F62075713B3C44E8A40E30C8B4AE2A9A76", "https://baanknet.com/view-property/250876/490828048FAD08CBCEA742AF589D48F62075713B3C44E8A40E30C8B4AE2A9A76")</f>
        <v>https://baanknet.com/view-property/250876/490828048FAD08CBCEA742AF589D48F62075713B3C44E8A40E30C8B4AE2A9A76</v>
      </c>
      <c r="I3585" t="str">
        <f>HYPERLINK("https://baanknet.com/view-property/250876/490828048FAD08CBCEA742AF589D48F62075713B3C44E8A40E30C8B4AE2A9A76", "Open")</f>
        <v>Open</v>
      </c>
      <c r="J3585" t="s">
        <v>3803</v>
      </c>
      <c r="L3585">
        <v>11600000</v>
      </c>
      <c r="M3585">
        <v>1160000</v>
      </c>
    </row>
    <row r="3586" spans="1:13" x14ac:dyDescent="0.25">
      <c r="A3586" t="s">
        <v>12034</v>
      </c>
      <c r="B3586" t="s">
        <v>12035</v>
      </c>
      <c r="C3586" t="s">
        <v>15</v>
      </c>
      <c r="D3586" t="s">
        <v>608</v>
      </c>
      <c r="E3586" t="s">
        <v>11024</v>
      </c>
      <c r="F3586" t="s">
        <v>11032</v>
      </c>
      <c r="G3586" t="s">
        <v>12036</v>
      </c>
      <c r="H3586" t="str">
        <f>HYPERLINK("https://baanknet.com/view-property/250875/CBB270C6E45778E157D5C2994DCFF956089065912A0C92A77447112BA5151647", "https://baanknet.com/view-property/250875/CBB270C6E45778E157D5C2994DCFF956089065912A0C92A77447112BA5151647")</f>
        <v>https://baanknet.com/view-property/250875/CBB270C6E45778E157D5C2994DCFF956089065912A0C92A77447112BA5151647</v>
      </c>
      <c r="I3586" t="str">
        <f>HYPERLINK("https://baanknet.com/view-property/250875/CBB270C6E45778E157D5C2994DCFF956089065912A0C92A77447112BA5151647", "Open")</f>
        <v>Open</v>
      </c>
      <c r="J3586" t="s">
        <v>3803</v>
      </c>
      <c r="L3586">
        <v>11600000</v>
      </c>
      <c r="M3586">
        <v>1160000</v>
      </c>
    </row>
    <row r="3587" spans="1:13" x14ac:dyDescent="0.25">
      <c r="A3587" t="s">
        <v>12037</v>
      </c>
      <c r="B3587" t="s">
        <v>12038</v>
      </c>
      <c r="C3587" t="s">
        <v>15</v>
      </c>
      <c r="D3587" t="s">
        <v>7924</v>
      </c>
      <c r="E3587" t="s">
        <v>11024</v>
      </c>
      <c r="F3587" t="s">
        <v>11032</v>
      </c>
      <c r="G3587" t="s">
        <v>12039</v>
      </c>
      <c r="H3587" t="str">
        <f>HYPERLINK("https://baanknet.com/view-property/278213/647B57290CC1D8680D2DD6758E3AF821320265F8B838CFC60359A8E9F3FE94B1", "https://baanknet.com/view-property/278213/647B57290CC1D8680D2DD6758E3AF821320265F8B838CFC60359A8E9F3FE94B1")</f>
        <v>https://baanknet.com/view-property/278213/647B57290CC1D8680D2DD6758E3AF821320265F8B838CFC60359A8E9F3FE94B1</v>
      </c>
      <c r="I3587" t="str">
        <f>HYPERLINK("https://baanknet.com/view-property/278213/647B57290CC1D8680D2DD6758E3AF821320265F8B838CFC60359A8E9F3FE94B1", "Open")</f>
        <v>Open</v>
      </c>
      <c r="J3587" t="s">
        <v>3803</v>
      </c>
      <c r="L3587">
        <v>2214000</v>
      </c>
      <c r="M3587">
        <v>221400</v>
      </c>
    </row>
    <row r="3588" spans="1:13" x14ac:dyDescent="0.25">
      <c r="A3588" t="s">
        <v>12040</v>
      </c>
      <c r="B3588" t="s">
        <v>12041</v>
      </c>
      <c r="C3588" t="s">
        <v>15</v>
      </c>
      <c r="D3588" t="s">
        <v>608</v>
      </c>
      <c r="E3588" t="s">
        <v>11024</v>
      </c>
      <c r="F3588" t="s">
        <v>11032</v>
      </c>
      <c r="G3588" t="s">
        <v>12042</v>
      </c>
      <c r="H3588" t="str">
        <f>HYPERLINK("https://baanknet.com/view-property/280734/88D74B0BEF9BBA65EEEEC982A484C011E948AC8FFE5D2E49771FEA91B059ED84", "https://baanknet.com/view-property/280734/88D74B0BEF9BBA65EEEEC982A484C011E948AC8FFE5D2E49771FEA91B059ED84")</f>
        <v>https://baanknet.com/view-property/280734/88D74B0BEF9BBA65EEEEC982A484C011E948AC8FFE5D2E49771FEA91B059ED84</v>
      </c>
      <c r="I3588" t="str">
        <f>HYPERLINK("https://baanknet.com/view-property/280734/88D74B0BEF9BBA65EEEEC982A484C011E948AC8FFE5D2E49771FEA91B059ED84", "Open")</f>
        <v>Open</v>
      </c>
      <c r="J3588" t="s">
        <v>3803</v>
      </c>
      <c r="L3588">
        <v>6365000</v>
      </c>
      <c r="M3588">
        <v>636500</v>
      </c>
    </row>
    <row r="3589" spans="1:13" x14ac:dyDescent="0.25">
      <c r="A3589" t="s">
        <v>12043</v>
      </c>
      <c r="B3589" t="s">
        <v>12044</v>
      </c>
      <c r="C3589" t="s">
        <v>15</v>
      </c>
      <c r="D3589" t="s">
        <v>7307</v>
      </c>
      <c r="E3589" t="s">
        <v>11024</v>
      </c>
      <c r="F3589" t="s">
        <v>11032</v>
      </c>
      <c r="G3589" t="s">
        <v>12045</v>
      </c>
      <c r="H3589" t="str">
        <f>HYPERLINK("https://baanknet.com/view-property/247766/BC1D5DF0B5F296E349CB5B37B66CC0F7DB77B22BD6AB7AF97FB3E34C0056E313", "https://baanknet.com/view-property/247766/BC1D5DF0B5F296E349CB5B37B66CC0F7DB77B22BD6AB7AF97FB3E34C0056E313")</f>
        <v>https://baanknet.com/view-property/247766/BC1D5DF0B5F296E349CB5B37B66CC0F7DB77B22BD6AB7AF97FB3E34C0056E313</v>
      </c>
      <c r="I3589" t="str">
        <f>HYPERLINK("https://baanknet.com/view-property/247766/BC1D5DF0B5F296E349CB5B37B66CC0F7DB77B22BD6AB7AF97FB3E34C0056E313", "Open")</f>
        <v>Open</v>
      </c>
      <c r="J3589" t="s">
        <v>3803</v>
      </c>
      <c r="L3589">
        <v>1580000</v>
      </c>
      <c r="M3589">
        <v>158000</v>
      </c>
    </row>
    <row r="3590" spans="1:13" x14ac:dyDescent="0.25">
      <c r="A3590" t="s">
        <v>12046</v>
      </c>
      <c r="B3590" t="s">
        <v>12047</v>
      </c>
      <c r="C3590" t="s">
        <v>15</v>
      </c>
      <c r="D3590" t="s">
        <v>12048</v>
      </c>
      <c r="E3590" t="s">
        <v>11024</v>
      </c>
      <c r="F3590" t="s">
        <v>11032</v>
      </c>
      <c r="G3590" t="s">
        <v>12049</v>
      </c>
      <c r="H3590" t="str">
        <f>HYPERLINK("https://baanknet.com/view-property/280557/1808149F92E5D5DBC73676245164F86A5E64AF8922F980B228834DE44978920D", "https://baanknet.com/view-property/280557/1808149F92E5D5DBC73676245164F86A5E64AF8922F980B228834DE44978920D")</f>
        <v>https://baanknet.com/view-property/280557/1808149F92E5D5DBC73676245164F86A5E64AF8922F980B228834DE44978920D</v>
      </c>
      <c r="I3590" t="str">
        <f>HYPERLINK("https://baanknet.com/view-property/280557/1808149F92E5D5DBC73676245164F86A5E64AF8922F980B228834DE44978920D", "Open")</f>
        <v>Open</v>
      </c>
      <c r="J3590" t="s">
        <v>3803</v>
      </c>
      <c r="L3590">
        <v>2083000</v>
      </c>
      <c r="M3590">
        <v>208300</v>
      </c>
    </row>
    <row r="3591" spans="1:13" x14ac:dyDescent="0.25">
      <c r="A3591" t="s">
        <v>12050</v>
      </c>
      <c r="B3591" t="s">
        <v>12051</v>
      </c>
      <c r="C3591" t="s">
        <v>15</v>
      </c>
      <c r="D3591" t="s">
        <v>12052</v>
      </c>
      <c r="E3591" t="s">
        <v>11024</v>
      </c>
      <c r="F3591" t="s">
        <v>11032</v>
      </c>
      <c r="G3591" t="s">
        <v>12053</v>
      </c>
      <c r="H3591" t="str">
        <f>HYPERLINK("https://baanknet.com/view-property/265427/282D7BB40E8E2A3D9ACB780AC3DB665A9CEBC37ED931D245DCFE489CF285EAE3", "https://baanknet.com/view-property/265427/282D7BB40E8E2A3D9ACB780AC3DB665A9CEBC37ED931D245DCFE489CF285EAE3")</f>
        <v>https://baanknet.com/view-property/265427/282D7BB40E8E2A3D9ACB780AC3DB665A9CEBC37ED931D245DCFE489CF285EAE3</v>
      </c>
      <c r="I3591" t="str">
        <f>HYPERLINK("https://baanknet.com/view-property/265427/282D7BB40E8E2A3D9ACB780AC3DB665A9CEBC37ED931D245DCFE489CF285EAE3", "Open")</f>
        <v>Open</v>
      </c>
      <c r="J3591" t="s">
        <v>3803</v>
      </c>
      <c r="L3591">
        <v>7300000</v>
      </c>
      <c r="M3591">
        <v>730000</v>
      </c>
    </row>
    <row r="3592" spans="1:13" x14ac:dyDescent="0.25">
      <c r="A3592" t="s">
        <v>12054</v>
      </c>
      <c r="B3592" t="s">
        <v>12055</v>
      </c>
      <c r="C3592" t="s">
        <v>15</v>
      </c>
      <c r="D3592" t="s">
        <v>12056</v>
      </c>
      <c r="E3592" t="s">
        <v>11024</v>
      </c>
      <c r="F3592" t="s">
        <v>11032</v>
      </c>
      <c r="G3592" t="s">
        <v>12057</v>
      </c>
      <c r="H3592" t="str">
        <f>HYPERLINK("https://baanknet.com/view-property/173335/A1229207C78FA8C0A2489497250DAB47E36CE48F2CE4A8F040EEF77526C6E3D7", "https://baanknet.com/view-property/173335/A1229207C78FA8C0A2489497250DAB47E36CE48F2CE4A8F040EEF77526C6E3D7")</f>
        <v>https://baanknet.com/view-property/173335/A1229207C78FA8C0A2489497250DAB47E36CE48F2CE4A8F040EEF77526C6E3D7</v>
      </c>
      <c r="I3592" t="str">
        <f>HYPERLINK("https://baanknet.com/view-property/173335/A1229207C78FA8C0A2489497250DAB47E36CE48F2CE4A8F040EEF77526C6E3D7", "Open")</f>
        <v>Open</v>
      </c>
      <c r="J3592" t="s">
        <v>3803</v>
      </c>
      <c r="L3592">
        <v>9296000</v>
      </c>
      <c r="M3592">
        <v>929600</v>
      </c>
    </row>
    <row r="3593" spans="1:13" x14ac:dyDescent="0.25">
      <c r="A3593" t="s">
        <v>12058</v>
      </c>
      <c r="B3593" t="s">
        <v>12059</v>
      </c>
      <c r="C3593" t="s">
        <v>15</v>
      </c>
      <c r="D3593" t="s">
        <v>2806</v>
      </c>
      <c r="E3593" t="s">
        <v>11024</v>
      </c>
      <c r="F3593" t="s">
        <v>11032</v>
      </c>
      <c r="G3593" t="s">
        <v>12060</v>
      </c>
      <c r="H3593" t="str">
        <f>HYPERLINK("https://baanknet.com/view-property/255669/094A244971DBD93D7ADE1868014917856454F6582ED3730E32ACB012D098692B", "https://baanknet.com/view-property/255669/094A244971DBD93D7ADE1868014917856454F6582ED3730E32ACB012D098692B")</f>
        <v>https://baanknet.com/view-property/255669/094A244971DBD93D7ADE1868014917856454F6582ED3730E32ACB012D098692B</v>
      </c>
      <c r="I3593" t="str">
        <f>HYPERLINK("https://baanknet.com/view-property/255669/094A244971DBD93D7ADE1868014917856454F6582ED3730E32ACB012D098692B", "Open")</f>
        <v>Open</v>
      </c>
      <c r="J3593" t="s">
        <v>3803</v>
      </c>
      <c r="L3593">
        <v>5000000</v>
      </c>
      <c r="M3593">
        <v>500000</v>
      </c>
    </row>
    <row r="3594" spans="1:13" x14ac:dyDescent="0.25">
      <c r="A3594" t="s">
        <v>12061</v>
      </c>
      <c r="B3594" t="s">
        <v>12062</v>
      </c>
      <c r="C3594" t="s">
        <v>15</v>
      </c>
      <c r="D3594" t="s">
        <v>778</v>
      </c>
      <c r="E3594" t="s">
        <v>11024</v>
      </c>
      <c r="F3594" t="s">
        <v>11032</v>
      </c>
      <c r="G3594" t="s">
        <v>12063</v>
      </c>
      <c r="H3594" t="str">
        <f>HYPERLINK("https://baanknet.com/view-property/271825/B9B3373B5679DA94666CFA5785B3BB75DEA7C080DFE84EA452EF23D7BC9965D3", "https://baanknet.com/view-property/271825/B9B3373B5679DA94666CFA5785B3BB75DEA7C080DFE84EA452EF23D7BC9965D3")</f>
        <v>https://baanknet.com/view-property/271825/B9B3373B5679DA94666CFA5785B3BB75DEA7C080DFE84EA452EF23D7BC9965D3</v>
      </c>
      <c r="I3594" t="str">
        <f>HYPERLINK("https://baanknet.com/view-property/271825/B9B3373B5679DA94666CFA5785B3BB75DEA7C080DFE84EA452EF23D7BC9965D3", "Open")</f>
        <v>Open</v>
      </c>
      <c r="J3594" t="s">
        <v>3803</v>
      </c>
      <c r="L3594">
        <v>2200000</v>
      </c>
      <c r="M3594">
        <v>220000</v>
      </c>
    </row>
    <row r="3595" spans="1:13" x14ac:dyDescent="0.25">
      <c r="A3595" t="s">
        <v>12064</v>
      </c>
      <c r="B3595" t="s">
        <v>12065</v>
      </c>
      <c r="C3595" t="s">
        <v>15</v>
      </c>
      <c r="D3595" t="s">
        <v>8290</v>
      </c>
      <c r="E3595" t="s">
        <v>11024</v>
      </c>
      <c r="F3595" t="s">
        <v>11032</v>
      </c>
      <c r="G3595" t="s">
        <v>12066</v>
      </c>
      <c r="H3595" t="str">
        <f>HYPERLINK("https://baanknet.com/view-property/279567/38EC118DDEA91B801B75A7F80FCDE0237AABE6EEAAFCE4A4186BB026B37D6903", "https://baanknet.com/view-property/279567/38EC118DDEA91B801B75A7F80FCDE0237AABE6EEAAFCE4A4186BB026B37D6903")</f>
        <v>https://baanknet.com/view-property/279567/38EC118DDEA91B801B75A7F80FCDE0237AABE6EEAAFCE4A4186BB026B37D6903</v>
      </c>
      <c r="I3595" t="str">
        <f>HYPERLINK("https://baanknet.com/view-property/279567/38EC118DDEA91B801B75A7F80FCDE0237AABE6EEAAFCE4A4186BB026B37D6903", "Open")</f>
        <v>Open</v>
      </c>
      <c r="J3595" t="s">
        <v>3803</v>
      </c>
      <c r="L3595">
        <v>18135000</v>
      </c>
      <c r="M3595">
        <v>1813500</v>
      </c>
    </row>
    <row r="3596" spans="1:13" x14ac:dyDescent="0.25">
      <c r="A3596" t="s">
        <v>12067</v>
      </c>
      <c r="B3596" t="s">
        <v>12068</v>
      </c>
      <c r="C3596" t="s">
        <v>15</v>
      </c>
      <c r="D3596" t="s">
        <v>12069</v>
      </c>
      <c r="E3596" t="s">
        <v>11024</v>
      </c>
      <c r="F3596" t="s">
        <v>11032</v>
      </c>
      <c r="G3596" t="s">
        <v>12070</v>
      </c>
      <c r="H3596" t="str">
        <f>HYPERLINK("https://baanknet.com/view-property/243216/4A00F27F3C0413A7DFFDE49ACCCDA7CF6FC90DBF1327FCD85A03BEADF3215794", "https://baanknet.com/view-property/243216/4A00F27F3C0413A7DFFDE49ACCCDA7CF6FC90DBF1327FCD85A03BEADF3215794")</f>
        <v>https://baanknet.com/view-property/243216/4A00F27F3C0413A7DFFDE49ACCCDA7CF6FC90DBF1327FCD85A03BEADF3215794</v>
      </c>
      <c r="I3596" t="str">
        <f>HYPERLINK("https://baanknet.com/view-property/243216/4A00F27F3C0413A7DFFDE49ACCCDA7CF6FC90DBF1327FCD85A03BEADF3215794", "Open")</f>
        <v>Open</v>
      </c>
      <c r="J3596" t="s">
        <v>3803</v>
      </c>
      <c r="L3596">
        <v>4370000</v>
      </c>
      <c r="M3596">
        <v>437000</v>
      </c>
    </row>
    <row r="3597" spans="1:13" x14ac:dyDescent="0.25">
      <c r="A3597" t="s">
        <v>12071</v>
      </c>
      <c r="B3597" t="s">
        <v>12072</v>
      </c>
      <c r="C3597" t="s">
        <v>15</v>
      </c>
      <c r="D3597" t="s">
        <v>8290</v>
      </c>
      <c r="E3597" t="s">
        <v>11024</v>
      </c>
      <c r="F3597" t="s">
        <v>11032</v>
      </c>
      <c r="G3597" t="s">
        <v>12073</v>
      </c>
      <c r="H3597" t="str">
        <f>HYPERLINK("https://baanknet.com/view-property/259662/F088A7B414408E714252C6F9FE11E96D80625FB039101FC48E46B535C83A2375", "https://baanknet.com/view-property/259662/F088A7B414408E714252C6F9FE11E96D80625FB039101FC48E46B535C83A2375")</f>
        <v>https://baanknet.com/view-property/259662/F088A7B414408E714252C6F9FE11E96D80625FB039101FC48E46B535C83A2375</v>
      </c>
      <c r="I3597" t="str">
        <f>HYPERLINK("https://baanknet.com/view-property/259662/F088A7B414408E714252C6F9FE11E96D80625FB039101FC48E46B535C83A2375", "Open")</f>
        <v>Open</v>
      </c>
      <c r="J3597" t="s">
        <v>3803</v>
      </c>
      <c r="L3597">
        <v>1100000</v>
      </c>
      <c r="M3597">
        <v>110000</v>
      </c>
    </row>
    <row r="3598" spans="1:13" x14ac:dyDescent="0.25">
      <c r="A3598" t="s">
        <v>12074</v>
      </c>
      <c r="B3598" t="s">
        <v>12075</v>
      </c>
      <c r="C3598" t="s">
        <v>525</v>
      </c>
      <c r="D3598" t="s">
        <v>900</v>
      </c>
      <c r="E3598" t="s">
        <v>11024</v>
      </c>
      <c r="F3598" t="s">
        <v>11032</v>
      </c>
      <c r="G3598" t="s">
        <v>12076</v>
      </c>
      <c r="H3598" t="str">
        <f>HYPERLINK("https://baanknet.com/view-property/287270/65E98107B55F8382F6759106DE101828C8D0B9D56C150148D5DA151C1C264C9A", "https://baanknet.com/view-property/287270/65E98107B55F8382F6759106DE101828C8D0B9D56C150148D5DA151C1C264C9A")</f>
        <v>https://baanknet.com/view-property/287270/65E98107B55F8382F6759106DE101828C8D0B9D56C150148D5DA151C1C264C9A</v>
      </c>
      <c r="I3598" t="str">
        <f>HYPERLINK("https://baanknet.com/view-property/287270/65E98107B55F8382F6759106DE101828C8D0B9D56C150148D5DA151C1C264C9A", "Open")</f>
        <v>Open</v>
      </c>
      <c r="J3598" t="s">
        <v>3803</v>
      </c>
      <c r="L3598">
        <v>2381000</v>
      </c>
      <c r="M3598">
        <v>238100</v>
      </c>
    </row>
    <row r="3599" spans="1:13" x14ac:dyDescent="0.25">
      <c r="A3599" t="s">
        <v>12077</v>
      </c>
      <c r="B3599" t="s">
        <v>12078</v>
      </c>
      <c r="C3599" t="s">
        <v>525</v>
      </c>
      <c r="D3599" t="s">
        <v>900</v>
      </c>
      <c r="E3599" t="s">
        <v>11024</v>
      </c>
      <c r="F3599" t="s">
        <v>11032</v>
      </c>
      <c r="G3599" t="s">
        <v>12079</v>
      </c>
      <c r="H3599" t="str">
        <f>HYPERLINK("https://baanknet.com/view-property/276103/DA3B677863DC0ECA99CB6134885182FCBF08CCEF522770FCB8BF8B56518CAB7A", "https://baanknet.com/view-property/276103/DA3B677863DC0ECA99CB6134885182FCBF08CCEF522770FCB8BF8B56518CAB7A")</f>
        <v>https://baanknet.com/view-property/276103/DA3B677863DC0ECA99CB6134885182FCBF08CCEF522770FCB8BF8B56518CAB7A</v>
      </c>
      <c r="I3599" t="str">
        <f>HYPERLINK("https://baanknet.com/view-property/276103/DA3B677863DC0ECA99CB6134885182FCBF08CCEF522770FCB8BF8B56518CAB7A", "Open")</f>
        <v>Open</v>
      </c>
      <c r="J3599" t="s">
        <v>3803</v>
      </c>
      <c r="L3599">
        <v>3171000</v>
      </c>
      <c r="M3599">
        <v>317100</v>
      </c>
    </row>
    <row r="3600" spans="1:13" x14ac:dyDescent="0.25">
      <c r="A3600" t="s">
        <v>12080</v>
      </c>
      <c r="B3600" t="s">
        <v>12081</v>
      </c>
      <c r="C3600" t="s">
        <v>525</v>
      </c>
      <c r="D3600" t="s">
        <v>900</v>
      </c>
      <c r="E3600" t="s">
        <v>11024</v>
      </c>
      <c r="F3600" t="s">
        <v>11032</v>
      </c>
      <c r="G3600" t="s">
        <v>12082</v>
      </c>
      <c r="H3600" t="str">
        <f>HYPERLINK("https://baanknet.com/view-property/170266/FEE3EBCAAC6B33FE4CFCB68397FE816F7ADCB4F0229B36627C27F15CBE1A10F5", "https://baanknet.com/view-property/170266/FEE3EBCAAC6B33FE4CFCB68397FE816F7ADCB4F0229B36627C27F15CBE1A10F5")</f>
        <v>https://baanknet.com/view-property/170266/FEE3EBCAAC6B33FE4CFCB68397FE816F7ADCB4F0229B36627C27F15CBE1A10F5</v>
      </c>
      <c r="I3600" t="str">
        <f>HYPERLINK("https://baanknet.com/view-property/170266/FEE3EBCAAC6B33FE4CFCB68397FE816F7ADCB4F0229B36627C27F15CBE1A10F5", "Open")</f>
        <v>Open</v>
      </c>
      <c r="J3600" t="s">
        <v>3803</v>
      </c>
      <c r="L3600">
        <v>2569000</v>
      </c>
      <c r="M3600">
        <v>256900</v>
      </c>
    </row>
    <row r="3601" spans="1:13" x14ac:dyDescent="0.25">
      <c r="A3601" t="s">
        <v>12083</v>
      </c>
      <c r="B3601" t="s">
        <v>12084</v>
      </c>
      <c r="C3601" t="s">
        <v>525</v>
      </c>
      <c r="D3601" t="s">
        <v>900</v>
      </c>
      <c r="E3601" t="s">
        <v>11024</v>
      </c>
      <c r="F3601" t="s">
        <v>11032</v>
      </c>
      <c r="G3601" t="s">
        <v>12085</v>
      </c>
      <c r="H3601" t="str">
        <f>HYPERLINK("https://baanknet.com/view-property/225487/9554791DB7AC869534E485CEB5012ADD8B76EBE15F4A6185D60D3911B2EABA49", "https://baanknet.com/view-property/225487/9554791DB7AC869534E485CEB5012ADD8B76EBE15F4A6185D60D3911B2EABA49")</f>
        <v>https://baanknet.com/view-property/225487/9554791DB7AC869534E485CEB5012ADD8B76EBE15F4A6185D60D3911B2EABA49</v>
      </c>
      <c r="I3601" t="str">
        <f>HYPERLINK("https://baanknet.com/view-property/225487/9554791DB7AC869534E485CEB5012ADD8B76EBE15F4A6185D60D3911B2EABA49", "Open")</f>
        <v>Open</v>
      </c>
      <c r="J3601" t="s">
        <v>3803</v>
      </c>
      <c r="L3601">
        <v>3985000</v>
      </c>
      <c r="M3601">
        <v>398500</v>
      </c>
    </row>
    <row r="3602" spans="1:13" x14ac:dyDescent="0.25">
      <c r="A3602" t="s">
        <v>12086</v>
      </c>
      <c r="B3602" t="s">
        <v>12087</v>
      </c>
      <c r="C3602" t="s">
        <v>15</v>
      </c>
      <c r="D3602" t="s">
        <v>8290</v>
      </c>
      <c r="E3602" t="s">
        <v>11024</v>
      </c>
      <c r="F3602" t="s">
        <v>11032</v>
      </c>
      <c r="G3602" t="s">
        <v>12088</v>
      </c>
      <c r="H3602" t="str">
        <f>HYPERLINK("https://baanknet.com/view-property/243274/AE5712BDABAF5859ED98EFC1C0820CF0B1769C66151BCFCA4123FF5502F52BB1", "https://baanknet.com/view-property/243274/AE5712BDABAF5859ED98EFC1C0820CF0B1769C66151BCFCA4123FF5502F52BB1")</f>
        <v>https://baanknet.com/view-property/243274/AE5712BDABAF5859ED98EFC1C0820CF0B1769C66151BCFCA4123FF5502F52BB1</v>
      </c>
      <c r="I3602" t="str">
        <f>HYPERLINK("https://baanknet.com/view-property/243274/AE5712BDABAF5859ED98EFC1C0820CF0B1769C66151BCFCA4123FF5502F52BB1", "Open")</f>
        <v>Open</v>
      </c>
      <c r="J3602" t="s">
        <v>3803</v>
      </c>
      <c r="L3602">
        <v>1440000</v>
      </c>
      <c r="M3602">
        <v>144000</v>
      </c>
    </row>
    <row r="3603" spans="1:13" x14ac:dyDescent="0.25">
      <c r="A3603" t="s">
        <v>12089</v>
      </c>
      <c r="B3603" t="s">
        <v>12090</v>
      </c>
      <c r="C3603" t="s">
        <v>15</v>
      </c>
      <c r="D3603" t="s">
        <v>778</v>
      </c>
      <c r="E3603" t="s">
        <v>11024</v>
      </c>
      <c r="F3603" t="s">
        <v>11032</v>
      </c>
      <c r="G3603" t="s">
        <v>12091</v>
      </c>
      <c r="H3603" t="str">
        <f>HYPERLINK("https://baanknet.com/view-property/240867/68692E0DF339D9680E19D7E1A69725939DF1973CD7BF9A2D8D2329F68188333E", "https://baanknet.com/view-property/240867/68692E0DF339D9680E19D7E1A69725939DF1973CD7BF9A2D8D2329F68188333E")</f>
        <v>https://baanknet.com/view-property/240867/68692E0DF339D9680E19D7E1A69725939DF1973CD7BF9A2D8D2329F68188333E</v>
      </c>
      <c r="I3603" t="str">
        <f>HYPERLINK("https://baanknet.com/view-property/240867/68692E0DF339D9680E19D7E1A69725939DF1973CD7BF9A2D8D2329F68188333E", "Open")</f>
        <v>Open</v>
      </c>
      <c r="J3603" t="s">
        <v>3803</v>
      </c>
      <c r="L3603">
        <v>3500000</v>
      </c>
      <c r="M3603">
        <v>350000</v>
      </c>
    </row>
    <row r="3604" spans="1:13" x14ac:dyDescent="0.25">
      <c r="A3604" t="s">
        <v>12092</v>
      </c>
      <c r="B3604" t="s">
        <v>12093</v>
      </c>
      <c r="C3604" t="s">
        <v>15</v>
      </c>
      <c r="D3604" t="s">
        <v>12094</v>
      </c>
      <c r="E3604" t="s">
        <v>11024</v>
      </c>
      <c r="F3604" t="s">
        <v>11032</v>
      </c>
      <c r="G3604" t="s">
        <v>12095</v>
      </c>
      <c r="H3604" t="str">
        <f>HYPERLINK("https://baanknet.com/view-property/245430/9CB41573B595AF982FE3971D89E6022C3C2CA51CFDAA85611A5C13BEABAC8AD1", "https://baanknet.com/view-property/245430/9CB41573B595AF982FE3971D89E6022C3C2CA51CFDAA85611A5C13BEABAC8AD1")</f>
        <v>https://baanknet.com/view-property/245430/9CB41573B595AF982FE3971D89E6022C3C2CA51CFDAA85611A5C13BEABAC8AD1</v>
      </c>
      <c r="I3604" t="str">
        <f>HYPERLINK("https://baanknet.com/view-property/245430/9CB41573B595AF982FE3971D89E6022C3C2CA51CFDAA85611A5C13BEABAC8AD1", "Open")</f>
        <v>Open</v>
      </c>
      <c r="J3604" t="s">
        <v>3803</v>
      </c>
      <c r="L3604">
        <v>4020000</v>
      </c>
      <c r="M3604">
        <v>402000</v>
      </c>
    </row>
    <row r="3605" spans="1:13" x14ac:dyDescent="0.25">
      <c r="A3605" t="s">
        <v>12096</v>
      </c>
      <c r="B3605" t="s">
        <v>12097</v>
      </c>
      <c r="C3605" t="s">
        <v>15</v>
      </c>
      <c r="D3605" t="s">
        <v>800</v>
      </c>
      <c r="E3605" t="s">
        <v>11024</v>
      </c>
      <c r="F3605" t="s">
        <v>11032</v>
      </c>
      <c r="G3605" t="s">
        <v>12098</v>
      </c>
      <c r="H3605" t="str">
        <f>HYPERLINK("https://baanknet.com/view-property/252553/4F23C5BAF3BDAE9D555FB525995850CF650F8E09E5A6FD51706F651121D83D53", "https://baanknet.com/view-property/252553/4F23C5BAF3BDAE9D555FB525995850CF650F8E09E5A6FD51706F651121D83D53")</f>
        <v>https://baanknet.com/view-property/252553/4F23C5BAF3BDAE9D555FB525995850CF650F8E09E5A6FD51706F651121D83D53</v>
      </c>
      <c r="I3605" t="str">
        <f>HYPERLINK("https://baanknet.com/view-property/252553/4F23C5BAF3BDAE9D555FB525995850CF650F8E09E5A6FD51706F651121D83D53", "Open")</f>
        <v>Open</v>
      </c>
      <c r="J3605" t="s">
        <v>3803</v>
      </c>
      <c r="L3605">
        <v>3155000</v>
      </c>
      <c r="M3605">
        <v>315500</v>
      </c>
    </row>
    <row r="3606" spans="1:13" x14ac:dyDescent="0.25">
      <c r="A3606" t="s">
        <v>12099</v>
      </c>
      <c r="B3606" t="s">
        <v>12100</v>
      </c>
      <c r="C3606" t="s">
        <v>15</v>
      </c>
      <c r="D3606" t="s">
        <v>653</v>
      </c>
      <c r="E3606" t="s">
        <v>11024</v>
      </c>
      <c r="F3606" t="s">
        <v>11032</v>
      </c>
      <c r="G3606" t="s">
        <v>12101</v>
      </c>
      <c r="H3606" t="str">
        <f>HYPERLINK("https://baanknet.com/view-property/273973/40CE668EE28B1875C54B0D972FDBE5D50F816B6F601479A83483DEDECCED5192", "https://baanknet.com/view-property/273973/40CE668EE28B1875C54B0D972FDBE5D50F816B6F601479A83483DEDECCED5192")</f>
        <v>https://baanknet.com/view-property/273973/40CE668EE28B1875C54B0D972FDBE5D50F816B6F601479A83483DEDECCED5192</v>
      </c>
      <c r="I3606" t="str">
        <f>HYPERLINK("https://baanknet.com/view-property/273973/40CE668EE28B1875C54B0D972FDBE5D50F816B6F601479A83483DEDECCED5192", "Open")</f>
        <v>Open</v>
      </c>
      <c r="J3606" t="s">
        <v>3803</v>
      </c>
      <c r="L3606">
        <v>2520000</v>
      </c>
      <c r="M3606">
        <v>252000</v>
      </c>
    </row>
    <row r="3607" spans="1:13" x14ac:dyDescent="0.25">
      <c r="A3607" t="s">
        <v>12102</v>
      </c>
      <c r="B3607" t="s">
        <v>12103</v>
      </c>
      <c r="C3607" t="s">
        <v>15</v>
      </c>
      <c r="D3607" t="s">
        <v>12104</v>
      </c>
      <c r="E3607" t="s">
        <v>11024</v>
      </c>
      <c r="F3607" t="s">
        <v>11032</v>
      </c>
      <c r="G3607" t="s">
        <v>12105</v>
      </c>
      <c r="H3607" t="str">
        <f>HYPERLINK("https://baanknet.com/view-property/237707/98BDBD4515F9BBE7BC7FFE099C8DC7AB9F131910663E93DFAA2AB2602486CB19", "https://baanknet.com/view-property/237707/98BDBD4515F9BBE7BC7FFE099C8DC7AB9F131910663E93DFAA2AB2602486CB19")</f>
        <v>https://baanknet.com/view-property/237707/98BDBD4515F9BBE7BC7FFE099C8DC7AB9F131910663E93DFAA2AB2602486CB19</v>
      </c>
      <c r="I3607" t="str">
        <f>HYPERLINK("https://baanknet.com/view-property/237707/98BDBD4515F9BBE7BC7FFE099C8DC7AB9F131910663E93DFAA2AB2602486CB19", "Open")</f>
        <v>Open</v>
      </c>
      <c r="J3607" t="s">
        <v>3803</v>
      </c>
      <c r="L3607">
        <v>1100000</v>
      </c>
      <c r="M3607">
        <v>110000</v>
      </c>
    </row>
    <row r="3608" spans="1:13" x14ac:dyDescent="0.25">
      <c r="A3608" t="s">
        <v>12106</v>
      </c>
      <c r="B3608" t="s">
        <v>12107</v>
      </c>
      <c r="C3608" t="s">
        <v>15</v>
      </c>
      <c r="D3608" t="s">
        <v>3460</v>
      </c>
      <c r="E3608" t="s">
        <v>11024</v>
      </c>
      <c r="F3608" t="s">
        <v>12108</v>
      </c>
      <c r="G3608" t="s">
        <v>12109</v>
      </c>
      <c r="H3608" t="str">
        <f>HYPERLINK("https://baanknet.com/view-property/240667/CB670E22DB099571F2FAD7F87AB3CD7BCB2DC578336BD9ED88FC34D8FE4C4A06", "https://baanknet.com/view-property/240667/CB670E22DB099571F2FAD7F87AB3CD7BCB2DC578336BD9ED88FC34D8FE4C4A06")</f>
        <v>https://baanknet.com/view-property/240667/CB670E22DB099571F2FAD7F87AB3CD7BCB2DC578336BD9ED88FC34D8FE4C4A06</v>
      </c>
      <c r="I3608" t="str">
        <f>HYPERLINK("https://baanknet.com/view-property/240667/CB670E22DB099571F2FAD7F87AB3CD7BCB2DC578336BD9ED88FC34D8FE4C4A06", "Open")</f>
        <v>Open</v>
      </c>
      <c r="J3608" t="s">
        <v>3803</v>
      </c>
      <c r="L3608">
        <v>11382000</v>
      </c>
      <c r="M3608">
        <v>1138200</v>
      </c>
    </row>
    <row r="3609" spans="1:13" x14ac:dyDescent="0.25">
      <c r="A3609" t="s">
        <v>12110</v>
      </c>
      <c r="B3609" t="s">
        <v>12111</v>
      </c>
      <c r="C3609" t="s">
        <v>15</v>
      </c>
      <c r="D3609" t="s">
        <v>3460</v>
      </c>
      <c r="E3609" t="s">
        <v>11024</v>
      </c>
      <c r="F3609" t="s">
        <v>12108</v>
      </c>
      <c r="G3609" t="s">
        <v>12112</v>
      </c>
      <c r="H3609" t="str">
        <f>HYPERLINK("https://baanknet.com/view-property/240668/466485CE4D5750874F0953DCD08BFC40A38715028DA8ED1DFF02487080DB57CF", "https://baanknet.com/view-property/240668/466485CE4D5750874F0953DCD08BFC40A38715028DA8ED1DFF02487080DB57CF")</f>
        <v>https://baanknet.com/view-property/240668/466485CE4D5750874F0953DCD08BFC40A38715028DA8ED1DFF02487080DB57CF</v>
      </c>
      <c r="I3609" t="str">
        <f>HYPERLINK("https://baanknet.com/view-property/240668/466485CE4D5750874F0953DCD08BFC40A38715028DA8ED1DFF02487080DB57CF", "Open")</f>
        <v>Open</v>
      </c>
      <c r="J3609" t="s">
        <v>3803</v>
      </c>
      <c r="L3609">
        <v>1707000</v>
      </c>
      <c r="M3609">
        <v>170700</v>
      </c>
    </row>
    <row r="3610" spans="1:13" x14ac:dyDescent="0.25">
      <c r="A3610" t="s">
        <v>12113</v>
      </c>
      <c r="B3610" t="s">
        <v>12114</v>
      </c>
      <c r="C3610" t="s">
        <v>144</v>
      </c>
      <c r="D3610" t="s">
        <v>6688</v>
      </c>
      <c r="E3610" t="s">
        <v>11024</v>
      </c>
      <c r="F3610" t="s">
        <v>12108</v>
      </c>
      <c r="G3610" t="s">
        <v>12115</v>
      </c>
      <c r="H3610" t="str">
        <f>HYPERLINK("https://baanknet.com/view-property/285823/7B214B46DCC9E9C8FDAED804A281F634264E620E73DB856C1E12C00175890A47", "https://baanknet.com/view-property/285823/7B214B46DCC9E9C8FDAED804A281F634264E620E73DB856C1E12C00175890A47")</f>
        <v>https://baanknet.com/view-property/285823/7B214B46DCC9E9C8FDAED804A281F634264E620E73DB856C1E12C00175890A47</v>
      </c>
      <c r="I3610" t="str">
        <f>HYPERLINK("https://baanknet.com/view-property/285823/7B214B46DCC9E9C8FDAED804A281F634264E620E73DB856C1E12C00175890A47", "Open")</f>
        <v>Open</v>
      </c>
      <c r="J3610" t="s">
        <v>3803</v>
      </c>
      <c r="L3610">
        <v>7011000</v>
      </c>
      <c r="M3610">
        <v>701100</v>
      </c>
    </row>
    <row r="3611" spans="1:13" x14ac:dyDescent="0.25">
      <c r="A3611" t="s">
        <v>12116</v>
      </c>
      <c r="B3611" t="s">
        <v>12117</v>
      </c>
      <c r="C3611" t="s">
        <v>144</v>
      </c>
      <c r="D3611" t="s">
        <v>6688</v>
      </c>
      <c r="E3611" t="s">
        <v>11024</v>
      </c>
      <c r="F3611" t="s">
        <v>12108</v>
      </c>
      <c r="G3611" t="s">
        <v>12118</v>
      </c>
      <c r="H3611" t="str">
        <f>HYPERLINK("https://baanknet.com/view-property/285815/D09361C5AC4603FB49A907B715A18584D0B3DAF00AF21AF08F36FAE6F046DD8C", "https://baanknet.com/view-property/285815/D09361C5AC4603FB49A907B715A18584D0B3DAF00AF21AF08F36FAE6F046DD8C")</f>
        <v>https://baanknet.com/view-property/285815/D09361C5AC4603FB49A907B715A18584D0B3DAF00AF21AF08F36FAE6F046DD8C</v>
      </c>
      <c r="I3611" t="str">
        <f>HYPERLINK("https://baanknet.com/view-property/285815/D09361C5AC4603FB49A907B715A18584D0B3DAF00AF21AF08F36FAE6F046DD8C", "Open")</f>
        <v>Open</v>
      </c>
      <c r="J3611" t="s">
        <v>3803</v>
      </c>
      <c r="L3611">
        <v>3420000</v>
      </c>
      <c r="M3611">
        <v>342000</v>
      </c>
    </row>
    <row r="3612" spans="1:13" x14ac:dyDescent="0.25">
      <c r="A3612" t="s">
        <v>12119</v>
      </c>
      <c r="B3612" t="s">
        <v>12120</v>
      </c>
      <c r="C3612" t="s">
        <v>15</v>
      </c>
      <c r="D3612" t="s">
        <v>3460</v>
      </c>
      <c r="E3612" t="s">
        <v>11024</v>
      </c>
      <c r="F3612" t="s">
        <v>12108</v>
      </c>
      <c r="G3612" t="s">
        <v>12121</v>
      </c>
      <c r="H3612" t="str">
        <f>HYPERLINK("https://baanknet.com/view-property/260099/BEF7575694B711775407FD1B254B7D224859C01DDD870D0349C298D40CDA7030", "https://baanknet.com/view-property/260099/BEF7575694B711775407FD1B254B7D224859C01DDD870D0349C298D40CDA7030")</f>
        <v>https://baanknet.com/view-property/260099/BEF7575694B711775407FD1B254B7D224859C01DDD870D0349C298D40CDA7030</v>
      </c>
      <c r="I3612" t="str">
        <f>HYPERLINK("https://baanknet.com/view-property/260099/BEF7575694B711775407FD1B254B7D224859C01DDD870D0349C298D40CDA7030", "Open")</f>
        <v>Open</v>
      </c>
      <c r="J3612" t="s">
        <v>3803</v>
      </c>
      <c r="L3612">
        <v>2130000</v>
      </c>
      <c r="M3612">
        <v>213000</v>
      </c>
    </row>
    <row r="3613" spans="1:13" x14ac:dyDescent="0.25">
      <c r="A3613" t="s">
        <v>12122</v>
      </c>
      <c r="B3613" t="s">
        <v>12123</v>
      </c>
      <c r="C3613" t="s">
        <v>15</v>
      </c>
      <c r="D3613" t="s">
        <v>3460</v>
      </c>
      <c r="E3613" t="s">
        <v>11024</v>
      </c>
      <c r="F3613" t="s">
        <v>12108</v>
      </c>
      <c r="G3613" t="s">
        <v>12124</v>
      </c>
      <c r="H3613" t="str">
        <f>HYPERLINK("https://baanknet.com/view-property/272236/A08BEF7015F2D88559966E30D68494CB75848FACDE9D071386D32EA8EA4DC34D", "https://baanknet.com/view-property/272236/A08BEF7015F2D88559966E30D68494CB75848FACDE9D071386D32EA8EA4DC34D")</f>
        <v>https://baanknet.com/view-property/272236/A08BEF7015F2D88559966E30D68494CB75848FACDE9D071386D32EA8EA4DC34D</v>
      </c>
      <c r="I3613" t="str">
        <f>HYPERLINK("https://baanknet.com/view-property/272236/A08BEF7015F2D88559966E30D68494CB75848FACDE9D071386D32EA8EA4DC34D", "Open")</f>
        <v>Open</v>
      </c>
      <c r="J3613" t="s">
        <v>3803</v>
      </c>
      <c r="L3613">
        <v>2334000</v>
      </c>
      <c r="M3613">
        <v>233400</v>
      </c>
    </row>
    <row r="3614" spans="1:13" x14ac:dyDescent="0.25">
      <c r="A3614" t="s">
        <v>12125</v>
      </c>
      <c r="B3614" t="s">
        <v>12126</v>
      </c>
      <c r="C3614" t="s">
        <v>15</v>
      </c>
      <c r="D3614" t="s">
        <v>3460</v>
      </c>
      <c r="E3614" t="s">
        <v>11024</v>
      </c>
      <c r="F3614" t="s">
        <v>12108</v>
      </c>
      <c r="G3614" t="s">
        <v>12127</v>
      </c>
      <c r="H3614" t="str">
        <f>HYPERLINK("https://baanknet.com/view-property/272338/08DC9FE4ECF58686886BB28DD0A81DAF9D9BF33E84DE5D8F203C1A28D2F43108", "https://baanknet.com/view-property/272338/08DC9FE4ECF58686886BB28DD0A81DAF9D9BF33E84DE5D8F203C1A28D2F43108")</f>
        <v>https://baanknet.com/view-property/272338/08DC9FE4ECF58686886BB28DD0A81DAF9D9BF33E84DE5D8F203C1A28D2F43108</v>
      </c>
      <c r="I3614" t="str">
        <f>HYPERLINK("https://baanknet.com/view-property/272338/08DC9FE4ECF58686886BB28DD0A81DAF9D9BF33E84DE5D8F203C1A28D2F43108", "Open")</f>
        <v>Open</v>
      </c>
      <c r="J3614" t="s">
        <v>3803</v>
      </c>
      <c r="L3614">
        <v>1725000</v>
      </c>
      <c r="M3614">
        <v>172500</v>
      </c>
    </row>
    <row r="3615" spans="1:13" x14ac:dyDescent="0.25">
      <c r="A3615" t="s">
        <v>12128</v>
      </c>
      <c r="B3615" t="s">
        <v>12129</v>
      </c>
      <c r="C3615" t="s">
        <v>144</v>
      </c>
      <c r="D3615" t="s">
        <v>32</v>
      </c>
      <c r="E3615" t="s">
        <v>11024</v>
      </c>
      <c r="F3615" t="s">
        <v>12108</v>
      </c>
      <c r="G3615" t="s">
        <v>12130</v>
      </c>
      <c r="H3615" t="str">
        <f>HYPERLINK("https://baanknet.com/view-property/262611/2BB15E68D225A0FDB8BAC18E6E5F6F66902F7FB33A0174CDF901FA1BFCC8B43C", "https://baanknet.com/view-property/262611/2BB15E68D225A0FDB8BAC18E6E5F6F66902F7FB33A0174CDF901FA1BFCC8B43C")</f>
        <v>https://baanknet.com/view-property/262611/2BB15E68D225A0FDB8BAC18E6E5F6F66902F7FB33A0174CDF901FA1BFCC8B43C</v>
      </c>
      <c r="I3615" t="str">
        <f>HYPERLINK("https://baanknet.com/view-property/262611/2BB15E68D225A0FDB8BAC18E6E5F6F66902F7FB33A0174CDF901FA1BFCC8B43C", "Open")</f>
        <v>Open</v>
      </c>
      <c r="J3615" t="s">
        <v>3803</v>
      </c>
      <c r="L3615">
        <v>2743000</v>
      </c>
      <c r="M3615">
        <v>274300</v>
      </c>
    </row>
    <row r="3616" spans="1:13" x14ac:dyDescent="0.25">
      <c r="A3616" t="s">
        <v>12131</v>
      </c>
      <c r="B3616" t="s">
        <v>12132</v>
      </c>
      <c r="C3616" t="s">
        <v>15</v>
      </c>
      <c r="D3616" t="s">
        <v>12133</v>
      </c>
      <c r="E3616" t="s">
        <v>11024</v>
      </c>
      <c r="F3616" t="s">
        <v>12108</v>
      </c>
      <c r="G3616" t="s">
        <v>12134</v>
      </c>
      <c r="H3616" t="str">
        <f>HYPERLINK("https://baanknet.com/view-property/189052/C03DD71EE73AFFA05357856AAFC63E1254C607C9FB1B9FCBBF6D717E024B3D87", "https://baanknet.com/view-property/189052/C03DD71EE73AFFA05357856AAFC63E1254C607C9FB1B9FCBBF6D717E024B3D87")</f>
        <v>https://baanknet.com/view-property/189052/C03DD71EE73AFFA05357856AAFC63E1254C607C9FB1B9FCBBF6D717E024B3D87</v>
      </c>
      <c r="I3616" t="str">
        <f>HYPERLINK("https://baanknet.com/view-property/189052/C03DD71EE73AFFA05357856AAFC63E1254C607C9FB1B9FCBBF6D717E024B3D87", "Open")</f>
        <v>Open</v>
      </c>
      <c r="J3616" t="s">
        <v>3803</v>
      </c>
      <c r="L3616">
        <v>1950000</v>
      </c>
      <c r="M3616">
        <v>195000</v>
      </c>
    </row>
    <row r="3617" spans="1:13" x14ac:dyDescent="0.25">
      <c r="A3617" t="s">
        <v>12135</v>
      </c>
      <c r="B3617" t="s">
        <v>12136</v>
      </c>
      <c r="C3617" t="s">
        <v>15</v>
      </c>
      <c r="D3617" t="s">
        <v>12137</v>
      </c>
      <c r="E3617" t="s">
        <v>11024</v>
      </c>
      <c r="F3617" t="s">
        <v>12108</v>
      </c>
      <c r="G3617" t="s">
        <v>12138</v>
      </c>
      <c r="H3617" t="str">
        <f>HYPERLINK("https://baanknet.com/view-property/263825/6DB244167C0E91792ED0EE53550B87CA8EBDB6680B6CF21296CF33B6C2821C90", "https://baanknet.com/view-property/263825/6DB244167C0E91792ED0EE53550B87CA8EBDB6680B6CF21296CF33B6C2821C90")</f>
        <v>https://baanknet.com/view-property/263825/6DB244167C0E91792ED0EE53550B87CA8EBDB6680B6CF21296CF33B6C2821C90</v>
      </c>
      <c r="I3617" t="str">
        <f>HYPERLINK("https://baanknet.com/view-property/263825/6DB244167C0E91792ED0EE53550B87CA8EBDB6680B6CF21296CF33B6C2821C90", "Open")</f>
        <v>Open</v>
      </c>
      <c r="J3617" t="s">
        <v>3803</v>
      </c>
      <c r="L3617">
        <v>7950000</v>
      </c>
      <c r="M3617">
        <v>795000</v>
      </c>
    </row>
    <row r="3618" spans="1:13" x14ac:dyDescent="0.25">
      <c r="A3618" t="s">
        <v>12139</v>
      </c>
      <c r="B3618" t="s">
        <v>12140</v>
      </c>
      <c r="C3618" t="s">
        <v>15</v>
      </c>
      <c r="D3618" t="s">
        <v>12141</v>
      </c>
      <c r="E3618" t="s">
        <v>11024</v>
      </c>
      <c r="F3618" t="s">
        <v>12108</v>
      </c>
      <c r="G3618" t="s">
        <v>12142</v>
      </c>
      <c r="H3618" t="str">
        <f>HYPERLINK("https://baanknet.com/view-property/244700/F13A49E8CA1FF975BD6F695C6E6A6C11F6BC70ECBEADDF6CECD85789281DD8AA", "https://baanknet.com/view-property/244700/F13A49E8CA1FF975BD6F695C6E6A6C11F6BC70ECBEADDF6CECD85789281DD8AA")</f>
        <v>https://baanknet.com/view-property/244700/F13A49E8CA1FF975BD6F695C6E6A6C11F6BC70ECBEADDF6CECD85789281DD8AA</v>
      </c>
      <c r="I3618" t="str">
        <f>HYPERLINK("https://baanknet.com/view-property/244700/F13A49E8CA1FF975BD6F695C6E6A6C11F6BC70ECBEADDF6CECD85789281DD8AA", "Open")</f>
        <v>Open</v>
      </c>
      <c r="J3618" t="s">
        <v>3803</v>
      </c>
      <c r="L3618">
        <v>3100000</v>
      </c>
      <c r="M3618">
        <v>310000</v>
      </c>
    </row>
    <row r="3619" spans="1:13" x14ac:dyDescent="0.25">
      <c r="A3619" t="s">
        <v>12143</v>
      </c>
      <c r="B3619" t="s">
        <v>12144</v>
      </c>
      <c r="C3619" t="s">
        <v>15</v>
      </c>
      <c r="D3619" t="s">
        <v>12145</v>
      </c>
      <c r="E3619" t="s">
        <v>11024</v>
      </c>
      <c r="F3619" t="s">
        <v>12108</v>
      </c>
      <c r="G3619" t="s">
        <v>12146</v>
      </c>
      <c r="H3619" t="str">
        <f>HYPERLINK("https://baanknet.com/view-property/171937/D2F429EB0629A26F3F86910E50BE3A7FB5913DEBB04ED2D8FC8C036FCEB180B2", "https://baanknet.com/view-property/171937/D2F429EB0629A26F3F86910E50BE3A7FB5913DEBB04ED2D8FC8C036FCEB180B2")</f>
        <v>https://baanknet.com/view-property/171937/D2F429EB0629A26F3F86910E50BE3A7FB5913DEBB04ED2D8FC8C036FCEB180B2</v>
      </c>
      <c r="I3619" t="str">
        <f>HYPERLINK("https://baanknet.com/view-property/171937/D2F429EB0629A26F3F86910E50BE3A7FB5913DEBB04ED2D8FC8C036FCEB180B2", "Open")</f>
        <v>Open</v>
      </c>
      <c r="J3619" t="s">
        <v>3803</v>
      </c>
      <c r="L3619">
        <v>1850000</v>
      </c>
      <c r="M3619">
        <v>185000</v>
      </c>
    </row>
    <row r="3620" spans="1:13" x14ac:dyDescent="0.25">
      <c r="A3620" t="s">
        <v>12147</v>
      </c>
      <c r="B3620" t="s">
        <v>12148</v>
      </c>
      <c r="C3620" t="s">
        <v>15</v>
      </c>
      <c r="D3620" t="s">
        <v>8290</v>
      </c>
      <c r="E3620" t="s">
        <v>11024</v>
      </c>
      <c r="F3620" t="s">
        <v>12108</v>
      </c>
      <c r="G3620" t="s">
        <v>12149</v>
      </c>
      <c r="H3620" t="str">
        <f>HYPERLINK("https://baanknet.com/view-property/244694/9DA015AE456187E773DCDCDC4CCA94627EDC78B678038AA24461A31D082CC121", "https://baanknet.com/view-property/244694/9DA015AE456187E773DCDCDC4CCA94627EDC78B678038AA24461A31D082CC121")</f>
        <v>https://baanknet.com/view-property/244694/9DA015AE456187E773DCDCDC4CCA94627EDC78B678038AA24461A31D082CC121</v>
      </c>
      <c r="I3620" t="str">
        <f>HYPERLINK("https://baanknet.com/view-property/244694/9DA015AE456187E773DCDCDC4CCA94627EDC78B678038AA24461A31D082CC121", "Open")</f>
        <v>Open</v>
      </c>
      <c r="J3620" t="s">
        <v>3803</v>
      </c>
      <c r="L3620">
        <v>3550000</v>
      </c>
      <c r="M3620">
        <v>355000</v>
      </c>
    </row>
    <row r="3621" spans="1:13" x14ac:dyDescent="0.25">
      <c r="A3621" t="s">
        <v>12150</v>
      </c>
      <c r="B3621" t="s">
        <v>12151</v>
      </c>
      <c r="C3621" t="s">
        <v>15</v>
      </c>
      <c r="D3621" t="s">
        <v>12152</v>
      </c>
      <c r="E3621" t="s">
        <v>11024</v>
      </c>
      <c r="F3621" t="s">
        <v>12108</v>
      </c>
      <c r="G3621" t="s">
        <v>12153</v>
      </c>
      <c r="H3621" t="str">
        <f>HYPERLINK("https://baanknet.com/view-property/189865/19DE23326DB1EAFD6354A79B6F48AAB69B7A12D706B9A9809C9D2161DBEB50EB", "https://baanknet.com/view-property/189865/19DE23326DB1EAFD6354A79B6F48AAB69B7A12D706B9A9809C9D2161DBEB50EB")</f>
        <v>https://baanknet.com/view-property/189865/19DE23326DB1EAFD6354A79B6F48AAB69B7A12D706B9A9809C9D2161DBEB50EB</v>
      </c>
      <c r="I3621" t="str">
        <f>HYPERLINK("https://baanknet.com/view-property/189865/19DE23326DB1EAFD6354A79B6F48AAB69B7A12D706B9A9809C9D2161DBEB50EB", "Open")</f>
        <v>Open</v>
      </c>
      <c r="J3621" t="s">
        <v>3803</v>
      </c>
      <c r="L3621">
        <v>5350000</v>
      </c>
      <c r="M3621">
        <v>535000</v>
      </c>
    </row>
    <row r="3622" spans="1:13" x14ac:dyDescent="0.25">
      <c r="A3622" t="s">
        <v>12154</v>
      </c>
      <c r="B3622" t="s">
        <v>12155</v>
      </c>
      <c r="C3622" t="s">
        <v>15</v>
      </c>
      <c r="D3622" t="s">
        <v>8290</v>
      </c>
      <c r="E3622" t="s">
        <v>11024</v>
      </c>
      <c r="F3622" t="s">
        <v>12108</v>
      </c>
      <c r="G3622" t="s">
        <v>12156</v>
      </c>
      <c r="H3622" t="str">
        <f>HYPERLINK("https://baanknet.com/view-property/279994/C7799C41017EE4527497CBEDB1E28D8F8181F805570AC5E095C8F07629647F72", "https://baanknet.com/view-property/279994/C7799C41017EE4527497CBEDB1E28D8F8181F805570AC5E095C8F07629647F72")</f>
        <v>https://baanknet.com/view-property/279994/C7799C41017EE4527497CBEDB1E28D8F8181F805570AC5E095C8F07629647F72</v>
      </c>
      <c r="I3622" t="str">
        <f>HYPERLINK("https://baanknet.com/view-property/279994/C7799C41017EE4527497CBEDB1E28D8F8181F805570AC5E095C8F07629647F72", "Open")</f>
        <v>Open</v>
      </c>
      <c r="J3622" t="s">
        <v>3803</v>
      </c>
      <c r="L3622">
        <v>2950000</v>
      </c>
      <c r="M3622">
        <v>295000</v>
      </c>
    </row>
    <row r="3623" spans="1:13" x14ac:dyDescent="0.25">
      <c r="A3623" t="s">
        <v>12157</v>
      </c>
      <c r="B3623" t="s">
        <v>12158</v>
      </c>
      <c r="C3623" t="s">
        <v>15</v>
      </c>
      <c r="D3623" t="s">
        <v>12145</v>
      </c>
      <c r="E3623" t="s">
        <v>11024</v>
      </c>
      <c r="F3623" t="s">
        <v>12108</v>
      </c>
      <c r="G3623" t="s">
        <v>12159</v>
      </c>
      <c r="H3623" t="str">
        <f>HYPERLINK("https://baanknet.com/view-property/204975/D14037CDC46D70F9DAF80FC1BF8ADB093FCE9A23E42C38E4C9508B072BFE919B", "https://baanknet.com/view-property/204975/D14037CDC46D70F9DAF80FC1BF8ADB093FCE9A23E42C38E4C9508B072BFE919B")</f>
        <v>https://baanknet.com/view-property/204975/D14037CDC46D70F9DAF80FC1BF8ADB093FCE9A23E42C38E4C9508B072BFE919B</v>
      </c>
      <c r="I3623" t="str">
        <f>HYPERLINK("https://baanknet.com/view-property/204975/D14037CDC46D70F9DAF80FC1BF8ADB093FCE9A23E42C38E4C9508B072BFE919B", "Open")</f>
        <v>Open</v>
      </c>
      <c r="J3623" t="s">
        <v>3803</v>
      </c>
      <c r="L3623">
        <v>9466000</v>
      </c>
      <c r="M3623">
        <v>946600</v>
      </c>
    </row>
    <row r="3624" spans="1:13" x14ac:dyDescent="0.25">
      <c r="A3624" t="s">
        <v>12160</v>
      </c>
      <c r="B3624" t="s">
        <v>12161</v>
      </c>
      <c r="C3624" t="s">
        <v>15</v>
      </c>
      <c r="D3624" t="s">
        <v>12162</v>
      </c>
      <c r="E3624" t="s">
        <v>11024</v>
      </c>
      <c r="F3624" t="s">
        <v>12108</v>
      </c>
      <c r="G3624" t="s">
        <v>12163</v>
      </c>
      <c r="H3624" t="str">
        <f>HYPERLINK("https://baanknet.com/view-property/251821/543862730270088944D39A0DCF5E9D9BF71DF25022BB7CBE11074951FC2F6015", "https://baanknet.com/view-property/251821/543862730270088944D39A0DCF5E9D9BF71DF25022BB7CBE11074951FC2F6015")</f>
        <v>https://baanknet.com/view-property/251821/543862730270088944D39A0DCF5E9D9BF71DF25022BB7CBE11074951FC2F6015</v>
      </c>
      <c r="I3624" t="str">
        <f>HYPERLINK("https://baanknet.com/view-property/251821/543862730270088944D39A0DCF5E9D9BF71DF25022BB7CBE11074951FC2F6015", "Open")</f>
        <v>Open</v>
      </c>
      <c r="J3624" t="s">
        <v>3803</v>
      </c>
      <c r="L3624">
        <v>5490000</v>
      </c>
      <c r="M3624">
        <v>549000</v>
      </c>
    </row>
    <row r="3625" spans="1:13" x14ac:dyDescent="0.25">
      <c r="A3625" t="s">
        <v>12164</v>
      </c>
      <c r="B3625" t="s">
        <v>12165</v>
      </c>
      <c r="C3625" t="s">
        <v>15</v>
      </c>
      <c r="D3625" t="s">
        <v>12166</v>
      </c>
      <c r="E3625" t="s">
        <v>11024</v>
      </c>
      <c r="F3625" t="s">
        <v>12108</v>
      </c>
      <c r="G3625" t="s">
        <v>12167</v>
      </c>
      <c r="H3625" t="str">
        <f>HYPERLINK("https://baanknet.com/view-property/188855/7DE3CB76F3D16F22544031F88D10DBEAACFE333474104DEB5027244C7E0BA60C", "https://baanknet.com/view-property/188855/7DE3CB76F3D16F22544031F88D10DBEAACFE333474104DEB5027244C7E0BA60C")</f>
        <v>https://baanknet.com/view-property/188855/7DE3CB76F3D16F22544031F88D10DBEAACFE333474104DEB5027244C7E0BA60C</v>
      </c>
      <c r="I3625" t="str">
        <f>HYPERLINK("https://baanknet.com/view-property/188855/7DE3CB76F3D16F22544031F88D10DBEAACFE333474104DEB5027244C7E0BA60C", "Open")</f>
        <v>Open</v>
      </c>
      <c r="J3625" t="s">
        <v>3803</v>
      </c>
      <c r="L3625">
        <v>3280000</v>
      </c>
      <c r="M3625">
        <v>328000</v>
      </c>
    </row>
    <row r="3626" spans="1:13" x14ac:dyDescent="0.25">
      <c r="A3626" t="s">
        <v>12168</v>
      </c>
      <c r="B3626" t="s">
        <v>12169</v>
      </c>
      <c r="C3626" t="s">
        <v>144</v>
      </c>
      <c r="D3626" t="s">
        <v>4587</v>
      </c>
      <c r="E3626" t="s">
        <v>11024</v>
      </c>
      <c r="F3626" t="s">
        <v>12108</v>
      </c>
      <c r="G3626" t="s">
        <v>12170</v>
      </c>
      <c r="H3626" t="str">
        <f>HYPERLINK("https://baanknet.com/view-property/254472/5BB1B948E2EF46F8FEE1227FD3FA85EE920DCD57DA20A836D88FD4FD753940EF", "https://baanknet.com/view-property/254472/5BB1B948E2EF46F8FEE1227FD3FA85EE920DCD57DA20A836D88FD4FD753940EF")</f>
        <v>https://baanknet.com/view-property/254472/5BB1B948E2EF46F8FEE1227FD3FA85EE920DCD57DA20A836D88FD4FD753940EF</v>
      </c>
      <c r="I3626" t="str">
        <f>HYPERLINK("https://baanknet.com/view-property/254472/5BB1B948E2EF46F8FEE1227FD3FA85EE920DCD57DA20A836D88FD4FD753940EF", "Open")</f>
        <v>Open</v>
      </c>
      <c r="J3626" t="s">
        <v>3803</v>
      </c>
      <c r="L3626">
        <v>2040000</v>
      </c>
      <c r="M3626">
        <v>204000</v>
      </c>
    </row>
    <row r="3627" spans="1:13" x14ac:dyDescent="0.25">
      <c r="A3627" t="s">
        <v>12171</v>
      </c>
      <c r="B3627" t="s">
        <v>12172</v>
      </c>
      <c r="C3627" t="s">
        <v>144</v>
      </c>
      <c r="D3627" t="s">
        <v>7740</v>
      </c>
      <c r="E3627" t="s">
        <v>11024</v>
      </c>
      <c r="F3627" t="s">
        <v>12108</v>
      </c>
      <c r="G3627" t="s">
        <v>12173</v>
      </c>
      <c r="H3627" t="str">
        <f>HYPERLINK("https://baanknet.com/view-property/257932/29FA54DC89345C80A8683D2C94847752A645C191F5078FB4069E427AD972B1CB", "https://baanknet.com/view-property/257932/29FA54DC89345C80A8683D2C94847752A645C191F5078FB4069E427AD972B1CB")</f>
        <v>https://baanknet.com/view-property/257932/29FA54DC89345C80A8683D2C94847752A645C191F5078FB4069E427AD972B1CB</v>
      </c>
      <c r="I3627" t="str">
        <f>HYPERLINK("https://baanknet.com/view-property/257932/29FA54DC89345C80A8683D2C94847752A645C191F5078FB4069E427AD972B1CB", "Open")</f>
        <v>Open</v>
      </c>
      <c r="J3627" t="s">
        <v>3803</v>
      </c>
      <c r="L3627">
        <v>1280000</v>
      </c>
      <c r="M3627">
        <v>128000</v>
      </c>
    </row>
    <row r="3628" spans="1:13" x14ac:dyDescent="0.25">
      <c r="A3628" t="s">
        <v>12174</v>
      </c>
      <c r="B3628" t="s">
        <v>12175</v>
      </c>
      <c r="C3628" t="s">
        <v>144</v>
      </c>
      <c r="D3628" t="s">
        <v>7740</v>
      </c>
      <c r="E3628" t="s">
        <v>11024</v>
      </c>
      <c r="F3628" t="s">
        <v>12108</v>
      </c>
      <c r="G3628" t="s">
        <v>12176</v>
      </c>
      <c r="H3628" t="str">
        <f>HYPERLINK("https://baanknet.com/view-property/257938/9C3923B25046496657C44A496C13DED2F952D6A317BC43647E4B67CEC5908425", "https://baanknet.com/view-property/257938/9C3923B25046496657C44A496C13DED2F952D6A317BC43647E4B67CEC5908425")</f>
        <v>https://baanknet.com/view-property/257938/9C3923B25046496657C44A496C13DED2F952D6A317BC43647E4B67CEC5908425</v>
      </c>
      <c r="I3628" t="str">
        <f>HYPERLINK("https://baanknet.com/view-property/257938/9C3923B25046496657C44A496C13DED2F952D6A317BC43647E4B67CEC5908425", "Open")</f>
        <v>Open</v>
      </c>
      <c r="J3628" t="s">
        <v>3803</v>
      </c>
      <c r="L3628">
        <v>1520000</v>
      </c>
      <c r="M3628">
        <v>152000</v>
      </c>
    </row>
    <row r="3629" spans="1:13" x14ac:dyDescent="0.25">
      <c r="A3629" t="s">
        <v>12177</v>
      </c>
      <c r="B3629" t="s">
        <v>12178</v>
      </c>
      <c r="C3629" t="s">
        <v>144</v>
      </c>
      <c r="D3629" t="s">
        <v>2824</v>
      </c>
      <c r="E3629" t="s">
        <v>11024</v>
      </c>
      <c r="F3629" t="s">
        <v>12108</v>
      </c>
      <c r="G3629" t="s">
        <v>12179</v>
      </c>
      <c r="H3629" t="str">
        <f>HYPERLINK("https://baanknet.com/view-property/263783/6E9D069F215229FD393288B8564324B8537B0888C385C8DCDAC4659DCBEB8DAB", "https://baanknet.com/view-property/263783/6E9D069F215229FD393288B8564324B8537B0888C385C8DCDAC4659DCBEB8DAB")</f>
        <v>https://baanknet.com/view-property/263783/6E9D069F215229FD393288B8564324B8537B0888C385C8DCDAC4659DCBEB8DAB</v>
      </c>
      <c r="I3629" t="str">
        <f>HYPERLINK("https://baanknet.com/view-property/263783/6E9D069F215229FD393288B8564324B8537B0888C385C8DCDAC4659DCBEB8DAB", "Open")</f>
        <v>Open</v>
      </c>
      <c r="J3629" t="s">
        <v>3803</v>
      </c>
      <c r="L3629">
        <v>1095000</v>
      </c>
      <c r="M3629">
        <v>109500</v>
      </c>
    </row>
    <row r="3630" spans="1:13" x14ac:dyDescent="0.25">
      <c r="A3630" t="s">
        <v>12180</v>
      </c>
      <c r="B3630" t="s">
        <v>12181</v>
      </c>
      <c r="C3630" t="s">
        <v>832</v>
      </c>
      <c r="D3630" t="s">
        <v>1246</v>
      </c>
      <c r="E3630" t="s">
        <v>11024</v>
      </c>
      <c r="F3630" t="s">
        <v>12108</v>
      </c>
      <c r="G3630" t="s">
        <v>12182</v>
      </c>
      <c r="H3630" t="str">
        <f>HYPERLINK("https://baanknet.com/view-property/258740/425393141265E2A5DE4AE2709989C3B281434299CF1CC185BBCC5970E887B29F", "https://baanknet.com/view-property/258740/425393141265E2A5DE4AE2709989C3B281434299CF1CC185BBCC5970E887B29F")</f>
        <v>https://baanknet.com/view-property/258740/425393141265E2A5DE4AE2709989C3B281434299CF1CC185BBCC5970E887B29F</v>
      </c>
      <c r="I3630" t="str">
        <f>HYPERLINK("https://baanknet.com/view-property/258740/425393141265E2A5DE4AE2709989C3B281434299CF1CC185BBCC5970E887B29F", "Open")</f>
        <v>Open</v>
      </c>
      <c r="J3630" t="s">
        <v>3803</v>
      </c>
      <c r="L3630">
        <v>4500000</v>
      </c>
      <c r="M3630">
        <v>450000</v>
      </c>
    </row>
    <row r="3631" spans="1:13" x14ac:dyDescent="0.25">
      <c r="A3631" t="s">
        <v>12183</v>
      </c>
      <c r="B3631" t="s">
        <v>12184</v>
      </c>
      <c r="C3631" t="s">
        <v>832</v>
      </c>
      <c r="D3631" t="s">
        <v>1246</v>
      </c>
      <c r="E3631" t="s">
        <v>11024</v>
      </c>
      <c r="F3631" t="s">
        <v>12108</v>
      </c>
      <c r="G3631" t="s">
        <v>12185</v>
      </c>
      <c r="H3631" t="str">
        <f>HYPERLINK("https://baanknet.com/view-property/183136/1F929C217FBB41AEE828D32A1C83D5FDE79A579EB9CCCAA1AF4089A84975A677", "https://baanknet.com/view-property/183136/1F929C217FBB41AEE828D32A1C83D5FDE79A579EB9CCCAA1AF4089A84975A677")</f>
        <v>https://baanknet.com/view-property/183136/1F929C217FBB41AEE828D32A1C83D5FDE79A579EB9CCCAA1AF4089A84975A677</v>
      </c>
      <c r="I3631" t="str">
        <f>HYPERLINK("https://baanknet.com/view-property/183136/1F929C217FBB41AEE828D32A1C83D5FDE79A579EB9CCCAA1AF4089A84975A677", "Open")</f>
        <v>Open</v>
      </c>
      <c r="J3631" t="s">
        <v>3803</v>
      </c>
      <c r="L3631">
        <v>3740000</v>
      </c>
      <c r="M3631">
        <v>374000</v>
      </c>
    </row>
    <row r="3632" spans="1:13" x14ac:dyDescent="0.25">
      <c r="A3632" t="s">
        <v>12186</v>
      </c>
      <c r="B3632" t="s">
        <v>12187</v>
      </c>
      <c r="C3632" t="s">
        <v>832</v>
      </c>
      <c r="D3632" t="s">
        <v>1246</v>
      </c>
      <c r="E3632" t="s">
        <v>11024</v>
      </c>
      <c r="F3632" t="s">
        <v>12108</v>
      </c>
      <c r="G3632" t="s">
        <v>12188</v>
      </c>
      <c r="H3632" t="str">
        <f>HYPERLINK("https://baanknet.com/view-property/184340/FF1BEBAC27FFE4AD24EC0D6E26D045DE7D3CAF21F8E9752360FACCA36C157923", "https://baanknet.com/view-property/184340/FF1BEBAC27FFE4AD24EC0D6E26D045DE7D3CAF21F8E9752360FACCA36C157923")</f>
        <v>https://baanknet.com/view-property/184340/FF1BEBAC27FFE4AD24EC0D6E26D045DE7D3CAF21F8E9752360FACCA36C157923</v>
      </c>
      <c r="I3632" t="str">
        <f>HYPERLINK("https://baanknet.com/view-property/184340/FF1BEBAC27FFE4AD24EC0D6E26D045DE7D3CAF21F8E9752360FACCA36C157923", "Open")</f>
        <v>Open</v>
      </c>
      <c r="J3632" t="s">
        <v>3803</v>
      </c>
      <c r="L3632">
        <v>4695000</v>
      </c>
      <c r="M3632">
        <v>469500</v>
      </c>
    </row>
    <row r="3633" spans="1:13" x14ac:dyDescent="0.25">
      <c r="A3633" t="s">
        <v>12189</v>
      </c>
      <c r="B3633" t="s">
        <v>12190</v>
      </c>
      <c r="C3633" t="s">
        <v>832</v>
      </c>
      <c r="D3633" t="s">
        <v>1246</v>
      </c>
      <c r="E3633" t="s">
        <v>11024</v>
      </c>
      <c r="F3633" t="s">
        <v>12108</v>
      </c>
      <c r="G3633" t="s">
        <v>12191</v>
      </c>
      <c r="H3633" t="str">
        <f>HYPERLINK("https://baanknet.com/view-property/183147/B68C3C69C4699964C3B013BA0587721C83E87259D61BEA19D703188B16791025", "https://baanknet.com/view-property/183147/B68C3C69C4699964C3B013BA0587721C83E87259D61BEA19D703188B16791025")</f>
        <v>https://baanknet.com/view-property/183147/B68C3C69C4699964C3B013BA0587721C83E87259D61BEA19D703188B16791025</v>
      </c>
      <c r="I3633" t="str">
        <f>HYPERLINK("https://baanknet.com/view-property/183147/B68C3C69C4699964C3B013BA0587721C83E87259D61BEA19D703188B16791025", "Open")</f>
        <v>Open</v>
      </c>
      <c r="J3633" t="s">
        <v>3803</v>
      </c>
      <c r="L3633">
        <v>9600000</v>
      </c>
      <c r="M3633">
        <v>960000</v>
      </c>
    </row>
    <row r="3634" spans="1:13" x14ac:dyDescent="0.25">
      <c r="A3634" t="s">
        <v>12192</v>
      </c>
      <c r="B3634" t="s">
        <v>12193</v>
      </c>
      <c r="C3634" t="s">
        <v>832</v>
      </c>
      <c r="D3634" t="s">
        <v>1246</v>
      </c>
      <c r="E3634" t="s">
        <v>11024</v>
      </c>
      <c r="F3634" t="s">
        <v>12108</v>
      </c>
      <c r="G3634" t="s">
        <v>12194</v>
      </c>
      <c r="H3634" t="str">
        <f>HYPERLINK("https://baanknet.com/view-property/258739/473C714A8365411DC2BE11FB2EE8CC754C4B17FFD3B7C86FE6D4CDCF5422668F", "https://baanknet.com/view-property/258739/473C714A8365411DC2BE11FB2EE8CC754C4B17FFD3B7C86FE6D4CDCF5422668F")</f>
        <v>https://baanknet.com/view-property/258739/473C714A8365411DC2BE11FB2EE8CC754C4B17FFD3B7C86FE6D4CDCF5422668F</v>
      </c>
      <c r="I3634" t="str">
        <f>HYPERLINK("https://baanknet.com/view-property/258739/473C714A8365411DC2BE11FB2EE8CC754C4B17FFD3B7C86FE6D4CDCF5422668F", "Open")</f>
        <v>Open</v>
      </c>
      <c r="J3634" t="s">
        <v>3803</v>
      </c>
      <c r="L3634">
        <v>2550000</v>
      </c>
      <c r="M3634">
        <v>255000</v>
      </c>
    </row>
    <row r="3635" spans="1:13" x14ac:dyDescent="0.25">
      <c r="A3635" t="s">
        <v>12195</v>
      </c>
      <c r="B3635" t="s">
        <v>12196</v>
      </c>
      <c r="C3635" t="s">
        <v>832</v>
      </c>
      <c r="D3635" t="s">
        <v>1246</v>
      </c>
      <c r="E3635" t="s">
        <v>11024</v>
      </c>
      <c r="F3635" t="s">
        <v>12108</v>
      </c>
      <c r="G3635" t="s">
        <v>12197</v>
      </c>
      <c r="H3635" t="str">
        <f>HYPERLINK("https://baanknet.com/view-property/258756/62CF968AB4114A0AD6A5D4008B50E1FE5BD4B3233AD22810BFB969B9A371E89E", "https://baanknet.com/view-property/258756/62CF968AB4114A0AD6A5D4008B50E1FE5BD4B3233AD22810BFB969B9A371E89E")</f>
        <v>https://baanknet.com/view-property/258756/62CF968AB4114A0AD6A5D4008B50E1FE5BD4B3233AD22810BFB969B9A371E89E</v>
      </c>
      <c r="I3635" t="str">
        <f>HYPERLINK("https://baanknet.com/view-property/258756/62CF968AB4114A0AD6A5D4008B50E1FE5BD4B3233AD22810BFB969B9A371E89E", "Open")</f>
        <v>Open</v>
      </c>
      <c r="J3635" t="s">
        <v>3803</v>
      </c>
      <c r="L3635">
        <v>5499000</v>
      </c>
      <c r="M3635">
        <v>549900</v>
      </c>
    </row>
    <row r="3636" spans="1:13" x14ac:dyDescent="0.25">
      <c r="A3636" t="s">
        <v>12198</v>
      </c>
      <c r="B3636" t="s">
        <v>12199</v>
      </c>
      <c r="C3636" t="s">
        <v>832</v>
      </c>
      <c r="D3636" t="s">
        <v>1246</v>
      </c>
      <c r="E3636" t="s">
        <v>11024</v>
      </c>
      <c r="F3636" t="s">
        <v>12108</v>
      </c>
      <c r="G3636" t="s">
        <v>12200</v>
      </c>
      <c r="H3636" t="str">
        <f>HYPERLINK("https://baanknet.com/view-property/258759/767CD7CA62BFA5CF95824B530B0DCF253A39BE52F84A464555E1459D4C70B698", "https://baanknet.com/view-property/258759/767CD7CA62BFA5CF95824B530B0DCF253A39BE52F84A464555E1459D4C70B698")</f>
        <v>https://baanknet.com/view-property/258759/767CD7CA62BFA5CF95824B530B0DCF253A39BE52F84A464555E1459D4C70B698</v>
      </c>
      <c r="I3636" t="str">
        <f>HYPERLINK("https://baanknet.com/view-property/258759/767CD7CA62BFA5CF95824B530B0DCF253A39BE52F84A464555E1459D4C70B698", "Open")</f>
        <v>Open</v>
      </c>
      <c r="J3636" t="s">
        <v>3803</v>
      </c>
      <c r="L3636">
        <v>5427000</v>
      </c>
      <c r="M3636">
        <v>542700</v>
      </c>
    </row>
    <row r="3637" spans="1:13" x14ac:dyDescent="0.25">
      <c r="A3637" t="s">
        <v>12201</v>
      </c>
      <c r="B3637" t="s">
        <v>12202</v>
      </c>
      <c r="C3637" t="s">
        <v>15</v>
      </c>
      <c r="D3637" t="s">
        <v>12203</v>
      </c>
      <c r="E3637" t="s">
        <v>11024</v>
      </c>
      <c r="F3637" t="s">
        <v>11102</v>
      </c>
      <c r="G3637" t="s">
        <v>12204</v>
      </c>
      <c r="H3637" t="str">
        <f>HYPERLINK("https://baanknet.com/view-property/201285/C100AE6BE22FC252A34FD220C85F4A8EB0E319D20DBAC10C6394C6188F935EFE", "https://baanknet.com/view-property/201285/C100AE6BE22FC252A34FD220C85F4A8EB0E319D20DBAC10C6394C6188F935EFE")</f>
        <v>https://baanknet.com/view-property/201285/C100AE6BE22FC252A34FD220C85F4A8EB0E319D20DBAC10C6394C6188F935EFE</v>
      </c>
      <c r="I3637" t="str">
        <f>HYPERLINK("https://baanknet.com/view-property/201285/C100AE6BE22FC252A34FD220C85F4A8EB0E319D20DBAC10C6394C6188F935EFE", "Open")</f>
        <v>Open</v>
      </c>
      <c r="J3637" t="s">
        <v>3803</v>
      </c>
      <c r="L3637">
        <v>1343000</v>
      </c>
      <c r="M3637">
        <v>134300</v>
      </c>
    </row>
    <row r="3638" spans="1:13" x14ac:dyDescent="0.25">
      <c r="A3638" t="s">
        <v>12205</v>
      </c>
      <c r="B3638" t="s">
        <v>12206</v>
      </c>
      <c r="C3638" t="s">
        <v>15</v>
      </c>
      <c r="D3638" t="s">
        <v>3580</v>
      </c>
      <c r="E3638" t="s">
        <v>11024</v>
      </c>
      <c r="F3638" t="s">
        <v>11102</v>
      </c>
      <c r="G3638" t="s">
        <v>12207</v>
      </c>
      <c r="H3638" t="str">
        <f>HYPERLINK("https://baanknet.com/view-property/208229/12BA678A950A95E349A1B00F1CF6E3A56EE31E82DFB57EEE1439A572512700D7", "https://baanknet.com/view-property/208229/12BA678A950A95E349A1B00F1CF6E3A56EE31E82DFB57EEE1439A572512700D7")</f>
        <v>https://baanknet.com/view-property/208229/12BA678A950A95E349A1B00F1CF6E3A56EE31E82DFB57EEE1439A572512700D7</v>
      </c>
      <c r="I3638" t="str">
        <f>HYPERLINK("https://baanknet.com/view-property/208229/12BA678A950A95E349A1B00F1CF6E3A56EE31E82DFB57EEE1439A572512700D7", "Open")</f>
        <v>Open</v>
      </c>
      <c r="J3638" t="s">
        <v>3803</v>
      </c>
      <c r="L3638">
        <v>1969000</v>
      </c>
      <c r="M3638">
        <v>196900</v>
      </c>
    </row>
    <row r="3639" spans="1:13" x14ac:dyDescent="0.25">
      <c r="A3639" t="s">
        <v>12208</v>
      </c>
      <c r="B3639" t="s">
        <v>12209</v>
      </c>
      <c r="C3639" t="s">
        <v>15</v>
      </c>
      <c r="D3639" t="s">
        <v>12210</v>
      </c>
      <c r="E3639" t="s">
        <v>11024</v>
      </c>
      <c r="F3639" t="s">
        <v>11102</v>
      </c>
      <c r="G3639" t="s">
        <v>12211</v>
      </c>
      <c r="H3639" t="str">
        <f>HYPERLINK("https://baanknet.com/view-property/208312/DBB0D98AEDAFCCF7B3C50F8888BB298800D33939223B7DD6E814F7D0F7181080", "https://baanknet.com/view-property/208312/DBB0D98AEDAFCCF7B3C50F8888BB298800D33939223B7DD6E814F7D0F7181080")</f>
        <v>https://baanknet.com/view-property/208312/DBB0D98AEDAFCCF7B3C50F8888BB298800D33939223B7DD6E814F7D0F7181080</v>
      </c>
      <c r="I3639" t="str">
        <f>HYPERLINK("https://baanknet.com/view-property/208312/DBB0D98AEDAFCCF7B3C50F8888BB298800D33939223B7DD6E814F7D0F7181080", "Open")</f>
        <v>Open</v>
      </c>
      <c r="J3639" t="s">
        <v>3803</v>
      </c>
      <c r="L3639">
        <v>3820000</v>
      </c>
      <c r="M3639">
        <v>382000</v>
      </c>
    </row>
    <row r="3640" spans="1:13" x14ac:dyDescent="0.25">
      <c r="A3640" t="s">
        <v>12212</v>
      </c>
      <c r="B3640" t="s">
        <v>12213</v>
      </c>
      <c r="C3640" t="s">
        <v>15</v>
      </c>
      <c r="D3640" t="s">
        <v>12214</v>
      </c>
      <c r="E3640" t="s">
        <v>11024</v>
      </c>
      <c r="F3640" t="s">
        <v>11102</v>
      </c>
      <c r="G3640" t="s">
        <v>12215</v>
      </c>
      <c r="H3640" t="str">
        <f>HYPERLINK("https://baanknet.com/view-property/188261/F45A4F0517BFD5D9EA436212E79C50AEDCCBE73983066570BA804549E41D3301", "https://baanknet.com/view-property/188261/F45A4F0517BFD5D9EA436212E79C50AEDCCBE73983066570BA804549E41D3301")</f>
        <v>https://baanknet.com/view-property/188261/F45A4F0517BFD5D9EA436212E79C50AEDCCBE73983066570BA804549E41D3301</v>
      </c>
      <c r="I3640" t="str">
        <f>HYPERLINK("https://baanknet.com/view-property/188261/F45A4F0517BFD5D9EA436212E79C50AEDCCBE73983066570BA804549E41D3301", "Open")</f>
        <v>Open</v>
      </c>
      <c r="J3640" t="s">
        <v>3803</v>
      </c>
      <c r="L3640">
        <v>3825000</v>
      </c>
      <c r="M3640">
        <v>382500</v>
      </c>
    </row>
    <row r="3641" spans="1:13" x14ac:dyDescent="0.25">
      <c r="A3641" t="s">
        <v>12216</v>
      </c>
      <c r="B3641" t="s">
        <v>12217</v>
      </c>
      <c r="C3641" t="s">
        <v>15</v>
      </c>
      <c r="D3641" t="s">
        <v>12218</v>
      </c>
      <c r="E3641" t="s">
        <v>11024</v>
      </c>
      <c r="F3641" t="s">
        <v>11102</v>
      </c>
      <c r="G3641" t="s">
        <v>12219</v>
      </c>
      <c r="H3641" t="str">
        <f>HYPERLINK("https://baanknet.com/view-property/200162/073574FCF27673AF49BFB8AA36D320DE69F38D2D03591AB9F4E9BDDA6053ED96", "https://baanknet.com/view-property/200162/073574FCF27673AF49BFB8AA36D320DE69F38D2D03591AB9F4E9BDDA6053ED96")</f>
        <v>https://baanknet.com/view-property/200162/073574FCF27673AF49BFB8AA36D320DE69F38D2D03591AB9F4E9BDDA6053ED96</v>
      </c>
      <c r="I3641" t="str">
        <f>HYPERLINK("https://baanknet.com/view-property/200162/073574FCF27673AF49BFB8AA36D320DE69F38D2D03591AB9F4E9BDDA6053ED96", "Open")</f>
        <v>Open</v>
      </c>
      <c r="J3641" t="s">
        <v>3803</v>
      </c>
      <c r="L3641">
        <v>6120000</v>
      </c>
      <c r="M3641">
        <v>612000</v>
      </c>
    </row>
    <row r="3642" spans="1:13" x14ac:dyDescent="0.25">
      <c r="A3642" t="s">
        <v>12220</v>
      </c>
      <c r="B3642" t="s">
        <v>12221</v>
      </c>
      <c r="C3642" t="s">
        <v>15</v>
      </c>
      <c r="D3642" t="s">
        <v>11904</v>
      </c>
      <c r="E3642" t="s">
        <v>11024</v>
      </c>
      <c r="F3642" t="s">
        <v>11102</v>
      </c>
      <c r="G3642" t="s">
        <v>12222</v>
      </c>
      <c r="H3642" t="str">
        <f>HYPERLINK("https://baanknet.com/view-property/214096/AF0E284B51F37B786F41D2B1217FBE120B69E12C5F4BB311B0EA078EEDF96F6E", "https://baanknet.com/view-property/214096/AF0E284B51F37B786F41D2B1217FBE120B69E12C5F4BB311B0EA078EEDF96F6E")</f>
        <v>https://baanknet.com/view-property/214096/AF0E284B51F37B786F41D2B1217FBE120B69E12C5F4BB311B0EA078EEDF96F6E</v>
      </c>
      <c r="I3642" t="str">
        <f>HYPERLINK("https://baanknet.com/view-property/214096/AF0E284B51F37B786F41D2B1217FBE120B69E12C5F4BB311B0EA078EEDF96F6E", "Open")</f>
        <v>Open</v>
      </c>
      <c r="J3642" t="s">
        <v>3803</v>
      </c>
      <c r="L3642">
        <v>1134000</v>
      </c>
      <c r="M3642">
        <v>113400</v>
      </c>
    </row>
    <row r="3643" spans="1:13" x14ac:dyDescent="0.25">
      <c r="A3643" t="s">
        <v>12223</v>
      </c>
      <c r="B3643" t="s">
        <v>12224</v>
      </c>
      <c r="C3643" t="s">
        <v>15</v>
      </c>
      <c r="D3643" t="s">
        <v>3584</v>
      </c>
      <c r="E3643" t="s">
        <v>11024</v>
      </c>
      <c r="F3643" t="s">
        <v>11102</v>
      </c>
      <c r="G3643" t="s">
        <v>12225</v>
      </c>
      <c r="H3643" t="str">
        <f>HYPERLINK("https://baanknet.com/view-property/208470/C20038D3D8EE6A6E9A09335D21F3DEB250DDD50ECF2705697322BE4E6F82EE01", "https://baanknet.com/view-property/208470/C20038D3D8EE6A6E9A09335D21F3DEB250DDD50ECF2705697322BE4E6F82EE01")</f>
        <v>https://baanknet.com/view-property/208470/C20038D3D8EE6A6E9A09335D21F3DEB250DDD50ECF2705697322BE4E6F82EE01</v>
      </c>
      <c r="I3643" t="str">
        <f>HYPERLINK("https://baanknet.com/view-property/208470/C20038D3D8EE6A6E9A09335D21F3DEB250DDD50ECF2705697322BE4E6F82EE01", "Open")</f>
        <v>Open</v>
      </c>
      <c r="J3643" t="s">
        <v>3803</v>
      </c>
      <c r="L3643">
        <v>1801000</v>
      </c>
      <c r="M3643">
        <v>180100</v>
      </c>
    </row>
    <row r="3644" spans="1:13" x14ac:dyDescent="0.25">
      <c r="A3644" t="s">
        <v>12226</v>
      </c>
      <c r="B3644" t="s">
        <v>12227</v>
      </c>
      <c r="C3644" t="s">
        <v>15</v>
      </c>
      <c r="D3644" t="s">
        <v>3344</v>
      </c>
      <c r="E3644" t="s">
        <v>11024</v>
      </c>
      <c r="F3644" t="s">
        <v>11102</v>
      </c>
      <c r="G3644" t="s">
        <v>12228</v>
      </c>
      <c r="H3644" t="str">
        <f>HYPERLINK("https://baanknet.com/view-property/189172/D88AAA2C0991EDACD7467C53BD19D4E187B99644F35D22B4EA6D4DEBBDC4CA63", "https://baanknet.com/view-property/189172/D88AAA2C0991EDACD7467C53BD19D4E187B99644F35D22B4EA6D4DEBBDC4CA63")</f>
        <v>https://baanknet.com/view-property/189172/D88AAA2C0991EDACD7467C53BD19D4E187B99644F35D22B4EA6D4DEBBDC4CA63</v>
      </c>
      <c r="I3644" t="str">
        <f>HYPERLINK("https://baanknet.com/view-property/189172/D88AAA2C0991EDACD7467C53BD19D4E187B99644F35D22B4EA6D4DEBBDC4CA63", "Open")</f>
        <v>Open</v>
      </c>
      <c r="J3644" t="s">
        <v>3803</v>
      </c>
      <c r="L3644">
        <v>2952000</v>
      </c>
      <c r="M3644">
        <v>295200</v>
      </c>
    </row>
    <row r="3645" spans="1:13" x14ac:dyDescent="0.25">
      <c r="A3645" t="s">
        <v>12229</v>
      </c>
      <c r="B3645" t="s">
        <v>12230</v>
      </c>
      <c r="C3645" t="s">
        <v>15</v>
      </c>
      <c r="D3645" t="s">
        <v>3592</v>
      </c>
      <c r="E3645" t="s">
        <v>11024</v>
      </c>
      <c r="F3645" t="s">
        <v>11102</v>
      </c>
      <c r="G3645" t="s">
        <v>12231</v>
      </c>
      <c r="H3645" t="str">
        <f>HYPERLINK("https://baanknet.com/view-property/261187/F445DEEBE68A0F9412BB7C7ED0A694F353F6AABF36FFD6F124091ED31977ADD2", "https://baanknet.com/view-property/261187/F445DEEBE68A0F9412BB7C7ED0A694F353F6AABF36FFD6F124091ED31977ADD2")</f>
        <v>https://baanknet.com/view-property/261187/F445DEEBE68A0F9412BB7C7ED0A694F353F6AABF36FFD6F124091ED31977ADD2</v>
      </c>
      <c r="I3645" t="str">
        <f>HYPERLINK("https://baanknet.com/view-property/261187/F445DEEBE68A0F9412BB7C7ED0A694F353F6AABF36FFD6F124091ED31977ADD2", "Open")</f>
        <v>Open</v>
      </c>
      <c r="J3645" t="s">
        <v>3803</v>
      </c>
      <c r="L3645">
        <v>2555000</v>
      </c>
      <c r="M3645">
        <v>255500</v>
      </c>
    </row>
    <row r="3646" spans="1:13" x14ac:dyDescent="0.25">
      <c r="A3646" t="s">
        <v>12232</v>
      </c>
      <c r="B3646" t="s">
        <v>12233</v>
      </c>
      <c r="C3646" t="s">
        <v>15</v>
      </c>
      <c r="D3646" t="s">
        <v>11904</v>
      </c>
      <c r="E3646" t="s">
        <v>11024</v>
      </c>
      <c r="F3646" t="s">
        <v>11102</v>
      </c>
      <c r="G3646" t="s">
        <v>12234</v>
      </c>
      <c r="H3646" t="str">
        <f>HYPERLINK("https://baanknet.com/view-property/253730/FE536470AE937C7C27B074F0FCB49655353783AE108146B72858AFA77BD28E3A", "https://baanknet.com/view-property/253730/FE536470AE937C7C27B074F0FCB49655353783AE108146B72858AFA77BD28E3A")</f>
        <v>https://baanknet.com/view-property/253730/FE536470AE937C7C27B074F0FCB49655353783AE108146B72858AFA77BD28E3A</v>
      </c>
      <c r="I3646" t="str">
        <f>HYPERLINK("https://baanknet.com/view-property/253730/FE536470AE937C7C27B074F0FCB49655353783AE108146B72858AFA77BD28E3A", "Open")</f>
        <v>Open</v>
      </c>
      <c r="J3646" t="s">
        <v>3803</v>
      </c>
      <c r="L3646">
        <v>1570000</v>
      </c>
      <c r="M3646">
        <v>157000</v>
      </c>
    </row>
    <row r="3647" spans="1:13" x14ac:dyDescent="0.25">
      <c r="A3647" t="s">
        <v>12235</v>
      </c>
      <c r="B3647" t="s">
        <v>12236</v>
      </c>
      <c r="C3647" t="s">
        <v>15</v>
      </c>
      <c r="D3647" t="s">
        <v>11994</v>
      </c>
      <c r="E3647" t="s">
        <v>11024</v>
      </c>
      <c r="F3647" t="s">
        <v>11102</v>
      </c>
      <c r="G3647" t="s">
        <v>12237</v>
      </c>
      <c r="H3647" t="str">
        <f>HYPERLINK("https://baanknet.com/view-property/247574/7D1FA4FA62F7A2EC636E02401607A7A9D6AEBED77863E7CB9E08176828C1A13D", "https://baanknet.com/view-property/247574/7D1FA4FA62F7A2EC636E02401607A7A9D6AEBED77863E7CB9E08176828C1A13D")</f>
        <v>https://baanknet.com/view-property/247574/7D1FA4FA62F7A2EC636E02401607A7A9D6AEBED77863E7CB9E08176828C1A13D</v>
      </c>
      <c r="I3647" t="str">
        <f>HYPERLINK("https://baanknet.com/view-property/247574/7D1FA4FA62F7A2EC636E02401607A7A9D6AEBED77863E7CB9E08176828C1A13D", "Open")</f>
        <v>Open</v>
      </c>
      <c r="J3647" t="s">
        <v>3803</v>
      </c>
      <c r="L3647">
        <v>2353000</v>
      </c>
      <c r="M3647">
        <v>235300</v>
      </c>
    </row>
    <row r="3648" spans="1:13" x14ac:dyDescent="0.25">
      <c r="A3648" t="s">
        <v>12238</v>
      </c>
      <c r="B3648" t="s">
        <v>12239</v>
      </c>
      <c r="C3648" t="s">
        <v>15</v>
      </c>
      <c r="D3648" t="s">
        <v>12240</v>
      </c>
      <c r="E3648" t="s">
        <v>11024</v>
      </c>
      <c r="F3648" t="s">
        <v>11102</v>
      </c>
      <c r="G3648" t="s">
        <v>12241</v>
      </c>
      <c r="H3648" t="str">
        <f>HYPERLINK("https://baanknet.com/view-property/205095/BD6273BFA91BE1FE5C30EC3DE22D8ED3D74C29DCC4238381DAF86F48F838032D", "https://baanknet.com/view-property/205095/BD6273BFA91BE1FE5C30EC3DE22D8ED3D74C29DCC4238381DAF86F48F838032D")</f>
        <v>https://baanknet.com/view-property/205095/BD6273BFA91BE1FE5C30EC3DE22D8ED3D74C29DCC4238381DAF86F48F838032D</v>
      </c>
      <c r="I3648" t="str">
        <f>HYPERLINK("https://baanknet.com/view-property/205095/BD6273BFA91BE1FE5C30EC3DE22D8ED3D74C29DCC4238381DAF86F48F838032D", "Open")</f>
        <v>Open</v>
      </c>
      <c r="J3648" t="s">
        <v>3803</v>
      </c>
      <c r="L3648">
        <v>1563000</v>
      </c>
      <c r="M3648">
        <v>156300</v>
      </c>
    </row>
    <row r="3649" spans="1:13" x14ac:dyDescent="0.25">
      <c r="A3649" t="s">
        <v>12242</v>
      </c>
      <c r="B3649" t="s">
        <v>12243</v>
      </c>
      <c r="C3649" t="s">
        <v>15</v>
      </c>
      <c r="D3649" t="s">
        <v>12244</v>
      </c>
      <c r="E3649" t="s">
        <v>11024</v>
      </c>
      <c r="F3649" t="s">
        <v>11102</v>
      </c>
      <c r="G3649" t="s">
        <v>12245</v>
      </c>
      <c r="H3649" t="str">
        <f>HYPERLINK("https://baanknet.com/view-property/213396/67CF12A71750B78317FB93CBF516A7218129C99D06416B16F0D8B95DB528FBE9", "https://baanknet.com/view-property/213396/67CF12A71750B78317FB93CBF516A7218129C99D06416B16F0D8B95DB528FBE9")</f>
        <v>https://baanknet.com/view-property/213396/67CF12A71750B78317FB93CBF516A7218129C99D06416B16F0D8B95DB528FBE9</v>
      </c>
      <c r="I3649" t="str">
        <f>HYPERLINK("https://baanknet.com/view-property/213396/67CF12A71750B78317FB93CBF516A7218129C99D06416B16F0D8B95DB528FBE9", "Open")</f>
        <v>Open</v>
      </c>
      <c r="J3649" t="s">
        <v>3803</v>
      </c>
      <c r="L3649">
        <v>772000</v>
      </c>
      <c r="M3649">
        <v>77200</v>
      </c>
    </row>
    <row r="3650" spans="1:13" x14ac:dyDescent="0.25">
      <c r="A3650" t="s">
        <v>12246</v>
      </c>
      <c r="B3650" t="s">
        <v>12247</v>
      </c>
      <c r="C3650" t="s">
        <v>15</v>
      </c>
      <c r="D3650" t="s">
        <v>4339</v>
      </c>
      <c r="E3650" t="s">
        <v>11024</v>
      </c>
      <c r="F3650" t="s">
        <v>11102</v>
      </c>
      <c r="G3650" t="s">
        <v>12248</v>
      </c>
      <c r="H3650" t="str">
        <f>HYPERLINK("https://baanknet.com/view-property/251176/2E2093F903513A2717252881A0FD664028E2AD7923629CF0F2105ADEF2AEC17E", "https://baanknet.com/view-property/251176/2E2093F903513A2717252881A0FD664028E2AD7923629CF0F2105ADEF2AEC17E")</f>
        <v>https://baanknet.com/view-property/251176/2E2093F903513A2717252881A0FD664028E2AD7923629CF0F2105ADEF2AEC17E</v>
      </c>
      <c r="I3650" t="str">
        <f>HYPERLINK("https://baanknet.com/view-property/251176/2E2093F903513A2717252881A0FD664028E2AD7923629CF0F2105ADEF2AEC17E", "Open")</f>
        <v>Open</v>
      </c>
      <c r="J3650" t="s">
        <v>3803</v>
      </c>
      <c r="L3650">
        <v>2510000</v>
      </c>
      <c r="M3650">
        <v>251000</v>
      </c>
    </row>
    <row r="3651" spans="1:13" x14ac:dyDescent="0.25">
      <c r="A3651" t="s">
        <v>12249</v>
      </c>
      <c r="B3651" t="s">
        <v>12250</v>
      </c>
      <c r="C3651" t="s">
        <v>15</v>
      </c>
      <c r="D3651" t="s">
        <v>4325</v>
      </c>
      <c r="E3651" t="s">
        <v>11024</v>
      </c>
      <c r="F3651" t="s">
        <v>11102</v>
      </c>
      <c r="G3651" t="s">
        <v>12251</v>
      </c>
      <c r="H3651" t="str">
        <f>HYPERLINK("https://baanknet.com/view-property/275910/4B9AD8FFA66F18AF3FAFF8BDF5F3C6C0EE8B7A79B5EFFC304B5C78DC80F8410A", "https://baanknet.com/view-property/275910/4B9AD8FFA66F18AF3FAFF8BDF5F3C6C0EE8B7A79B5EFFC304B5C78DC80F8410A")</f>
        <v>https://baanknet.com/view-property/275910/4B9AD8FFA66F18AF3FAFF8BDF5F3C6C0EE8B7A79B5EFFC304B5C78DC80F8410A</v>
      </c>
      <c r="I3651" t="str">
        <f>HYPERLINK("https://baanknet.com/view-property/275910/4B9AD8FFA66F18AF3FAFF8BDF5F3C6C0EE8B7A79B5EFFC304B5C78DC80F8410A", "Open")</f>
        <v>Open</v>
      </c>
      <c r="J3651" t="s">
        <v>3803</v>
      </c>
      <c r="L3651">
        <v>6000000</v>
      </c>
      <c r="M3651">
        <v>600000</v>
      </c>
    </row>
    <row r="3652" spans="1:13" x14ac:dyDescent="0.25">
      <c r="A3652" t="s">
        <v>12252</v>
      </c>
      <c r="B3652" t="s">
        <v>12253</v>
      </c>
      <c r="C3652" t="s">
        <v>15</v>
      </c>
      <c r="D3652" t="s">
        <v>11904</v>
      </c>
      <c r="E3652" t="s">
        <v>11024</v>
      </c>
      <c r="F3652" t="s">
        <v>11102</v>
      </c>
      <c r="G3652" t="s">
        <v>12254</v>
      </c>
      <c r="H3652" t="str">
        <f>HYPERLINK("https://baanknet.com/view-property/247603/846B1E03800D8A454F7A5C3C1B5C7C6B8CFEAAD096CD0615ECA6407A13585027", "https://baanknet.com/view-property/247603/846B1E03800D8A454F7A5C3C1B5C7C6B8CFEAAD096CD0615ECA6407A13585027")</f>
        <v>https://baanknet.com/view-property/247603/846B1E03800D8A454F7A5C3C1B5C7C6B8CFEAAD096CD0615ECA6407A13585027</v>
      </c>
      <c r="I3652" t="str">
        <f>HYPERLINK("https://baanknet.com/view-property/247603/846B1E03800D8A454F7A5C3C1B5C7C6B8CFEAAD096CD0615ECA6407A13585027", "Open")</f>
        <v>Open</v>
      </c>
      <c r="J3652" t="s">
        <v>3803</v>
      </c>
      <c r="L3652">
        <v>1534000</v>
      </c>
      <c r="M3652">
        <v>153400</v>
      </c>
    </row>
    <row r="3653" spans="1:13" x14ac:dyDescent="0.25">
      <c r="A3653" t="s">
        <v>12255</v>
      </c>
      <c r="B3653" t="s">
        <v>12256</v>
      </c>
      <c r="C3653" t="s">
        <v>15</v>
      </c>
      <c r="D3653" t="s">
        <v>12218</v>
      </c>
      <c r="E3653" t="s">
        <v>11024</v>
      </c>
      <c r="F3653" t="s">
        <v>11102</v>
      </c>
      <c r="G3653" t="s">
        <v>12257</v>
      </c>
      <c r="H3653" t="str">
        <f>HYPERLINK("https://baanknet.com/view-property/261189/1FF58E8CB7986D8A4E3834CEC91A17C3D841B4DA611239641A096101A3D9819F", "https://baanknet.com/view-property/261189/1FF58E8CB7986D8A4E3834CEC91A17C3D841B4DA611239641A096101A3D9819F")</f>
        <v>https://baanknet.com/view-property/261189/1FF58E8CB7986D8A4E3834CEC91A17C3D841B4DA611239641A096101A3D9819F</v>
      </c>
      <c r="I3653" t="str">
        <f>HYPERLINK("https://baanknet.com/view-property/261189/1FF58E8CB7986D8A4E3834CEC91A17C3D841B4DA611239641A096101A3D9819F", "Open")</f>
        <v>Open</v>
      </c>
      <c r="J3653" t="s">
        <v>3803</v>
      </c>
      <c r="L3653">
        <v>740000</v>
      </c>
      <c r="M3653">
        <v>74000</v>
      </c>
    </row>
    <row r="3654" spans="1:13" x14ac:dyDescent="0.25">
      <c r="A3654" t="s">
        <v>12258</v>
      </c>
      <c r="B3654" t="s">
        <v>12259</v>
      </c>
      <c r="C3654" t="s">
        <v>15</v>
      </c>
      <c r="D3654" t="s">
        <v>12214</v>
      </c>
      <c r="E3654" t="s">
        <v>11024</v>
      </c>
      <c r="F3654" t="s">
        <v>11102</v>
      </c>
      <c r="G3654" t="s">
        <v>12260</v>
      </c>
      <c r="H3654" t="str">
        <f>HYPERLINK("https://baanknet.com/view-property/269004/FA8034809DB9AADBE1032CFD02ED6CCBF93ED0AF6F4C2118490AD44183F4BE5C", "https://baanknet.com/view-property/269004/FA8034809DB9AADBE1032CFD02ED6CCBF93ED0AF6F4C2118490AD44183F4BE5C")</f>
        <v>https://baanknet.com/view-property/269004/FA8034809DB9AADBE1032CFD02ED6CCBF93ED0AF6F4C2118490AD44183F4BE5C</v>
      </c>
      <c r="I3654" t="str">
        <f>HYPERLINK("https://baanknet.com/view-property/269004/FA8034809DB9AADBE1032CFD02ED6CCBF93ED0AF6F4C2118490AD44183F4BE5C", "Open")</f>
        <v>Open</v>
      </c>
      <c r="J3654" t="s">
        <v>3803</v>
      </c>
      <c r="L3654">
        <v>4050000</v>
      </c>
      <c r="M3654">
        <v>405000</v>
      </c>
    </row>
    <row r="3655" spans="1:13" x14ac:dyDescent="0.25">
      <c r="A3655" t="s">
        <v>12261</v>
      </c>
      <c r="B3655" t="s">
        <v>12262</v>
      </c>
      <c r="C3655" t="s">
        <v>15</v>
      </c>
      <c r="D3655" t="s">
        <v>12263</v>
      </c>
      <c r="E3655" t="s">
        <v>11024</v>
      </c>
      <c r="F3655" t="s">
        <v>11102</v>
      </c>
      <c r="G3655" t="s">
        <v>12264</v>
      </c>
      <c r="H3655" t="str">
        <f>HYPERLINK("https://baanknet.com/view-property/272717/D22EEAFBA6C7F455D8592573D96BB87B7D1E23DD057B461F9AB97F3D98091801", "https://baanknet.com/view-property/272717/D22EEAFBA6C7F455D8592573D96BB87B7D1E23DD057B461F9AB97F3D98091801")</f>
        <v>https://baanknet.com/view-property/272717/D22EEAFBA6C7F455D8592573D96BB87B7D1E23DD057B461F9AB97F3D98091801</v>
      </c>
      <c r="I3655" t="str">
        <f>HYPERLINK("https://baanknet.com/view-property/272717/D22EEAFBA6C7F455D8592573D96BB87B7D1E23DD057B461F9AB97F3D98091801", "Open")</f>
        <v>Open</v>
      </c>
      <c r="J3655" t="s">
        <v>3803</v>
      </c>
      <c r="L3655">
        <v>1100000</v>
      </c>
      <c r="M3655">
        <v>110000</v>
      </c>
    </row>
    <row r="3656" spans="1:13" x14ac:dyDescent="0.25">
      <c r="A3656" t="s">
        <v>12265</v>
      </c>
      <c r="B3656" t="s">
        <v>12266</v>
      </c>
      <c r="C3656" t="s">
        <v>15</v>
      </c>
      <c r="D3656" t="s">
        <v>11904</v>
      </c>
      <c r="E3656" t="s">
        <v>11024</v>
      </c>
      <c r="F3656" t="s">
        <v>11102</v>
      </c>
      <c r="G3656" t="s">
        <v>12267</v>
      </c>
      <c r="H3656" t="str">
        <f>HYPERLINK("https://baanknet.com/view-property/268998/DE8C04E5CE215779A62AE44CCC66396776E451542736D970FAB40D06282FCF00", "https://baanknet.com/view-property/268998/DE8C04E5CE215779A62AE44CCC66396776E451542736D970FAB40D06282FCF00")</f>
        <v>https://baanknet.com/view-property/268998/DE8C04E5CE215779A62AE44CCC66396776E451542736D970FAB40D06282FCF00</v>
      </c>
      <c r="I3656" t="str">
        <f>HYPERLINK("https://baanknet.com/view-property/268998/DE8C04E5CE215779A62AE44CCC66396776E451542736D970FAB40D06282FCF00", "Open")</f>
        <v>Open</v>
      </c>
      <c r="J3656" t="s">
        <v>3803</v>
      </c>
      <c r="L3656">
        <v>2754000</v>
      </c>
      <c r="M3656">
        <v>275400</v>
      </c>
    </row>
    <row r="3657" spans="1:13" x14ac:dyDescent="0.25">
      <c r="A3657" t="s">
        <v>12268</v>
      </c>
      <c r="B3657" t="s">
        <v>12269</v>
      </c>
      <c r="C3657" t="s">
        <v>15</v>
      </c>
      <c r="D3657" t="s">
        <v>3584</v>
      </c>
      <c r="E3657" t="s">
        <v>11024</v>
      </c>
      <c r="F3657" t="s">
        <v>11102</v>
      </c>
      <c r="G3657" t="s">
        <v>12270</v>
      </c>
      <c r="H3657" t="str">
        <f>HYPERLINK("https://baanknet.com/view-property/275877/45CEFE9A2BB1CDA75F7FEB042CBAD5E2B9457FE7AE3BB54D8FE7ECC885D987D1", "https://baanknet.com/view-property/275877/45CEFE9A2BB1CDA75F7FEB042CBAD5E2B9457FE7AE3BB54D8FE7ECC885D987D1")</f>
        <v>https://baanknet.com/view-property/275877/45CEFE9A2BB1CDA75F7FEB042CBAD5E2B9457FE7AE3BB54D8FE7ECC885D987D1</v>
      </c>
      <c r="I3657" t="str">
        <f>HYPERLINK("https://baanknet.com/view-property/275877/45CEFE9A2BB1CDA75F7FEB042CBAD5E2B9457FE7AE3BB54D8FE7ECC885D987D1", "Open")</f>
        <v>Open</v>
      </c>
      <c r="J3657" t="s">
        <v>3803</v>
      </c>
      <c r="L3657">
        <v>4195000</v>
      </c>
      <c r="M3657">
        <v>419500</v>
      </c>
    </row>
    <row r="3658" spans="1:13" x14ac:dyDescent="0.25">
      <c r="A3658" t="s">
        <v>12271</v>
      </c>
      <c r="B3658" t="s">
        <v>12272</v>
      </c>
      <c r="C3658" t="s">
        <v>15</v>
      </c>
      <c r="D3658" t="s">
        <v>3592</v>
      </c>
      <c r="E3658" t="s">
        <v>11024</v>
      </c>
      <c r="F3658" t="s">
        <v>11102</v>
      </c>
      <c r="G3658" t="s">
        <v>12273</v>
      </c>
      <c r="H3658" t="str">
        <f>HYPERLINK("https://baanknet.com/view-property/272369/E290DC89DD0132815EEF929CFC455B0A8A971D2EBD7BBADBC858A6924B95729B", "https://baanknet.com/view-property/272369/E290DC89DD0132815EEF929CFC455B0A8A971D2EBD7BBADBC858A6924B95729B")</f>
        <v>https://baanknet.com/view-property/272369/E290DC89DD0132815EEF929CFC455B0A8A971D2EBD7BBADBC858A6924B95729B</v>
      </c>
      <c r="I3658" t="str">
        <f>HYPERLINK("https://baanknet.com/view-property/272369/E290DC89DD0132815EEF929CFC455B0A8A971D2EBD7BBADBC858A6924B95729B", "Open")</f>
        <v>Open</v>
      </c>
      <c r="J3658" t="s">
        <v>3803</v>
      </c>
      <c r="L3658">
        <v>1980000</v>
      </c>
      <c r="M3658">
        <v>198000</v>
      </c>
    </row>
    <row r="3659" spans="1:13" x14ac:dyDescent="0.25">
      <c r="A3659" t="s">
        <v>12274</v>
      </c>
      <c r="B3659" t="s">
        <v>12275</v>
      </c>
      <c r="C3659" t="s">
        <v>15</v>
      </c>
      <c r="D3659" t="s">
        <v>12203</v>
      </c>
      <c r="E3659" t="s">
        <v>11024</v>
      </c>
      <c r="F3659" t="s">
        <v>11102</v>
      </c>
      <c r="G3659" t="s">
        <v>12276</v>
      </c>
      <c r="H3659" t="str">
        <f>HYPERLINK("https://baanknet.com/view-property/279815/88383721D1493992D72B21AA9EE32275694B9920DAED8D63095F756C005D742C", "https://baanknet.com/view-property/279815/88383721D1493992D72B21AA9EE32275694B9920DAED8D63095F756C005D742C")</f>
        <v>https://baanknet.com/view-property/279815/88383721D1493992D72B21AA9EE32275694B9920DAED8D63095F756C005D742C</v>
      </c>
      <c r="I3659" t="str">
        <f>HYPERLINK("https://baanknet.com/view-property/279815/88383721D1493992D72B21AA9EE32275694B9920DAED8D63095F756C005D742C", "Open")</f>
        <v>Open</v>
      </c>
      <c r="J3659" t="s">
        <v>3803</v>
      </c>
      <c r="L3659">
        <v>933000</v>
      </c>
      <c r="M3659">
        <v>93300</v>
      </c>
    </row>
    <row r="3660" spans="1:13" x14ac:dyDescent="0.25">
      <c r="A3660" t="s">
        <v>12277</v>
      </c>
      <c r="B3660" t="s">
        <v>12278</v>
      </c>
      <c r="C3660" t="s">
        <v>525</v>
      </c>
      <c r="D3660" t="s">
        <v>1488</v>
      </c>
      <c r="E3660" t="s">
        <v>11024</v>
      </c>
      <c r="F3660" t="s">
        <v>11102</v>
      </c>
      <c r="G3660" t="s">
        <v>12279</v>
      </c>
      <c r="H3660" t="str">
        <f>HYPERLINK("https://baanknet.com/view-property/252175/1FB127CA38173B604B0F777FB7EC1EB7E2C496D3CBBE585A02380E1D4EC06E05", "https://baanknet.com/view-property/252175/1FB127CA38173B604B0F777FB7EC1EB7E2C496D3CBBE585A02380E1D4EC06E05")</f>
        <v>https://baanknet.com/view-property/252175/1FB127CA38173B604B0F777FB7EC1EB7E2C496D3CBBE585A02380E1D4EC06E05</v>
      </c>
      <c r="I3660" t="str">
        <f>HYPERLINK("https://baanknet.com/view-property/252175/1FB127CA38173B604B0F777FB7EC1EB7E2C496D3CBBE585A02380E1D4EC06E05", "Open")</f>
        <v>Open</v>
      </c>
      <c r="J3660" t="s">
        <v>3803</v>
      </c>
      <c r="L3660">
        <v>2452000</v>
      </c>
      <c r="M3660">
        <v>245200</v>
      </c>
    </row>
    <row r="3661" spans="1:13" x14ac:dyDescent="0.25">
      <c r="A3661" t="s">
        <v>12280</v>
      </c>
      <c r="B3661" t="s">
        <v>12281</v>
      </c>
      <c r="C3661" t="s">
        <v>525</v>
      </c>
      <c r="D3661" t="s">
        <v>1488</v>
      </c>
      <c r="E3661" t="s">
        <v>11024</v>
      </c>
      <c r="F3661" t="s">
        <v>11102</v>
      </c>
      <c r="G3661" t="s">
        <v>12282</v>
      </c>
      <c r="H3661" t="str">
        <f>HYPERLINK("https://baanknet.com/view-property/282035/1112C9335E2D3DE742BE05B8990C311159A148CB1FB2269689B9E636FE0B70AA", "https://baanknet.com/view-property/282035/1112C9335E2D3DE742BE05B8990C311159A148CB1FB2269689B9E636FE0B70AA")</f>
        <v>https://baanknet.com/view-property/282035/1112C9335E2D3DE742BE05B8990C311159A148CB1FB2269689B9E636FE0B70AA</v>
      </c>
      <c r="I3661" t="str">
        <f>HYPERLINK("https://baanknet.com/view-property/282035/1112C9335E2D3DE742BE05B8990C311159A148CB1FB2269689B9E636FE0B70AA", "Open")</f>
        <v>Open</v>
      </c>
      <c r="J3661" t="s">
        <v>3803</v>
      </c>
      <c r="L3661">
        <v>5900243</v>
      </c>
      <c r="M3661">
        <v>590025</v>
      </c>
    </row>
    <row r="3662" spans="1:13" x14ac:dyDescent="0.25">
      <c r="A3662" t="s">
        <v>12283</v>
      </c>
      <c r="B3662" t="s">
        <v>12284</v>
      </c>
      <c r="C3662" t="s">
        <v>525</v>
      </c>
      <c r="D3662" t="s">
        <v>1488</v>
      </c>
      <c r="E3662" t="s">
        <v>11024</v>
      </c>
      <c r="F3662" t="s">
        <v>11102</v>
      </c>
      <c r="G3662" t="s">
        <v>12285</v>
      </c>
      <c r="H3662" t="str">
        <f>HYPERLINK("https://baanknet.com/view-property/249549/07BEE79D825E5496C7159B2B8304D84FE5A47922090D9C44EB0EE64851CDBD49", "https://baanknet.com/view-property/249549/07BEE79D825E5496C7159B2B8304D84FE5A47922090D9C44EB0EE64851CDBD49")</f>
        <v>https://baanknet.com/view-property/249549/07BEE79D825E5496C7159B2B8304D84FE5A47922090D9C44EB0EE64851CDBD49</v>
      </c>
      <c r="I3662" t="str">
        <f>HYPERLINK("https://baanknet.com/view-property/249549/07BEE79D825E5496C7159B2B8304D84FE5A47922090D9C44EB0EE64851CDBD49", "Open")</f>
        <v>Open</v>
      </c>
      <c r="J3662" t="s">
        <v>3803</v>
      </c>
      <c r="L3662">
        <v>1970000</v>
      </c>
      <c r="M3662">
        <v>197000</v>
      </c>
    </row>
    <row r="3663" spans="1:13" x14ac:dyDescent="0.25">
      <c r="A3663" t="s">
        <v>12286</v>
      </c>
      <c r="B3663" t="s">
        <v>12287</v>
      </c>
      <c r="C3663" t="s">
        <v>525</v>
      </c>
      <c r="D3663" t="s">
        <v>1488</v>
      </c>
      <c r="E3663" t="s">
        <v>11024</v>
      </c>
      <c r="F3663" t="s">
        <v>11102</v>
      </c>
      <c r="G3663" t="s">
        <v>12288</v>
      </c>
      <c r="H3663" t="str">
        <f>HYPERLINK("https://baanknet.com/view-property/271895/D1DF007E63D219C68105E5DE17D05491488EE7DCBD4F5E64A11E93AEFDBEF2EE", "https://baanknet.com/view-property/271895/D1DF007E63D219C68105E5DE17D05491488EE7DCBD4F5E64A11E93AEFDBEF2EE")</f>
        <v>https://baanknet.com/view-property/271895/D1DF007E63D219C68105E5DE17D05491488EE7DCBD4F5E64A11E93AEFDBEF2EE</v>
      </c>
      <c r="I3663" t="str">
        <f>HYPERLINK("https://baanknet.com/view-property/271895/D1DF007E63D219C68105E5DE17D05491488EE7DCBD4F5E64A11E93AEFDBEF2EE", "Open")</f>
        <v>Open</v>
      </c>
      <c r="J3663" t="s">
        <v>3803</v>
      </c>
      <c r="L3663">
        <v>1430000</v>
      </c>
      <c r="M3663">
        <v>143000</v>
      </c>
    </row>
    <row r="3664" spans="1:13" x14ac:dyDescent="0.25">
      <c r="A3664" t="s">
        <v>12289</v>
      </c>
      <c r="B3664" t="s">
        <v>12290</v>
      </c>
      <c r="C3664" t="s">
        <v>525</v>
      </c>
      <c r="D3664" t="s">
        <v>1488</v>
      </c>
      <c r="E3664" t="s">
        <v>11024</v>
      </c>
      <c r="F3664" t="s">
        <v>11102</v>
      </c>
      <c r="G3664" t="s">
        <v>12291</v>
      </c>
      <c r="H3664" t="str">
        <f>HYPERLINK("https://baanknet.com/view-property/253876/BDA5A86A49A66769C8E110FFDB7780E7848AD8B7EA55AA0B3A072F50089D0A7B", "https://baanknet.com/view-property/253876/BDA5A86A49A66769C8E110FFDB7780E7848AD8B7EA55AA0B3A072F50089D0A7B")</f>
        <v>https://baanknet.com/view-property/253876/BDA5A86A49A66769C8E110FFDB7780E7848AD8B7EA55AA0B3A072F50089D0A7B</v>
      </c>
      <c r="I3664" t="str">
        <f>HYPERLINK("https://baanknet.com/view-property/253876/BDA5A86A49A66769C8E110FFDB7780E7848AD8B7EA55AA0B3A072F50089D0A7B", "Open")</f>
        <v>Open</v>
      </c>
      <c r="J3664" t="s">
        <v>3803</v>
      </c>
      <c r="L3664">
        <v>1935000</v>
      </c>
      <c r="M3664">
        <v>193500</v>
      </c>
    </row>
    <row r="3665" spans="1:13" x14ac:dyDescent="0.25">
      <c r="A3665" t="s">
        <v>12292</v>
      </c>
      <c r="B3665" t="s">
        <v>12293</v>
      </c>
      <c r="C3665" t="s">
        <v>525</v>
      </c>
      <c r="D3665" t="s">
        <v>1488</v>
      </c>
      <c r="E3665" t="s">
        <v>11024</v>
      </c>
      <c r="F3665" t="s">
        <v>11102</v>
      </c>
      <c r="G3665" t="s">
        <v>12294</v>
      </c>
      <c r="H3665" t="str">
        <f>HYPERLINK("https://baanknet.com/view-property/249031/26FA095839BFC52FDB021A9B083577ECFDD40DE27794A5B014CEF1EA375DDF8A", "https://baanknet.com/view-property/249031/26FA095839BFC52FDB021A9B083577ECFDD40DE27794A5B014CEF1EA375DDF8A")</f>
        <v>https://baanknet.com/view-property/249031/26FA095839BFC52FDB021A9B083577ECFDD40DE27794A5B014CEF1EA375DDF8A</v>
      </c>
      <c r="I3665" t="str">
        <f>HYPERLINK("https://baanknet.com/view-property/249031/26FA095839BFC52FDB021A9B083577ECFDD40DE27794A5B014CEF1EA375DDF8A", "Open")</f>
        <v>Open</v>
      </c>
      <c r="J3665" t="s">
        <v>3803</v>
      </c>
      <c r="L3665">
        <v>1210000</v>
      </c>
      <c r="M3665">
        <v>121000</v>
      </c>
    </row>
    <row r="3666" spans="1:13" x14ac:dyDescent="0.25">
      <c r="A3666" t="s">
        <v>12295</v>
      </c>
      <c r="B3666" t="s">
        <v>12296</v>
      </c>
      <c r="C3666" t="s">
        <v>525</v>
      </c>
      <c r="D3666" t="s">
        <v>1488</v>
      </c>
      <c r="E3666" t="s">
        <v>11024</v>
      </c>
      <c r="F3666" t="s">
        <v>11102</v>
      </c>
      <c r="G3666" t="s">
        <v>12297</v>
      </c>
      <c r="H3666" t="str">
        <f>HYPERLINK("https://baanknet.com/view-property/282511/C8452395ACB2ECE944E0D6786D527EE31A1D207B7F6CE38305786C92AF797520", "https://baanknet.com/view-property/282511/C8452395ACB2ECE944E0D6786D527EE31A1D207B7F6CE38305786C92AF797520")</f>
        <v>https://baanknet.com/view-property/282511/C8452395ACB2ECE944E0D6786D527EE31A1D207B7F6CE38305786C92AF797520</v>
      </c>
      <c r="I3666" t="str">
        <f>HYPERLINK("https://baanknet.com/view-property/282511/C8452395ACB2ECE944E0D6786D527EE31A1D207B7F6CE38305786C92AF797520", "Open")</f>
        <v>Open</v>
      </c>
      <c r="J3666" t="s">
        <v>3803</v>
      </c>
      <c r="L3666">
        <v>3900000</v>
      </c>
      <c r="M3666">
        <v>390000</v>
      </c>
    </row>
    <row r="3667" spans="1:13" x14ac:dyDescent="0.25">
      <c r="A3667" t="s">
        <v>12298</v>
      </c>
      <c r="B3667" t="s">
        <v>12299</v>
      </c>
      <c r="C3667" t="s">
        <v>525</v>
      </c>
      <c r="D3667" t="s">
        <v>1488</v>
      </c>
      <c r="E3667" t="s">
        <v>11024</v>
      </c>
      <c r="F3667" t="s">
        <v>11102</v>
      </c>
      <c r="G3667" t="s">
        <v>12300</v>
      </c>
      <c r="H3667" t="str">
        <f>HYPERLINK("https://baanknet.com/view-property/252100/6084303600529713F35827E3041A268C541E6BD9379983835EE2264D68B51A11", "https://baanknet.com/view-property/252100/6084303600529713F35827E3041A268C541E6BD9379983835EE2264D68B51A11")</f>
        <v>https://baanknet.com/view-property/252100/6084303600529713F35827E3041A268C541E6BD9379983835EE2264D68B51A11</v>
      </c>
      <c r="I3667" t="str">
        <f>HYPERLINK("https://baanknet.com/view-property/252100/6084303600529713F35827E3041A268C541E6BD9379983835EE2264D68B51A11", "Open")</f>
        <v>Open</v>
      </c>
      <c r="J3667" t="s">
        <v>3803</v>
      </c>
      <c r="L3667">
        <v>4901610</v>
      </c>
      <c r="M3667">
        <v>490161</v>
      </c>
    </row>
    <row r="3668" spans="1:13" x14ac:dyDescent="0.25">
      <c r="A3668" t="s">
        <v>12301</v>
      </c>
      <c r="B3668" t="s">
        <v>12302</v>
      </c>
      <c r="C3668" t="s">
        <v>332</v>
      </c>
      <c r="D3668" t="s">
        <v>1481</v>
      </c>
      <c r="E3668" t="s">
        <v>11024</v>
      </c>
      <c r="F3668" t="s">
        <v>11102</v>
      </c>
      <c r="G3668" t="s">
        <v>12303</v>
      </c>
      <c r="H3668" t="str">
        <f>HYPERLINK("https://baanknet.com/view-property/254515/88D5A809A7DC4C48A57A58BFC376E810FB234867F3B5DE6180F761698F2E7309", "https://baanknet.com/view-property/254515/88D5A809A7DC4C48A57A58BFC376E810FB234867F3B5DE6180F761698F2E7309")</f>
        <v>https://baanknet.com/view-property/254515/88D5A809A7DC4C48A57A58BFC376E810FB234867F3B5DE6180F761698F2E7309</v>
      </c>
      <c r="I3668" t="str">
        <f>HYPERLINK("https://baanknet.com/view-property/254515/88D5A809A7DC4C48A57A58BFC376E810FB234867F3B5DE6180F761698F2E7309", "Open")</f>
        <v>Open</v>
      </c>
      <c r="J3668" t="s">
        <v>3803</v>
      </c>
      <c r="L3668">
        <v>135000000</v>
      </c>
      <c r="M3668">
        <v>13500000</v>
      </c>
    </row>
    <row r="3669" spans="1:13" x14ac:dyDescent="0.25">
      <c r="A3669" t="s">
        <v>12304</v>
      </c>
      <c r="B3669" t="s">
        <v>12305</v>
      </c>
      <c r="C3669" t="s">
        <v>121</v>
      </c>
      <c r="D3669" t="s">
        <v>2924</v>
      </c>
      <c r="E3669" t="s">
        <v>11024</v>
      </c>
      <c r="F3669" t="s">
        <v>11102</v>
      </c>
      <c r="G3669" t="s">
        <v>12306</v>
      </c>
      <c r="H3669" t="str">
        <f>HYPERLINK("https://baanknet.com/view-property/252739/4CFDEF6C85EAA3DA585FF362F88164AA34C7291B67E71E14D0687871B42BF857", "https://baanknet.com/view-property/252739/4CFDEF6C85EAA3DA585FF362F88164AA34C7291B67E71E14D0687871B42BF857")</f>
        <v>https://baanknet.com/view-property/252739/4CFDEF6C85EAA3DA585FF362F88164AA34C7291B67E71E14D0687871B42BF857</v>
      </c>
      <c r="I3669" t="str">
        <f>HYPERLINK("https://baanknet.com/view-property/252739/4CFDEF6C85EAA3DA585FF362F88164AA34C7291B67E71E14D0687871B42BF857", "Open")</f>
        <v>Open</v>
      </c>
      <c r="J3669" t="s">
        <v>3803</v>
      </c>
      <c r="L3669">
        <v>742000</v>
      </c>
      <c r="M3669">
        <v>74200</v>
      </c>
    </row>
    <row r="3670" spans="1:13" x14ac:dyDescent="0.25">
      <c r="A3670" t="s">
        <v>12307</v>
      </c>
      <c r="B3670" t="s">
        <v>12308</v>
      </c>
      <c r="C3670" t="s">
        <v>121</v>
      </c>
      <c r="D3670" t="s">
        <v>2928</v>
      </c>
      <c r="E3670" t="s">
        <v>11024</v>
      </c>
      <c r="F3670" t="s">
        <v>11102</v>
      </c>
      <c r="G3670" t="s">
        <v>12309</v>
      </c>
      <c r="H3670" t="str">
        <f>HYPERLINK("https://baanknet.com/view-property/252756/E84E6FB7ACF596C4011AE4E583E8E15AD55E0889D7B247C5E42CA6F5DB55B0E4", "https://baanknet.com/view-property/252756/E84E6FB7ACF596C4011AE4E583E8E15AD55E0889D7B247C5E42CA6F5DB55B0E4")</f>
        <v>https://baanknet.com/view-property/252756/E84E6FB7ACF596C4011AE4E583E8E15AD55E0889D7B247C5E42CA6F5DB55B0E4</v>
      </c>
      <c r="I3670" t="str">
        <f>HYPERLINK("https://baanknet.com/view-property/252756/E84E6FB7ACF596C4011AE4E583E8E15AD55E0889D7B247C5E42CA6F5DB55B0E4", "Open")</f>
        <v>Open</v>
      </c>
      <c r="J3670" t="s">
        <v>3803</v>
      </c>
      <c r="L3670">
        <v>2761000</v>
      </c>
      <c r="M3670">
        <v>276100</v>
      </c>
    </row>
    <row r="3671" spans="1:13" x14ac:dyDescent="0.25">
      <c r="A3671" t="s">
        <v>12310</v>
      </c>
      <c r="B3671" t="s">
        <v>12311</v>
      </c>
      <c r="C3671" t="s">
        <v>121</v>
      </c>
      <c r="D3671" t="s">
        <v>12312</v>
      </c>
      <c r="E3671" t="s">
        <v>11024</v>
      </c>
      <c r="F3671" t="s">
        <v>11102</v>
      </c>
      <c r="G3671" t="s">
        <v>12313</v>
      </c>
      <c r="H3671" t="str">
        <f>HYPERLINK("https://baanknet.com/view-property/189393/BE35E9B2D2A3582A45D5C9767EBF5967576009F40FA83771D05ED6BEF5017734", "https://baanknet.com/view-property/189393/BE35E9B2D2A3582A45D5C9767EBF5967576009F40FA83771D05ED6BEF5017734")</f>
        <v>https://baanknet.com/view-property/189393/BE35E9B2D2A3582A45D5C9767EBF5967576009F40FA83771D05ED6BEF5017734</v>
      </c>
      <c r="I3671" t="str">
        <f>HYPERLINK("https://baanknet.com/view-property/189393/BE35E9B2D2A3582A45D5C9767EBF5967576009F40FA83771D05ED6BEF5017734", "Open")</f>
        <v>Open</v>
      </c>
      <c r="J3671" t="s">
        <v>3803</v>
      </c>
      <c r="L3671">
        <v>2165000</v>
      </c>
      <c r="M3671">
        <v>216500</v>
      </c>
    </row>
    <row r="3672" spans="1:13" x14ac:dyDescent="0.25">
      <c r="A3672" t="s">
        <v>12314</v>
      </c>
      <c r="B3672" t="s">
        <v>12315</v>
      </c>
      <c r="C3672" t="s">
        <v>121</v>
      </c>
      <c r="D3672" t="s">
        <v>12316</v>
      </c>
      <c r="E3672" t="s">
        <v>11024</v>
      </c>
      <c r="F3672" t="s">
        <v>11102</v>
      </c>
      <c r="G3672" t="s">
        <v>12317</v>
      </c>
      <c r="H3672" t="str">
        <f>HYPERLINK("https://baanknet.com/view-property/261207/266CB30C997134ECEB52C9FC5254AE220B3D3E31D84AC50530A534A7C82A206A", "https://baanknet.com/view-property/261207/266CB30C997134ECEB52C9FC5254AE220B3D3E31D84AC50530A534A7C82A206A")</f>
        <v>https://baanknet.com/view-property/261207/266CB30C997134ECEB52C9FC5254AE220B3D3E31D84AC50530A534A7C82A206A</v>
      </c>
      <c r="I3672" t="str">
        <f>HYPERLINK("https://baanknet.com/view-property/261207/266CB30C997134ECEB52C9FC5254AE220B3D3E31D84AC50530A534A7C82A206A", "Open")</f>
        <v>Open</v>
      </c>
      <c r="J3672" t="s">
        <v>3803</v>
      </c>
      <c r="L3672">
        <v>214000</v>
      </c>
      <c r="M3672">
        <v>21400</v>
      </c>
    </row>
    <row r="3673" spans="1:13" x14ac:dyDescent="0.25">
      <c r="A3673" t="s">
        <v>12318</v>
      </c>
      <c r="B3673" t="s">
        <v>12319</v>
      </c>
      <c r="C3673" t="s">
        <v>121</v>
      </c>
      <c r="D3673" t="s">
        <v>2684</v>
      </c>
      <c r="E3673" t="s">
        <v>11024</v>
      </c>
      <c r="F3673" t="s">
        <v>11102</v>
      </c>
      <c r="G3673" t="s">
        <v>12320</v>
      </c>
      <c r="H3673" t="str">
        <f>HYPERLINK("https://baanknet.com/view-property/253524/AB090690FEF866B590ACBD6A4A4F57C736DF9B11FB85E6AD8A7D33D98B2E194D", "https://baanknet.com/view-property/253524/AB090690FEF866B590ACBD6A4A4F57C736DF9B11FB85E6AD8A7D33D98B2E194D")</f>
        <v>https://baanknet.com/view-property/253524/AB090690FEF866B590ACBD6A4A4F57C736DF9B11FB85E6AD8A7D33D98B2E194D</v>
      </c>
      <c r="I3673" t="str">
        <f>HYPERLINK("https://baanknet.com/view-property/253524/AB090690FEF866B590ACBD6A4A4F57C736DF9B11FB85E6AD8A7D33D98B2E194D", "Open")</f>
        <v>Open</v>
      </c>
      <c r="J3673" t="s">
        <v>3803</v>
      </c>
      <c r="L3673">
        <v>2174000</v>
      </c>
      <c r="M3673">
        <v>217400</v>
      </c>
    </row>
    <row r="3674" spans="1:13" x14ac:dyDescent="0.25">
      <c r="A3674" t="s">
        <v>12321</v>
      </c>
      <c r="B3674" t="s">
        <v>12322</v>
      </c>
      <c r="C3674" t="s">
        <v>121</v>
      </c>
      <c r="D3674" t="s">
        <v>4756</v>
      </c>
      <c r="E3674" t="s">
        <v>11024</v>
      </c>
      <c r="F3674" t="s">
        <v>11102</v>
      </c>
      <c r="G3674" t="s">
        <v>12323</v>
      </c>
      <c r="H3674" t="str">
        <f>HYPERLINK("https://baanknet.com/view-property/184168/FD723E20B6D2D21AE5EA2B568496EE8A2AE040B13E3A85045DEFE571AA25EA9B", "https://baanknet.com/view-property/184168/FD723E20B6D2D21AE5EA2B568496EE8A2AE040B13E3A85045DEFE571AA25EA9B")</f>
        <v>https://baanknet.com/view-property/184168/FD723E20B6D2D21AE5EA2B568496EE8A2AE040B13E3A85045DEFE571AA25EA9B</v>
      </c>
      <c r="I3674" t="str">
        <f>HYPERLINK("https://baanknet.com/view-property/184168/FD723E20B6D2D21AE5EA2B568496EE8A2AE040B13E3A85045DEFE571AA25EA9B", "Open")</f>
        <v>Open</v>
      </c>
      <c r="J3674" t="s">
        <v>3803</v>
      </c>
      <c r="L3674">
        <v>799000</v>
      </c>
      <c r="M3674">
        <v>79900</v>
      </c>
    </row>
    <row r="3675" spans="1:13" x14ac:dyDescent="0.25">
      <c r="A3675" t="s">
        <v>12324</v>
      </c>
      <c r="B3675" t="s">
        <v>12325</v>
      </c>
      <c r="C3675" t="s">
        <v>121</v>
      </c>
      <c r="D3675" t="s">
        <v>12326</v>
      </c>
      <c r="E3675" t="s">
        <v>11024</v>
      </c>
      <c r="F3675" t="s">
        <v>11102</v>
      </c>
      <c r="G3675" t="s">
        <v>12327</v>
      </c>
      <c r="H3675" t="str">
        <f>HYPERLINK("https://baanknet.com/view-property/207019/9A168A0D8C19D0AACDB49EFA57ABFB49291C996C528EF3C2BCA635F4493ECE73", "https://baanknet.com/view-property/207019/9A168A0D8C19D0AACDB49EFA57ABFB49291C996C528EF3C2BCA635F4493ECE73")</f>
        <v>https://baanknet.com/view-property/207019/9A168A0D8C19D0AACDB49EFA57ABFB49291C996C528EF3C2BCA635F4493ECE73</v>
      </c>
      <c r="I3675" t="str">
        <f>HYPERLINK("https://baanknet.com/view-property/207019/9A168A0D8C19D0AACDB49EFA57ABFB49291C996C528EF3C2BCA635F4493ECE73", "Open")</f>
        <v>Open</v>
      </c>
      <c r="J3675" t="s">
        <v>3803</v>
      </c>
      <c r="L3675">
        <v>2063000</v>
      </c>
      <c r="M3675">
        <v>206300</v>
      </c>
    </row>
    <row r="3676" spans="1:13" x14ac:dyDescent="0.25">
      <c r="A3676" t="s">
        <v>12328</v>
      </c>
      <c r="B3676" t="s">
        <v>12329</v>
      </c>
      <c r="C3676" t="s">
        <v>121</v>
      </c>
      <c r="D3676" t="s">
        <v>2684</v>
      </c>
      <c r="E3676" t="s">
        <v>11024</v>
      </c>
      <c r="F3676" t="s">
        <v>11102</v>
      </c>
      <c r="G3676" t="s">
        <v>12330</v>
      </c>
      <c r="H3676" t="str">
        <f>HYPERLINK("https://baanknet.com/view-property/201017/5D20D881E3B64C9127A0E2012D38A0FF1CD4CCA7AAEAE0D51C0E1D197643D94B", "https://baanknet.com/view-property/201017/5D20D881E3B64C9127A0E2012D38A0FF1CD4CCA7AAEAE0D51C0E1D197643D94B")</f>
        <v>https://baanknet.com/view-property/201017/5D20D881E3B64C9127A0E2012D38A0FF1CD4CCA7AAEAE0D51C0E1D197643D94B</v>
      </c>
      <c r="I3676" t="str">
        <f>HYPERLINK("https://baanknet.com/view-property/201017/5D20D881E3B64C9127A0E2012D38A0FF1CD4CCA7AAEAE0D51C0E1D197643D94B", "Open")</f>
        <v>Open</v>
      </c>
      <c r="J3676" t="s">
        <v>3803</v>
      </c>
      <c r="L3676">
        <v>2680000</v>
      </c>
      <c r="M3676">
        <v>268000</v>
      </c>
    </row>
    <row r="3677" spans="1:13" x14ac:dyDescent="0.25">
      <c r="A3677" t="s">
        <v>12331</v>
      </c>
      <c r="B3677" t="s">
        <v>12332</v>
      </c>
      <c r="C3677" t="s">
        <v>121</v>
      </c>
      <c r="D3677" t="s">
        <v>2924</v>
      </c>
      <c r="E3677" t="s">
        <v>11024</v>
      </c>
      <c r="F3677" t="s">
        <v>11102</v>
      </c>
      <c r="G3677" t="s">
        <v>12333</v>
      </c>
      <c r="H3677" t="str">
        <f>HYPERLINK("https://baanknet.com/view-property/220401/7E2B910A78C5CEC11226F6026EB0C942574952228C3E3F6D2310BD9956A704AE", "https://baanknet.com/view-property/220401/7E2B910A78C5CEC11226F6026EB0C942574952228C3E3F6D2310BD9956A704AE")</f>
        <v>https://baanknet.com/view-property/220401/7E2B910A78C5CEC11226F6026EB0C942574952228C3E3F6D2310BD9956A704AE</v>
      </c>
      <c r="I3677" t="str">
        <f>HYPERLINK("https://baanknet.com/view-property/220401/7E2B910A78C5CEC11226F6026EB0C942574952228C3E3F6D2310BD9956A704AE", "Open")</f>
        <v>Open</v>
      </c>
      <c r="J3677" t="s">
        <v>3803</v>
      </c>
      <c r="L3677">
        <v>2272000</v>
      </c>
      <c r="M3677">
        <v>227200</v>
      </c>
    </row>
    <row r="3678" spans="1:13" x14ac:dyDescent="0.25">
      <c r="A3678" t="s">
        <v>12334</v>
      </c>
      <c r="B3678" t="s">
        <v>12335</v>
      </c>
      <c r="C3678" t="s">
        <v>144</v>
      </c>
      <c r="D3678" t="s">
        <v>3344</v>
      </c>
      <c r="E3678" t="s">
        <v>11024</v>
      </c>
      <c r="F3678" t="s">
        <v>11102</v>
      </c>
      <c r="G3678" t="s">
        <v>12336</v>
      </c>
      <c r="H3678" t="str">
        <f>HYPERLINK("https://baanknet.com/view-property/38289/5267FADC811B27DA3A48C2EA9B12AD9210B69B4EA452C2FC6F6822F2AE33F442", "https://baanknet.com/view-property/38289/5267FADC811B27DA3A48C2EA9B12AD9210B69B4EA452C2FC6F6822F2AE33F442")</f>
        <v>https://baanknet.com/view-property/38289/5267FADC811B27DA3A48C2EA9B12AD9210B69B4EA452C2FC6F6822F2AE33F442</v>
      </c>
      <c r="I3678" t="str">
        <f>HYPERLINK("https://baanknet.com/view-property/38289/5267FADC811B27DA3A48C2EA9B12AD9210B69B4EA452C2FC6F6822F2AE33F442", "Open")</f>
        <v>Open</v>
      </c>
      <c r="J3678" t="s">
        <v>3803</v>
      </c>
      <c r="L3678">
        <v>9545000</v>
      </c>
      <c r="M3678">
        <v>954500</v>
      </c>
    </row>
    <row r="3679" spans="1:13" x14ac:dyDescent="0.25">
      <c r="A3679" t="s">
        <v>12337</v>
      </c>
      <c r="B3679" t="s">
        <v>12338</v>
      </c>
      <c r="C3679" t="s">
        <v>144</v>
      </c>
      <c r="D3679" t="s">
        <v>2052</v>
      </c>
      <c r="E3679" t="s">
        <v>11024</v>
      </c>
      <c r="F3679" t="s">
        <v>11102</v>
      </c>
      <c r="G3679" t="s">
        <v>12339</v>
      </c>
      <c r="H3679" t="str">
        <f>HYPERLINK("https://baanknet.com/view-property/276161/F23DAB9F225FBAE0D91E40C66E5108D2225A61BCBDB39F2EEBD10F2553EA5EFE", "https://baanknet.com/view-property/276161/F23DAB9F225FBAE0D91E40C66E5108D2225A61BCBDB39F2EEBD10F2553EA5EFE")</f>
        <v>https://baanknet.com/view-property/276161/F23DAB9F225FBAE0D91E40C66E5108D2225A61BCBDB39F2EEBD10F2553EA5EFE</v>
      </c>
      <c r="I3679" t="str">
        <f>HYPERLINK("https://baanknet.com/view-property/276161/F23DAB9F225FBAE0D91E40C66E5108D2225A61BCBDB39F2EEBD10F2553EA5EFE", "Open")</f>
        <v>Open</v>
      </c>
      <c r="J3679" t="s">
        <v>3803</v>
      </c>
      <c r="L3679">
        <v>3758000</v>
      </c>
      <c r="M3679">
        <v>375800</v>
      </c>
    </row>
    <row r="3680" spans="1:13" x14ac:dyDescent="0.25">
      <c r="A3680" t="s">
        <v>12340</v>
      </c>
      <c r="B3680" t="s">
        <v>12341</v>
      </c>
      <c r="C3680" t="s">
        <v>144</v>
      </c>
      <c r="D3680" t="s">
        <v>2052</v>
      </c>
      <c r="E3680" t="s">
        <v>11024</v>
      </c>
      <c r="F3680" t="s">
        <v>11102</v>
      </c>
      <c r="G3680" t="s">
        <v>12342</v>
      </c>
      <c r="H3680" t="str">
        <f>HYPERLINK("https://baanknet.com/view-property/287478/42E9293CF4E3DC12A5174DEE9608765A4E7B7359FC4ABAEE0315BA77A7BECC4B", "https://baanknet.com/view-property/287478/42E9293CF4E3DC12A5174DEE9608765A4E7B7359FC4ABAEE0315BA77A7BECC4B")</f>
        <v>https://baanknet.com/view-property/287478/42E9293CF4E3DC12A5174DEE9608765A4E7B7359FC4ABAEE0315BA77A7BECC4B</v>
      </c>
      <c r="I3680" t="str">
        <f>HYPERLINK("https://baanknet.com/view-property/287478/42E9293CF4E3DC12A5174DEE9608765A4E7B7359FC4ABAEE0315BA77A7BECC4B", "Open")</f>
        <v>Open</v>
      </c>
      <c r="J3680" t="s">
        <v>3803</v>
      </c>
      <c r="L3680">
        <v>3420000</v>
      </c>
      <c r="M3680">
        <v>342000</v>
      </c>
    </row>
    <row r="3681" spans="1:13" x14ac:dyDescent="0.25">
      <c r="A3681" t="s">
        <v>12343</v>
      </c>
      <c r="B3681" t="s">
        <v>12344</v>
      </c>
      <c r="C3681" t="s">
        <v>144</v>
      </c>
      <c r="D3681" t="s">
        <v>12345</v>
      </c>
      <c r="E3681" t="s">
        <v>11024</v>
      </c>
      <c r="F3681" t="s">
        <v>11102</v>
      </c>
      <c r="G3681" t="s">
        <v>12346</v>
      </c>
      <c r="H3681" t="str">
        <f>HYPERLINK("https://baanknet.com/view-property/95730/C530A228818EDC5DD9051EE1D2C4A0E20F729255700EC97DDB5AA2111874F491", "https://baanknet.com/view-property/95730/C530A228818EDC5DD9051EE1D2C4A0E20F729255700EC97DDB5AA2111874F491")</f>
        <v>https://baanknet.com/view-property/95730/C530A228818EDC5DD9051EE1D2C4A0E20F729255700EC97DDB5AA2111874F491</v>
      </c>
      <c r="I3681" t="str">
        <f>HYPERLINK("https://baanknet.com/view-property/95730/C530A228818EDC5DD9051EE1D2C4A0E20F729255700EC97DDB5AA2111874F491", "Open")</f>
        <v>Open</v>
      </c>
      <c r="J3681" t="s">
        <v>3803</v>
      </c>
      <c r="L3681">
        <v>2723000</v>
      </c>
      <c r="M3681">
        <v>272300</v>
      </c>
    </row>
    <row r="3682" spans="1:13" x14ac:dyDescent="0.25">
      <c r="A3682" t="s">
        <v>12347</v>
      </c>
      <c r="B3682" t="s">
        <v>12348</v>
      </c>
      <c r="C3682" t="s">
        <v>144</v>
      </c>
      <c r="D3682" t="s">
        <v>2052</v>
      </c>
      <c r="E3682" t="s">
        <v>11024</v>
      </c>
      <c r="F3682" t="s">
        <v>11102</v>
      </c>
      <c r="G3682" t="s">
        <v>12349</v>
      </c>
      <c r="H3682" t="str">
        <f>HYPERLINK("https://baanknet.com/view-property/275525/ED57B549B79EFEA85283103F6F5A46D1A689B115B05BB5CAB88DED2683AF908F", "https://baanknet.com/view-property/275525/ED57B549B79EFEA85283103F6F5A46D1A689B115B05BB5CAB88DED2683AF908F")</f>
        <v>https://baanknet.com/view-property/275525/ED57B549B79EFEA85283103F6F5A46D1A689B115B05BB5CAB88DED2683AF908F</v>
      </c>
      <c r="I3682" t="str">
        <f>HYPERLINK("https://baanknet.com/view-property/275525/ED57B549B79EFEA85283103F6F5A46D1A689B115B05BB5CAB88DED2683AF908F", "Open")</f>
        <v>Open</v>
      </c>
      <c r="J3682" t="s">
        <v>3803</v>
      </c>
      <c r="L3682">
        <v>1484000</v>
      </c>
      <c r="M3682">
        <v>148400</v>
      </c>
    </row>
    <row r="3683" spans="1:13" x14ac:dyDescent="0.25">
      <c r="A3683" t="s">
        <v>12350</v>
      </c>
      <c r="B3683" t="s">
        <v>12351</v>
      </c>
      <c r="C3683" t="s">
        <v>387</v>
      </c>
      <c r="D3683" t="s">
        <v>1366</v>
      </c>
      <c r="E3683" t="s">
        <v>11024</v>
      </c>
      <c r="F3683" t="s">
        <v>11102</v>
      </c>
      <c r="G3683" t="s">
        <v>12352</v>
      </c>
      <c r="H3683" t="str">
        <f>HYPERLINK("https://baanknet.com/view-property/258891/459DDE31ADE6BFEFC54147A2B46713DAB51E94A8A622481D5395F18B26A4F791", "https://baanknet.com/view-property/258891/459DDE31ADE6BFEFC54147A2B46713DAB51E94A8A622481D5395F18B26A4F791")</f>
        <v>https://baanknet.com/view-property/258891/459DDE31ADE6BFEFC54147A2B46713DAB51E94A8A622481D5395F18B26A4F791</v>
      </c>
      <c r="I3683" t="str">
        <f>HYPERLINK("https://baanknet.com/view-property/258891/459DDE31ADE6BFEFC54147A2B46713DAB51E94A8A622481D5395F18B26A4F791", "Open")</f>
        <v>Open</v>
      </c>
      <c r="J3683" t="s">
        <v>3803</v>
      </c>
      <c r="L3683">
        <v>9000000</v>
      </c>
      <c r="M3683">
        <v>900000</v>
      </c>
    </row>
    <row r="3684" spans="1:13" x14ac:dyDescent="0.25">
      <c r="A3684" t="s">
        <v>12353</v>
      </c>
      <c r="B3684" t="s">
        <v>12354</v>
      </c>
      <c r="C3684" t="s">
        <v>525</v>
      </c>
      <c r="D3684" t="s">
        <v>1602</v>
      </c>
      <c r="E3684" t="s">
        <v>11024</v>
      </c>
      <c r="F3684" t="s">
        <v>11102</v>
      </c>
      <c r="G3684" t="s">
        <v>12355</v>
      </c>
      <c r="H3684" t="str">
        <f>HYPERLINK("https://baanknet.com/view-property/271278/64B7A29DBEC428C379F15B39B8393A2D0D526BF9183E77FE08778F00F5FAB5A5", "https://baanknet.com/view-property/271278/64B7A29DBEC428C379F15B39B8393A2D0D526BF9183E77FE08778F00F5FAB5A5")</f>
        <v>https://baanknet.com/view-property/271278/64B7A29DBEC428C379F15B39B8393A2D0D526BF9183E77FE08778F00F5FAB5A5</v>
      </c>
      <c r="I3684" t="str">
        <f>HYPERLINK("https://baanknet.com/view-property/271278/64B7A29DBEC428C379F15B39B8393A2D0D526BF9183E77FE08778F00F5FAB5A5", "Open")</f>
        <v>Open</v>
      </c>
      <c r="J3684" t="s">
        <v>3803</v>
      </c>
      <c r="L3684">
        <v>5296000</v>
      </c>
      <c r="M3684">
        <v>529600</v>
      </c>
    </row>
    <row r="3685" spans="1:13" x14ac:dyDescent="0.25">
      <c r="A3685" t="s">
        <v>12356</v>
      </c>
      <c r="B3685" t="s">
        <v>12357</v>
      </c>
      <c r="C3685" t="s">
        <v>525</v>
      </c>
      <c r="D3685" t="s">
        <v>1602</v>
      </c>
      <c r="E3685" t="s">
        <v>11024</v>
      </c>
      <c r="F3685" t="s">
        <v>11102</v>
      </c>
      <c r="G3685" t="s">
        <v>12358</v>
      </c>
      <c r="H3685" t="str">
        <f>HYPERLINK("https://baanknet.com/view-property/245978/E8B5FEE591E7A67F839B6ED9D8CAE5C21373F94605EB557CD6845795BB94E5BE", "https://baanknet.com/view-property/245978/E8B5FEE591E7A67F839B6ED9D8CAE5C21373F94605EB557CD6845795BB94E5BE")</f>
        <v>https://baanknet.com/view-property/245978/E8B5FEE591E7A67F839B6ED9D8CAE5C21373F94605EB557CD6845795BB94E5BE</v>
      </c>
      <c r="I3685" t="str">
        <f>HYPERLINK("https://baanknet.com/view-property/245978/E8B5FEE591E7A67F839B6ED9D8CAE5C21373F94605EB557CD6845795BB94E5BE", "Open")</f>
        <v>Open</v>
      </c>
      <c r="J3685" t="s">
        <v>3803</v>
      </c>
      <c r="L3685">
        <v>5189000</v>
      </c>
      <c r="M3685">
        <v>518900</v>
      </c>
    </row>
    <row r="3686" spans="1:13" x14ac:dyDescent="0.25">
      <c r="A3686" t="s">
        <v>12359</v>
      </c>
      <c r="B3686" t="s">
        <v>12360</v>
      </c>
      <c r="C3686" t="s">
        <v>387</v>
      </c>
      <c r="D3686" t="s">
        <v>762</v>
      </c>
      <c r="E3686" t="s">
        <v>11024</v>
      </c>
      <c r="F3686" t="s">
        <v>11102</v>
      </c>
      <c r="G3686" t="s">
        <v>12361</v>
      </c>
      <c r="H3686" t="str">
        <f>HYPERLINK("https://baanknet.com/view-property/205592/4C952A1DAFEF0CB15D3A8448B9F030671B252C185CE9437434A8DCBF74F507DC", "https://baanknet.com/view-property/205592/4C952A1DAFEF0CB15D3A8448B9F030671B252C185CE9437434A8DCBF74F507DC")</f>
        <v>https://baanknet.com/view-property/205592/4C952A1DAFEF0CB15D3A8448B9F030671B252C185CE9437434A8DCBF74F507DC</v>
      </c>
      <c r="I3686" t="str">
        <f>HYPERLINK("https://baanknet.com/view-property/205592/4C952A1DAFEF0CB15D3A8448B9F030671B252C185CE9437434A8DCBF74F507DC", "Open")</f>
        <v>Open</v>
      </c>
      <c r="J3686" t="s">
        <v>3803</v>
      </c>
      <c r="L3686">
        <v>790000</v>
      </c>
      <c r="M3686">
        <v>79000</v>
      </c>
    </row>
    <row r="3687" spans="1:13" x14ac:dyDescent="0.25">
      <c r="A3687" t="s">
        <v>12362</v>
      </c>
      <c r="B3687" t="s">
        <v>12363</v>
      </c>
      <c r="C3687" t="s">
        <v>387</v>
      </c>
      <c r="D3687" t="s">
        <v>813</v>
      </c>
      <c r="E3687" t="s">
        <v>11024</v>
      </c>
      <c r="F3687" t="s">
        <v>11102</v>
      </c>
      <c r="G3687" t="s">
        <v>12364</v>
      </c>
      <c r="H3687" t="str">
        <f>HYPERLINK("https://baanknet.com/view-property/206109/0444AC247B62E5503943D9C822860924E9965B5087662129691658749823BFA2", "https://baanknet.com/view-property/206109/0444AC247B62E5503943D9C822860924E9965B5087662129691658749823BFA2")</f>
        <v>https://baanknet.com/view-property/206109/0444AC247B62E5503943D9C822860924E9965B5087662129691658749823BFA2</v>
      </c>
      <c r="I3687" t="str">
        <f>HYPERLINK("https://baanknet.com/view-property/206109/0444AC247B62E5503943D9C822860924E9965B5087662129691658749823BFA2", "Open")</f>
        <v>Open</v>
      </c>
      <c r="J3687" t="s">
        <v>3803</v>
      </c>
      <c r="L3687">
        <v>1250000</v>
      </c>
      <c r="M3687">
        <v>125000</v>
      </c>
    </row>
    <row r="3688" spans="1:13" x14ac:dyDescent="0.25">
      <c r="A3688" t="s">
        <v>12365</v>
      </c>
      <c r="B3688" t="s">
        <v>12366</v>
      </c>
      <c r="C3688" t="s">
        <v>144</v>
      </c>
      <c r="D3688" t="s">
        <v>3652</v>
      </c>
      <c r="E3688" t="s">
        <v>11024</v>
      </c>
      <c r="F3688" t="s">
        <v>11102</v>
      </c>
      <c r="G3688" t="s">
        <v>12367</v>
      </c>
      <c r="H3688" t="str">
        <f>HYPERLINK("https://baanknet.com/view-property/114351/B183CE6B21F7B623BC976577C389FDAE4B88E27CBB6FC41ACDD528A4487D28D3", "https://baanknet.com/view-property/114351/B183CE6B21F7B623BC976577C389FDAE4B88E27CBB6FC41ACDD528A4487D28D3")</f>
        <v>https://baanknet.com/view-property/114351/B183CE6B21F7B623BC976577C389FDAE4B88E27CBB6FC41ACDD528A4487D28D3</v>
      </c>
      <c r="I3688" t="str">
        <f>HYPERLINK("https://baanknet.com/view-property/114351/B183CE6B21F7B623BC976577C389FDAE4B88E27CBB6FC41ACDD528A4487D28D3", "Open")</f>
        <v>Open</v>
      </c>
      <c r="J3688" t="s">
        <v>3803</v>
      </c>
      <c r="L3688">
        <v>2970000</v>
      </c>
      <c r="M3688">
        <v>297000</v>
      </c>
    </row>
    <row r="3689" spans="1:13" x14ac:dyDescent="0.25">
      <c r="A3689" t="s">
        <v>12368</v>
      </c>
      <c r="B3689" t="s">
        <v>12369</v>
      </c>
      <c r="C3689" t="s">
        <v>144</v>
      </c>
      <c r="D3689" t="s">
        <v>3344</v>
      </c>
      <c r="E3689" t="s">
        <v>11024</v>
      </c>
      <c r="F3689" t="s">
        <v>11102</v>
      </c>
      <c r="G3689" t="s">
        <v>12370</v>
      </c>
      <c r="H3689" t="str">
        <f>HYPERLINK("https://baanknet.com/view-property/97302/765F7D7006C3E29E1EB4A255C99F7E6022C1E43CB9B01BD26D4F4031A85612D3", "https://baanknet.com/view-property/97302/765F7D7006C3E29E1EB4A255C99F7E6022C1E43CB9B01BD26D4F4031A85612D3")</f>
        <v>https://baanknet.com/view-property/97302/765F7D7006C3E29E1EB4A255C99F7E6022C1E43CB9B01BD26D4F4031A85612D3</v>
      </c>
      <c r="I3689" t="str">
        <f>HYPERLINK("https://baanknet.com/view-property/97302/765F7D7006C3E29E1EB4A255C99F7E6022C1E43CB9B01BD26D4F4031A85612D3", "Open")</f>
        <v>Open</v>
      </c>
      <c r="J3689" t="s">
        <v>3803</v>
      </c>
      <c r="L3689">
        <v>3150000</v>
      </c>
      <c r="M3689">
        <v>315000</v>
      </c>
    </row>
    <row r="3690" spans="1:13" x14ac:dyDescent="0.25">
      <c r="A3690" t="s">
        <v>12371</v>
      </c>
      <c r="B3690" t="s">
        <v>12372</v>
      </c>
      <c r="C3690" t="s">
        <v>144</v>
      </c>
      <c r="D3690" t="s">
        <v>12373</v>
      </c>
      <c r="E3690" t="s">
        <v>11024</v>
      </c>
      <c r="F3690" t="s">
        <v>11102</v>
      </c>
      <c r="G3690" t="s">
        <v>12374</v>
      </c>
      <c r="H3690" t="str">
        <f>HYPERLINK("https://baanknet.com/view-property/72376/076387B0D39D1BC90D457899B45986EBCE90FA34F3ED8548923D32BAEFFBF2F4", "https://baanknet.com/view-property/72376/076387B0D39D1BC90D457899B45986EBCE90FA34F3ED8548923D32BAEFFBF2F4")</f>
        <v>https://baanknet.com/view-property/72376/076387B0D39D1BC90D457899B45986EBCE90FA34F3ED8548923D32BAEFFBF2F4</v>
      </c>
      <c r="I3690" t="str">
        <f>HYPERLINK("https://baanknet.com/view-property/72376/076387B0D39D1BC90D457899B45986EBCE90FA34F3ED8548923D32BAEFFBF2F4", "Open")</f>
        <v>Open</v>
      </c>
      <c r="J3690" t="s">
        <v>3803</v>
      </c>
      <c r="L3690">
        <v>3510000</v>
      </c>
      <c r="M3690">
        <v>351000</v>
      </c>
    </row>
    <row r="3691" spans="1:13" x14ac:dyDescent="0.25">
      <c r="A3691" t="s">
        <v>12375</v>
      </c>
      <c r="B3691" t="s">
        <v>12376</v>
      </c>
      <c r="C3691" t="s">
        <v>144</v>
      </c>
      <c r="D3691" t="s">
        <v>3790</v>
      </c>
      <c r="E3691" t="s">
        <v>11024</v>
      </c>
      <c r="F3691" t="s">
        <v>11102</v>
      </c>
      <c r="G3691" t="s">
        <v>12377</v>
      </c>
      <c r="H3691" t="str">
        <f>HYPERLINK("https://baanknet.com/view-property/13242/D48F5D4A5B519A26604229A00139F76AF517E7D1D631F7A2588CBC4389E7575C", "https://baanknet.com/view-property/13242/D48F5D4A5B519A26604229A00139F76AF517E7D1D631F7A2588CBC4389E7575C")</f>
        <v>https://baanknet.com/view-property/13242/D48F5D4A5B519A26604229A00139F76AF517E7D1D631F7A2588CBC4389E7575C</v>
      </c>
      <c r="I3691" t="str">
        <f>HYPERLINK("https://baanknet.com/view-property/13242/D48F5D4A5B519A26604229A00139F76AF517E7D1D631F7A2588CBC4389E7575C", "Open")</f>
        <v>Open</v>
      </c>
      <c r="J3691" t="s">
        <v>3803</v>
      </c>
      <c r="L3691">
        <v>1419000</v>
      </c>
      <c r="M3691">
        <v>141900</v>
      </c>
    </row>
    <row r="3692" spans="1:13" x14ac:dyDescent="0.25">
      <c r="A3692" t="s">
        <v>12378</v>
      </c>
      <c r="B3692" t="s">
        <v>12379</v>
      </c>
      <c r="C3692" t="s">
        <v>525</v>
      </c>
      <c r="D3692" t="s">
        <v>1602</v>
      </c>
      <c r="E3692" t="s">
        <v>11024</v>
      </c>
      <c r="F3692" t="s">
        <v>11102</v>
      </c>
      <c r="G3692" t="s">
        <v>12380</v>
      </c>
      <c r="H3692" t="str">
        <f>HYPERLINK("https://baanknet.com/view-property/250082/4894ABCD13FC63FE32391B77A239EF156F4A34E9F214B75B8666A4F6F42C351D", "https://baanknet.com/view-property/250082/4894ABCD13FC63FE32391B77A239EF156F4A34E9F214B75B8666A4F6F42C351D")</f>
        <v>https://baanknet.com/view-property/250082/4894ABCD13FC63FE32391B77A239EF156F4A34E9F214B75B8666A4F6F42C351D</v>
      </c>
      <c r="I3692" t="str">
        <f>HYPERLINK("https://baanknet.com/view-property/250082/4894ABCD13FC63FE32391B77A239EF156F4A34E9F214B75B8666A4F6F42C351D", "Open")</f>
        <v>Open</v>
      </c>
      <c r="J3692" t="s">
        <v>3803</v>
      </c>
      <c r="L3692">
        <v>9865000</v>
      </c>
      <c r="M3692">
        <v>986500</v>
      </c>
    </row>
    <row r="3693" spans="1:13" x14ac:dyDescent="0.25">
      <c r="A3693" t="s">
        <v>12381</v>
      </c>
      <c r="B3693" t="s">
        <v>12382</v>
      </c>
      <c r="C3693" t="s">
        <v>144</v>
      </c>
      <c r="D3693" t="s">
        <v>12383</v>
      </c>
      <c r="E3693" t="s">
        <v>11024</v>
      </c>
      <c r="F3693" t="s">
        <v>11102</v>
      </c>
      <c r="G3693" t="s">
        <v>12384</v>
      </c>
      <c r="H3693" t="str">
        <f>HYPERLINK("https://baanknet.com/view-property/264633/87856CD5E9AEAEB048A9EA1C8B6AE849CF4DEE709210D5E43524405A6ECCB07E", "https://baanknet.com/view-property/264633/87856CD5E9AEAEB048A9EA1C8B6AE849CF4DEE709210D5E43524405A6ECCB07E")</f>
        <v>https://baanknet.com/view-property/264633/87856CD5E9AEAEB048A9EA1C8B6AE849CF4DEE709210D5E43524405A6ECCB07E</v>
      </c>
      <c r="I3693" t="str">
        <f>HYPERLINK("https://baanknet.com/view-property/264633/87856CD5E9AEAEB048A9EA1C8B6AE849CF4DEE709210D5E43524405A6ECCB07E", "Open")</f>
        <v>Open</v>
      </c>
      <c r="J3693" t="s">
        <v>3803</v>
      </c>
      <c r="L3693">
        <v>1622000</v>
      </c>
      <c r="M3693">
        <v>162200</v>
      </c>
    </row>
    <row r="3694" spans="1:13" x14ac:dyDescent="0.25">
      <c r="A3694" t="s">
        <v>12385</v>
      </c>
      <c r="B3694" t="s">
        <v>12386</v>
      </c>
      <c r="C3694" t="s">
        <v>144</v>
      </c>
      <c r="D3694" t="s">
        <v>12387</v>
      </c>
      <c r="E3694" t="s">
        <v>11024</v>
      </c>
      <c r="F3694" t="s">
        <v>11102</v>
      </c>
      <c r="G3694" t="s">
        <v>12388</v>
      </c>
      <c r="H3694" t="str">
        <f>HYPERLINK("https://baanknet.com/view-property/225496/3B31D34C7A33EB691506D00362BB0F28F4254518D47151834736A06E3CD1A52A", "https://baanknet.com/view-property/225496/3B31D34C7A33EB691506D00362BB0F28F4254518D47151834736A06E3CD1A52A")</f>
        <v>https://baanknet.com/view-property/225496/3B31D34C7A33EB691506D00362BB0F28F4254518D47151834736A06E3CD1A52A</v>
      </c>
      <c r="I3694" t="str">
        <f>HYPERLINK("https://baanknet.com/view-property/225496/3B31D34C7A33EB691506D00362BB0F28F4254518D47151834736A06E3CD1A52A", "Open")</f>
        <v>Open</v>
      </c>
      <c r="J3694" t="s">
        <v>3803</v>
      </c>
      <c r="L3694">
        <v>12212000</v>
      </c>
      <c r="M3694">
        <v>1221200</v>
      </c>
    </row>
    <row r="3695" spans="1:13" x14ac:dyDescent="0.25">
      <c r="A3695" t="s">
        <v>12389</v>
      </c>
      <c r="B3695" t="s">
        <v>12390</v>
      </c>
      <c r="C3695" t="s">
        <v>144</v>
      </c>
      <c r="D3695" t="s">
        <v>12387</v>
      </c>
      <c r="E3695" t="s">
        <v>11024</v>
      </c>
      <c r="F3695" t="s">
        <v>11102</v>
      </c>
      <c r="G3695" t="s">
        <v>12391</v>
      </c>
      <c r="H3695" t="str">
        <f>HYPERLINK("https://baanknet.com/view-property/225493/B4B60F64904CC957308B5950E1D710A6DEA475A40A56F5EB3F201D014183D7F0", "https://baanknet.com/view-property/225493/B4B60F64904CC957308B5950E1D710A6DEA475A40A56F5EB3F201D014183D7F0")</f>
        <v>https://baanknet.com/view-property/225493/B4B60F64904CC957308B5950E1D710A6DEA475A40A56F5EB3F201D014183D7F0</v>
      </c>
      <c r="I3695" t="str">
        <f>HYPERLINK("https://baanknet.com/view-property/225493/B4B60F64904CC957308B5950E1D710A6DEA475A40A56F5EB3F201D014183D7F0", "Open")</f>
        <v>Open</v>
      </c>
      <c r="J3695" t="s">
        <v>3803</v>
      </c>
      <c r="L3695">
        <v>21726000</v>
      </c>
      <c r="M3695">
        <v>2172600</v>
      </c>
    </row>
    <row r="3696" spans="1:13" x14ac:dyDescent="0.25">
      <c r="A3696" t="s">
        <v>12392</v>
      </c>
      <c r="B3696" t="s">
        <v>12393</v>
      </c>
      <c r="C3696" t="s">
        <v>144</v>
      </c>
      <c r="D3696" t="s">
        <v>12394</v>
      </c>
      <c r="E3696" t="s">
        <v>11024</v>
      </c>
      <c r="F3696" t="s">
        <v>11102</v>
      </c>
      <c r="G3696" t="s">
        <v>12395</v>
      </c>
      <c r="H3696" t="str">
        <f>HYPERLINK("https://baanknet.com/view-property/184413/4C7EE4C8EB22A75053E76E1385673E46CC06B3641EAF2990FC80AE3CBEE76646", "https://baanknet.com/view-property/184413/4C7EE4C8EB22A75053E76E1385673E46CC06B3641EAF2990FC80AE3CBEE76646")</f>
        <v>https://baanknet.com/view-property/184413/4C7EE4C8EB22A75053E76E1385673E46CC06B3641EAF2990FC80AE3CBEE76646</v>
      </c>
      <c r="I3696" t="str">
        <f>HYPERLINK("https://baanknet.com/view-property/184413/4C7EE4C8EB22A75053E76E1385673E46CC06B3641EAF2990FC80AE3CBEE76646", "Open")</f>
        <v>Open</v>
      </c>
      <c r="J3696" t="s">
        <v>3803</v>
      </c>
      <c r="L3696">
        <v>1538000</v>
      </c>
      <c r="M3696">
        <v>153800</v>
      </c>
    </row>
    <row r="3697" spans="1:13" x14ac:dyDescent="0.25">
      <c r="A3697" t="s">
        <v>12396</v>
      </c>
      <c r="B3697" t="s">
        <v>12397</v>
      </c>
      <c r="C3697" t="s">
        <v>525</v>
      </c>
      <c r="D3697" t="s">
        <v>1602</v>
      </c>
      <c r="E3697" t="s">
        <v>11024</v>
      </c>
      <c r="F3697" t="s">
        <v>11102</v>
      </c>
      <c r="G3697" t="s">
        <v>12398</v>
      </c>
      <c r="H3697" t="str">
        <f>HYPERLINK("https://baanknet.com/view-property/267746/0469243FF3C03D70DF29ABC86B43AB424243BED8B3A0B9706B89CB1E37F243E2", "https://baanknet.com/view-property/267746/0469243FF3C03D70DF29ABC86B43AB424243BED8B3A0B9706B89CB1E37F243E2")</f>
        <v>https://baanknet.com/view-property/267746/0469243FF3C03D70DF29ABC86B43AB424243BED8B3A0B9706B89CB1E37F243E2</v>
      </c>
      <c r="I3697" t="str">
        <f>HYPERLINK("https://baanknet.com/view-property/267746/0469243FF3C03D70DF29ABC86B43AB424243BED8B3A0B9706B89CB1E37F243E2", "Open")</f>
        <v>Open</v>
      </c>
      <c r="J3697" t="s">
        <v>3803</v>
      </c>
      <c r="L3697">
        <v>5219000</v>
      </c>
      <c r="M3697">
        <v>521900</v>
      </c>
    </row>
    <row r="3698" spans="1:13" x14ac:dyDescent="0.25">
      <c r="A3698" t="s">
        <v>12399</v>
      </c>
      <c r="B3698" t="s">
        <v>12400</v>
      </c>
      <c r="C3698" t="s">
        <v>144</v>
      </c>
      <c r="D3698" t="s">
        <v>4665</v>
      </c>
      <c r="E3698" t="s">
        <v>11024</v>
      </c>
      <c r="F3698" t="s">
        <v>11102</v>
      </c>
      <c r="G3698" t="s">
        <v>12401</v>
      </c>
      <c r="H3698" t="str">
        <f>HYPERLINK("https://baanknet.com/view-property/278030/25E206D60668149BB04C9854E8F762D17EE542DE74F56205C49EF5A3A9360CFC", "https://baanknet.com/view-property/278030/25E206D60668149BB04C9854E8F762D17EE542DE74F56205C49EF5A3A9360CFC")</f>
        <v>https://baanknet.com/view-property/278030/25E206D60668149BB04C9854E8F762D17EE542DE74F56205C49EF5A3A9360CFC</v>
      </c>
      <c r="I3698" t="str">
        <f>HYPERLINK("https://baanknet.com/view-property/278030/25E206D60668149BB04C9854E8F762D17EE542DE74F56205C49EF5A3A9360CFC", "Open")</f>
        <v>Open</v>
      </c>
      <c r="J3698" t="s">
        <v>3803</v>
      </c>
      <c r="L3698">
        <v>360000</v>
      </c>
      <c r="M3698">
        <v>36000</v>
      </c>
    </row>
    <row r="3699" spans="1:13" x14ac:dyDescent="0.25">
      <c r="A3699" t="s">
        <v>12402</v>
      </c>
      <c r="B3699" t="s">
        <v>12403</v>
      </c>
      <c r="C3699" t="s">
        <v>387</v>
      </c>
      <c r="D3699" t="s">
        <v>12404</v>
      </c>
      <c r="E3699" t="s">
        <v>11024</v>
      </c>
      <c r="F3699" t="s">
        <v>12405</v>
      </c>
      <c r="G3699" t="s">
        <v>12406</v>
      </c>
      <c r="H3699" t="str">
        <f>HYPERLINK("https://baanknet.com/view-property/285680/0D51074436D3B65C66A6B028C15C5BA04E0611E1A6779E82BB1A21E677A334DE", "https://baanknet.com/view-property/285680/0D51074436D3B65C66A6B028C15C5BA04E0611E1A6779E82BB1A21E677A334DE")</f>
        <v>https://baanknet.com/view-property/285680/0D51074436D3B65C66A6B028C15C5BA04E0611E1A6779E82BB1A21E677A334DE</v>
      </c>
      <c r="I3699" t="str">
        <f>HYPERLINK("https://baanknet.com/view-property/285680/0D51074436D3B65C66A6B028C15C5BA04E0611E1A6779E82BB1A21E677A334DE", "Open")</f>
        <v>Open</v>
      </c>
      <c r="J3699" t="s">
        <v>3803</v>
      </c>
      <c r="L3699">
        <v>3050000</v>
      </c>
      <c r="M3699">
        <v>305000</v>
      </c>
    </row>
    <row r="3700" spans="1:13" x14ac:dyDescent="0.25">
      <c r="A3700" t="s">
        <v>12407</v>
      </c>
      <c r="B3700" t="s">
        <v>12408</v>
      </c>
      <c r="C3700" t="s">
        <v>332</v>
      </c>
      <c r="D3700" t="s">
        <v>11438</v>
      </c>
      <c r="E3700" t="s">
        <v>11024</v>
      </c>
      <c r="F3700" t="s">
        <v>12405</v>
      </c>
      <c r="G3700" t="s">
        <v>12409</v>
      </c>
      <c r="H3700" t="str">
        <f>HYPERLINK("https://baanknet.com/view-property/219018/D2D9840B13AEF225E0C21673E98000C7A190AAE86616F4A863E01FF1C7BB3DFC", "https://baanknet.com/view-property/219018/D2D9840B13AEF225E0C21673E98000C7A190AAE86616F4A863E01FF1C7BB3DFC")</f>
        <v>https://baanknet.com/view-property/219018/D2D9840B13AEF225E0C21673E98000C7A190AAE86616F4A863E01FF1C7BB3DFC</v>
      </c>
      <c r="I3700" t="str">
        <f>HYPERLINK("https://baanknet.com/view-property/219018/D2D9840B13AEF225E0C21673E98000C7A190AAE86616F4A863E01FF1C7BB3DFC", "Open")</f>
        <v>Open</v>
      </c>
      <c r="J3700" t="s">
        <v>3803</v>
      </c>
      <c r="L3700">
        <v>4200000</v>
      </c>
      <c r="M3700">
        <v>420000</v>
      </c>
    </row>
    <row r="3701" spans="1:13" x14ac:dyDescent="0.25">
      <c r="A3701" t="s">
        <v>12410</v>
      </c>
      <c r="B3701" t="s">
        <v>12411</v>
      </c>
      <c r="C3701" t="s">
        <v>332</v>
      </c>
      <c r="D3701" t="s">
        <v>1300</v>
      </c>
      <c r="E3701" t="s">
        <v>11024</v>
      </c>
      <c r="F3701" t="s">
        <v>12405</v>
      </c>
      <c r="G3701" t="s">
        <v>12412</v>
      </c>
      <c r="H3701" t="str">
        <f>HYPERLINK("https://baanknet.com/view-property/275327/3A4B3183B1A61AA9B5858AC20E60AC5A63C9E34D3B19AB64DCEE49F04F8F1663", "https://baanknet.com/view-property/275327/3A4B3183B1A61AA9B5858AC20E60AC5A63C9E34D3B19AB64DCEE49F04F8F1663")</f>
        <v>https://baanknet.com/view-property/275327/3A4B3183B1A61AA9B5858AC20E60AC5A63C9E34D3B19AB64DCEE49F04F8F1663</v>
      </c>
      <c r="I3701" t="str">
        <f>HYPERLINK("https://baanknet.com/view-property/275327/3A4B3183B1A61AA9B5858AC20E60AC5A63C9E34D3B19AB64DCEE49F04F8F1663", "Open")</f>
        <v>Open</v>
      </c>
      <c r="J3701" t="s">
        <v>3803</v>
      </c>
      <c r="L3701">
        <v>5150000</v>
      </c>
      <c r="M3701">
        <v>515000</v>
      </c>
    </row>
    <row r="3702" spans="1:13" x14ac:dyDescent="0.25">
      <c r="A3702" t="s">
        <v>12413</v>
      </c>
      <c r="B3702" t="s">
        <v>12414</v>
      </c>
      <c r="C3702" t="s">
        <v>332</v>
      </c>
      <c r="D3702" t="s">
        <v>8454</v>
      </c>
      <c r="E3702" t="s">
        <v>11024</v>
      </c>
      <c r="F3702" t="s">
        <v>12405</v>
      </c>
      <c r="G3702" t="s">
        <v>12415</v>
      </c>
      <c r="H3702" t="str">
        <f>HYPERLINK("https://baanknet.com/view-property/81482/ED975368DA73A12F92B0FA57C2369D19AB2F9100AE4CE5EAECB34B7FD34E1155", "https://baanknet.com/view-property/81482/ED975368DA73A12F92B0FA57C2369D19AB2F9100AE4CE5EAECB34B7FD34E1155")</f>
        <v>https://baanknet.com/view-property/81482/ED975368DA73A12F92B0FA57C2369D19AB2F9100AE4CE5EAECB34B7FD34E1155</v>
      </c>
      <c r="I3702" t="str">
        <f>HYPERLINK("https://baanknet.com/view-property/81482/ED975368DA73A12F92B0FA57C2369D19AB2F9100AE4CE5EAECB34B7FD34E1155", "Open")</f>
        <v>Open</v>
      </c>
      <c r="J3702" t="s">
        <v>3803</v>
      </c>
      <c r="L3702">
        <v>4200000</v>
      </c>
      <c r="M3702">
        <v>420000</v>
      </c>
    </row>
    <row r="3703" spans="1:13" x14ac:dyDescent="0.25">
      <c r="A3703" t="s">
        <v>12416</v>
      </c>
      <c r="B3703" t="s">
        <v>12417</v>
      </c>
      <c r="C3703" t="s">
        <v>332</v>
      </c>
      <c r="D3703" t="s">
        <v>8454</v>
      </c>
      <c r="E3703" t="s">
        <v>11024</v>
      </c>
      <c r="F3703" t="s">
        <v>12405</v>
      </c>
      <c r="G3703" t="s">
        <v>12418</v>
      </c>
      <c r="H3703" t="str">
        <f>HYPERLINK("https://baanknet.com/view-property/81484/A4A7C8086552596190838D2E639E693C62F872594D2C954704F95AB9480A2915", "https://baanknet.com/view-property/81484/A4A7C8086552596190838D2E639E693C62F872594D2C954704F95AB9480A2915")</f>
        <v>https://baanknet.com/view-property/81484/A4A7C8086552596190838D2E639E693C62F872594D2C954704F95AB9480A2915</v>
      </c>
      <c r="I3703" t="str">
        <f>HYPERLINK("https://baanknet.com/view-property/81484/A4A7C8086552596190838D2E639E693C62F872594D2C954704F95AB9480A2915", "Open")</f>
        <v>Open</v>
      </c>
      <c r="J3703" t="s">
        <v>3803</v>
      </c>
      <c r="L3703">
        <v>1400000</v>
      </c>
      <c r="M3703">
        <v>140000</v>
      </c>
    </row>
    <row r="3704" spans="1:13" x14ac:dyDescent="0.25">
      <c r="A3704" t="s">
        <v>12419</v>
      </c>
      <c r="B3704" t="s">
        <v>12420</v>
      </c>
      <c r="C3704" t="s">
        <v>332</v>
      </c>
      <c r="D3704" t="s">
        <v>8454</v>
      </c>
      <c r="E3704" t="s">
        <v>11024</v>
      </c>
      <c r="F3704" t="s">
        <v>12405</v>
      </c>
      <c r="G3704" t="s">
        <v>12421</v>
      </c>
      <c r="H3704" t="str">
        <f>HYPERLINK("https://baanknet.com/view-property/73034/7DFF1EACD31C7ECE30E28E6AE39D78A7D00A84207EF7C2691D17211E78AB5C51", "https://baanknet.com/view-property/73034/7DFF1EACD31C7ECE30E28E6AE39D78A7D00A84207EF7C2691D17211E78AB5C51")</f>
        <v>https://baanknet.com/view-property/73034/7DFF1EACD31C7ECE30E28E6AE39D78A7D00A84207EF7C2691D17211E78AB5C51</v>
      </c>
      <c r="I3704" t="str">
        <f>HYPERLINK("https://baanknet.com/view-property/73034/7DFF1EACD31C7ECE30E28E6AE39D78A7D00A84207EF7C2691D17211E78AB5C51", "Open")</f>
        <v>Open</v>
      </c>
      <c r="J3704" t="s">
        <v>3803</v>
      </c>
      <c r="L3704">
        <v>1400000</v>
      </c>
      <c r="M3704">
        <v>140000</v>
      </c>
    </row>
    <row r="3705" spans="1:13" x14ac:dyDescent="0.25">
      <c r="A3705" t="s">
        <v>12422</v>
      </c>
      <c r="B3705" t="s">
        <v>12423</v>
      </c>
      <c r="C3705" t="s">
        <v>525</v>
      </c>
      <c r="D3705" t="s">
        <v>12424</v>
      </c>
      <c r="E3705" t="s">
        <v>11024</v>
      </c>
      <c r="F3705" t="s">
        <v>12405</v>
      </c>
      <c r="G3705" t="s">
        <v>12425</v>
      </c>
      <c r="H3705" t="str">
        <f>HYPERLINK("https://baanknet.com/view-property/272193/202AD5F2B876411F3BFE85C1D23D98319BE95CDCB5B5F35A1B5EDEE4B04FA32A", "https://baanknet.com/view-property/272193/202AD5F2B876411F3BFE85C1D23D98319BE95CDCB5B5F35A1B5EDEE4B04FA32A")</f>
        <v>https://baanknet.com/view-property/272193/202AD5F2B876411F3BFE85C1D23D98319BE95CDCB5B5F35A1B5EDEE4B04FA32A</v>
      </c>
      <c r="I3705" t="str">
        <f>HYPERLINK("https://baanknet.com/view-property/272193/202AD5F2B876411F3BFE85C1D23D98319BE95CDCB5B5F35A1B5EDEE4B04FA32A", "Open")</f>
        <v>Open</v>
      </c>
      <c r="J3705" t="s">
        <v>3803</v>
      </c>
      <c r="L3705">
        <v>935000</v>
      </c>
      <c r="M3705">
        <v>93500</v>
      </c>
    </row>
    <row r="3706" spans="1:13" x14ac:dyDescent="0.25">
      <c r="A3706" t="s">
        <v>12426</v>
      </c>
      <c r="B3706" t="s">
        <v>12427</v>
      </c>
      <c r="C3706" t="s">
        <v>832</v>
      </c>
      <c r="D3706" t="s">
        <v>1300</v>
      </c>
      <c r="E3706" t="s">
        <v>11024</v>
      </c>
      <c r="F3706" t="s">
        <v>12405</v>
      </c>
      <c r="G3706" t="s">
        <v>12428</v>
      </c>
      <c r="H3706" t="str">
        <f>HYPERLINK("https://baanknet.com/view-property/251851/A62C13E1C1EDD76311544FC85E09DBA3A09FD9538F0CA4B050CC906ABFA1136D", "https://baanknet.com/view-property/251851/A62C13E1C1EDD76311544FC85E09DBA3A09FD9538F0CA4B050CC906ABFA1136D")</f>
        <v>https://baanknet.com/view-property/251851/A62C13E1C1EDD76311544FC85E09DBA3A09FD9538F0CA4B050CC906ABFA1136D</v>
      </c>
      <c r="I3706" t="str">
        <f>HYPERLINK("https://baanknet.com/view-property/251851/A62C13E1C1EDD76311544FC85E09DBA3A09FD9538F0CA4B050CC906ABFA1136D", "Open")</f>
        <v>Open</v>
      </c>
      <c r="J3706" t="s">
        <v>3803</v>
      </c>
      <c r="L3706">
        <v>4280000</v>
      </c>
      <c r="M3706">
        <v>428000</v>
      </c>
    </row>
    <row r="3707" spans="1:13" x14ac:dyDescent="0.25">
      <c r="A3707" t="s">
        <v>12429</v>
      </c>
      <c r="B3707" t="s">
        <v>12430</v>
      </c>
      <c r="C3707" t="s">
        <v>832</v>
      </c>
      <c r="D3707" t="s">
        <v>549</v>
      </c>
      <c r="E3707" t="s">
        <v>11024</v>
      </c>
      <c r="F3707" t="s">
        <v>12405</v>
      </c>
      <c r="G3707" t="s">
        <v>12431</v>
      </c>
      <c r="H3707" t="str">
        <f>HYPERLINK("https://baanknet.com/view-property/121043/36D8F1EF6DA2F46986E537EF3C354B2A39A79D1F4CD9096B02B11994097BFA1F", "https://baanknet.com/view-property/121043/36D8F1EF6DA2F46986E537EF3C354B2A39A79D1F4CD9096B02B11994097BFA1F")</f>
        <v>https://baanknet.com/view-property/121043/36D8F1EF6DA2F46986E537EF3C354B2A39A79D1F4CD9096B02B11994097BFA1F</v>
      </c>
      <c r="I3707" t="str">
        <f>HYPERLINK("https://baanknet.com/view-property/121043/36D8F1EF6DA2F46986E537EF3C354B2A39A79D1F4CD9096B02B11994097BFA1F", "Open")</f>
        <v>Open</v>
      </c>
      <c r="J3707" t="s">
        <v>3803</v>
      </c>
      <c r="L3707">
        <v>1670000</v>
      </c>
      <c r="M3707">
        <v>167000</v>
      </c>
    </row>
    <row r="3708" spans="1:13" x14ac:dyDescent="0.25">
      <c r="A3708" t="s">
        <v>12432</v>
      </c>
      <c r="B3708" t="s">
        <v>12433</v>
      </c>
      <c r="C3708" t="s">
        <v>832</v>
      </c>
      <c r="D3708" t="s">
        <v>1300</v>
      </c>
      <c r="E3708" t="s">
        <v>11024</v>
      </c>
      <c r="F3708" t="s">
        <v>12405</v>
      </c>
      <c r="G3708" t="s">
        <v>12434</v>
      </c>
      <c r="H3708" t="str">
        <f>HYPERLINK("https://baanknet.com/view-property/221492/ADA26F72AB1A77B816AE33A305D95087781CEA1CCB67C57CD32E744DA8A5F7CC", "https://baanknet.com/view-property/221492/ADA26F72AB1A77B816AE33A305D95087781CEA1CCB67C57CD32E744DA8A5F7CC")</f>
        <v>https://baanknet.com/view-property/221492/ADA26F72AB1A77B816AE33A305D95087781CEA1CCB67C57CD32E744DA8A5F7CC</v>
      </c>
      <c r="I3708" t="str">
        <f>HYPERLINK("https://baanknet.com/view-property/221492/ADA26F72AB1A77B816AE33A305D95087781CEA1CCB67C57CD32E744DA8A5F7CC", "Open")</f>
        <v>Open</v>
      </c>
      <c r="J3708" t="s">
        <v>3803</v>
      </c>
      <c r="L3708">
        <v>1900000</v>
      </c>
      <c r="M3708">
        <v>190000</v>
      </c>
    </row>
    <row r="3709" spans="1:13" x14ac:dyDescent="0.25">
      <c r="A3709" t="s">
        <v>12435</v>
      </c>
      <c r="B3709" t="s">
        <v>12436</v>
      </c>
      <c r="C3709" t="s">
        <v>832</v>
      </c>
      <c r="D3709" t="s">
        <v>853</v>
      </c>
      <c r="E3709" t="s">
        <v>11024</v>
      </c>
      <c r="F3709" t="s">
        <v>12405</v>
      </c>
      <c r="G3709" t="s">
        <v>12437</v>
      </c>
      <c r="H3709" t="str">
        <f>HYPERLINK("https://baanknet.com/view-property/222122/172B77F0D725CFA72C5F28F4FDD920F7FBD4D9981228B885E18B139791CAF391", "https://baanknet.com/view-property/222122/172B77F0D725CFA72C5F28F4FDD920F7FBD4D9981228B885E18B139791CAF391")</f>
        <v>https://baanknet.com/view-property/222122/172B77F0D725CFA72C5F28F4FDD920F7FBD4D9981228B885E18B139791CAF391</v>
      </c>
      <c r="I3709" t="str">
        <f>HYPERLINK("https://baanknet.com/view-property/222122/172B77F0D725CFA72C5F28F4FDD920F7FBD4D9981228B885E18B139791CAF391", "Open")</f>
        <v>Open</v>
      </c>
      <c r="J3709" t="s">
        <v>3803</v>
      </c>
      <c r="L3709">
        <v>2550000</v>
      </c>
      <c r="M3709">
        <v>255000</v>
      </c>
    </row>
    <row r="3710" spans="1:13" x14ac:dyDescent="0.25">
      <c r="A3710" t="s">
        <v>12438</v>
      </c>
      <c r="B3710" t="s">
        <v>12439</v>
      </c>
      <c r="C3710" t="s">
        <v>832</v>
      </c>
      <c r="D3710" t="s">
        <v>1310</v>
      </c>
      <c r="E3710" t="s">
        <v>11024</v>
      </c>
      <c r="F3710" t="s">
        <v>12405</v>
      </c>
      <c r="G3710" t="s">
        <v>12440</v>
      </c>
      <c r="H3710" t="str">
        <f>HYPERLINK("https://baanknet.com/view-property/251736/88218D0C5EAA39B41F9360A096D016E54C4D2719AF2697780C567FC99262B30A", "https://baanknet.com/view-property/251736/88218D0C5EAA39B41F9360A096D016E54C4D2719AF2697780C567FC99262B30A")</f>
        <v>https://baanknet.com/view-property/251736/88218D0C5EAA39B41F9360A096D016E54C4D2719AF2697780C567FC99262B30A</v>
      </c>
      <c r="I3710" t="str">
        <f>HYPERLINK("https://baanknet.com/view-property/251736/88218D0C5EAA39B41F9360A096D016E54C4D2719AF2697780C567FC99262B30A", "Open")</f>
        <v>Open</v>
      </c>
      <c r="J3710" t="s">
        <v>3803</v>
      </c>
      <c r="L3710">
        <v>8400000</v>
      </c>
      <c r="M3710">
        <v>840000</v>
      </c>
    </row>
    <row r="3711" spans="1:13" x14ac:dyDescent="0.25">
      <c r="A3711" t="s">
        <v>12441</v>
      </c>
      <c r="B3711" t="s">
        <v>12442</v>
      </c>
      <c r="C3711" t="s">
        <v>832</v>
      </c>
      <c r="D3711" t="s">
        <v>849</v>
      </c>
      <c r="E3711" t="s">
        <v>11024</v>
      </c>
      <c r="F3711" t="s">
        <v>12405</v>
      </c>
      <c r="G3711" t="s">
        <v>12443</v>
      </c>
      <c r="H3711" t="str">
        <f>HYPERLINK("https://baanknet.com/view-property/251725/FD179B7785C70811A9077341A9BA97EB35EFEEB92FABF69FDDB8DEA1FE43C53B", "https://baanknet.com/view-property/251725/FD179B7785C70811A9077341A9BA97EB35EFEEB92FABF69FDDB8DEA1FE43C53B")</f>
        <v>https://baanknet.com/view-property/251725/FD179B7785C70811A9077341A9BA97EB35EFEEB92FABF69FDDB8DEA1FE43C53B</v>
      </c>
      <c r="I3711" t="str">
        <f>HYPERLINK("https://baanknet.com/view-property/251725/FD179B7785C70811A9077341A9BA97EB35EFEEB92FABF69FDDB8DEA1FE43C53B", "Open")</f>
        <v>Open</v>
      </c>
      <c r="J3711" t="s">
        <v>3803</v>
      </c>
      <c r="L3711">
        <v>3020000</v>
      </c>
      <c r="M3711">
        <v>302000</v>
      </c>
    </row>
    <row r="3712" spans="1:13" x14ac:dyDescent="0.25">
      <c r="A3712" t="s">
        <v>12444</v>
      </c>
      <c r="B3712" t="s">
        <v>12445</v>
      </c>
      <c r="C3712" t="s">
        <v>832</v>
      </c>
      <c r="D3712" t="s">
        <v>5425</v>
      </c>
      <c r="E3712" t="s">
        <v>11024</v>
      </c>
      <c r="F3712" t="s">
        <v>12405</v>
      </c>
      <c r="G3712" t="s">
        <v>12446</v>
      </c>
      <c r="H3712" t="str">
        <f>HYPERLINK("https://baanknet.com/view-property/273523/D66CA44CD6D88E6987A078B8FFE8DCC598D241D1B7DD164F1D27387E8C905DFA", "https://baanknet.com/view-property/273523/D66CA44CD6D88E6987A078B8FFE8DCC598D241D1B7DD164F1D27387E8C905DFA")</f>
        <v>https://baanknet.com/view-property/273523/D66CA44CD6D88E6987A078B8FFE8DCC598D241D1B7DD164F1D27387E8C905DFA</v>
      </c>
      <c r="I3712" t="str">
        <f>HYPERLINK("https://baanknet.com/view-property/273523/D66CA44CD6D88E6987A078B8FFE8DCC598D241D1B7DD164F1D27387E8C905DFA", "Open")</f>
        <v>Open</v>
      </c>
      <c r="J3712" t="s">
        <v>3803</v>
      </c>
      <c r="L3712">
        <v>3720000</v>
      </c>
      <c r="M3712">
        <v>372000</v>
      </c>
    </row>
    <row r="3713" spans="1:13" x14ac:dyDescent="0.25">
      <c r="A3713" t="s">
        <v>12447</v>
      </c>
      <c r="B3713" t="s">
        <v>12448</v>
      </c>
      <c r="C3713" t="s">
        <v>832</v>
      </c>
      <c r="D3713" t="s">
        <v>1310</v>
      </c>
      <c r="E3713" t="s">
        <v>11024</v>
      </c>
      <c r="F3713" t="s">
        <v>12405</v>
      </c>
      <c r="G3713" t="s">
        <v>12449</v>
      </c>
      <c r="H3713" t="str">
        <f>HYPERLINK("https://baanknet.com/view-property/251693/6854F4B60C0540D4555BCC3DCA3D22B615169D899DF6368F5D7562A901921685", "https://baanknet.com/view-property/251693/6854F4B60C0540D4555BCC3DCA3D22B615169D899DF6368F5D7562A901921685")</f>
        <v>https://baanknet.com/view-property/251693/6854F4B60C0540D4555BCC3DCA3D22B615169D899DF6368F5D7562A901921685</v>
      </c>
      <c r="I3713" t="str">
        <f>HYPERLINK("https://baanknet.com/view-property/251693/6854F4B60C0540D4555BCC3DCA3D22B615169D899DF6368F5D7562A901921685", "Open")</f>
        <v>Open</v>
      </c>
      <c r="J3713" t="s">
        <v>3803</v>
      </c>
      <c r="L3713">
        <v>6330000</v>
      </c>
      <c r="M3713">
        <v>633000</v>
      </c>
    </row>
    <row r="3714" spans="1:13" x14ac:dyDescent="0.25">
      <c r="A3714" t="s">
        <v>12450</v>
      </c>
      <c r="B3714" t="s">
        <v>12451</v>
      </c>
      <c r="C3714" t="s">
        <v>832</v>
      </c>
      <c r="D3714" t="s">
        <v>8584</v>
      </c>
      <c r="E3714" t="s">
        <v>11024</v>
      </c>
      <c r="F3714" t="s">
        <v>12405</v>
      </c>
      <c r="G3714" t="s">
        <v>12452</v>
      </c>
      <c r="H3714" t="str">
        <f>HYPERLINK("https://baanknet.com/view-property/279241/BCA523DAF1125CBD584C5F5C926BAE3881FCF5F88C5645D7C5A5681F00A0B570", "https://baanknet.com/view-property/279241/BCA523DAF1125CBD584C5F5C926BAE3881FCF5F88C5645D7C5A5681F00A0B570")</f>
        <v>https://baanknet.com/view-property/279241/BCA523DAF1125CBD584C5F5C926BAE3881FCF5F88C5645D7C5A5681F00A0B570</v>
      </c>
      <c r="I3714" t="str">
        <f>HYPERLINK("https://baanknet.com/view-property/279241/BCA523DAF1125CBD584C5F5C926BAE3881FCF5F88C5645D7C5A5681F00A0B570", "Open")</f>
        <v>Open</v>
      </c>
      <c r="J3714" t="s">
        <v>3803</v>
      </c>
      <c r="L3714">
        <v>4400000</v>
      </c>
      <c r="M3714">
        <v>440000</v>
      </c>
    </row>
    <row r="3715" spans="1:13" x14ac:dyDescent="0.25">
      <c r="A3715" t="s">
        <v>12453</v>
      </c>
      <c r="B3715" t="s">
        <v>12454</v>
      </c>
      <c r="C3715" t="s">
        <v>832</v>
      </c>
      <c r="D3715" t="s">
        <v>1310</v>
      </c>
      <c r="E3715" t="s">
        <v>11024</v>
      </c>
      <c r="F3715" t="s">
        <v>12405</v>
      </c>
      <c r="G3715" t="s">
        <v>12455</v>
      </c>
      <c r="H3715" t="str">
        <f>HYPERLINK("https://baanknet.com/view-property/181648/02BEBE9472354372758AFA4F867A06D9ACAFF2C5D1B578FEB382B07978874FD9", "https://baanknet.com/view-property/181648/02BEBE9472354372758AFA4F867A06D9ACAFF2C5D1B578FEB382B07978874FD9")</f>
        <v>https://baanknet.com/view-property/181648/02BEBE9472354372758AFA4F867A06D9ACAFF2C5D1B578FEB382B07978874FD9</v>
      </c>
      <c r="I3715" t="str">
        <f>HYPERLINK("https://baanknet.com/view-property/181648/02BEBE9472354372758AFA4F867A06D9ACAFF2C5D1B578FEB382B07978874FD9", "Open")</f>
        <v>Open</v>
      </c>
      <c r="J3715" t="s">
        <v>3803</v>
      </c>
      <c r="L3715">
        <v>11600000</v>
      </c>
      <c r="M3715">
        <v>1160000</v>
      </c>
    </row>
    <row r="3716" spans="1:13" x14ac:dyDescent="0.25">
      <c r="A3716" t="s">
        <v>12456</v>
      </c>
      <c r="B3716" t="s">
        <v>12457</v>
      </c>
      <c r="C3716" t="s">
        <v>832</v>
      </c>
      <c r="D3716" t="s">
        <v>1310</v>
      </c>
      <c r="E3716" t="s">
        <v>11024</v>
      </c>
      <c r="F3716" t="s">
        <v>12405</v>
      </c>
      <c r="G3716" t="s">
        <v>12458</v>
      </c>
      <c r="H3716" t="str">
        <f>HYPERLINK("https://baanknet.com/view-property/273528/DAA19BA962D805E9AD55FCBBF2A73740B6FB9B03A83174475B88205B79BF3714", "https://baanknet.com/view-property/273528/DAA19BA962D805E9AD55FCBBF2A73740B6FB9B03A83174475B88205B79BF3714")</f>
        <v>https://baanknet.com/view-property/273528/DAA19BA962D805E9AD55FCBBF2A73740B6FB9B03A83174475B88205B79BF3714</v>
      </c>
      <c r="I3716" t="str">
        <f>HYPERLINK("https://baanknet.com/view-property/273528/DAA19BA962D805E9AD55FCBBF2A73740B6FB9B03A83174475B88205B79BF3714", "Open")</f>
        <v>Open</v>
      </c>
      <c r="J3716" t="s">
        <v>3803</v>
      </c>
      <c r="L3716">
        <v>15400000</v>
      </c>
      <c r="M3716">
        <v>1540000</v>
      </c>
    </row>
    <row r="3717" spans="1:13" x14ac:dyDescent="0.25">
      <c r="A3717" t="s">
        <v>12459</v>
      </c>
      <c r="B3717" t="s">
        <v>12460</v>
      </c>
      <c r="C3717" t="s">
        <v>832</v>
      </c>
      <c r="D3717" t="s">
        <v>1310</v>
      </c>
      <c r="E3717" t="s">
        <v>11024</v>
      </c>
      <c r="F3717" t="s">
        <v>12405</v>
      </c>
      <c r="G3717" t="s">
        <v>12461</v>
      </c>
      <c r="H3717" t="str">
        <f>HYPERLINK("https://baanknet.com/view-property/273824/218337028399CAC0A15EFAC4B6102DBC95396DEEC90F74F623DC36D52BAC28F4", "https://baanknet.com/view-property/273824/218337028399CAC0A15EFAC4B6102DBC95396DEEC90F74F623DC36D52BAC28F4")</f>
        <v>https://baanknet.com/view-property/273824/218337028399CAC0A15EFAC4B6102DBC95396DEEC90F74F623DC36D52BAC28F4</v>
      </c>
      <c r="I3717" t="str">
        <f>HYPERLINK("https://baanknet.com/view-property/273824/218337028399CAC0A15EFAC4B6102DBC95396DEEC90F74F623DC36D52BAC28F4", "Open")</f>
        <v>Open</v>
      </c>
      <c r="J3717" t="s">
        <v>3803</v>
      </c>
      <c r="L3717">
        <v>33300000</v>
      </c>
      <c r="M3717">
        <v>3330000</v>
      </c>
    </row>
    <row r="3718" spans="1:13" x14ac:dyDescent="0.25">
      <c r="A3718" t="s">
        <v>12462</v>
      </c>
      <c r="B3718" t="s">
        <v>12463</v>
      </c>
      <c r="C3718" t="s">
        <v>832</v>
      </c>
      <c r="D3718" t="s">
        <v>1310</v>
      </c>
      <c r="E3718" t="s">
        <v>11024</v>
      </c>
      <c r="F3718" t="s">
        <v>12405</v>
      </c>
      <c r="G3718" t="s">
        <v>12464</v>
      </c>
      <c r="H3718" t="str">
        <f>HYPERLINK("https://baanknet.com/view-property/277642/FC255D3FCA907D9CC20BD2D80A6F427D40FD6F45ED07E114611D26D1605ED9A4", "https://baanknet.com/view-property/277642/FC255D3FCA907D9CC20BD2D80A6F427D40FD6F45ED07E114611D26D1605ED9A4")</f>
        <v>https://baanknet.com/view-property/277642/FC255D3FCA907D9CC20BD2D80A6F427D40FD6F45ED07E114611D26D1605ED9A4</v>
      </c>
      <c r="I3718" t="str">
        <f>HYPERLINK("https://baanknet.com/view-property/277642/FC255D3FCA907D9CC20BD2D80A6F427D40FD6F45ED07E114611D26D1605ED9A4", "Open")</f>
        <v>Open</v>
      </c>
      <c r="J3718" t="s">
        <v>3803</v>
      </c>
      <c r="L3718">
        <v>26300000</v>
      </c>
      <c r="M3718">
        <v>2630000</v>
      </c>
    </row>
    <row r="3719" spans="1:13" x14ac:dyDescent="0.25">
      <c r="A3719" t="s">
        <v>12465</v>
      </c>
      <c r="B3719" t="s">
        <v>12466</v>
      </c>
      <c r="C3719" t="s">
        <v>832</v>
      </c>
      <c r="D3719" t="s">
        <v>12467</v>
      </c>
      <c r="E3719" t="s">
        <v>11024</v>
      </c>
      <c r="F3719" t="s">
        <v>12405</v>
      </c>
      <c r="G3719" t="s">
        <v>12468</v>
      </c>
      <c r="H3719" t="str">
        <f>HYPERLINK("https://baanknet.com/view-property/251577/30B17253DB923A0514003F0E9F85F3011801C7A02BA47AB5FEF10443131F5D91", "https://baanknet.com/view-property/251577/30B17253DB923A0514003F0E9F85F3011801C7A02BA47AB5FEF10443131F5D91")</f>
        <v>https://baanknet.com/view-property/251577/30B17253DB923A0514003F0E9F85F3011801C7A02BA47AB5FEF10443131F5D91</v>
      </c>
      <c r="I3719" t="str">
        <f>HYPERLINK("https://baanknet.com/view-property/251577/30B17253DB923A0514003F0E9F85F3011801C7A02BA47AB5FEF10443131F5D91", "Open")</f>
        <v>Open</v>
      </c>
      <c r="J3719" t="s">
        <v>3803</v>
      </c>
      <c r="L3719">
        <v>1130000</v>
      </c>
      <c r="M3719">
        <v>113000</v>
      </c>
    </row>
    <row r="3720" spans="1:13" x14ac:dyDescent="0.25">
      <c r="A3720" t="s">
        <v>12469</v>
      </c>
      <c r="B3720" t="s">
        <v>12470</v>
      </c>
      <c r="C3720" t="s">
        <v>832</v>
      </c>
      <c r="D3720" t="s">
        <v>12467</v>
      </c>
      <c r="E3720" t="s">
        <v>11024</v>
      </c>
      <c r="F3720" t="s">
        <v>12405</v>
      </c>
      <c r="G3720" t="s">
        <v>12471</v>
      </c>
      <c r="H3720" t="str">
        <f>HYPERLINK("https://baanknet.com/view-property/251580/0BE50435BC5A49730CF8AEBC8EB1D10F650500E78B409073E957501E5FBD2CBC", "https://baanknet.com/view-property/251580/0BE50435BC5A49730CF8AEBC8EB1D10F650500E78B409073E957501E5FBD2CBC")</f>
        <v>https://baanknet.com/view-property/251580/0BE50435BC5A49730CF8AEBC8EB1D10F650500E78B409073E957501E5FBD2CBC</v>
      </c>
      <c r="I3720" t="str">
        <f>HYPERLINK("https://baanknet.com/view-property/251580/0BE50435BC5A49730CF8AEBC8EB1D10F650500E78B409073E957501E5FBD2CBC", "Open")</f>
        <v>Open</v>
      </c>
      <c r="J3720" t="s">
        <v>3803</v>
      </c>
      <c r="L3720">
        <v>1130000</v>
      </c>
      <c r="M3720">
        <v>113000</v>
      </c>
    </row>
    <row r="3721" spans="1:13" x14ac:dyDescent="0.25">
      <c r="A3721" t="s">
        <v>12472</v>
      </c>
      <c r="B3721" t="s">
        <v>12473</v>
      </c>
      <c r="C3721" t="s">
        <v>144</v>
      </c>
      <c r="D3721" t="s">
        <v>12474</v>
      </c>
      <c r="E3721" t="s">
        <v>11024</v>
      </c>
      <c r="F3721" t="s">
        <v>12405</v>
      </c>
      <c r="G3721" t="s">
        <v>12475</v>
      </c>
      <c r="H3721" t="str">
        <f>HYPERLINK("https://baanknet.com/view-property/109300/B2BD3BA588C38AC1DEC1713D1B1A11172CD849E6BBF45CF8AB7A205F33CEA3D8", "https://baanknet.com/view-property/109300/B2BD3BA588C38AC1DEC1713D1B1A11172CD849E6BBF45CF8AB7A205F33CEA3D8")</f>
        <v>https://baanknet.com/view-property/109300/B2BD3BA588C38AC1DEC1713D1B1A11172CD849E6BBF45CF8AB7A205F33CEA3D8</v>
      </c>
      <c r="I3721" t="str">
        <f>HYPERLINK("https://baanknet.com/view-property/109300/B2BD3BA588C38AC1DEC1713D1B1A11172CD849E6BBF45CF8AB7A205F33CEA3D8", "Open")</f>
        <v>Open</v>
      </c>
      <c r="J3721" t="s">
        <v>3803</v>
      </c>
      <c r="L3721">
        <v>1005000</v>
      </c>
      <c r="M3721">
        <v>100500</v>
      </c>
    </row>
    <row r="3722" spans="1:13" x14ac:dyDescent="0.25">
      <c r="A3722" t="s">
        <v>12476</v>
      </c>
      <c r="B3722" t="s">
        <v>12477</v>
      </c>
      <c r="C3722" t="s">
        <v>144</v>
      </c>
      <c r="D3722" t="s">
        <v>4391</v>
      </c>
      <c r="E3722" t="s">
        <v>11024</v>
      </c>
      <c r="F3722" t="s">
        <v>12405</v>
      </c>
      <c r="G3722" t="s">
        <v>12478</v>
      </c>
      <c r="H3722" t="str">
        <f>HYPERLINK("https://baanknet.com/view-property/286884/28F348F73487504761485BAB285AA33030CB07B708E2FBC44AD434649E87BE29", "https://baanknet.com/view-property/286884/28F348F73487504761485BAB285AA33030CB07B708E2FBC44AD434649E87BE29")</f>
        <v>https://baanknet.com/view-property/286884/28F348F73487504761485BAB285AA33030CB07B708E2FBC44AD434649E87BE29</v>
      </c>
      <c r="I3722" t="str">
        <f>HYPERLINK("https://baanknet.com/view-property/286884/28F348F73487504761485BAB285AA33030CB07B708E2FBC44AD434649E87BE29", "Open")</f>
        <v>Open</v>
      </c>
      <c r="J3722" t="s">
        <v>3803</v>
      </c>
      <c r="L3722">
        <v>2263000</v>
      </c>
      <c r="M3722">
        <v>226300</v>
      </c>
    </row>
    <row r="3723" spans="1:13" x14ac:dyDescent="0.25">
      <c r="A3723" t="s">
        <v>12479</v>
      </c>
      <c r="B3723" t="s">
        <v>12480</v>
      </c>
      <c r="C3723" t="s">
        <v>144</v>
      </c>
      <c r="D3723" t="s">
        <v>12481</v>
      </c>
      <c r="E3723" t="s">
        <v>11024</v>
      </c>
      <c r="F3723" t="s">
        <v>12405</v>
      </c>
      <c r="G3723" t="s">
        <v>12482</v>
      </c>
      <c r="H3723" t="str">
        <f>HYPERLINK("https://baanknet.com/view-property/262936/A09E1FF337D0E43108DBC43197CFD2500C8E33115C4F73111B81C072B2B4A807", "https://baanknet.com/view-property/262936/A09E1FF337D0E43108DBC43197CFD2500C8E33115C4F73111B81C072B2B4A807")</f>
        <v>https://baanknet.com/view-property/262936/A09E1FF337D0E43108DBC43197CFD2500C8E33115C4F73111B81C072B2B4A807</v>
      </c>
      <c r="I3723" t="str">
        <f>HYPERLINK("https://baanknet.com/view-property/262936/A09E1FF337D0E43108DBC43197CFD2500C8E33115C4F73111B81C072B2B4A807", "Open")</f>
        <v>Open</v>
      </c>
      <c r="J3723" t="s">
        <v>3803</v>
      </c>
      <c r="L3723">
        <v>3382000</v>
      </c>
      <c r="M3723">
        <v>338200</v>
      </c>
    </row>
    <row r="3724" spans="1:13" x14ac:dyDescent="0.25">
      <c r="A3724" t="s">
        <v>12483</v>
      </c>
      <c r="B3724" t="s">
        <v>12484</v>
      </c>
      <c r="C3724" t="s">
        <v>144</v>
      </c>
      <c r="D3724" t="s">
        <v>2425</v>
      </c>
      <c r="E3724" t="s">
        <v>11024</v>
      </c>
      <c r="F3724" t="s">
        <v>12405</v>
      </c>
      <c r="G3724" t="s">
        <v>12485</v>
      </c>
      <c r="H3724" t="str">
        <f>HYPERLINK("https://baanknet.com/view-property/278304/7C7D7E19FD01F7C3C1E31B8F0AC4CAAC0848D1491BCB852FA054F38B8E379925", "https://baanknet.com/view-property/278304/7C7D7E19FD01F7C3C1E31B8F0AC4CAAC0848D1491BCB852FA054F38B8E379925")</f>
        <v>https://baanknet.com/view-property/278304/7C7D7E19FD01F7C3C1E31B8F0AC4CAAC0848D1491BCB852FA054F38B8E379925</v>
      </c>
      <c r="I3724" t="str">
        <f>HYPERLINK("https://baanknet.com/view-property/278304/7C7D7E19FD01F7C3C1E31B8F0AC4CAAC0848D1491BCB852FA054F38B8E379925", "Open")</f>
        <v>Open</v>
      </c>
      <c r="J3724" t="s">
        <v>3803</v>
      </c>
      <c r="L3724">
        <v>3600000</v>
      </c>
      <c r="M3724">
        <v>360000</v>
      </c>
    </row>
    <row r="3725" spans="1:13" x14ac:dyDescent="0.25">
      <c r="A3725" t="s">
        <v>12486</v>
      </c>
      <c r="B3725" t="s">
        <v>12487</v>
      </c>
      <c r="C3725" t="s">
        <v>144</v>
      </c>
      <c r="D3725" t="s">
        <v>1246</v>
      </c>
      <c r="E3725" t="s">
        <v>11024</v>
      </c>
      <c r="F3725" t="s">
        <v>12405</v>
      </c>
      <c r="G3725" t="s">
        <v>12488</v>
      </c>
      <c r="H3725" t="str">
        <f>HYPERLINK("https://baanknet.com/view-property/278316/975E2BF2421515EE375C43AFD004645904E068F7328FE9010B0F11767E9876ED", "https://baanknet.com/view-property/278316/975E2BF2421515EE375C43AFD004645904E068F7328FE9010B0F11767E9876ED")</f>
        <v>https://baanknet.com/view-property/278316/975E2BF2421515EE375C43AFD004645904E068F7328FE9010B0F11767E9876ED</v>
      </c>
      <c r="I3725" t="str">
        <f>HYPERLINK("https://baanknet.com/view-property/278316/975E2BF2421515EE375C43AFD004645904E068F7328FE9010B0F11767E9876ED", "Open")</f>
        <v>Open</v>
      </c>
      <c r="J3725" t="s">
        <v>3803</v>
      </c>
      <c r="L3725">
        <v>4893000</v>
      </c>
      <c r="M3725">
        <v>489300</v>
      </c>
    </row>
    <row r="3726" spans="1:13" x14ac:dyDescent="0.25">
      <c r="A3726" t="s">
        <v>12489</v>
      </c>
      <c r="B3726" t="s">
        <v>12490</v>
      </c>
      <c r="C3726" t="s">
        <v>144</v>
      </c>
      <c r="D3726" t="s">
        <v>1246</v>
      </c>
      <c r="E3726" t="s">
        <v>11024</v>
      </c>
      <c r="F3726" t="s">
        <v>12405</v>
      </c>
      <c r="G3726" t="s">
        <v>12491</v>
      </c>
      <c r="H3726" t="str">
        <f>HYPERLINK("https://baanknet.com/view-property/260661/51E268292B1A1AC3A5731C32BD2EFF7629D903BC2060C869122B0E3D01FAAE2D", "https://baanknet.com/view-property/260661/51E268292B1A1AC3A5731C32BD2EFF7629D903BC2060C869122B0E3D01FAAE2D")</f>
        <v>https://baanknet.com/view-property/260661/51E268292B1A1AC3A5731C32BD2EFF7629D903BC2060C869122B0E3D01FAAE2D</v>
      </c>
      <c r="I3726" t="str">
        <f>HYPERLINK("https://baanknet.com/view-property/260661/51E268292B1A1AC3A5731C32BD2EFF7629D903BC2060C869122B0E3D01FAAE2D", "Open")</f>
        <v>Open</v>
      </c>
      <c r="J3726" t="s">
        <v>3803</v>
      </c>
      <c r="L3726">
        <v>3585000</v>
      </c>
      <c r="M3726">
        <v>358500</v>
      </c>
    </row>
    <row r="3727" spans="1:13" x14ac:dyDescent="0.25">
      <c r="A3727" t="s">
        <v>12492</v>
      </c>
      <c r="B3727" t="s">
        <v>12493</v>
      </c>
      <c r="C3727" t="s">
        <v>144</v>
      </c>
      <c r="D3727" t="s">
        <v>1246</v>
      </c>
      <c r="E3727" t="s">
        <v>11024</v>
      </c>
      <c r="F3727" t="s">
        <v>12405</v>
      </c>
      <c r="G3727" t="s">
        <v>12494</v>
      </c>
      <c r="H3727" t="str">
        <f>HYPERLINK("https://baanknet.com/view-property/281956/5E581BC3055EB2E59F59EB49BB960EBE3F7FFF90D9FF9E72978ADAE110530ABC", "https://baanknet.com/view-property/281956/5E581BC3055EB2E59F59EB49BB960EBE3F7FFF90D9FF9E72978ADAE110530ABC")</f>
        <v>https://baanknet.com/view-property/281956/5E581BC3055EB2E59F59EB49BB960EBE3F7FFF90D9FF9E72978ADAE110530ABC</v>
      </c>
      <c r="I3727" t="str">
        <f>HYPERLINK("https://baanknet.com/view-property/281956/5E581BC3055EB2E59F59EB49BB960EBE3F7FFF90D9FF9E72978ADAE110530ABC", "Open")</f>
        <v>Open</v>
      </c>
      <c r="J3727" t="s">
        <v>3803</v>
      </c>
      <c r="L3727">
        <v>23900000</v>
      </c>
      <c r="M3727">
        <v>2390000</v>
      </c>
    </row>
    <row r="3728" spans="1:13" x14ac:dyDescent="0.25">
      <c r="A3728" t="s">
        <v>12495</v>
      </c>
      <c r="B3728" t="s">
        <v>12496</v>
      </c>
      <c r="C3728" t="s">
        <v>144</v>
      </c>
      <c r="D3728" t="s">
        <v>1246</v>
      </c>
      <c r="E3728" t="s">
        <v>11024</v>
      </c>
      <c r="F3728" t="s">
        <v>12405</v>
      </c>
      <c r="G3728" t="s">
        <v>12497</v>
      </c>
      <c r="H3728" t="str">
        <f>HYPERLINK("https://baanknet.com/view-property/247010/5858BD4F6C3D298138BDA2BA7287FE0B8481CD6412417FA93490B6694E99F81A", "https://baanknet.com/view-property/247010/5858BD4F6C3D298138BDA2BA7287FE0B8481CD6412417FA93490B6694E99F81A")</f>
        <v>https://baanknet.com/view-property/247010/5858BD4F6C3D298138BDA2BA7287FE0B8481CD6412417FA93490B6694E99F81A</v>
      </c>
      <c r="I3728" t="str">
        <f>HYPERLINK("https://baanknet.com/view-property/247010/5858BD4F6C3D298138BDA2BA7287FE0B8481CD6412417FA93490B6694E99F81A", "Open")</f>
        <v>Open</v>
      </c>
      <c r="J3728" t="s">
        <v>3803</v>
      </c>
      <c r="L3728">
        <v>7440000</v>
      </c>
      <c r="M3728">
        <v>744000</v>
      </c>
    </row>
    <row r="3729" spans="1:13" x14ac:dyDescent="0.25">
      <c r="A3729" t="s">
        <v>12498</v>
      </c>
      <c r="B3729" t="s">
        <v>12499</v>
      </c>
      <c r="C3729" t="s">
        <v>144</v>
      </c>
      <c r="D3729" t="s">
        <v>8345</v>
      </c>
      <c r="E3729" t="s">
        <v>11024</v>
      </c>
      <c r="F3729" t="s">
        <v>12405</v>
      </c>
      <c r="G3729" t="s">
        <v>12500</v>
      </c>
      <c r="H3729" t="str">
        <f>HYPERLINK("https://baanknet.com/view-property/271242/BBB8683D15FEF272B7CA58ECA43CBAEFB899937402A0252B12911598397CE27C", "https://baanknet.com/view-property/271242/BBB8683D15FEF272B7CA58ECA43CBAEFB899937402A0252B12911598397CE27C")</f>
        <v>https://baanknet.com/view-property/271242/BBB8683D15FEF272B7CA58ECA43CBAEFB899937402A0252B12911598397CE27C</v>
      </c>
      <c r="I3729" t="str">
        <f>HYPERLINK("https://baanknet.com/view-property/271242/BBB8683D15FEF272B7CA58ECA43CBAEFB899937402A0252B12911598397CE27C", "Open")</f>
        <v>Open</v>
      </c>
      <c r="J3729" t="s">
        <v>3803</v>
      </c>
      <c r="L3729">
        <v>1573000</v>
      </c>
      <c r="M3729">
        <v>157300</v>
      </c>
    </row>
    <row r="3730" spans="1:13" x14ac:dyDescent="0.25">
      <c r="A3730" t="s">
        <v>12501</v>
      </c>
      <c r="B3730" t="s">
        <v>12502</v>
      </c>
      <c r="C3730" t="s">
        <v>144</v>
      </c>
      <c r="D3730" t="s">
        <v>1051</v>
      </c>
      <c r="E3730" t="s">
        <v>11024</v>
      </c>
      <c r="F3730" t="s">
        <v>12405</v>
      </c>
      <c r="G3730" t="s">
        <v>12503</v>
      </c>
      <c r="H3730" t="str">
        <f>HYPERLINK("https://baanknet.com/view-property/250206/04F3CF5EB74250B9445C5CB50D80A7FFEDC380411464170C24DE823B4E1EB85B", "https://baanknet.com/view-property/250206/04F3CF5EB74250B9445C5CB50D80A7FFEDC380411464170C24DE823B4E1EB85B")</f>
        <v>https://baanknet.com/view-property/250206/04F3CF5EB74250B9445C5CB50D80A7FFEDC380411464170C24DE823B4E1EB85B</v>
      </c>
      <c r="I3730" t="str">
        <f>HYPERLINK("https://baanknet.com/view-property/250206/04F3CF5EB74250B9445C5CB50D80A7FFEDC380411464170C24DE823B4E1EB85B", "Open")</f>
        <v>Open</v>
      </c>
      <c r="J3730" t="s">
        <v>3803</v>
      </c>
      <c r="L3730">
        <v>1880000</v>
      </c>
      <c r="M3730">
        <v>188000</v>
      </c>
    </row>
    <row r="3731" spans="1:13" x14ac:dyDescent="0.25">
      <c r="A3731" t="s">
        <v>12504</v>
      </c>
      <c r="B3731" t="s">
        <v>12505</v>
      </c>
      <c r="C3731" t="s">
        <v>144</v>
      </c>
      <c r="D3731" t="s">
        <v>1051</v>
      </c>
      <c r="E3731" t="s">
        <v>11024</v>
      </c>
      <c r="F3731" t="s">
        <v>12405</v>
      </c>
      <c r="G3731" t="s">
        <v>12506</v>
      </c>
      <c r="H3731" t="str">
        <f>HYPERLINK("https://baanknet.com/view-property/271037/953AD1A514280FED5FAC9A26707E0DCFB80346E91695B5014095D76834B3B25A", "https://baanknet.com/view-property/271037/953AD1A514280FED5FAC9A26707E0DCFB80346E91695B5014095D76834B3B25A")</f>
        <v>https://baanknet.com/view-property/271037/953AD1A514280FED5FAC9A26707E0DCFB80346E91695B5014095D76834B3B25A</v>
      </c>
      <c r="I3731" t="str">
        <f>HYPERLINK("https://baanknet.com/view-property/271037/953AD1A514280FED5FAC9A26707E0DCFB80346E91695B5014095D76834B3B25A", "Open")</f>
        <v>Open</v>
      </c>
      <c r="J3731" t="s">
        <v>3803</v>
      </c>
      <c r="L3731">
        <v>5324300</v>
      </c>
      <c r="M3731">
        <v>532430</v>
      </c>
    </row>
    <row r="3732" spans="1:13" x14ac:dyDescent="0.25">
      <c r="A3732" t="s">
        <v>12507</v>
      </c>
      <c r="B3732" t="s">
        <v>12508</v>
      </c>
      <c r="C3732" t="s">
        <v>525</v>
      </c>
      <c r="D3732" t="s">
        <v>12424</v>
      </c>
      <c r="E3732" t="s">
        <v>11024</v>
      </c>
      <c r="F3732" t="s">
        <v>12405</v>
      </c>
      <c r="G3732" t="s">
        <v>12509</v>
      </c>
      <c r="H3732" t="str">
        <f>HYPERLINK("https://baanknet.com/view-property/286359/5AC069A6F05A6EB95CA4D3E549F0886617857169F2E2BAA892A41B1C07278AC7", "https://baanknet.com/view-property/286359/5AC069A6F05A6EB95CA4D3E549F0886617857169F2E2BAA892A41B1C07278AC7")</f>
        <v>https://baanknet.com/view-property/286359/5AC069A6F05A6EB95CA4D3E549F0886617857169F2E2BAA892A41B1C07278AC7</v>
      </c>
      <c r="I3732" t="str">
        <f>HYPERLINK("https://baanknet.com/view-property/286359/5AC069A6F05A6EB95CA4D3E549F0886617857169F2E2BAA892A41B1C07278AC7", "Open")</f>
        <v>Open</v>
      </c>
      <c r="J3732" t="s">
        <v>3803</v>
      </c>
      <c r="L3732">
        <v>1233000</v>
      </c>
      <c r="M3732">
        <v>123300</v>
      </c>
    </row>
    <row r="3733" spans="1:13" x14ac:dyDescent="0.25">
      <c r="A3733" t="s">
        <v>12510</v>
      </c>
      <c r="B3733" t="s">
        <v>12511</v>
      </c>
      <c r="C3733" t="s">
        <v>525</v>
      </c>
      <c r="D3733" t="s">
        <v>12424</v>
      </c>
      <c r="E3733" t="s">
        <v>11024</v>
      </c>
      <c r="F3733" t="s">
        <v>12405</v>
      </c>
      <c r="G3733" t="s">
        <v>12512</v>
      </c>
      <c r="H3733" t="str">
        <f>HYPERLINK("https://baanknet.com/view-property/286369/BA54385F7E49090E520659EEA51B223F4A727B4E715151A009FD390AC77EDF33", "https://baanknet.com/view-property/286369/BA54385F7E49090E520659EEA51B223F4A727B4E715151A009FD390AC77EDF33")</f>
        <v>https://baanknet.com/view-property/286369/BA54385F7E49090E520659EEA51B223F4A727B4E715151A009FD390AC77EDF33</v>
      </c>
      <c r="I3733" t="str">
        <f>HYPERLINK("https://baanknet.com/view-property/286369/BA54385F7E49090E520659EEA51B223F4A727B4E715151A009FD390AC77EDF33", "Open")</f>
        <v>Open</v>
      </c>
      <c r="J3733" t="s">
        <v>3803</v>
      </c>
      <c r="L3733">
        <v>600000</v>
      </c>
      <c r="M3733">
        <v>60000</v>
      </c>
    </row>
    <row r="3734" spans="1:13" x14ac:dyDescent="0.25">
      <c r="A3734" t="s">
        <v>12513</v>
      </c>
      <c r="B3734" t="s">
        <v>12514</v>
      </c>
      <c r="C3734" t="s">
        <v>525</v>
      </c>
      <c r="D3734" t="s">
        <v>422</v>
      </c>
      <c r="E3734" t="s">
        <v>11024</v>
      </c>
      <c r="F3734" t="s">
        <v>12405</v>
      </c>
      <c r="G3734" t="s">
        <v>12515</v>
      </c>
      <c r="H3734" t="str">
        <f>HYPERLINK("https://baanknet.com/view-property/231028/3DF6D3A855EBAE75B5538BE6B3969EE84566A3996504E659AC1D0881532CC557", "https://baanknet.com/view-property/231028/3DF6D3A855EBAE75B5538BE6B3969EE84566A3996504E659AC1D0881532CC557")</f>
        <v>https://baanknet.com/view-property/231028/3DF6D3A855EBAE75B5538BE6B3969EE84566A3996504E659AC1D0881532CC557</v>
      </c>
      <c r="I3734" t="str">
        <f>HYPERLINK("https://baanknet.com/view-property/231028/3DF6D3A855EBAE75B5538BE6B3969EE84566A3996504E659AC1D0881532CC557", "Open")</f>
        <v>Open</v>
      </c>
      <c r="J3734" t="s">
        <v>3803</v>
      </c>
      <c r="L3734">
        <v>5400000</v>
      </c>
      <c r="M3734">
        <v>540000</v>
      </c>
    </row>
    <row r="3735" spans="1:13" x14ac:dyDescent="0.25">
      <c r="A3735" t="s">
        <v>12516</v>
      </c>
      <c r="B3735" t="s">
        <v>12517</v>
      </c>
      <c r="C3735" t="s">
        <v>332</v>
      </c>
      <c r="D3735" t="s">
        <v>12518</v>
      </c>
      <c r="E3735" t="s">
        <v>11024</v>
      </c>
      <c r="F3735" t="s">
        <v>12405</v>
      </c>
      <c r="G3735" t="s">
        <v>12519</v>
      </c>
      <c r="H3735" t="str">
        <f>HYPERLINK("https://baanknet.com/view-property/85337/7DF85D1C974622EE8013EC263604A2687E2592F92FF9DC906757402FCCEF362D", "https://baanknet.com/view-property/85337/7DF85D1C974622EE8013EC263604A2687E2592F92FF9DC906757402FCCEF362D")</f>
        <v>https://baanknet.com/view-property/85337/7DF85D1C974622EE8013EC263604A2687E2592F92FF9DC906757402FCCEF362D</v>
      </c>
      <c r="I3735" t="str">
        <f>HYPERLINK("https://baanknet.com/view-property/85337/7DF85D1C974622EE8013EC263604A2687E2592F92FF9DC906757402FCCEF362D", "Open")</f>
        <v>Open</v>
      </c>
      <c r="J3735" t="s">
        <v>3803</v>
      </c>
      <c r="L3735">
        <v>1100000</v>
      </c>
      <c r="M3735">
        <v>110000</v>
      </c>
    </row>
    <row r="3736" spans="1:13" x14ac:dyDescent="0.25">
      <c r="A3736" t="s">
        <v>12520</v>
      </c>
      <c r="B3736" t="s">
        <v>12521</v>
      </c>
      <c r="C3736" t="s">
        <v>332</v>
      </c>
      <c r="D3736" t="s">
        <v>9031</v>
      </c>
      <c r="E3736" t="s">
        <v>11024</v>
      </c>
      <c r="F3736" t="s">
        <v>12405</v>
      </c>
      <c r="G3736" t="s">
        <v>12522</v>
      </c>
      <c r="H3736" t="str">
        <f>HYPERLINK("https://baanknet.com/view-property/272785/F367588F7ADCCFC0901F24006EEB8DCF89E3088B3A9E7CE6995B4185661F067C", "https://baanknet.com/view-property/272785/F367588F7ADCCFC0901F24006EEB8DCF89E3088B3A9E7CE6995B4185661F067C")</f>
        <v>https://baanknet.com/view-property/272785/F367588F7ADCCFC0901F24006EEB8DCF89E3088B3A9E7CE6995B4185661F067C</v>
      </c>
      <c r="I3736" t="str">
        <f>HYPERLINK("https://baanknet.com/view-property/272785/F367588F7ADCCFC0901F24006EEB8DCF89E3088B3A9E7CE6995B4185661F067C", "Open")</f>
        <v>Open</v>
      </c>
      <c r="J3736" t="s">
        <v>3803</v>
      </c>
      <c r="L3736">
        <v>1000000</v>
      </c>
      <c r="M3736">
        <v>100000</v>
      </c>
    </row>
    <row r="3737" spans="1:13" x14ac:dyDescent="0.25">
      <c r="A3737" t="s">
        <v>12523</v>
      </c>
      <c r="B3737" t="s">
        <v>12524</v>
      </c>
      <c r="C3737" t="s">
        <v>525</v>
      </c>
      <c r="D3737" t="s">
        <v>12525</v>
      </c>
      <c r="E3737" t="s">
        <v>11024</v>
      </c>
      <c r="F3737" t="s">
        <v>12405</v>
      </c>
      <c r="G3737" t="s">
        <v>12526</v>
      </c>
      <c r="H3737" t="str">
        <f>HYPERLINK("https://baanknet.com/view-property/180969/BEC2DBEAA9E48CF0D6A888E5D994F89715BC9AE33CB6761A3754D3AEE7BEFB3C", "https://baanknet.com/view-property/180969/BEC2DBEAA9E48CF0D6A888E5D994F89715BC9AE33CB6761A3754D3AEE7BEFB3C")</f>
        <v>https://baanknet.com/view-property/180969/BEC2DBEAA9E48CF0D6A888E5D994F89715BC9AE33CB6761A3754D3AEE7BEFB3C</v>
      </c>
      <c r="I3737" t="str">
        <f>HYPERLINK("https://baanknet.com/view-property/180969/BEC2DBEAA9E48CF0D6A888E5D994F89715BC9AE33CB6761A3754D3AEE7BEFB3C", "Open")</f>
        <v>Open</v>
      </c>
      <c r="J3737" t="s">
        <v>3803</v>
      </c>
      <c r="L3737">
        <v>1650000</v>
      </c>
      <c r="M3737">
        <v>165000</v>
      </c>
    </row>
    <row r="3738" spans="1:13" x14ac:dyDescent="0.25">
      <c r="A3738" t="s">
        <v>12527</v>
      </c>
      <c r="B3738" t="s">
        <v>12528</v>
      </c>
      <c r="C3738" t="s">
        <v>525</v>
      </c>
      <c r="D3738" t="s">
        <v>813</v>
      </c>
      <c r="E3738" t="s">
        <v>11024</v>
      </c>
      <c r="F3738" t="s">
        <v>12405</v>
      </c>
      <c r="G3738" t="s">
        <v>12529</v>
      </c>
      <c r="H3738" t="str">
        <f>HYPERLINK("https://baanknet.com/view-property/198117/CBC0076E10CAB7234DEC1F1509B7F8A56142FF4F1793459AC1F12DF2707DD335", "https://baanknet.com/view-property/198117/CBC0076E10CAB7234DEC1F1509B7F8A56142FF4F1793459AC1F12DF2707DD335")</f>
        <v>https://baanknet.com/view-property/198117/CBC0076E10CAB7234DEC1F1509B7F8A56142FF4F1793459AC1F12DF2707DD335</v>
      </c>
      <c r="I3738" t="str">
        <f>HYPERLINK("https://baanknet.com/view-property/198117/CBC0076E10CAB7234DEC1F1509B7F8A56142FF4F1793459AC1F12DF2707DD335", "Open")</f>
        <v>Open</v>
      </c>
      <c r="J3738" t="s">
        <v>3803</v>
      </c>
      <c r="L3738">
        <v>4050000</v>
      </c>
      <c r="M3738">
        <v>405000</v>
      </c>
    </row>
    <row r="3739" spans="1:13" x14ac:dyDescent="0.25">
      <c r="A3739" t="s">
        <v>12530</v>
      </c>
      <c r="B3739" t="s">
        <v>12531</v>
      </c>
      <c r="C3739" t="s">
        <v>525</v>
      </c>
      <c r="D3739" t="s">
        <v>12532</v>
      </c>
      <c r="E3739" t="s">
        <v>11024</v>
      </c>
      <c r="F3739" t="s">
        <v>12405</v>
      </c>
      <c r="G3739" t="s">
        <v>12533</v>
      </c>
      <c r="H3739" t="str">
        <f>HYPERLINK("https://baanknet.com/view-property/250130/C69E806505FBC6E9934FA9C1924557CD0AC403FDAD76B6544D8F06B5F9225C5B", "https://baanknet.com/view-property/250130/C69E806505FBC6E9934FA9C1924557CD0AC403FDAD76B6544D8F06B5F9225C5B")</f>
        <v>https://baanknet.com/view-property/250130/C69E806505FBC6E9934FA9C1924557CD0AC403FDAD76B6544D8F06B5F9225C5B</v>
      </c>
      <c r="I3739" t="str">
        <f>HYPERLINK("https://baanknet.com/view-property/250130/C69E806505FBC6E9934FA9C1924557CD0AC403FDAD76B6544D8F06B5F9225C5B", "Open")</f>
        <v>Open</v>
      </c>
      <c r="J3739" t="s">
        <v>3803</v>
      </c>
      <c r="L3739">
        <v>3015000</v>
      </c>
      <c r="M3739">
        <v>301500</v>
      </c>
    </row>
    <row r="3740" spans="1:13" x14ac:dyDescent="0.25">
      <c r="A3740" t="s">
        <v>12534</v>
      </c>
      <c r="B3740" t="s">
        <v>12535</v>
      </c>
      <c r="C3740" t="s">
        <v>525</v>
      </c>
      <c r="D3740" t="s">
        <v>1807</v>
      </c>
      <c r="E3740" t="s">
        <v>11024</v>
      </c>
      <c r="F3740" t="s">
        <v>12405</v>
      </c>
      <c r="G3740" t="s">
        <v>12536</v>
      </c>
      <c r="H3740" t="str">
        <f>HYPERLINK("https://baanknet.com/view-property/283095/49D05E331609747B09BA310F446353A1F67B52CF2C5DB672820D894583926959", "https://baanknet.com/view-property/283095/49D05E331609747B09BA310F446353A1F67B52CF2C5DB672820D894583926959")</f>
        <v>https://baanknet.com/view-property/283095/49D05E331609747B09BA310F446353A1F67B52CF2C5DB672820D894583926959</v>
      </c>
      <c r="I3740" t="str">
        <f>HYPERLINK("https://baanknet.com/view-property/283095/49D05E331609747B09BA310F446353A1F67B52CF2C5DB672820D894583926959", "Open")</f>
        <v>Open</v>
      </c>
      <c r="J3740" t="s">
        <v>3803</v>
      </c>
      <c r="L3740">
        <v>1780000</v>
      </c>
      <c r="M3740">
        <v>178000</v>
      </c>
    </row>
    <row r="3741" spans="1:13" x14ac:dyDescent="0.25">
      <c r="A3741" t="s">
        <v>12537</v>
      </c>
      <c r="B3741" t="s">
        <v>12538</v>
      </c>
      <c r="C3741" t="s">
        <v>525</v>
      </c>
      <c r="D3741" t="s">
        <v>12539</v>
      </c>
      <c r="E3741" t="s">
        <v>11024</v>
      </c>
      <c r="F3741" t="s">
        <v>12405</v>
      </c>
      <c r="G3741" t="s">
        <v>12540</v>
      </c>
      <c r="H3741" t="str">
        <f>HYPERLINK("https://baanknet.com/view-property/273128/5B73F87E66E867DB2D58CEF75FE83375781F907E3DCB4A4A86E40BF43719C9DE", "https://baanknet.com/view-property/273128/5B73F87E66E867DB2D58CEF75FE83375781F907E3DCB4A4A86E40BF43719C9DE")</f>
        <v>https://baanknet.com/view-property/273128/5B73F87E66E867DB2D58CEF75FE83375781F907E3DCB4A4A86E40BF43719C9DE</v>
      </c>
      <c r="I3741" t="str">
        <f>HYPERLINK("https://baanknet.com/view-property/273128/5B73F87E66E867DB2D58CEF75FE83375781F907E3DCB4A4A86E40BF43719C9DE", "Open")</f>
        <v>Open</v>
      </c>
      <c r="J3741" t="s">
        <v>3803</v>
      </c>
      <c r="L3741">
        <v>1600000</v>
      </c>
      <c r="M3741">
        <v>160000</v>
      </c>
    </row>
    <row r="3742" spans="1:13" x14ac:dyDescent="0.25">
      <c r="A3742" t="s">
        <v>12541</v>
      </c>
      <c r="B3742" t="s">
        <v>12542</v>
      </c>
      <c r="C3742" t="s">
        <v>525</v>
      </c>
      <c r="D3742" t="s">
        <v>12543</v>
      </c>
      <c r="E3742" t="s">
        <v>11024</v>
      </c>
      <c r="F3742" t="s">
        <v>12405</v>
      </c>
      <c r="G3742" t="s">
        <v>12544</v>
      </c>
      <c r="H3742" t="str">
        <f>HYPERLINK("https://baanknet.com/view-property/170280/7225C90E9696C1ABE516F1777E65A82AC31F3297F07B141205D801AE3BC9E33E", "https://baanknet.com/view-property/170280/7225C90E9696C1ABE516F1777E65A82AC31F3297F07B141205D801AE3BC9E33E")</f>
        <v>https://baanknet.com/view-property/170280/7225C90E9696C1ABE516F1777E65A82AC31F3297F07B141205D801AE3BC9E33E</v>
      </c>
      <c r="I3742" t="str">
        <f>HYPERLINK("https://baanknet.com/view-property/170280/7225C90E9696C1ABE516F1777E65A82AC31F3297F07B141205D801AE3BC9E33E", "Open")</f>
        <v>Open</v>
      </c>
      <c r="J3742" t="s">
        <v>3803</v>
      </c>
      <c r="L3742">
        <v>813000</v>
      </c>
      <c r="M3742">
        <v>81300</v>
      </c>
    </row>
    <row r="3743" spans="1:13" x14ac:dyDescent="0.25">
      <c r="A3743" t="s">
        <v>12545</v>
      </c>
      <c r="B3743" t="s">
        <v>12546</v>
      </c>
      <c r="C3743" t="s">
        <v>525</v>
      </c>
      <c r="D3743" t="s">
        <v>12547</v>
      </c>
      <c r="E3743" t="s">
        <v>11024</v>
      </c>
      <c r="F3743" t="s">
        <v>12405</v>
      </c>
      <c r="G3743" t="s">
        <v>12548</v>
      </c>
      <c r="H3743" t="str">
        <f>HYPERLINK("https://baanknet.com/view-property/271975/04EB2A43765199BE6BEEA3738BF7B9EE2FDB31A233FD785F76D5F82733011EED", "https://baanknet.com/view-property/271975/04EB2A43765199BE6BEEA3738BF7B9EE2FDB31A233FD785F76D5F82733011EED")</f>
        <v>https://baanknet.com/view-property/271975/04EB2A43765199BE6BEEA3738BF7B9EE2FDB31A233FD785F76D5F82733011EED</v>
      </c>
      <c r="I3743" t="str">
        <f>HYPERLINK("https://baanknet.com/view-property/271975/04EB2A43765199BE6BEEA3738BF7B9EE2FDB31A233FD785F76D5F82733011EED", "Open")</f>
        <v>Open</v>
      </c>
      <c r="J3743" t="s">
        <v>3803</v>
      </c>
      <c r="L3743">
        <v>2093000</v>
      </c>
      <c r="M3743">
        <v>209300</v>
      </c>
    </row>
    <row r="3744" spans="1:13" x14ac:dyDescent="0.25">
      <c r="A3744" t="s">
        <v>12549</v>
      </c>
      <c r="B3744" t="s">
        <v>12550</v>
      </c>
      <c r="C3744" t="s">
        <v>525</v>
      </c>
      <c r="D3744" t="s">
        <v>3443</v>
      </c>
      <c r="E3744" t="s">
        <v>11024</v>
      </c>
      <c r="F3744" t="s">
        <v>12405</v>
      </c>
      <c r="G3744" t="s">
        <v>12551</v>
      </c>
      <c r="H3744" t="str">
        <f>HYPERLINK("https://baanknet.com/view-property/276099/B9207292D84536947218FAF3FBED48834891D2254FC75D16035EBC300512901B", "https://baanknet.com/view-property/276099/B9207292D84536947218FAF3FBED48834891D2254FC75D16035EBC300512901B")</f>
        <v>https://baanknet.com/view-property/276099/B9207292D84536947218FAF3FBED48834891D2254FC75D16035EBC300512901B</v>
      </c>
      <c r="I3744" t="str">
        <f>HYPERLINK("https://baanknet.com/view-property/276099/B9207292D84536947218FAF3FBED48834891D2254FC75D16035EBC300512901B", "Open")</f>
        <v>Open</v>
      </c>
      <c r="J3744" t="s">
        <v>3803</v>
      </c>
      <c r="L3744">
        <v>1005000</v>
      </c>
      <c r="M3744">
        <v>100500</v>
      </c>
    </row>
    <row r="3745" spans="1:13" x14ac:dyDescent="0.25">
      <c r="A3745" t="s">
        <v>12552</v>
      </c>
      <c r="B3745" t="s">
        <v>12553</v>
      </c>
      <c r="C3745" t="s">
        <v>525</v>
      </c>
      <c r="D3745" t="s">
        <v>1807</v>
      </c>
      <c r="E3745" t="s">
        <v>11024</v>
      </c>
      <c r="F3745" t="s">
        <v>12405</v>
      </c>
      <c r="G3745" t="s">
        <v>12554</v>
      </c>
      <c r="H3745" t="str">
        <f>HYPERLINK("https://baanknet.com/view-property/272153/8BCCF88C02DF478D5BD566B28280CAEABE48611332141866675917F1A17824CA", "https://baanknet.com/view-property/272153/8BCCF88C02DF478D5BD566B28280CAEABE48611332141866675917F1A17824CA")</f>
        <v>https://baanknet.com/view-property/272153/8BCCF88C02DF478D5BD566B28280CAEABE48611332141866675917F1A17824CA</v>
      </c>
      <c r="I3745" t="str">
        <f>HYPERLINK("https://baanknet.com/view-property/272153/8BCCF88C02DF478D5BD566B28280CAEABE48611332141866675917F1A17824CA", "Open")</f>
        <v>Open</v>
      </c>
      <c r="J3745" t="s">
        <v>3803</v>
      </c>
      <c r="L3745">
        <v>3636300</v>
      </c>
      <c r="M3745">
        <v>363630</v>
      </c>
    </row>
    <row r="3746" spans="1:13" x14ac:dyDescent="0.25">
      <c r="A3746" t="s">
        <v>12555</v>
      </c>
      <c r="B3746" t="s">
        <v>12556</v>
      </c>
      <c r="C3746" t="s">
        <v>525</v>
      </c>
      <c r="D3746" t="s">
        <v>1807</v>
      </c>
      <c r="E3746" t="s">
        <v>11024</v>
      </c>
      <c r="F3746" t="s">
        <v>12405</v>
      </c>
      <c r="G3746" t="s">
        <v>12557</v>
      </c>
      <c r="H3746" t="str">
        <f>HYPERLINK("https://baanknet.com/view-property/276670/BFFA17E5BFE80A0DC399F61EC2531AE00D51748471DCD605BE7DB35D057EA44E", "https://baanknet.com/view-property/276670/BFFA17E5BFE80A0DC399F61EC2531AE00D51748471DCD605BE7DB35D057EA44E")</f>
        <v>https://baanknet.com/view-property/276670/BFFA17E5BFE80A0DC399F61EC2531AE00D51748471DCD605BE7DB35D057EA44E</v>
      </c>
      <c r="I3746" t="str">
        <f>HYPERLINK("https://baanknet.com/view-property/276670/BFFA17E5BFE80A0DC399F61EC2531AE00D51748471DCD605BE7DB35D057EA44E", "Open")</f>
        <v>Open</v>
      </c>
      <c r="J3746" t="s">
        <v>3803</v>
      </c>
      <c r="L3746">
        <v>5707700</v>
      </c>
      <c r="M3746">
        <v>570770</v>
      </c>
    </row>
    <row r="3747" spans="1:13" x14ac:dyDescent="0.25">
      <c r="A3747" t="s">
        <v>12558</v>
      </c>
      <c r="B3747" t="s">
        <v>12559</v>
      </c>
      <c r="C3747" t="s">
        <v>7449</v>
      </c>
      <c r="D3747" t="s">
        <v>3213</v>
      </c>
      <c r="E3747" t="s">
        <v>11024</v>
      </c>
      <c r="F3747" t="s">
        <v>12405</v>
      </c>
      <c r="G3747" t="s">
        <v>12560</v>
      </c>
      <c r="H3747" t="str">
        <f>HYPERLINK("https://baanknet.com/view-property/21235/611D20B36029859A9503A34B4B9CD2A30EF05F236BA534E6B31BCAEA23E35F07", "https://baanknet.com/view-property/21235/611D20B36029859A9503A34B4B9CD2A30EF05F236BA534E6B31BCAEA23E35F07")</f>
        <v>https://baanknet.com/view-property/21235/611D20B36029859A9503A34B4B9CD2A30EF05F236BA534E6B31BCAEA23E35F07</v>
      </c>
      <c r="I3747" t="str">
        <f>HYPERLINK("https://baanknet.com/view-property/21235/611D20B36029859A9503A34B4B9CD2A30EF05F236BA534E6B31BCAEA23E35F07", "Open")</f>
        <v>Open</v>
      </c>
      <c r="J3747" t="s">
        <v>3803</v>
      </c>
    </row>
    <row r="3748" spans="1:13" x14ac:dyDescent="0.25">
      <c r="A3748" t="s">
        <v>12561</v>
      </c>
      <c r="B3748" t="s">
        <v>12562</v>
      </c>
      <c r="C3748" t="s">
        <v>525</v>
      </c>
      <c r="D3748" t="s">
        <v>12547</v>
      </c>
      <c r="E3748" t="s">
        <v>11024</v>
      </c>
      <c r="F3748" t="s">
        <v>12405</v>
      </c>
      <c r="G3748" t="s">
        <v>12563</v>
      </c>
      <c r="H3748" t="str">
        <f>HYPERLINK("https://baanknet.com/view-property/287445/C580D4FD584FA855AEED47E362EEF18255E4EBBBAC405550729BDF414D5F8723", "https://baanknet.com/view-property/287445/C580D4FD584FA855AEED47E362EEF18255E4EBBBAC405550729BDF414D5F8723")</f>
        <v>https://baanknet.com/view-property/287445/C580D4FD584FA855AEED47E362EEF18255E4EBBBAC405550729BDF414D5F8723</v>
      </c>
      <c r="I3748" t="str">
        <f>HYPERLINK("https://baanknet.com/view-property/287445/C580D4FD584FA855AEED47E362EEF18255E4EBBBAC405550729BDF414D5F8723", "Open")</f>
        <v>Open</v>
      </c>
      <c r="J3748" t="s">
        <v>3803</v>
      </c>
      <c r="L3748">
        <v>2300000</v>
      </c>
      <c r="M3748">
        <v>230000</v>
      </c>
    </row>
    <row r="3749" spans="1:13" x14ac:dyDescent="0.25">
      <c r="A3749" t="s">
        <v>12564</v>
      </c>
      <c r="B3749" t="s">
        <v>12565</v>
      </c>
      <c r="C3749" t="s">
        <v>525</v>
      </c>
      <c r="D3749" t="s">
        <v>422</v>
      </c>
      <c r="E3749" t="s">
        <v>11024</v>
      </c>
      <c r="F3749" t="s">
        <v>12405</v>
      </c>
      <c r="G3749" t="s">
        <v>12566</v>
      </c>
      <c r="H3749" t="str">
        <f>HYPERLINK("https://baanknet.com/view-property/219445/CE07BE24504E0F37CCCFD596B9A861E2B25D9B3C9F61536AE26F54A97C30125D", "https://baanknet.com/view-property/219445/CE07BE24504E0F37CCCFD596B9A861E2B25D9B3C9F61536AE26F54A97C30125D")</f>
        <v>https://baanknet.com/view-property/219445/CE07BE24504E0F37CCCFD596B9A861E2B25D9B3C9F61536AE26F54A97C30125D</v>
      </c>
      <c r="I3749" t="str">
        <f>HYPERLINK("https://baanknet.com/view-property/219445/CE07BE24504E0F37CCCFD596B9A861E2B25D9B3C9F61536AE26F54A97C30125D", "Open")</f>
        <v>Open</v>
      </c>
      <c r="J3749" t="s">
        <v>3803</v>
      </c>
      <c r="L3749">
        <v>3600000</v>
      </c>
      <c r="M3749">
        <v>360000</v>
      </c>
    </row>
    <row r="3750" spans="1:13" x14ac:dyDescent="0.25">
      <c r="A3750" t="s">
        <v>12567</v>
      </c>
      <c r="B3750" t="s">
        <v>12568</v>
      </c>
      <c r="C3750" t="s">
        <v>525</v>
      </c>
      <c r="D3750" t="s">
        <v>447</v>
      </c>
      <c r="E3750" t="s">
        <v>11024</v>
      </c>
      <c r="F3750" t="s">
        <v>12405</v>
      </c>
      <c r="G3750" t="s">
        <v>12569</v>
      </c>
      <c r="H3750" t="str">
        <f>HYPERLINK("https://baanknet.com/view-property/246564/58E5BEDC8D9BFEB882A7438E3B25A4CF284DD87D08210085FF8FFBC04DECE8EB", "https://baanknet.com/view-property/246564/58E5BEDC8D9BFEB882A7438E3B25A4CF284DD87D08210085FF8FFBC04DECE8EB")</f>
        <v>https://baanknet.com/view-property/246564/58E5BEDC8D9BFEB882A7438E3B25A4CF284DD87D08210085FF8FFBC04DECE8EB</v>
      </c>
      <c r="I3750" t="str">
        <f>HYPERLINK("https://baanknet.com/view-property/246564/58E5BEDC8D9BFEB882A7438E3B25A4CF284DD87D08210085FF8FFBC04DECE8EB", "Open")</f>
        <v>Open</v>
      </c>
      <c r="J3750" t="s">
        <v>3803</v>
      </c>
      <c r="L3750">
        <v>1100000</v>
      </c>
      <c r="M3750">
        <v>110000</v>
      </c>
    </row>
    <row r="3751" spans="1:13" x14ac:dyDescent="0.25">
      <c r="A3751" t="s">
        <v>12570</v>
      </c>
      <c r="B3751" t="s">
        <v>12571</v>
      </c>
      <c r="C3751" t="s">
        <v>332</v>
      </c>
      <c r="D3751" t="s">
        <v>8454</v>
      </c>
      <c r="E3751" t="s">
        <v>11024</v>
      </c>
      <c r="F3751" t="s">
        <v>12405</v>
      </c>
      <c r="G3751" t="s">
        <v>12572</v>
      </c>
      <c r="H3751" t="str">
        <f>HYPERLINK("https://baanknet.com/view-property/70873/A65EF17C0BC738DA152679C58E41FCDDF625E1FEB0FBC187C490F1D3947BCB0A", "https://baanknet.com/view-property/70873/A65EF17C0BC738DA152679C58E41FCDDF625E1FEB0FBC187C490F1D3947BCB0A")</f>
        <v>https://baanknet.com/view-property/70873/A65EF17C0BC738DA152679C58E41FCDDF625E1FEB0FBC187C490F1D3947BCB0A</v>
      </c>
      <c r="I3751" t="str">
        <f>HYPERLINK("https://baanknet.com/view-property/70873/A65EF17C0BC738DA152679C58E41FCDDF625E1FEB0FBC187C490F1D3947BCB0A", "Open")</f>
        <v>Open</v>
      </c>
      <c r="J3751" t="s">
        <v>3803</v>
      </c>
      <c r="L3751">
        <v>1349000</v>
      </c>
      <c r="M3751">
        <v>134900</v>
      </c>
    </row>
    <row r="3752" spans="1:13" x14ac:dyDescent="0.25">
      <c r="A3752" t="s">
        <v>12573</v>
      </c>
      <c r="B3752" t="s">
        <v>12574</v>
      </c>
      <c r="C3752" t="s">
        <v>332</v>
      </c>
      <c r="D3752" t="s">
        <v>8454</v>
      </c>
      <c r="E3752" t="s">
        <v>11024</v>
      </c>
      <c r="F3752" t="s">
        <v>12405</v>
      </c>
      <c r="G3752" t="s">
        <v>12575</v>
      </c>
      <c r="H3752" t="str">
        <f>HYPERLINK("https://baanknet.com/view-property/64899/4460119D660AA0FC5270CD3D2D74900F5EC4467535A5487D3C39487ACC82568D", "https://baanknet.com/view-property/64899/4460119D660AA0FC5270CD3D2D74900F5EC4467535A5487D3C39487ACC82568D")</f>
        <v>https://baanknet.com/view-property/64899/4460119D660AA0FC5270CD3D2D74900F5EC4467535A5487D3C39487ACC82568D</v>
      </c>
      <c r="I3752" t="str">
        <f>HYPERLINK("https://baanknet.com/view-property/64899/4460119D660AA0FC5270CD3D2D74900F5EC4467535A5487D3C39487ACC82568D", "Open")</f>
        <v>Open</v>
      </c>
      <c r="J3752" t="s">
        <v>3803</v>
      </c>
      <c r="L3752">
        <v>1743000</v>
      </c>
      <c r="M3752">
        <v>174300</v>
      </c>
    </row>
    <row r="3753" spans="1:13" x14ac:dyDescent="0.25">
      <c r="A3753" t="s">
        <v>12576</v>
      </c>
      <c r="B3753" t="s">
        <v>12577</v>
      </c>
      <c r="C3753" t="s">
        <v>332</v>
      </c>
      <c r="D3753" t="s">
        <v>12578</v>
      </c>
      <c r="E3753" t="s">
        <v>11024</v>
      </c>
      <c r="F3753" t="s">
        <v>12405</v>
      </c>
      <c r="G3753" t="s">
        <v>12579</v>
      </c>
      <c r="H3753" t="str">
        <f>HYPERLINK("https://baanknet.com/view-property/262994/7CD0A0D86BA8D0772AF7158E56823C8E72FEEB07E90C367BB792187756FA0CC1", "https://baanknet.com/view-property/262994/7CD0A0D86BA8D0772AF7158E56823C8E72FEEB07E90C367BB792187756FA0CC1")</f>
        <v>https://baanknet.com/view-property/262994/7CD0A0D86BA8D0772AF7158E56823C8E72FEEB07E90C367BB792187756FA0CC1</v>
      </c>
      <c r="I3753" t="str">
        <f>HYPERLINK("https://baanknet.com/view-property/262994/7CD0A0D86BA8D0772AF7158E56823C8E72FEEB07E90C367BB792187756FA0CC1", "Open")</f>
        <v>Open</v>
      </c>
      <c r="J3753" t="s">
        <v>3803</v>
      </c>
      <c r="L3753">
        <v>18100000</v>
      </c>
      <c r="M3753">
        <v>1810000</v>
      </c>
    </row>
    <row r="3754" spans="1:13" x14ac:dyDescent="0.25">
      <c r="A3754" t="s">
        <v>12580</v>
      </c>
      <c r="B3754" t="s">
        <v>12581</v>
      </c>
      <c r="C3754" t="s">
        <v>525</v>
      </c>
      <c r="D3754" t="s">
        <v>813</v>
      </c>
      <c r="E3754" t="s">
        <v>11024</v>
      </c>
      <c r="F3754" t="s">
        <v>12405</v>
      </c>
      <c r="G3754" t="s">
        <v>12582</v>
      </c>
      <c r="H3754" t="str">
        <f>HYPERLINK("https://baanknet.com/view-property/287579/4C5B734C4906A5CFFA26AC619D37443D7B6F6153E4B1679D1732CAB2C215B47C", "https://baanknet.com/view-property/287579/4C5B734C4906A5CFFA26AC619D37443D7B6F6153E4B1679D1732CAB2C215B47C")</f>
        <v>https://baanknet.com/view-property/287579/4C5B734C4906A5CFFA26AC619D37443D7B6F6153E4B1679D1732CAB2C215B47C</v>
      </c>
      <c r="I3754" t="str">
        <f>HYPERLINK("https://baanknet.com/view-property/287579/4C5B734C4906A5CFFA26AC619D37443D7B6F6153E4B1679D1732CAB2C215B47C", "Open")</f>
        <v>Open</v>
      </c>
      <c r="J3754" t="s">
        <v>3803</v>
      </c>
      <c r="L3754">
        <v>4300000</v>
      </c>
      <c r="M3754">
        <v>430000</v>
      </c>
    </row>
    <row r="3755" spans="1:13" x14ac:dyDescent="0.25">
      <c r="A3755" t="s">
        <v>12583</v>
      </c>
      <c r="B3755" t="s">
        <v>12584</v>
      </c>
      <c r="C3755" t="s">
        <v>525</v>
      </c>
      <c r="D3755" t="s">
        <v>813</v>
      </c>
      <c r="E3755" t="s">
        <v>11024</v>
      </c>
      <c r="F3755" t="s">
        <v>12405</v>
      </c>
      <c r="G3755" t="s">
        <v>12585</v>
      </c>
      <c r="H3755" t="str">
        <f>HYPERLINK("https://baanknet.com/view-property/287563/5F94C3F9173D417D061E4B15019F17DADDC5DEBCE66AF630EB605F5638F58893", "https://baanknet.com/view-property/287563/5F94C3F9173D417D061E4B15019F17DADDC5DEBCE66AF630EB605F5638F58893")</f>
        <v>https://baanknet.com/view-property/287563/5F94C3F9173D417D061E4B15019F17DADDC5DEBCE66AF630EB605F5638F58893</v>
      </c>
      <c r="I3755" t="str">
        <f>HYPERLINK("https://baanknet.com/view-property/287563/5F94C3F9173D417D061E4B15019F17DADDC5DEBCE66AF630EB605F5638F58893", "Open")</f>
        <v>Open</v>
      </c>
      <c r="J3755" t="s">
        <v>3803</v>
      </c>
      <c r="L3755">
        <v>4900000</v>
      </c>
      <c r="M3755">
        <v>490000</v>
      </c>
    </row>
    <row r="3756" spans="1:13" x14ac:dyDescent="0.25">
      <c r="A3756" t="s">
        <v>12586</v>
      </c>
      <c r="B3756" t="s">
        <v>12587</v>
      </c>
      <c r="C3756" t="s">
        <v>121</v>
      </c>
      <c r="D3756" t="s">
        <v>873</v>
      </c>
      <c r="E3756" t="s">
        <v>11024</v>
      </c>
      <c r="F3756" t="s">
        <v>12405</v>
      </c>
      <c r="G3756" t="s">
        <v>12588</v>
      </c>
      <c r="H3756" t="str">
        <f>HYPERLINK("https://baanknet.com/view-property/187699/26B8579E311D1140E0FAA95D181346B68ABF36A488D971229F815378F5984870", "https://baanknet.com/view-property/187699/26B8579E311D1140E0FAA95D181346B68ABF36A488D971229F815378F5984870")</f>
        <v>https://baanknet.com/view-property/187699/26B8579E311D1140E0FAA95D181346B68ABF36A488D971229F815378F5984870</v>
      </c>
      <c r="I3756" t="str">
        <f>HYPERLINK("https://baanknet.com/view-property/187699/26B8579E311D1140E0FAA95D181346B68ABF36A488D971229F815378F5984870", "Open")</f>
        <v>Open</v>
      </c>
      <c r="J3756" t="s">
        <v>3803</v>
      </c>
      <c r="L3756">
        <v>2850000</v>
      </c>
      <c r="M3756">
        <v>285000</v>
      </c>
    </row>
    <row r="3757" spans="1:13" x14ac:dyDescent="0.25">
      <c r="A3757" t="s">
        <v>12589</v>
      </c>
      <c r="B3757" t="s">
        <v>12590</v>
      </c>
      <c r="C3757" t="s">
        <v>121</v>
      </c>
      <c r="D3757" t="s">
        <v>937</v>
      </c>
      <c r="E3757" t="s">
        <v>11024</v>
      </c>
      <c r="F3757" t="s">
        <v>12405</v>
      </c>
      <c r="G3757" t="s">
        <v>12591</v>
      </c>
      <c r="H3757" t="str">
        <f>HYPERLINK("https://baanknet.com/view-property/183752/F60393E49430EAA1BF937B7B494999E9D679EAC6819D116AC39B637678894913", "https://baanknet.com/view-property/183752/F60393E49430EAA1BF937B7B494999E9D679EAC6819D116AC39B637678894913")</f>
        <v>https://baanknet.com/view-property/183752/F60393E49430EAA1BF937B7B494999E9D679EAC6819D116AC39B637678894913</v>
      </c>
      <c r="I3757" t="str">
        <f>HYPERLINK("https://baanknet.com/view-property/183752/F60393E49430EAA1BF937B7B494999E9D679EAC6819D116AC39B637678894913", "Open")</f>
        <v>Open</v>
      </c>
      <c r="J3757" t="s">
        <v>3803</v>
      </c>
      <c r="L3757">
        <v>3257000</v>
      </c>
      <c r="M3757">
        <v>325700</v>
      </c>
    </row>
    <row r="3758" spans="1:13" x14ac:dyDescent="0.25">
      <c r="A3758" t="s">
        <v>12592</v>
      </c>
      <c r="B3758" t="s">
        <v>12593</v>
      </c>
      <c r="C3758" t="s">
        <v>121</v>
      </c>
      <c r="D3758" t="s">
        <v>937</v>
      </c>
      <c r="E3758" t="s">
        <v>11024</v>
      </c>
      <c r="F3758" t="s">
        <v>12405</v>
      </c>
      <c r="G3758" t="s">
        <v>12594</v>
      </c>
      <c r="H3758" t="str">
        <f>HYPERLINK("https://baanknet.com/view-property/183733/9CBDAC333EEA3B8C90424B4F9E093486BCE032414C5EA682D08CF69085B61AD3", "https://baanknet.com/view-property/183733/9CBDAC333EEA3B8C90424B4F9E093486BCE032414C5EA682D08CF69085B61AD3")</f>
        <v>https://baanknet.com/view-property/183733/9CBDAC333EEA3B8C90424B4F9E093486BCE032414C5EA682D08CF69085B61AD3</v>
      </c>
      <c r="I3758" t="str">
        <f>HYPERLINK("https://baanknet.com/view-property/183733/9CBDAC333EEA3B8C90424B4F9E093486BCE032414C5EA682D08CF69085B61AD3", "Open")</f>
        <v>Open</v>
      </c>
      <c r="J3758" t="s">
        <v>3803</v>
      </c>
      <c r="L3758">
        <v>5716000</v>
      </c>
      <c r="M3758">
        <v>571600</v>
      </c>
    </row>
    <row r="3759" spans="1:13" x14ac:dyDescent="0.25">
      <c r="A3759" t="s">
        <v>12595</v>
      </c>
      <c r="B3759" t="s">
        <v>12596</v>
      </c>
      <c r="C3759" t="s">
        <v>121</v>
      </c>
      <c r="D3759" t="s">
        <v>937</v>
      </c>
      <c r="E3759" t="s">
        <v>11024</v>
      </c>
      <c r="F3759" t="s">
        <v>12405</v>
      </c>
      <c r="G3759" t="s">
        <v>12597</v>
      </c>
      <c r="H3759" t="str">
        <f>HYPERLINK("https://baanknet.com/view-property/183825/3143DD07A4AD47931DF8095418A027D08A0AB4DB32BC6E80E863973941414056", "https://baanknet.com/view-property/183825/3143DD07A4AD47931DF8095418A027D08A0AB4DB32BC6E80E863973941414056")</f>
        <v>https://baanknet.com/view-property/183825/3143DD07A4AD47931DF8095418A027D08A0AB4DB32BC6E80E863973941414056</v>
      </c>
      <c r="I3759" t="str">
        <f>HYPERLINK("https://baanknet.com/view-property/183825/3143DD07A4AD47931DF8095418A027D08A0AB4DB32BC6E80E863973941414056", "Open")</f>
        <v>Open</v>
      </c>
      <c r="J3759" t="s">
        <v>3803</v>
      </c>
      <c r="L3759">
        <v>2701000</v>
      </c>
      <c r="M3759">
        <v>270100</v>
      </c>
    </row>
    <row r="3760" spans="1:13" x14ac:dyDescent="0.25">
      <c r="A3760" t="s">
        <v>12598</v>
      </c>
      <c r="B3760" t="s">
        <v>12599</v>
      </c>
      <c r="C3760" t="s">
        <v>121</v>
      </c>
      <c r="D3760" t="s">
        <v>937</v>
      </c>
      <c r="E3760" t="s">
        <v>11024</v>
      </c>
      <c r="F3760" t="s">
        <v>12405</v>
      </c>
      <c r="G3760" t="s">
        <v>12600</v>
      </c>
      <c r="H3760" t="str">
        <f>HYPERLINK("https://baanknet.com/view-property/183824/F9B7F89E7E85E61F90365D7FC164275B763A96B14B508CBC79E0FD8AC876E70B", "https://baanknet.com/view-property/183824/F9B7F89E7E85E61F90365D7FC164275B763A96B14B508CBC79E0FD8AC876E70B")</f>
        <v>https://baanknet.com/view-property/183824/F9B7F89E7E85E61F90365D7FC164275B763A96B14B508CBC79E0FD8AC876E70B</v>
      </c>
      <c r="I3760" t="str">
        <f>HYPERLINK("https://baanknet.com/view-property/183824/F9B7F89E7E85E61F90365D7FC164275B763A96B14B508CBC79E0FD8AC876E70B", "Open")</f>
        <v>Open</v>
      </c>
      <c r="J3760" t="s">
        <v>3803</v>
      </c>
      <c r="L3760">
        <v>2701000</v>
      </c>
      <c r="M3760">
        <v>270100</v>
      </c>
    </row>
    <row r="3761" spans="1:13" x14ac:dyDescent="0.25">
      <c r="A3761" t="s">
        <v>12601</v>
      </c>
      <c r="B3761" t="s">
        <v>12602</v>
      </c>
      <c r="C3761" t="s">
        <v>121</v>
      </c>
      <c r="D3761" t="s">
        <v>937</v>
      </c>
      <c r="E3761" t="s">
        <v>11024</v>
      </c>
      <c r="F3761" t="s">
        <v>12405</v>
      </c>
      <c r="G3761" t="s">
        <v>12603</v>
      </c>
      <c r="H3761" t="str">
        <f>HYPERLINK("https://baanknet.com/view-property/172122/0B5F57C7886AC075C5B66996EBF15386F84D5B96A88260FE182BD133C57EED05", "https://baanknet.com/view-property/172122/0B5F57C7886AC075C5B66996EBF15386F84D5B96A88260FE182BD133C57EED05")</f>
        <v>https://baanknet.com/view-property/172122/0B5F57C7886AC075C5B66996EBF15386F84D5B96A88260FE182BD133C57EED05</v>
      </c>
      <c r="I3761" t="str">
        <f>HYPERLINK("https://baanknet.com/view-property/172122/0B5F57C7886AC075C5B66996EBF15386F84D5B96A88260FE182BD133C57EED05", "Open")</f>
        <v>Open</v>
      </c>
      <c r="J3761" t="s">
        <v>3803</v>
      </c>
      <c r="L3761">
        <v>2162000</v>
      </c>
      <c r="M3761">
        <v>216200</v>
      </c>
    </row>
    <row r="3762" spans="1:13" x14ac:dyDescent="0.25">
      <c r="A3762" t="s">
        <v>12604</v>
      </c>
      <c r="B3762" t="s">
        <v>12605</v>
      </c>
      <c r="C3762" t="s">
        <v>121</v>
      </c>
      <c r="D3762" t="s">
        <v>937</v>
      </c>
      <c r="E3762" t="s">
        <v>11024</v>
      </c>
      <c r="F3762" t="s">
        <v>12405</v>
      </c>
      <c r="G3762" t="s">
        <v>12606</v>
      </c>
      <c r="H3762" t="str">
        <f>HYPERLINK("https://baanknet.com/view-property/172135/1E3759D287400DE96391BE0DC649397C05FFF691F6F33D6BE7ED04AE7546BE75", "https://baanknet.com/view-property/172135/1E3759D287400DE96391BE0DC649397C05FFF691F6F33D6BE7ED04AE7546BE75")</f>
        <v>https://baanknet.com/view-property/172135/1E3759D287400DE96391BE0DC649397C05FFF691F6F33D6BE7ED04AE7546BE75</v>
      </c>
      <c r="I3762" t="str">
        <f>HYPERLINK("https://baanknet.com/view-property/172135/1E3759D287400DE96391BE0DC649397C05FFF691F6F33D6BE7ED04AE7546BE75", "Open")</f>
        <v>Open</v>
      </c>
      <c r="J3762" t="s">
        <v>3803</v>
      </c>
      <c r="L3762">
        <v>2162000</v>
      </c>
      <c r="M3762">
        <v>216200</v>
      </c>
    </row>
    <row r="3763" spans="1:13" x14ac:dyDescent="0.25">
      <c r="A3763" t="s">
        <v>12607</v>
      </c>
      <c r="B3763" t="s">
        <v>12608</v>
      </c>
      <c r="C3763" t="s">
        <v>525</v>
      </c>
      <c r="D3763" t="s">
        <v>813</v>
      </c>
      <c r="E3763" t="s">
        <v>11024</v>
      </c>
      <c r="F3763" t="s">
        <v>12405</v>
      </c>
      <c r="G3763" t="s">
        <v>12609</v>
      </c>
      <c r="H3763" t="str">
        <f>HYPERLINK("https://baanknet.com/view-property/275960/B8D879DA792ABBAB9FA8EBA983D2385E36AE29A786DF268DF976537869A005BB", "https://baanknet.com/view-property/275960/B8D879DA792ABBAB9FA8EBA983D2385E36AE29A786DF268DF976537869A005BB")</f>
        <v>https://baanknet.com/view-property/275960/B8D879DA792ABBAB9FA8EBA983D2385E36AE29A786DF268DF976537869A005BB</v>
      </c>
      <c r="I3763" t="str">
        <f>HYPERLINK("https://baanknet.com/view-property/275960/B8D879DA792ABBAB9FA8EBA983D2385E36AE29A786DF268DF976537869A005BB", "Open")</f>
        <v>Open</v>
      </c>
      <c r="J3763" t="s">
        <v>3803</v>
      </c>
      <c r="L3763">
        <v>1350000</v>
      </c>
      <c r="M3763">
        <v>135000</v>
      </c>
    </row>
    <row r="3764" spans="1:13" x14ac:dyDescent="0.25">
      <c r="A3764" t="s">
        <v>12610</v>
      </c>
      <c r="B3764" t="s">
        <v>12611</v>
      </c>
      <c r="C3764" t="s">
        <v>525</v>
      </c>
      <c r="D3764" t="s">
        <v>813</v>
      </c>
      <c r="E3764" t="s">
        <v>11024</v>
      </c>
      <c r="F3764" t="s">
        <v>12405</v>
      </c>
      <c r="G3764" t="s">
        <v>12612</v>
      </c>
      <c r="H3764" t="str">
        <f>HYPERLINK("https://baanknet.com/view-property/268346/E31BE2A19A8456B3EA304128630FBF8DF49F9336A961CA50E93CFD31F8DA0956", "https://baanknet.com/view-property/268346/E31BE2A19A8456B3EA304128630FBF8DF49F9336A961CA50E93CFD31F8DA0956")</f>
        <v>https://baanknet.com/view-property/268346/E31BE2A19A8456B3EA304128630FBF8DF49F9336A961CA50E93CFD31F8DA0956</v>
      </c>
      <c r="I3764" t="str">
        <f>HYPERLINK("https://baanknet.com/view-property/268346/E31BE2A19A8456B3EA304128630FBF8DF49F9336A961CA50E93CFD31F8DA0956", "Open")</f>
        <v>Open</v>
      </c>
      <c r="J3764" t="s">
        <v>3803</v>
      </c>
      <c r="L3764">
        <v>1650000</v>
      </c>
      <c r="M3764">
        <v>165000</v>
      </c>
    </row>
    <row r="3765" spans="1:13" x14ac:dyDescent="0.25">
      <c r="A3765" t="s">
        <v>12613</v>
      </c>
      <c r="B3765" t="s">
        <v>12614</v>
      </c>
      <c r="C3765" t="s">
        <v>525</v>
      </c>
      <c r="D3765" t="s">
        <v>429</v>
      </c>
      <c r="E3765" t="s">
        <v>11024</v>
      </c>
      <c r="F3765" t="s">
        <v>12405</v>
      </c>
      <c r="G3765" t="s">
        <v>12615</v>
      </c>
      <c r="H3765" t="str">
        <f>HYPERLINK("https://baanknet.com/view-property/263737/A88A83F2304A4AFBFF2F0D1FDF3A896C7C8337655FFF13B70DFF0DAF3A9B0532", "https://baanknet.com/view-property/263737/A88A83F2304A4AFBFF2F0D1FDF3A896C7C8337655FFF13B70DFF0DAF3A9B0532")</f>
        <v>https://baanknet.com/view-property/263737/A88A83F2304A4AFBFF2F0D1FDF3A896C7C8337655FFF13B70DFF0DAF3A9B0532</v>
      </c>
      <c r="I3765" t="str">
        <f>HYPERLINK("https://baanknet.com/view-property/263737/A88A83F2304A4AFBFF2F0D1FDF3A896C7C8337655FFF13B70DFF0DAF3A9B0532", "Open")</f>
        <v>Open</v>
      </c>
      <c r="J3765" t="s">
        <v>3803</v>
      </c>
      <c r="L3765">
        <v>2050000</v>
      </c>
      <c r="M3765">
        <v>205000</v>
      </c>
    </row>
    <row r="3766" spans="1:13" x14ac:dyDescent="0.25">
      <c r="A3766" t="s">
        <v>12616</v>
      </c>
      <c r="B3766" t="s">
        <v>12617</v>
      </c>
      <c r="C3766" t="s">
        <v>525</v>
      </c>
      <c r="D3766" t="s">
        <v>422</v>
      </c>
      <c r="E3766" t="s">
        <v>11024</v>
      </c>
      <c r="F3766" t="s">
        <v>12405</v>
      </c>
      <c r="G3766" t="s">
        <v>12618</v>
      </c>
      <c r="H3766" t="str">
        <f>HYPERLINK("https://baanknet.com/view-property/256633/DCE95A1EE3EC7ADECF84A9C71E15475D81C93D83B507B5D443EC18501244FE5A", "https://baanknet.com/view-property/256633/DCE95A1EE3EC7ADECF84A9C71E15475D81C93D83B507B5D443EC18501244FE5A")</f>
        <v>https://baanknet.com/view-property/256633/DCE95A1EE3EC7ADECF84A9C71E15475D81C93D83B507B5D443EC18501244FE5A</v>
      </c>
      <c r="I3766" t="str">
        <f>HYPERLINK("https://baanknet.com/view-property/256633/DCE95A1EE3EC7ADECF84A9C71E15475D81C93D83B507B5D443EC18501244FE5A", "Open")</f>
        <v>Open</v>
      </c>
      <c r="J3766" t="s">
        <v>3803</v>
      </c>
      <c r="L3766">
        <v>9500000</v>
      </c>
      <c r="M3766">
        <v>950000</v>
      </c>
    </row>
    <row r="3767" spans="1:13" x14ac:dyDescent="0.25">
      <c r="A3767" t="s">
        <v>12619</v>
      </c>
      <c r="B3767" t="s">
        <v>12620</v>
      </c>
      <c r="C3767" t="s">
        <v>525</v>
      </c>
      <c r="D3767" t="s">
        <v>813</v>
      </c>
      <c r="E3767" t="s">
        <v>11024</v>
      </c>
      <c r="F3767" t="s">
        <v>12405</v>
      </c>
      <c r="G3767" t="s">
        <v>12621</v>
      </c>
      <c r="H3767" t="str">
        <f>HYPERLINK("https://baanknet.com/view-property/275945/08F630B32F7E71C98544AD7378FC7FBBFAE1139FAA09F1AA20E0CE15AB2B06E8", "https://baanknet.com/view-property/275945/08F630B32F7E71C98544AD7378FC7FBBFAE1139FAA09F1AA20E0CE15AB2B06E8")</f>
        <v>https://baanknet.com/view-property/275945/08F630B32F7E71C98544AD7378FC7FBBFAE1139FAA09F1AA20E0CE15AB2B06E8</v>
      </c>
      <c r="I3767" t="str">
        <f>HYPERLINK("https://baanknet.com/view-property/275945/08F630B32F7E71C98544AD7378FC7FBBFAE1139FAA09F1AA20E0CE15AB2B06E8", "Open")</f>
        <v>Open</v>
      </c>
      <c r="J3767" t="s">
        <v>3803</v>
      </c>
      <c r="L3767">
        <v>1400000</v>
      </c>
      <c r="M3767">
        <v>140000</v>
      </c>
    </row>
    <row r="3768" spans="1:13" x14ac:dyDescent="0.25">
      <c r="A3768" t="s">
        <v>12622</v>
      </c>
      <c r="B3768" t="s">
        <v>12623</v>
      </c>
      <c r="C3768" t="s">
        <v>525</v>
      </c>
      <c r="D3768" t="s">
        <v>422</v>
      </c>
      <c r="E3768" t="s">
        <v>11024</v>
      </c>
      <c r="F3768" t="s">
        <v>12405</v>
      </c>
      <c r="G3768" t="s">
        <v>12624</v>
      </c>
      <c r="H3768" t="str">
        <f>HYPERLINK("https://baanknet.com/view-property/287959/468A2B969F9454297B8E252E667D56907DA6ADF30619ABF3E472F15FA24EC819", "https://baanknet.com/view-property/287959/468A2B969F9454297B8E252E667D56907DA6ADF30619ABF3E472F15FA24EC819")</f>
        <v>https://baanknet.com/view-property/287959/468A2B969F9454297B8E252E667D56907DA6ADF30619ABF3E472F15FA24EC819</v>
      </c>
      <c r="I3768" t="str">
        <f>HYPERLINK("https://baanknet.com/view-property/287959/468A2B969F9454297B8E252E667D56907DA6ADF30619ABF3E472F15FA24EC819", "Open")</f>
        <v>Open</v>
      </c>
      <c r="J3768" t="s">
        <v>3803</v>
      </c>
      <c r="L3768">
        <v>2800000</v>
      </c>
      <c r="M3768">
        <v>280000</v>
      </c>
    </row>
    <row r="3769" spans="1:13" x14ac:dyDescent="0.25">
      <c r="A3769" t="s">
        <v>12625</v>
      </c>
      <c r="B3769" t="s">
        <v>12626</v>
      </c>
      <c r="C3769" t="s">
        <v>332</v>
      </c>
      <c r="D3769" t="s">
        <v>3165</v>
      </c>
      <c r="E3769" t="s">
        <v>11024</v>
      </c>
      <c r="F3769" t="s">
        <v>11004</v>
      </c>
      <c r="G3769" t="s">
        <v>12627</v>
      </c>
      <c r="H3769" t="str">
        <f>HYPERLINK("https://baanknet.com/view-property/284359/FC2046646D9C8AB7AC268130188142843B6EA53C41214014633D294A28756025", "https://baanknet.com/view-property/284359/FC2046646D9C8AB7AC268130188142843B6EA53C41214014633D294A28756025")</f>
        <v>https://baanknet.com/view-property/284359/FC2046646D9C8AB7AC268130188142843B6EA53C41214014633D294A28756025</v>
      </c>
      <c r="I3769" t="str">
        <f>HYPERLINK("https://baanknet.com/view-property/284359/FC2046646D9C8AB7AC268130188142843B6EA53C41214014633D294A28756025", "Open")</f>
        <v>Open</v>
      </c>
      <c r="J3769" t="s">
        <v>3803</v>
      </c>
      <c r="L3769">
        <v>6525000</v>
      </c>
      <c r="M3769">
        <v>652500</v>
      </c>
    </row>
    <row r="3770" spans="1:13" x14ac:dyDescent="0.25">
      <c r="A3770" t="s">
        <v>12628</v>
      </c>
      <c r="B3770" t="s">
        <v>12629</v>
      </c>
      <c r="C3770" t="s">
        <v>332</v>
      </c>
      <c r="D3770" t="s">
        <v>3165</v>
      </c>
      <c r="E3770" t="s">
        <v>11024</v>
      </c>
      <c r="F3770" t="s">
        <v>11004</v>
      </c>
      <c r="G3770" t="s">
        <v>12630</v>
      </c>
      <c r="H3770" t="str">
        <f>HYPERLINK("https://baanknet.com/view-property/284439/D0D23FBCC08DD7DA24CD6E987418EAF59C847C8580DACA5F4994720F8DD5F4E8", "https://baanknet.com/view-property/284439/D0D23FBCC08DD7DA24CD6E987418EAF59C847C8580DACA5F4994720F8DD5F4E8")</f>
        <v>https://baanknet.com/view-property/284439/D0D23FBCC08DD7DA24CD6E987418EAF59C847C8580DACA5F4994720F8DD5F4E8</v>
      </c>
      <c r="I3770" t="str">
        <f>HYPERLINK("https://baanknet.com/view-property/284439/D0D23FBCC08DD7DA24CD6E987418EAF59C847C8580DACA5F4994720F8DD5F4E8", "Open")</f>
        <v>Open</v>
      </c>
      <c r="J3770" t="s">
        <v>3803</v>
      </c>
      <c r="L3770">
        <v>1870000</v>
      </c>
      <c r="M3770">
        <v>187000</v>
      </c>
    </row>
    <row r="3771" spans="1:13" x14ac:dyDescent="0.25">
      <c r="A3771" t="s">
        <v>12631</v>
      </c>
      <c r="B3771" t="s">
        <v>12632</v>
      </c>
      <c r="C3771" t="s">
        <v>332</v>
      </c>
      <c r="D3771" t="s">
        <v>3165</v>
      </c>
      <c r="E3771" t="s">
        <v>11024</v>
      </c>
      <c r="F3771" t="s">
        <v>11004</v>
      </c>
      <c r="G3771" t="s">
        <v>12633</v>
      </c>
      <c r="H3771" t="str">
        <f>HYPERLINK("https://baanknet.com/view-property/251203/3C73AAAB8D2EAB6234E7FDDB93D235B9B7EAD14284A1160E6F70E4549A8036BD", "https://baanknet.com/view-property/251203/3C73AAAB8D2EAB6234E7FDDB93D235B9B7EAD14284A1160E6F70E4549A8036BD")</f>
        <v>https://baanknet.com/view-property/251203/3C73AAAB8D2EAB6234E7FDDB93D235B9B7EAD14284A1160E6F70E4549A8036BD</v>
      </c>
      <c r="I3771" t="str">
        <f>HYPERLINK("https://baanknet.com/view-property/251203/3C73AAAB8D2EAB6234E7FDDB93D235B9B7EAD14284A1160E6F70E4549A8036BD", "Open")</f>
        <v>Open</v>
      </c>
      <c r="J3771" t="s">
        <v>3803</v>
      </c>
      <c r="L3771">
        <v>2970000</v>
      </c>
      <c r="M3771">
        <v>297000</v>
      </c>
    </row>
    <row r="3772" spans="1:13" x14ac:dyDescent="0.25">
      <c r="A3772" t="s">
        <v>12634</v>
      </c>
      <c r="B3772" t="s">
        <v>12635</v>
      </c>
      <c r="C3772" t="s">
        <v>332</v>
      </c>
      <c r="D3772" t="s">
        <v>900</v>
      </c>
      <c r="E3772" t="s">
        <v>11024</v>
      </c>
      <c r="F3772" t="s">
        <v>11004</v>
      </c>
      <c r="G3772" t="s">
        <v>12636</v>
      </c>
      <c r="H3772" t="str">
        <f>HYPERLINK("https://baanknet.com/view-property/285222/37F4A6AB2905C990A9F64EEED76AE11B457F5FAB75622C2D900E61A8A7994295", "https://baanknet.com/view-property/285222/37F4A6AB2905C990A9F64EEED76AE11B457F5FAB75622C2D900E61A8A7994295")</f>
        <v>https://baanknet.com/view-property/285222/37F4A6AB2905C990A9F64EEED76AE11B457F5FAB75622C2D900E61A8A7994295</v>
      </c>
      <c r="I3772" t="str">
        <f>HYPERLINK("https://baanknet.com/view-property/285222/37F4A6AB2905C990A9F64EEED76AE11B457F5FAB75622C2D900E61A8A7994295", "Open")</f>
        <v>Open</v>
      </c>
      <c r="J3772" t="s">
        <v>3803</v>
      </c>
      <c r="L3772">
        <v>4700000</v>
      </c>
      <c r="M3772">
        <v>470000</v>
      </c>
    </row>
    <row r="3773" spans="1:13" x14ac:dyDescent="0.25">
      <c r="A3773" t="s">
        <v>12637</v>
      </c>
      <c r="B3773" t="s">
        <v>12638</v>
      </c>
      <c r="C3773" t="s">
        <v>15</v>
      </c>
      <c r="D3773" t="s">
        <v>3614</v>
      </c>
      <c r="E3773" t="s">
        <v>3516</v>
      </c>
      <c r="F3773" t="s">
        <v>17</v>
      </c>
      <c r="G3773" t="s">
        <v>12639</v>
      </c>
      <c r="H3773" t="str">
        <f>HYPERLINK("https://baanknet.com/view-property/273645/8260CA3860D5361BD9BA1857E449C99D2EF9F06DED4668B6BDA5C9196865795A", "https://baanknet.com/view-property/273645/8260CA3860D5361BD9BA1857E449C99D2EF9F06DED4668B6BDA5C9196865795A")</f>
        <v>https://baanknet.com/view-property/273645/8260CA3860D5361BD9BA1857E449C99D2EF9F06DED4668B6BDA5C9196865795A</v>
      </c>
      <c r="I3773" t="str">
        <f>HYPERLINK("https://baanknet.com/view-property/273645/8260CA3860D5361BD9BA1857E449C99D2EF9F06DED4668B6BDA5C9196865795A", "Open")</f>
        <v>Open</v>
      </c>
      <c r="J3773" t="s">
        <v>20</v>
      </c>
      <c r="K3773" t="s">
        <v>21</v>
      </c>
      <c r="L3773">
        <v>4250000</v>
      </c>
      <c r="M3773">
        <v>425000</v>
      </c>
    </row>
    <row r="3774" spans="1:13" x14ac:dyDescent="0.25">
      <c r="A3774" t="s">
        <v>12640</v>
      </c>
      <c r="B3774" t="s">
        <v>12641</v>
      </c>
      <c r="C3774" t="s">
        <v>332</v>
      </c>
      <c r="D3774" t="s">
        <v>3165</v>
      </c>
      <c r="E3774" t="s">
        <v>11024</v>
      </c>
      <c r="F3774" t="s">
        <v>11004</v>
      </c>
      <c r="G3774" t="s">
        <v>12642</v>
      </c>
      <c r="H3774" t="str">
        <f>HYPERLINK("https://baanknet.com/view-property/284985/6F095AE5162A17D8F82F362162FCA6D3AA03B05BE3DD5842E441F1CCA0A70970", "https://baanknet.com/view-property/284985/6F095AE5162A17D8F82F362162FCA6D3AA03B05BE3DD5842E441F1CCA0A70970")</f>
        <v>https://baanknet.com/view-property/284985/6F095AE5162A17D8F82F362162FCA6D3AA03B05BE3DD5842E441F1CCA0A70970</v>
      </c>
      <c r="I3774" t="str">
        <f>HYPERLINK("https://baanknet.com/view-property/284985/6F095AE5162A17D8F82F362162FCA6D3AA03B05BE3DD5842E441F1CCA0A70970", "Open")</f>
        <v>Open</v>
      </c>
      <c r="J3774" t="s">
        <v>3803</v>
      </c>
      <c r="L3774">
        <v>1550000</v>
      </c>
      <c r="M3774">
        <v>155000</v>
      </c>
    </row>
    <row r="3775" spans="1:13" x14ac:dyDescent="0.25">
      <c r="A3775" t="s">
        <v>12643</v>
      </c>
      <c r="B3775" t="s">
        <v>12644</v>
      </c>
      <c r="C3775" t="s">
        <v>332</v>
      </c>
      <c r="D3775" t="s">
        <v>3165</v>
      </c>
      <c r="E3775" t="s">
        <v>11024</v>
      </c>
      <c r="F3775" t="s">
        <v>11004</v>
      </c>
      <c r="G3775" t="s">
        <v>12645</v>
      </c>
      <c r="H3775" t="str">
        <f>HYPERLINK("https://baanknet.com/view-property/284962/5427932EF89192DE8832FE86F43A2543AD96A6021955A9019C5AEC746D560800", "https://baanknet.com/view-property/284962/5427932EF89192DE8832FE86F43A2543AD96A6021955A9019C5AEC746D560800")</f>
        <v>https://baanknet.com/view-property/284962/5427932EF89192DE8832FE86F43A2543AD96A6021955A9019C5AEC746D560800</v>
      </c>
      <c r="I3775" t="str">
        <f>HYPERLINK("https://baanknet.com/view-property/284962/5427932EF89192DE8832FE86F43A2543AD96A6021955A9019C5AEC746D560800", "Open")</f>
        <v>Open</v>
      </c>
      <c r="J3775" t="s">
        <v>3803</v>
      </c>
      <c r="L3775">
        <v>3375000</v>
      </c>
      <c r="M3775">
        <v>337500</v>
      </c>
    </row>
    <row r="3776" spans="1:13" x14ac:dyDescent="0.25">
      <c r="A3776" t="s">
        <v>12646</v>
      </c>
      <c r="B3776" t="s">
        <v>12647</v>
      </c>
      <c r="C3776" t="s">
        <v>332</v>
      </c>
      <c r="D3776" t="s">
        <v>3165</v>
      </c>
      <c r="E3776" t="s">
        <v>11024</v>
      </c>
      <c r="F3776" t="s">
        <v>11004</v>
      </c>
      <c r="G3776" t="s">
        <v>12648</v>
      </c>
      <c r="H3776" t="str">
        <f>HYPERLINK("https://baanknet.com/view-property/284975/1F16FBC2DFCC5780BA36DCD6E6E76482FE533C1E54A037930B8610986E8907F7", "https://baanknet.com/view-property/284975/1F16FBC2DFCC5780BA36DCD6E6E76482FE533C1E54A037930B8610986E8907F7")</f>
        <v>https://baanknet.com/view-property/284975/1F16FBC2DFCC5780BA36DCD6E6E76482FE533C1E54A037930B8610986E8907F7</v>
      </c>
      <c r="I3776" t="str">
        <f>HYPERLINK("https://baanknet.com/view-property/284975/1F16FBC2DFCC5780BA36DCD6E6E76482FE533C1E54A037930B8610986E8907F7", "Open")</f>
        <v>Open</v>
      </c>
      <c r="J3776" t="s">
        <v>3803</v>
      </c>
      <c r="L3776">
        <v>4000000</v>
      </c>
      <c r="M3776">
        <v>400000</v>
      </c>
    </row>
    <row r="3777" spans="1:13" x14ac:dyDescent="0.25">
      <c r="A3777" t="s">
        <v>12649</v>
      </c>
      <c r="B3777" t="s">
        <v>12650</v>
      </c>
      <c r="C3777" t="s">
        <v>332</v>
      </c>
      <c r="D3777" t="s">
        <v>6068</v>
      </c>
      <c r="E3777" t="s">
        <v>11024</v>
      </c>
      <c r="F3777" t="s">
        <v>11004</v>
      </c>
      <c r="G3777" t="s">
        <v>12651</v>
      </c>
      <c r="H3777" t="str">
        <f>HYPERLINK("https://baanknet.com/view-property/285542/4D3ED6B741F6D5807CF65F29FE244D4DC289C4630C69952805547A6AD9A3A78D", "https://baanknet.com/view-property/285542/4D3ED6B741F6D5807CF65F29FE244D4DC289C4630C69952805547A6AD9A3A78D")</f>
        <v>https://baanknet.com/view-property/285542/4D3ED6B741F6D5807CF65F29FE244D4DC289C4630C69952805547A6AD9A3A78D</v>
      </c>
      <c r="I3777" t="str">
        <f>HYPERLINK("https://baanknet.com/view-property/285542/4D3ED6B741F6D5807CF65F29FE244D4DC289C4630C69952805547A6AD9A3A78D", "Open")</f>
        <v>Open</v>
      </c>
      <c r="J3777" t="s">
        <v>3803</v>
      </c>
      <c r="L3777">
        <v>1729000</v>
      </c>
      <c r="M3777">
        <v>172900</v>
      </c>
    </row>
    <row r="3778" spans="1:13" x14ac:dyDescent="0.25">
      <c r="A3778" t="s">
        <v>12652</v>
      </c>
      <c r="B3778" t="s">
        <v>12653</v>
      </c>
      <c r="C3778" t="s">
        <v>332</v>
      </c>
      <c r="D3778" t="s">
        <v>1619</v>
      </c>
      <c r="E3778" t="s">
        <v>11024</v>
      </c>
      <c r="F3778" t="s">
        <v>11004</v>
      </c>
      <c r="G3778" t="s">
        <v>12654</v>
      </c>
      <c r="H3778" t="str">
        <f>HYPERLINK("https://baanknet.com/view-property/284847/459DC362F57922227D6256739C18093047607F58E72B5D4319504B15DBC4B78E", "https://baanknet.com/view-property/284847/459DC362F57922227D6256739C18093047607F58E72B5D4319504B15DBC4B78E")</f>
        <v>https://baanknet.com/view-property/284847/459DC362F57922227D6256739C18093047607F58E72B5D4319504B15DBC4B78E</v>
      </c>
      <c r="I3778" t="str">
        <f>HYPERLINK("https://baanknet.com/view-property/284847/459DC362F57922227D6256739C18093047607F58E72B5D4319504B15DBC4B78E", "Open")</f>
        <v>Open</v>
      </c>
      <c r="J3778" t="s">
        <v>3803</v>
      </c>
      <c r="L3778">
        <v>6800000</v>
      </c>
      <c r="M3778">
        <v>680000</v>
      </c>
    </row>
    <row r="3779" spans="1:13" x14ac:dyDescent="0.25">
      <c r="A3779" t="s">
        <v>12655</v>
      </c>
      <c r="B3779" t="s">
        <v>12656</v>
      </c>
      <c r="C3779" t="s">
        <v>332</v>
      </c>
      <c r="D3779" t="s">
        <v>12657</v>
      </c>
      <c r="E3779" t="s">
        <v>11024</v>
      </c>
      <c r="F3779" t="s">
        <v>11004</v>
      </c>
      <c r="G3779" t="s">
        <v>12658</v>
      </c>
      <c r="H3779" t="str">
        <f>HYPERLINK("https://baanknet.com/view-property/284927/C27C1265BA74BA285ECF6E029C80B2F064C12CBE19BE2B99C99AF61FA2AB07F5", "https://baanknet.com/view-property/284927/C27C1265BA74BA285ECF6E029C80B2F064C12CBE19BE2B99C99AF61FA2AB07F5")</f>
        <v>https://baanknet.com/view-property/284927/C27C1265BA74BA285ECF6E029C80B2F064C12CBE19BE2B99C99AF61FA2AB07F5</v>
      </c>
      <c r="I3779" t="str">
        <f>HYPERLINK("https://baanknet.com/view-property/284927/C27C1265BA74BA285ECF6E029C80B2F064C12CBE19BE2B99C99AF61FA2AB07F5", "Open")</f>
        <v>Open</v>
      </c>
      <c r="J3779" t="s">
        <v>3803</v>
      </c>
      <c r="L3779">
        <v>6100000</v>
      </c>
      <c r="M3779">
        <v>610000</v>
      </c>
    </row>
    <row r="3780" spans="1:13" x14ac:dyDescent="0.25">
      <c r="A3780" t="s">
        <v>12659</v>
      </c>
      <c r="B3780" t="s">
        <v>12660</v>
      </c>
      <c r="C3780" t="s">
        <v>332</v>
      </c>
      <c r="D3780" t="s">
        <v>1619</v>
      </c>
      <c r="E3780" t="s">
        <v>11024</v>
      </c>
      <c r="F3780" t="s">
        <v>11004</v>
      </c>
      <c r="G3780" t="s">
        <v>12661</v>
      </c>
      <c r="H3780" t="str">
        <f>HYPERLINK("https://baanknet.com/view-property/284929/4FD54F6C6871E130A2C1C7AF9A35051ABF4DA00235508E1D11412437394C3091", "https://baanknet.com/view-property/284929/4FD54F6C6871E130A2C1C7AF9A35051ABF4DA00235508E1D11412437394C3091")</f>
        <v>https://baanknet.com/view-property/284929/4FD54F6C6871E130A2C1C7AF9A35051ABF4DA00235508E1D11412437394C3091</v>
      </c>
      <c r="I3780" t="str">
        <f>HYPERLINK("https://baanknet.com/view-property/284929/4FD54F6C6871E130A2C1C7AF9A35051ABF4DA00235508E1D11412437394C3091", "Open")</f>
        <v>Open</v>
      </c>
      <c r="J3780" t="s">
        <v>3803</v>
      </c>
      <c r="L3780">
        <v>15000000</v>
      </c>
      <c r="M3780">
        <v>1500000</v>
      </c>
    </row>
    <row r="3781" spans="1:13" x14ac:dyDescent="0.25">
      <c r="A3781" t="s">
        <v>12662</v>
      </c>
      <c r="B3781" t="s">
        <v>12663</v>
      </c>
      <c r="C3781" t="s">
        <v>332</v>
      </c>
      <c r="D3781" t="s">
        <v>12657</v>
      </c>
      <c r="E3781" t="s">
        <v>11024</v>
      </c>
      <c r="F3781" t="s">
        <v>11004</v>
      </c>
      <c r="G3781" t="s">
        <v>12664</v>
      </c>
      <c r="H3781" t="str">
        <f>HYPERLINK("https://baanknet.com/view-property/284931/7CBC16C080D92A5685FA52A6C777A22A02759E5901CA66A19818978E0607B221", "https://baanknet.com/view-property/284931/7CBC16C080D92A5685FA52A6C777A22A02759E5901CA66A19818978E0607B221")</f>
        <v>https://baanknet.com/view-property/284931/7CBC16C080D92A5685FA52A6C777A22A02759E5901CA66A19818978E0607B221</v>
      </c>
      <c r="I3781" t="str">
        <f>HYPERLINK("https://baanknet.com/view-property/284931/7CBC16C080D92A5685FA52A6C777A22A02759E5901CA66A19818978E0607B221", "Open")</f>
        <v>Open</v>
      </c>
      <c r="J3781" t="s">
        <v>3803</v>
      </c>
      <c r="L3781">
        <v>3600000</v>
      </c>
      <c r="M3781">
        <v>360000</v>
      </c>
    </row>
    <row r="3782" spans="1:13" x14ac:dyDescent="0.25">
      <c r="A3782" t="s">
        <v>12665</v>
      </c>
      <c r="B3782" t="s">
        <v>12666</v>
      </c>
      <c r="C3782" t="s">
        <v>332</v>
      </c>
      <c r="D3782" t="s">
        <v>12657</v>
      </c>
      <c r="E3782" t="s">
        <v>11024</v>
      </c>
      <c r="F3782" t="s">
        <v>11004</v>
      </c>
      <c r="G3782" t="s">
        <v>12667</v>
      </c>
      <c r="H3782" t="str">
        <f>HYPERLINK("https://baanknet.com/view-property/284932/F3C2CD32505DEA95ED51FB5C6BFEEE2664B6920C15B8BAB307888CA7A0721004", "https://baanknet.com/view-property/284932/F3C2CD32505DEA95ED51FB5C6BFEEE2664B6920C15B8BAB307888CA7A0721004")</f>
        <v>https://baanknet.com/view-property/284932/F3C2CD32505DEA95ED51FB5C6BFEEE2664B6920C15B8BAB307888CA7A0721004</v>
      </c>
      <c r="I3782" t="str">
        <f>HYPERLINK("https://baanknet.com/view-property/284932/F3C2CD32505DEA95ED51FB5C6BFEEE2664B6920C15B8BAB307888CA7A0721004", "Open")</f>
        <v>Open</v>
      </c>
      <c r="J3782" t="s">
        <v>3803</v>
      </c>
      <c r="L3782">
        <v>3200000</v>
      </c>
      <c r="M3782">
        <v>320000</v>
      </c>
    </row>
    <row r="3783" spans="1:13" x14ac:dyDescent="0.25">
      <c r="A3783" t="s">
        <v>12668</v>
      </c>
      <c r="B3783" t="s">
        <v>12669</v>
      </c>
      <c r="C3783" t="s">
        <v>332</v>
      </c>
      <c r="D3783" t="s">
        <v>12657</v>
      </c>
      <c r="E3783" t="s">
        <v>11024</v>
      </c>
      <c r="F3783" t="s">
        <v>11004</v>
      </c>
      <c r="G3783" t="s">
        <v>12670</v>
      </c>
      <c r="H3783" t="str">
        <f>HYPERLINK("https://baanknet.com/view-property/284986/9804304ED3D36D8170A92383DAC2484B608247DBE380531122338018F20AF0D3", "https://baanknet.com/view-property/284986/9804304ED3D36D8170A92383DAC2484B608247DBE380531122338018F20AF0D3")</f>
        <v>https://baanknet.com/view-property/284986/9804304ED3D36D8170A92383DAC2484B608247DBE380531122338018F20AF0D3</v>
      </c>
      <c r="I3783" t="str">
        <f>HYPERLINK("https://baanknet.com/view-property/284986/9804304ED3D36D8170A92383DAC2484B608247DBE380531122338018F20AF0D3", "Open")</f>
        <v>Open</v>
      </c>
      <c r="J3783" t="s">
        <v>3803</v>
      </c>
      <c r="L3783">
        <v>3900000</v>
      </c>
      <c r="M3783">
        <v>390000</v>
      </c>
    </row>
    <row r="3784" spans="1:13" x14ac:dyDescent="0.25">
      <c r="A3784" t="s">
        <v>12671</v>
      </c>
      <c r="B3784" t="s">
        <v>12672</v>
      </c>
      <c r="C3784" t="s">
        <v>571</v>
      </c>
      <c r="D3784" t="s">
        <v>12673</v>
      </c>
      <c r="E3784" t="s">
        <v>11024</v>
      </c>
      <c r="F3784" t="s">
        <v>11004</v>
      </c>
      <c r="G3784" t="s">
        <v>12674</v>
      </c>
      <c r="H3784" t="str">
        <f>HYPERLINK("https://baanknet.com/view-property/285731/CBA67C78128B9D70268D7BC6D7FBE863CED0117FBD6829AC3915E6F04DEF46EF", "https://baanknet.com/view-property/285731/CBA67C78128B9D70268D7BC6D7FBE863CED0117FBD6829AC3915E6F04DEF46EF")</f>
        <v>https://baanknet.com/view-property/285731/CBA67C78128B9D70268D7BC6D7FBE863CED0117FBD6829AC3915E6F04DEF46EF</v>
      </c>
      <c r="I3784" t="str">
        <f>HYPERLINK("https://baanknet.com/view-property/285731/CBA67C78128B9D70268D7BC6D7FBE863CED0117FBD6829AC3915E6F04DEF46EF", "Open")</f>
        <v>Open</v>
      </c>
      <c r="J3784" t="s">
        <v>3803</v>
      </c>
      <c r="L3784">
        <v>2821000</v>
      </c>
      <c r="M3784">
        <v>282100</v>
      </c>
    </row>
    <row r="3785" spans="1:13" x14ac:dyDescent="0.25">
      <c r="A3785" t="s">
        <v>12675</v>
      </c>
      <c r="B3785" t="s">
        <v>12676</v>
      </c>
      <c r="C3785" t="s">
        <v>571</v>
      </c>
      <c r="D3785" t="s">
        <v>12673</v>
      </c>
      <c r="E3785" t="s">
        <v>11024</v>
      </c>
      <c r="F3785" t="s">
        <v>11004</v>
      </c>
      <c r="G3785" t="s">
        <v>12677</v>
      </c>
      <c r="H3785" t="str">
        <f>HYPERLINK("https://baanknet.com/view-property/182568/E1CC9ACE3CE23129A247A61711EF052C4EEE06DF108A2126D9AE1A0F99A9451F", "https://baanknet.com/view-property/182568/E1CC9ACE3CE23129A247A61711EF052C4EEE06DF108A2126D9AE1A0F99A9451F")</f>
        <v>https://baanknet.com/view-property/182568/E1CC9ACE3CE23129A247A61711EF052C4EEE06DF108A2126D9AE1A0F99A9451F</v>
      </c>
      <c r="I3785" t="str">
        <f>HYPERLINK("https://baanknet.com/view-property/182568/E1CC9ACE3CE23129A247A61711EF052C4EEE06DF108A2126D9AE1A0F99A9451F", "Open")</f>
        <v>Open</v>
      </c>
      <c r="J3785" t="s">
        <v>3803</v>
      </c>
      <c r="L3785">
        <v>2164000</v>
      </c>
      <c r="M3785">
        <v>216400</v>
      </c>
    </row>
    <row r="3786" spans="1:13" x14ac:dyDescent="0.25">
      <c r="A3786" t="s">
        <v>12678</v>
      </c>
      <c r="B3786" t="s">
        <v>12679</v>
      </c>
      <c r="C3786" t="s">
        <v>571</v>
      </c>
      <c r="D3786" t="s">
        <v>12673</v>
      </c>
      <c r="E3786" t="s">
        <v>11024</v>
      </c>
      <c r="F3786" t="s">
        <v>11004</v>
      </c>
      <c r="G3786" t="s">
        <v>12680</v>
      </c>
      <c r="H3786" t="str">
        <f>HYPERLINK("https://baanknet.com/view-property/85048/B85A693EF83A8DEB7DFFA9AE69C7784BE200635FC32748B029169EEB2F871E03", "https://baanknet.com/view-property/85048/B85A693EF83A8DEB7DFFA9AE69C7784BE200635FC32748B029169EEB2F871E03")</f>
        <v>https://baanknet.com/view-property/85048/B85A693EF83A8DEB7DFFA9AE69C7784BE200635FC32748B029169EEB2F871E03</v>
      </c>
      <c r="I3786" t="str">
        <f>HYPERLINK("https://baanknet.com/view-property/85048/B85A693EF83A8DEB7DFFA9AE69C7784BE200635FC32748B029169EEB2F871E03", "Open")</f>
        <v>Open</v>
      </c>
      <c r="J3786" t="s">
        <v>3803</v>
      </c>
      <c r="L3786">
        <v>1950000</v>
      </c>
      <c r="M3786">
        <v>195000</v>
      </c>
    </row>
    <row r="3787" spans="1:13" x14ac:dyDescent="0.25">
      <c r="A3787" t="s">
        <v>12681</v>
      </c>
      <c r="B3787" t="s">
        <v>12682</v>
      </c>
      <c r="C3787" t="s">
        <v>525</v>
      </c>
      <c r="D3787" t="s">
        <v>1246</v>
      </c>
      <c r="E3787" t="s">
        <v>11024</v>
      </c>
      <c r="F3787" t="s">
        <v>11004</v>
      </c>
      <c r="G3787" t="s">
        <v>12683</v>
      </c>
      <c r="H3787" t="str">
        <f>HYPERLINK("https://baanknet.com/view-property/285894/64CC9468C3343BB04019C410C24945AB7679618BE8490C3F616937153F4A5E18", "https://baanknet.com/view-property/285894/64CC9468C3343BB04019C410C24945AB7679618BE8490C3F616937153F4A5E18")</f>
        <v>https://baanknet.com/view-property/285894/64CC9468C3343BB04019C410C24945AB7679618BE8490C3F616937153F4A5E18</v>
      </c>
      <c r="I3787" t="str">
        <f>HYPERLINK("https://baanknet.com/view-property/285894/64CC9468C3343BB04019C410C24945AB7679618BE8490C3F616937153F4A5E18", "Open")</f>
        <v>Open</v>
      </c>
      <c r="J3787" t="s">
        <v>3803</v>
      </c>
      <c r="L3787">
        <v>4200000</v>
      </c>
      <c r="M3787">
        <v>420000</v>
      </c>
    </row>
    <row r="3788" spans="1:13" x14ac:dyDescent="0.25">
      <c r="A3788" t="s">
        <v>12684</v>
      </c>
      <c r="B3788" t="s">
        <v>12685</v>
      </c>
      <c r="C3788" t="s">
        <v>15</v>
      </c>
      <c r="D3788" t="s">
        <v>3797</v>
      </c>
      <c r="E3788" t="s">
        <v>3516</v>
      </c>
      <c r="F3788" t="s">
        <v>17</v>
      </c>
      <c r="G3788" t="s">
        <v>12686</v>
      </c>
      <c r="H3788" t="str">
        <f>HYPERLINK("https://baanknet.com/view-property/279057/4CE014137EFE7171C29A48CCAD50F2B70F4C7DB483894E95BD02A9DBF26EFBCF", "https://baanknet.com/view-property/279057/4CE014137EFE7171C29A48CCAD50F2B70F4C7DB483894E95BD02A9DBF26EFBCF")</f>
        <v>https://baanknet.com/view-property/279057/4CE014137EFE7171C29A48CCAD50F2B70F4C7DB483894E95BD02A9DBF26EFBCF</v>
      </c>
      <c r="I3788" t="str">
        <f>HYPERLINK("https://baanknet.com/view-property/279057/4CE014137EFE7171C29A48CCAD50F2B70F4C7DB483894E95BD02A9DBF26EFBCF", "Open")</f>
        <v>Open</v>
      </c>
      <c r="J3788" t="s">
        <v>20</v>
      </c>
      <c r="K3788" t="s">
        <v>21</v>
      </c>
      <c r="L3788">
        <v>7000000</v>
      </c>
      <c r="M3788">
        <v>700000</v>
      </c>
    </row>
    <row r="3789" spans="1:13" x14ac:dyDescent="0.25">
      <c r="A3789" t="s">
        <v>12687</v>
      </c>
      <c r="B3789" t="s">
        <v>12688</v>
      </c>
      <c r="C3789" t="s">
        <v>121</v>
      </c>
      <c r="D3789" t="s">
        <v>5365</v>
      </c>
      <c r="E3789" t="s">
        <v>11024</v>
      </c>
      <c r="F3789" t="s">
        <v>11004</v>
      </c>
      <c r="G3789" t="s">
        <v>12689</v>
      </c>
      <c r="H3789" t="str">
        <f>HYPERLINK("https://baanknet.com/view-property/265211/36C0D935CDB7B29C677751694D473110470340E65D7C8D7FE5675EC320BAC633", "https://baanknet.com/view-property/265211/36C0D935CDB7B29C677751694D473110470340E65D7C8D7FE5675EC320BAC633")</f>
        <v>https://baanknet.com/view-property/265211/36C0D935CDB7B29C677751694D473110470340E65D7C8D7FE5675EC320BAC633</v>
      </c>
      <c r="I3789" t="str">
        <f>HYPERLINK("https://baanknet.com/view-property/265211/36C0D935CDB7B29C677751694D473110470340E65D7C8D7FE5675EC320BAC633", "Open")</f>
        <v>Open</v>
      </c>
      <c r="J3789" t="s">
        <v>3803</v>
      </c>
      <c r="L3789">
        <v>4752000</v>
      </c>
      <c r="M3789">
        <v>475200</v>
      </c>
    </row>
    <row r="3790" spans="1:13" x14ac:dyDescent="0.25">
      <c r="A3790" t="s">
        <v>12690</v>
      </c>
      <c r="B3790" t="s">
        <v>12691</v>
      </c>
      <c r="C3790" t="s">
        <v>121</v>
      </c>
      <c r="D3790" t="s">
        <v>5365</v>
      </c>
      <c r="E3790" t="s">
        <v>11024</v>
      </c>
      <c r="F3790" t="s">
        <v>11004</v>
      </c>
      <c r="G3790" t="s">
        <v>12692</v>
      </c>
      <c r="H3790" t="str">
        <f>HYPERLINK("https://baanknet.com/view-property/285874/8DFD21705A98E68A065789F252A3D6444DDE8F2487B8141D5A1BD9FB69AE53BC", "https://baanknet.com/view-property/285874/8DFD21705A98E68A065789F252A3D6444DDE8F2487B8141D5A1BD9FB69AE53BC")</f>
        <v>https://baanknet.com/view-property/285874/8DFD21705A98E68A065789F252A3D6444DDE8F2487B8141D5A1BD9FB69AE53BC</v>
      </c>
      <c r="I3790" t="str">
        <f>HYPERLINK("https://baanknet.com/view-property/285874/8DFD21705A98E68A065789F252A3D6444DDE8F2487B8141D5A1BD9FB69AE53BC", "Open")</f>
        <v>Open</v>
      </c>
      <c r="J3790" t="s">
        <v>3803</v>
      </c>
      <c r="L3790">
        <v>8839000</v>
      </c>
      <c r="M3790">
        <v>883900</v>
      </c>
    </row>
    <row r="3791" spans="1:13" x14ac:dyDescent="0.25">
      <c r="A3791" t="s">
        <v>12693</v>
      </c>
      <c r="B3791" t="s">
        <v>12694</v>
      </c>
      <c r="C3791" t="s">
        <v>332</v>
      </c>
      <c r="D3791" t="s">
        <v>12695</v>
      </c>
      <c r="E3791" t="s">
        <v>11024</v>
      </c>
      <c r="F3791" t="s">
        <v>11004</v>
      </c>
      <c r="G3791" t="s">
        <v>12696</v>
      </c>
      <c r="H3791" t="str">
        <f>HYPERLINK("https://baanknet.com/view-property/220324/A7016F210A8AD6A218059007E420AFEF99F16409AEF6D84717677CDD45431E61", "https://baanknet.com/view-property/220324/A7016F210A8AD6A218059007E420AFEF99F16409AEF6D84717677CDD45431E61")</f>
        <v>https://baanknet.com/view-property/220324/A7016F210A8AD6A218059007E420AFEF99F16409AEF6D84717677CDD45431E61</v>
      </c>
      <c r="I3791" t="str">
        <f>HYPERLINK("https://baanknet.com/view-property/220324/A7016F210A8AD6A218059007E420AFEF99F16409AEF6D84717677CDD45431E61", "Open")</f>
        <v>Open</v>
      </c>
      <c r="J3791" t="s">
        <v>3803</v>
      </c>
      <c r="L3791">
        <v>4700000</v>
      </c>
      <c r="M3791">
        <v>470000</v>
      </c>
    </row>
    <row r="3792" spans="1:13" x14ac:dyDescent="0.25">
      <c r="A3792" t="s">
        <v>12697</v>
      </c>
      <c r="B3792" t="s">
        <v>12698</v>
      </c>
      <c r="C3792" t="s">
        <v>332</v>
      </c>
      <c r="D3792" t="s">
        <v>3225</v>
      </c>
      <c r="E3792" t="s">
        <v>11024</v>
      </c>
      <c r="F3792" t="s">
        <v>11004</v>
      </c>
      <c r="G3792" t="s">
        <v>12699</v>
      </c>
      <c r="H3792" t="str">
        <f>HYPERLINK("https://baanknet.com/view-property/170658/E9144ED55CE60428A37AA06F88A25E96BED5AA1EBD89E73D152253B0F4B65177", "https://baanknet.com/view-property/170658/E9144ED55CE60428A37AA06F88A25E96BED5AA1EBD89E73D152253B0F4B65177")</f>
        <v>https://baanknet.com/view-property/170658/E9144ED55CE60428A37AA06F88A25E96BED5AA1EBD89E73D152253B0F4B65177</v>
      </c>
      <c r="I3792" t="str">
        <f>HYPERLINK("https://baanknet.com/view-property/170658/E9144ED55CE60428A37AA06F88A25E96BED5AA1EBD89E73D152253B0F4B65177", "Open")</f>
        <v>Open</v>
      </c>
      <c r="J3792" t="s">
        <v>3803</v>
      </c>
      <c r="L3792">
        <v>3710000</v>
      </c>
      <c r="M3792">
        <v>371000</v>
      </c>
    </row>
    <row r="3793" spans="1:13" x14ac:dyDescent="0.25">
      <c r="A3793" t="s">
        <v>12700</v>
      </c>
      <c r="B3793" t="s">
        <v>12701</v>
      </c>
      <c r="C3793" t="s">
        <v>121</v>
      </c>
      <c r="D3793" t="s">
        <v>10735</v>
      </c>
      <c r="E3793" t="s">
        <v>11024</v>
      </c>
      <c r="F3793" t="s">
        <v>11004</v>
      </c>
      <c r="G3793" t="s">
        <v>12702</v>
      </c>
      <c r="H3793" t="str">
        <f>HYPERLINK("https://baanknet.com/view-property/282465/947F7331EFEA151FF651290A9482653C15D4C7C8D7D743C804413E8277A7278E", "https://baanknet.com/view-property/282465/947F7331EFEA151FF651290A9482653C15D4C7C8D7D743C804413E8277A7278E")</f>
        <v>https://baanknet.com/view-property/282465/947F7331EFEA151FF651290A9482653C15D4C7C8D7D743C804413E8277A7278E</v>
      </c>
      <c r="I3793" t="str">
        <f>HYPERLINK("https://baanknet.com/view-property/282465/947F7331EFEA151FF651290A9482653C15D4C7C8D7D743C804413E8277A7278E", "Open")</f>
        <v>Open</v>
      </c>
      <c r="J3793" t="s">
        <v>3803</v>
      </c>
    </row>
    <row r="3794" spans="1:13" x14ac:dyDescent="0.25">
      <c r="A3794" t="s">
        <v>12703</v>
      </c>
      <c r="B3794" t="s">
        <v>12704</v>
      </c>
      <c r="C3794" t="s">
        <v>571</v>
      </c>
      <c r="D3794" t="s">
        <v>12705</v>
      </c>
      <c r="E3794" t="s">
        <v>11024</v>
      </c>
      <c r="F3794" t="s">
        <v>11004</v>
      </c>
      <c r="G3794" t="s">
        <v>12706</v>
      </c>
      <c r="H3794" t="str">
        <f>HYPERLINK("https://baanknet.com/view-property/218352/5A6857DE571179205A473126353538902E5D9D15B7064AD910C588B597FC0707", "https://baanknet.com/view-property/218352/5A6857DE571179205A473126353538902E5D9D15B7064AD910C588B597FC0707")</f>
        <v>https://baanknet.com/view-property/218352/5A6857DE571179205A473126353538902E5D9D15B7064AD910C588B597FC0707</v>
      </c>
      <c r="I3794" t="str">
        <f>HYPERLINK("https://baanknet.com/view-property/218352/5A6857DE571179205A473126353538902E5D9D15B7064AD910C588B597FC0707", "Open")</f>
        <v>Open</v>
      </c>
      <c r="J3794" t="s">
        <v>3803</v>
      </c>
      <c r="L3794">
        <v>2618000</v>
      </c>
      <c r="M3794">
        <v>261800</v>
      </c>
    </row>
    <row r="3795" spans="1:13" x14ac:dyDescent="0.25">
      <c r="A3795" t="s">
        <v>12707</v>
      </c>
      <c r="B3795" t="s">
        <v>12708</v>
      </c>
      <c r="C3795" t="s">
        <v>121</v>
      </c>
      <c r="D3795" t="s">
        <v>5365</v>
      </c>
      <c r="E3795" t="s">
        <v>11024</v>
      </c>
      <c r="F3795" t="s">
        <v>11004</v>
      </c>
      <c r="G3795" t="s">
        <v>12709</v>
      </c>
      <c r="H3795" t="str">
        <f>HYPERLINK("https://baanknet.com/view-property/285881/6E66FD6C190F680DAC7B5EBC4C14395511AB60BEBCCDE943319EBB4E472F849C", "https://baanknet.com/view-property/285881/6E66FD6C190F680DAC7B5EBC4C14395511AB60BEBCCDE943319EBB4E472F849C")</f>
        <v>https://baanknet.com/view-property/285881/6E66FD6C190F680DAC7B5EBC4C14395511AB60BEBCCDE943319EBB4E472F849C</v>
      </c>
      <c r="I3795" t="str">
        <f>HYPERLINK("https://baanknet.com/view-property/285881/6E66FD6C190F680DAC7B5EBC4C14395511AB60BEBCCDE943319EBB4E472F849C", "Open")</f>
        <v>Open</v>
      </c>
      <c r="J3795" t="s">
        <v>20</v>
      </c>
      <c r="K3795" t="s">
        <v>21</v>
      </c>
      <c r="L3795">
        <v>3545000</v>
      </c>
      <c r="M3795">
        <v>354500</v>
      </c>
    </row>
    <row r="3796" spans="1:13" x14ac:dyDescent="0.25">
      <c r="A3796" t="s">
        <v>12710</v>
      </c>
      <c r="B3796" t="s">
        <v>12711</v>
      </c>
      <c r="C3796" t="s">
        <v>571</v>
      </c>
      <c r="D3796" t="s">
        <v>12673</v>
      </c>
      <c r="E3796" t="s">
        <v>11024</v>
      </c>
      <c r="F3796" t="s">
        <v>11004</v>
      </c>
      <c r="G3796" t="s">
        <v>12712</v>
      </c>
      <c r="H3796" t="str">
        <f>HYPERLINK("https://baanknet.com/view-property/286232/E28305BF2AEB606D985180FBB1F58E3EBCD0036C740C7271EB2D715971A5D8BB", "https://baanknet.com/view-property/286232/E28305BF2AEB606D985180FBB1F58E3EBCD0036C740C7271EB2D715971A5D8BB")</f>
        <v>https://baanknet.com/view-property/286232/E28305BF2AEB606D985180FBB1F58E3EBCD0036C740C7271EB2D715971A5D8BB</v>
      </c>
      <c r="I3796" t="str">
        <f>HYPERLINK("https://baanknet.com/view-property/286232/E28305BF2AEB606D985180FBB1F58E3EBCD0036C740C7271EB2D715971A5D8BB", "Open")</f>
        <v>Open</v>
      </c>
      <c r="J3796" t="s">
        <v>3803</v>
      </c>
      <c r="L3796">
        <v>2508000</v>
      </c>
      <c r="M3796">
        <v>250800</v>
      </c>
    </row>
    <row r="3797" spans="1:13" x14ac:dyDescent="0.25">
      <c r="A3797" t="s">
        <v>12713</v>
      </c>
      <c r="B3797" t="s">
        <v>12714</v>
      </c>
      <c r="C3797" t="s">
        <v>332</v>
      </c>
      <c r="D3797" t="s">
        <v>608</v>
      </c>
      <c r="E3797" t="s">
        <v>11024</v>
      </c>
      <c r="F3797" t="s">
        <v>11004</v>
      </c>
      <c r="G3797" t="s">
        <v>12715</v>
      </c>
      <c r="H3797" t="str">
        <f>HYPERLINK("https://baanknet.com/view-property/240234/208BC40D4C31B5438E4950E7F09900402D832E76BBE63D481305105616830E1A", "https://baanknet.com/view-property/240234/208BC40D4C31B5438E4950E7F09900402D832E76BBE63D481305105616830E1A")</f>
        <v>https://baanknet.com/view-property/240234/208BC40D4C31B5438E4950E7F09900402D832E76BBE63D481305105616830E1A</v>
      </c>
      <c r="I3797" t="str">
        <f>HYPERLINK("https://baanknet.com/view-property/240234/208BC40D4C31B5438E4950E7F09900402D832E76BBE63D481305105616830E1A", "Open")</f>
        <v>Open</v>
      </c>
      <c r="J3797" t="s">
        <v>3803</v>
      </c>
      <c r="L3797">
        <v>4950000</v>
      </c>
      <c r="M3797">
        <v>495000</v>
      </c>
    </row>
    <row r="3798" spans="1:13" x14ac:dyDescent="0.25">
      <c r="A3798" t="s">
        <v>12716</v>
      </c>
      <c r="B3798" t="s">
        <v>12717</v>
      </c>
      <c r="C3798" t="s">
        <v>332</v>
      </c>
      <c r="D3798" t="s">
        <v>608</v>
      </c>
      <c r="E3798" t="s">
        <v>11024</v>
      </c>
      <c r="F3798" t="s">
        <v>11004</v>
      </c>
      <c r="G3798" t="s">
        <v>12718</v>
      </c>
      <c r="H3798" t="str">
        <f>HYPERLINK("https://baanknet.com/view-property/240247/3908B68BB542C0C80716D4BB3B6490CC10C5E43CED98F8951DFF7A4E02F59C28", "https://baanknet.com/view-property/240247/3908B68BB542C0C80716D4BB3B6490CC10C5E43CED98F8951DFF7A4E02F59C28")</f>
        <v>https://baanknet.com/view-property/240247/3908B68BB542C0C80716D4BB3B6490CC10C5E43CED98F8951DFF7A4E02F59C28</v>
      </c>
      <c r="I3798" t="str">
        <f>HYPERLINK("https://baanknet.com/view-property/240247/3908B68BB542C0C80716D4BB3B6490CC10C5E43CED98F8951DFF7A4E02F59C28", "Open")</f>
        <v>Open</v>
      </c>
      <c r="J3798" t="s">
        <v>3803</v>
      </c>
      <c r="L3798">
        <v>4950000</v>
      </c>
      <c r="M3798">
        <v>495000</v>
      </c>
    </row>
    <row r="3799" spans="1:13" x14ac:dyDescent="0.25">
      <c r="A3799" t="s">
        <v>12719</v>
      </c>
      <c r="B3799" t="s">
        <v>12720</v>
      </c>
      <c r="C3799" t="s">
        <v>332</v>
      </c>
      <c r="D3799" t="s">
        <v>12721</v>
      </c>
      <c r="E3799" t="s">
        <v>11024</v>
      </c>
      <c r="F3799" t="s">
        <v>11004</v>
      </c>
      <c r="G3799" t="s">
        <v>12722</v>
      </c>
      <c r="H3799" t="str">
        <f>HYPERLINK("https://baanknet.com/view-property/242480/9459F5EB8441D57FA2323E99ED4DA84682FAD6C83B15598B9C6B7B011831768C", "https://baanknet.com/view-property/242480/9459F5EB8441D57FA2323E99ED4DA84682FAD6C83B15598B9C6B7B011831768C")</f>
        <v>https://baanknet.com/view-property/242480/9459F5EB8441D57FA2323E99ED4DA84682FAD6C83B15598B9C6B7B011831768C</v>
      </c>
      <c r="I3799" t="str">
        <f>HYPERLINK("https://baanknet.com/view-property/242480/9459F5EB8441D57FA2323E99ED4DA84682FAD6C83B15598B9C6B7B011831768C", "Open")</f>
        <v>Open</v>
      </c>
      <c r="J3799" t="s">
        <v>3803</v>
      </c>
      <c r="L3799">
        <v>2400000</v>
      </c>
      <c r="M3799">
        <v>240000</v>
      </c>
    </row>
    <row r="3800" spans="1:13" x14ac:dyDescent="0.25">
      <c r="A3800" t="s">
        <v>12723</v>
      </c>
      <c r="B3800" t="s">
        <v>12724</v>
      </c>
      <c r="C3800" t="s">
        <v>332</v>
      </c>
      <c r="D3800" t="s">
        <v>509</v>
      </c>
      <c r="E3800" t="s">
        <v>11024</v>
      </c>
      <c r="F3800" t="s">
        <v>11004</v>
      </c>
      <c r="G3800" t="s">
        <v>12725</v>
      </c>
      <c r="H3800" t="str">
        <f>HYPERLINK("https://baanknet.com/view-property/270928/7C95809C8113BF43E3F7F3EFA4841C31000DA8966B0C626698C035D4BED5042C", "https://baanknet.com/view-property/270928/7C95809C8113BF43E3F7F3EFA4841C31000DA8966B0C626698C035D4BED5042C")</f>
        <v>https://baanknet.com/view-property/270928/7C95809C8113BF43E3F7F3EFA4841C31000DA8966B0C626698C035D4BED5042C</v>
      </c>
      <c r="I3800" t="str">
        <f>HYPERLINK("https://baanknet.com/view-property/270928/7C95809C8113BF43E3F7F3EFA4841C31000DA8966B0C626698C035D4BED5042C", "Open")</f>
        <v>Open</v>
      </c>
      <c r="J3800" t="s">
        <v>3803</v>
      </c>
      <c r="L3800">
        <v>1620000</v>
      </c>
      <c r="M3800">
        <v>162000</v>
      </c>
    </row>
    <row r="3801" spans="1:13" x14ac:dyDescent="0.25">
      <c r="A3801" t="s">
        <v>12726</v>
      </c>
      <c r="B3801" t="s">
        <v>12727</v>
      </c>
      <c r="C3801" t="s">
        <v>332</v>
      </c>
      <c r="D3801" t="s">
        <v>509</v>
      </c>
      <c r="E3801" t="s">
        <v>11024</v>
      </c>
      <c r="F3801" t="s">
        <v>11004</v>
      </c>
      <c r="G3801" t="s">
        <v>12728</v>
      </c>
      <c r="H3801" t="str">
        <f>HYPERLINK("https://baanknet.com/view-property/226163/8BFC8B98210FBA99E063684631AA54BB921884687E299ED7AEE54C99AA3F372C", "https://baanknet.com/view-property/226163/8BFC8B98210FBA99E063684631AA54BB921884687E299ED7AEE54C99AA3F372C")</f>
        <v>https://baanknet.com/view-property/226163/8BFC8B98210FBA99E063684631AA54BB921884687E299ED7AEE54C99AA3F372C</v>
      </c>
      <c r="I3801" t="str">
        <f>HYPERLINK("https://baanknet.com/view-property/226163/8BFC8B98210FBA99E063684631AA54BB921884687E299ED7AEE54C99AA3F372C", "Open")</f>
        <v>Open</v>
      </c>
      <c r="J3801" t="s">
        <v>3803</v>
      </c>
      <c r="L3801">
        <v>1186000</v>
      </c>
      <c r="M3801">
        <v>118600</v>
      </c>
    </row>
    <row r="3802" spans="1:13" x14ac:dyDescent="0.25">
      <c r="A3802" t="s">
        <v>12729</v>
      </c>
      <c r="B3802" t="s">
        <v>12730</v>
      </c>
      <c r="C3802" t="s">
        <v>332</v>
      </c>
      <c r="D3802" t="s">
        <v>509</v>
      </c>
      <c r="E3802" t="s">
        <v>11024</v>
      </c>
      <c r="F3802" t="s">
        <v>11004</v>
      </c>
      <c r="G3802" t="s">
        <v>12731</v>
      </c>
      <c r="H3802" t="str">
        <f>HYPERLINK("https://baanknet.com/view-property/270667/BC35A9707BAE87B79A80B40950C67803D2D97820A7BDCC936AB1C2BDCE7A0846", "https://baanknet.com/view-property/270667/BC35A9707BAE87B79A80B40950C67803D2D97820A7BDCC936AB1C2BDCE7A0846")</f>
        <v>https://baanknet.com/view-property/270667/BC35A9707BAE87B79A80B40950C67803D2D97820A7BDCC936AB1C2BDCE7A0846</v>
      </c>
      <c r="I3802" t="str">
        <f>HYPERLINK("https://baanknet.com/view-property/270667/BC35A9707BAE87B79A80B40950C67803D2D97820A7BDCC936AB1C2BDCE7A0846", "Open")</f>
        <v>Open</v>
      </c>
      <c r="J3802" t="s">
        <v>3803</v>
      </c>
      <c r="L3802">
        <v>1631000</v>
      </c>
      <c r="M3802">
        <v>163100</v>
      </c>
    </row>
    <row r="3803" spans="1:13" x14ac:dyDescent="0.25">
      <c r="A3803" t="s">
        <v>12732</v>
      </c>
      <c r="B3803" t="s">
        <v>12733</v>
      </c>
      <c r="C3803" t="s">
        <v>332</v>
      </c>
      <c r="D3803" t="s">
        <v>509</v>
      </c>
      <c r="E3803" t="s">
        <v>11024</v>
      </c>
      <c r="F3803" t="s">
        <v>11004</v>
      </c>
      <c r="G3803" t="s">
        <v>12734</v>
      </c>
      <c r="H3803" t="str">
        <f>HYPERLINK("https://baanknet.com/view-property/226194/D10818B6B5B0FF34DACE849F0ACF4C406BBEDF3593014D9D4213AFC0DCE9AA22", "https://baanknet.com/view-property/226194/D10818B6B5B0FF34DACE849F0ACF4C406BBEDF3593014D9D4213AFC0DCE9AA22")</f>
        <v>https://baanknet.com/view-property/226194/D10818B6B5B0FF34DACE849F0ACF4C406BBEDF3593014D9D4213AFC0DCE9AA22</v>
      </c>
      <c r="I3803" t="str">
        <f>HYPERLINK("https://baanknet.com/view-property/226194/D10818B6B5B0FF34DACE849F0ACF4C406BBEDF3593014D9D4213AFC0DCE9AA22", "Open")</f>
        <v>Open</v>
      </c>
      <c r="J3803" t="s">
        <v>3803</v>
      </c>
      <c r="L3803">
        <v>1915000</v>
      </c>
      <c r="M3803">
        <v>191500</v>
      </c>
    </row>
    <row r="3804" spans="1:13" x14ac:dyDescent="0.25">
      <c r="A3804" t="s">
        <v>12735</v>
      </c>
      <c r="B3804" t="s">
        <v>12736</v>
      </c>
      <c r="C3804" t="s">
        <v>332</v>
      </c>
      <c r="D3804" t="s">
        <v>509</v>
      </c>
      <c r="E3804" t="s">
        <v>11024</v>
      </c>
      <c r="F3804" t="s">
        <v>11004</v>
      </c>
      <c r="G3804" t="s">
        <v>12737</v>
      </c>
      <c r="H3804" t="str">
        <f>HYPERLINK("https://baanknet.com/view-property/226072/3C8B1D9BFB2E46C4B1C5B5A0F3DEDA8ADD187F59B1DB2B4A5D26C2E6C21E46A2", "https://baanknet.com/view-property/226072/3C8B1D9BFB2E46C4B1C5B5A0F3DEDA8ADD187F59B1DB2B4A5D26C2E6C21E46A2")</f>
        <v>https://baanknet.com/view-property/226072/3C8B1D9BFB2E46C4B1C5B5A0F3DEDA8ADD187F59B1DB2B4A5D26C2E6C21E46A2</v>
      </c>
      <c r="I3804" t="str">
        <f>HYPERLINK("https://baanknet.com/view-property/226072/3C8B1D9BFB2E46C4B1C5B5A0F3DEDA8ADD187F59B1DB2B4A5D26C2E6C21E46A2", "Open")</f>
        <v>Open</v>
      </c>
      <c r="J3804" t="s">
        <v>3803</v>
      </c>
      <c r="L3804">
        <v>2628000</v>
      </c>
      <c r="M3804">
        <v>262800</v>
      </c>
    </row>
    <row r="3805" spans="1:13" x14ac:dyDescent="0.25">
      <c r="A3805" t="s">
        <v>12738</v>
      </c>
      <c r="B3805" t="s">
        <v>12739</v>
      </c>
      <c r="C3805" t="s">
        <v>332</v>
      </c>
      <c r="D3805" t="s">
        <v>509</v>
      </c>
      <c r="E3805" t="s">
        <v>11024</v>
      </c>
      <c r="F3805" t="s">
        <v>11004</v>
      </c>
      <c r="G3805" t="s">
        <v>12740</v>
      </c>
      <c r="H3805" t="str">
        <f>HYPERLINK("https://baanknet.com/view-property/225759/A28C617EF04949E41A7FD9F9BE689F8F1D8302B8F4A0B96B10A5B3592C3E96D4", "https://baanknet.com/view-property/225759/A28C617EF04949E41A7FD9F9BE689F8F1D8302B8F4A0B96B10A5B3592C3E96D4")</f>
        <v>https://baanknet.com/view-property/225759/A28C617EF04949E41A7FD9F9BE689F8F1D8302B8F4A0B96B10A5B3592C3E96D4</v>
      </c>
      <c r="I3805" t="str">
        <f>HYPERLINK("https://baanknet.com/view-property/225759/A28C617EF04949E41A7FD9F9BE689F8F1D8302B8F4A0B96B10A5B3592C3E96D4", "Open")</f>
        <v>Open</v>
      </c>
      <c r="J3805" t="s">
        <v>3803</v>
      </c>
      <c r="L3805">
        <v>2628000</v>
      </c>
      <c r="M3805">
        <v>262800</v>
      </c>
    </row>
    <row r="3806" spans="1:13" x14ac:dyDescent="0.25">
      <c r="A3806" t="s">
        <v>12741</v>
      </c>
      <c r="B3806" t="s">
        <v>12742</v>
      </c>
      <c r="C3806" t="s">
        <v>332</v>
      </c>
      <c r="D3806" t="s">
        <v>509</v>
      </c>
      <c r="E3806" t="s">
        <v>11024</v>
      </c>
      <c r="F3806" t="s">
        <v>11004</v>
      </c>
      <c r="G3806" t="s">
        <v>12743</v>
      </c>
      <c r="H3806" t="str">
        <f>HYPERLINK("https://baanknet.com/view-property/270880/CEE3817FDBAD9ADB3434305A32C5A3240C0A5C0FDD1851FEB30EA57FE22CB7A3", "https://baanknet.com/view-property/270880/CEE3817FDBAD9ADB3434305A32C5A3240C0A5C0FDD1851FEB30EA57FE22CB7A3")</f>
        <v>https://baanknet.com/view-property/270880/CEE3817FDBAD9ADB3434305A32C5A3240C0A5C0FDD1851FEB30EA57FE22CB7A3</v>
      </c>
      <c r="I3806" t="str">
        <f>HYPERLINK("https://baanknet.com/view-property/270880/CEE3817FDBAD9ADB3434305A32C5A3240C0A5C0FDD1851FEB30EA57FE22CB7A3", "Open")</f>
        <v>Open</v>
      </c>
      <c r="J3806" t="s">
        <v>3803</v>
      </c>
      <c r="L3806">
        <v>1326000</v>
      </c>
      <c r="M3806">
        <v>132600</v>
      </c>
    </row>
    <row r="3807" spans="1:13" x14ac:dyDescent="0.25">
      <c r="A3807" t="s">
        <v>12744</v>
      </c>
      <c r="B3807" t="s">
        <v>12745</v>
      </c>
      <c r="C3807" t="s">
        <v>332</v>
      </c>
      <c r="D3807" t="s">
        <v>8454</v>
      </c>
      <c r="E3807" t="s">
        <v>11024</v>
      </c>
      <c r="F3807" t="s">
        <v>11004</v>
      </c>
      <c r="G3807" t="s">
        <v>12746</v>
      </c>
      <c r="H3807" t="str">
        <f>HYPERLINK("https://baanknet.com/view-property/73039/2ED5B80565FAB86658CB434BEE26CF14BCA69CE213BB1AC5A7CADD192F496EB1", "https://baanknet.com/view-property/73039/2ED5B80565FAB86658CB434BEE26CF14BCA69CE213BB1AC5A7CADD192F496EB1")</f>
        <v>https://baanknet.com/view-property/73039/2ED5B80565FAB86658CB434BEE26CF14BCA69CE213BB1AC5A7CADD192F496EB1</v>
      </c>
      <c r="I3807" t="str">
        <f>HYPERLINK("https://baanknet.com/view-property/73039/2ED5B80565FAB86658CB434BEE26CF14BCA69CE213BB1AC5A7CADD192F496EB1", "Open")</f>
        <v>Open</v>
      </c>
      <c r="J3807" t="s">
        <v>3803</v>
      </c>
      <c r="L3807">
        <v>1400000</v>
      </c>
      <c r="M3807">
        <v>140000</v>
      </c>
    </row>
    <row r="3808" spans="1:13" x14ac:dyDescent="0.25">
      <c r="A3808" t="s">
        <v>12747</v>
      </c>
      <c r="B3808" t="s">
        <v>12748</v>
      </c>
      <c r="C3808" t="s">
        <v>332</v>
      </c>
      <c r="D3808" t="s">
        <v>653</v>
      </c>
      <c r="E3808" t="s">
        <v>11024</v>
      </c>
      <c r="F3808" t="s">
        <v>11004</v>
      </c>
      <c r="G3808" t="s">
        <v>12749</v>
      </c>
      <c r="H3808" t="str">
        <f>HYPERLINK("https://baanknet.com/view-property/253104/BD8076390BAE1C89EFBD0C4357A282AFA1EFFD216A2E435197FA08DD502238C4", "https://baanknet.com/view-property/253104/BD8076390BAE1C89EFBD0C4357A282AFA1EFFD216A2E435197FA08DD502238C4")</f>
        <v>https://baanknet.com/view-property/253104/BD8076390BAE1C89EFBD0C4357A282AFA1EFFD216A2E435197FA08DD502238C4</v>
      </c>
      <c r="I3808" t="str">
        <f>HYPERLINK("https://baanknet.com/view-property/253104/BD8076390BAE1C89EFBD0C4357A282AFA1EFFD216A2E435197FA08DD502238C4", "Open")</f>
        <v>Open</v>
      </c>
      <c r="J3808" t="s">
        <v>3803</v>
      </c>
      <c r="L3808">
        <v>7000000</v>
      </c>
      <c r="M3808">
        <v>700000</v>
      </c>
    </row>
    <row r="3809" spans="1:13" x14ac:dyDescent="0.25">
      <c r="A3809" t="s">
        <v>12750</v>
      </c>
      <c r="B3809" t="s">
        <v>12751</v>
      </c>
      <c r="C3809" t="s">
        <v>332</v>
      </c>
      <c r="D3809" t="s">
        <v>509</v>
      </c>
      <c r="E3809" t="s">
        <v>11024</v>
      </c>
      <c r="F3809" t="s">
        <v>11004</v>
      </c>
      <c r="G3809" t="s">
        <v>12752</v>
      </c>
      <c r="H3809" t="str">
        <f>HYPERLINK("https://baanknet.com/view-property/270449/FF9E28635B6F5212721C31FA472CC9F5D7894DDF2CBEDA7C2F2E2FCD1EE0DAF5", "https://baanknet.com/view-property/270449/FF9E28635B6F5212721C31FA472CC9F5D7894DDF2CBEDA7C2F2E2FCD1EE0DAF5")</f>
        <v>https://baanknet.com/view-property/270449/FF9E28635B6F5212721C31FA472CC9F5D7894DDF2CBEDA7C2F2E2FCD1EE0DAF5</v>
      </c>
      <c r="I3809" t="str">
        <f>HYPERLINK("https://baanknet.com/view-property/270449/FF9E28635B6F5212721C31FA472CC9F5D7894DDF2CBEDA7C2F2E2FCD1EE0DAF5", "Open")</f>
        <v>Open</v>
      </c>
      <c r="J3809" t="s">
        <v>3803</v>
      </c>
      <c r="L3809">
        <v>1527000</v>
      </c>
      <c r="M3809">
        <v>152700</v>
      </c>
    </row>
    <row r="3810" spans="1:13" x14ac:dyDescent="0.25">
      <c r="A3810" t="s">
        <v>12753</v>
      </c>
      <c r="B3810" t="s">
        <v>12754</v>
      </c>
      <c r="C3810" t="s">
        <v>332</v>
      </c>
      <c r="D3810" t="s">
        <v>509</v>
      </c>
      <c r="E3810" t="s">
        <v>11024</v>
      </c>
      <c r="F3810" t="s">
        <v>11004</v>
      </c>
      <c r="G3810" t="s">
        <v>12755</v>
      </c>
      <c r="H3810" t="str">
        <f>HYPERLINK("https://baanknet.com/view-property/270253/B80429E066F0396E1E075C3F6B260FDDEED2E92AD8071B72E74BA513363B07BB", "https://baanknet.com/view-property/270253/B80429E066F0396E1E075C3F6B260FDDEED2E92AD8071B72E74BA513363B07BB")</f>
        <v>https://baanknet.com/view-property/270253/B80429E066F0396E1E075C3F6B260FDDEED2E92AD8071B72E74BA513363B07BB</v>
      </c>
      <c r="I3810" t="str">
        <f>HYPERLINK("https://baanknet.com/view-property/270253/B80429E066F0396E1E075C3F6B260FDDEED2E92AD8071B72E74BA513363B07BB", "Open")</f>
        <v>Open</v>
      </c>
      <c r="J3810" t="s">
        <v>3803</v>
      </c>
      <c r="L3810">
        <v>1203000</v>
      </c>
      <c r="M3810">
        <v>120300</v>
      </c>
    </row>
    <row r="3811" spans="1:13" x14ac:dyDescent="0.25">
      <c r="A3811" t="s">
        <v>12756</v>
      </c>
      <c r="B3811" t="s">
        <v>12757</v>
      </c>
      <c r="C3811" t="s">
        <v>332</v>
      </c>
      <c r="D3811" t="s">
        <v>5556</v>
      </c>
      <c r="E3811" t="s">
        <v>11024</v>
      </c>
      <c r="F3811" t="s">
        <v>11004</v>
      </c>
      <c r="G3811" t="s">
        <v>12758</v>
      </c>
      <c r="H3811" t="str">
        <f>HYPERLINK("https://baanknet.com/view-property/270313/CBF827A7DA1960413660CAC10995FBE193C03F151640072E47E1E0768D194371", "https://baanknet.com/view-property/270313/CBF827A7DA1960413660CAC10995FBE193C03F151640072E47E1E0768D194371")</f>
        <v>https://baanknet.com/view-property/270313/CBF827A7DA1960413660CAC10995FBE193C03F151640072E47E1E0768D194371</v>
      </c>
      <c r="I3811" t="str">
        <f>HYPERLINK("https://baanknet.com/view-property/270313/CBF827A7DA1960413660CAC10995FBE193C03F151640072E47E1E0768D194371", "Open")</f>
        <v>Open</v>
      </c>
      <c r="J3811" t="s">
        <v>3803</v>
      </c>
      <c r="L3811">
        <v>1270000</v>
      </c>
      <c r="M3811">
        <v>127000</v>
      </c>
    </row>
    <row r="3812" spans="1:13" x14ac:dyDescent="0.25">
      <c r="A3812" t="s">
        <v>12759</v>
      </c>
      <c r="B3812" t="s">
        <v>12760</v>
      </c>
      <c r="C3812" t="s">
        <v>332</v>
      </c>
      <c r="D3812" t="s">
        <v>509</v>
      </c>
      <c r="E3812" t="s">
        <v>11024</v>
      </c>
      <c r="F3812" t="s">
        <v>11004</v>
      </c>
      <c r="G3812" t="s">
        <v>12761</v>
      </c>
      <c r="H3812" t="str">
        <f>HYPERLINK("https://baanknet.com/view-property/270329/5FAE503FCD55A1CD547A154A8068F2D4189C638C04C98548E3D50A8763AAB51F", "https://baanknet.com/view-property/270329/5FAE503FCD55A1CD547A154A8068F2D4189C638C04C98548E3D50A8763AAB51F")</f>
        <v>https://baanknet.com/view-property/270329/5FAE503FCD55A1CD547A154A8068F2D4189C638C04C98548E3D50A8763AAB51F</v>
      </c>
      <c r="I3812" t="str">
        <f>HYPERLINK("https://baanknet.com/view-property/270329/5FAE503FCD55A1CD547A154A8068F2D4189C638C04C98548E3D50A8763AAB51F", "Open")</f>
        <v>Open</v>
      </c>
      <c r="J3812" t="s">
        <v>3803</v>
      </c>
      <c r="L3812">
        <v>1502000</v>
      </c>
      <c r="M3812">
        <v>150200</v>
      </c>
    </row>
    <row r="3813" spans="1:13" x14ac:dyDescent="0.25">
      <c r="A3813" t="s">
        <v>12762</v>
      </c>
      <c r="B3813" t="s">
        <v>12763</v>
      </c>
      <c r="C3813" t="s">
        <v>332</v>
      </c>
      <c r="D3813" t="s">
        <v>5556</v>
      </c>
      <c r="E3813" t="s">
        <v>11024</v>
      </c>
      <c r="F3813" t="s">
        <v>11004</v>
      </c>
      <c r="G3813" t="s">
        <v>12764</v>
      </c>
      <c r="H3813" t="str">
        <f>HYPERLINK("https://baanknet.com/view-property/258421/ADFDC0E981E84CF335B01AF1C8C82231F4662838A5CD8098F0F4B56F121C3B97", "https://baanknet.com/view-property/258421/ADFDC0E981E84CF335B01AF1C8C82231F4662838A5CD8098F0F4B56F121C3B97")</f>
        <v>https://baanknet.com/view-property/258421/ADFDC0E981E84CF335B01AF1C8C82231F4662838A5CD8098F0F4B56F121C3B97</v>
      </c>
      <c r="I3813" t="str">
        <f>HYPERLINK("https://baanknet.com/view-property/258421/ADFDC0E981E84CF335B01AF1C8C82231F4662838A5CD8098F0F4B56F121C3B97", "Open")</f>
        <v>Open</v>
      </c>
      <c r="J3813" t="s">
        <v>3803</v>
      </c>
      <c r="L3813">
        <v>1340000</v>
      </c>
      <c r="M3813">
        <v>134000</v>
      </c>
    </row>
    <row r="3814" spans="1:13" x14ac:dyDescent="0.25">
      <c r="A3814" t="s">
        <v>12765</v>
      </c>
      <c r="B3814" t="s">
        <v>12766</v>
      </c>
      <c r="C3814" t="s">
        <v>332</v>
      </c>
      <c r="D3814" t="s">
        <v>733</v>
      </c>
      <c r="E3814" t="s">
        <v>11024</v>
      </c>
      <c r="F3814" t="s">
        <v>11004</v>
      </c>
      <c r="G3814" t="s">
        <v>12767</v>
      </c>
      <c r="H3814" t="str">
        <f>HYPERLINK("https://baanknet.com/view-property/258426/1632C4AD6C2A8D973361F5C8E48C7CC2204266A09D46DDDBA9A1FA704EB6BA2A", "https://baanknet.com/view-property/258426/1632C4AD6C2A8D973361F5C8E48C7CC2204266A09D46DDDBA9A1FA704EB6BA2A")</f>
        <v>https://baanknet.com/view-property/258426/1632C4AD6C2A8D973361F5C8E48C7CC2204266A09D46DDDBA9A1FA704EB6BA2A</v>
      </c>
      <c r="I3814" t="str">
        <f>HYPERLINK("https://baanknet.com/view-property/258426/1632C4AD6C2A8D973361F5C8E48C7CC2204266A09D46DDDBA9A1FA704EB6BA2A", "Open")</f>
        <v>Open</v>
      </c>
      <c r="J3814" t="s">
        <v>3803</v>
      </c>
      <c r="L3814">
        <v>810000</v>
      </c>
      <c r="M3814">
        <v>81000</v>
      </c>
    </row>
    <row r="3815" spans="1:13" x14ac:dyDescent="0.25">
      <c r="A3815" t="s">
        <v>12768</v>
      </c>
      <c r="B3815" t="s">
        <v>12769</v>
      </c>
      <c r="C3815" t="s">
        <v>332</v>
      </c>
      <c r="D3815" t="s">
        <v>12770</v>
      </c>
      <c r="E3815" t="s">
        <v>11024</v>
      </c>
      <c r="F3815" t="s">
        <v>11004</v>
      </c>
      <c r="G3815" t="s">
        <v>12771</v>
      </c>
      <c r="H3815" t="str">
        <f>HYPERLINK("https://baanknet.com/view-property/258940/0DBF18533E2F6C8AFD15BC4CB944F846076DF7AA7DFF8A6EF40B058E98B44EBB", "https://baanknet.com/view-property/258940/0DBF18533E2F6C8AFD15BC4CB944F846076DF7AA7DFF8A6EF40B058E98B44EBB")</f>
        <v>https://baanknet.com/view-property/258940/0DBF18533E2F6C8AFD15BC4CB944F846076DF7AA7DFF8A6EF40B058E98B44EBB</v>
      </c>
      <c r="I3815" t="str">
        <f>HYPERLINK("https://baanknet.com/view-property/258940/0DBF18533E2F6C8AFD15BC4CB944F846076DF7AA7DFF8A6EF40B058E98B44EBB", "Open")</f>
        <v>Open</v>
      </c>
      <c r="J3815" t="s">
        <v>3803</v>
      </c>
      <c r="L3815">
        <v>1547000</v>
      </c>
      <c r="M3815">
        <v>154700</v>
      </c>
    </row>
    <row r="3816" spans="1:13" x14ac:dyDescent="0.25">
      <c r="A3816" t="s">
        <v>12772</v>
      </c>
      <c r="B3816" t="s">
        <v>12773</v>
      </c>
      <c r="C3816" t="s">
        <v>332</v>
      </c>
      <c r="D3816" t="s">
        <v>509</v>
      </c>
      <c r="E3816" t="s">
        <v>11024</v>
      </c>
      <c r="F3816" t="s">
        <v>11004</v>
      </c>
      <c r="G3816" t="s">
        <v>12774</v>
      </c>
      <c r="H3816" t="str">
        <f>HYPERLINK("https://baanknet.com/view-property/258944/BDEF8FEB463AA4A0BFADA03464D40ABA1EB7596218E6DB1FB904D2128FF33E8A", "https://baanknet.com/view-property/258944/BDEF8FEB463AA4A0BFADA03464D40ABA1EB7596218E6DB1FB904D2128FF33E8A")</f>
        <v>https://baanknet.com/view-property/258944/BDEF8FEB463AA4A0BFADA03464D40ABA1EB7596218E6DB1FB904D2128FF33E8A</v>
      </c>
      <c r="I3816" t="str">
        <f>HYPERLINK("https://baanknet.com/view-property/258944/BDEF8FEB463AA4A0BFADA03464D40ABA1EB7596218E6DB1FB904D2128FF33E8A", "Open")</f>
        <v>Open</v>
      </c>
      <c r="J3816" t="s">
        <v>3803</v>
      </c>
      <c r="L3816">
        <v>1943000</v>
      </c>
      <c r="M3816">
        <v>194300</v>
      </c>
    </row>
    <row r="3817" spans="1:13" x14ac:dyDescent="0.25">
      <c r="A3817" t="s">
        <v>12775</v>
      </c>
      <c r="B3817" t="s">
        <v>12776</v>
      </c>
      <c r="C3817" t="s">
        <v>332</v>
      </c>
      <c r="D3817" t="s">
        <v>12777</v>
      </c>
      <c r="E3817" t="s">
        <v>11024</v>
      </c>
      <c r="F3817" t="s">
        <v>11004</v>
      </c>
      <c r="G3817" t="s">
        <v>12778</v>
      </c>
      <c r="H3817" t="str">
        <f>HYPERLINK("https://baanknet.com/view-property/286021/632B27F87B2BD4CD6AE94EB9FBA04A293860DD6FD439D881EEF216D4BF92AC9B", "https://baanknet.com/view-property/286021/632B27F87B2BD4CD6AE94EB9FBA04A293860DD6FD439D881EEF216D4BF92AC9B")</f>
        <v>https://baanknet.com/view-property/286021/632B27F87B2BD4CD6AE94EB9FBA04A293860DD6FD439D881EEF216D4BF92AC9B</v>
      </c>
      <c r="I3817" t="str">
        <f>HYPERLINK("https://baanknet.com/view-property/286021/632B27F87B2BD4CD6AE94EB9FBA04A293860DD6FD439D881EEF216D4BF92AC9B", "Open")</f>
        <v>Open</v>
      </c>
      <c r="J3817" t="s">
        <v>3803</v>
      </c>
      <c r="L3817">
        <v>5880000</v>
      </c>
      <c r="M3817">
        <v>588000</v>
      </c>
    </row>
    <row r="3818" spans="1:13" x14ac:dyDescent="0.25">
      <c r="A3818" t="s">
        <v>12779</v>
      </c>
      <c r="B3818" t="s">
        <v>12780</v>
      </c>
      <c r="C3818" t="s">
        <v>332</v>
      </c>
      <c r="D3818" t="s">
        <v>282</v>
      </c>
      <c r="E3818" t="s">
        <v>11024</v>
      </c>
      <c r="F3818" t="s">
        <v>11004</v>
      </c>
      <c r="G3818" t="s">
        <v>12781</v>
      </c>
      <c r="H3818" t="str">
        <f>HYPERLINK("https://baanknet.com/view-property/259776/3AC9B7D69F655C30F39A72AB3A3AD9E7DBB44BFDE0DCA9DA303E889D9A1506B1", "https://baanknet.com/view-property/259776/3AC9B7D69F655C30F39A72AB3A3AD9E7DBB44BFDE0DCA9DA303E889D9A1506B1")</f>
        <v>https://baanknet.com/view-property/259776/3AC9B7D69F655C30F39A72AB3A3AD9E7DBB44BFDE0DCA9DA303E889D9A1506B1</v>
      </c>
      <c r="I3818" t="str">
        <f>HYPERLINK("https://baanknet.com/view-property/259776/3AC9B7D69F655C30F39A72AB3A3AD9E7DBB44BFDE0DCA9DA303E889D9A1506B1", "Open")</f>
        <v>Open</v>
      </c>
      <c r="J3818" t="s">
        <v>3803</v>
      </c>
      <c r="L3818">
        <v>4300000</v>
      </c>
      <c r="M3818">
        <v>430000</v>
      </c>
    </row>
    <row r="3819" spans="1:13" x14ac:dyDescent="0.25">
      <c r="A3819" t="s">
        <v>12782</v>
      </c>
      <c r="B3819" t="s">
        <v>12783</v>
      </c>
      <c r="C3819" t="s">
        <v>387</v>
      </c>
      <c r="D3819" t="s">
        <v>1629</v>
      </c>
      <c r="E3819" t="s">
        <v>11024</v>
      </c>
      <c r="F3819" t="s">
        <v>11004</v>
      </c>
      <c r="G3819" t="s">
        <v>12784</v>
      </c>
      <c r="H3819" t="str">
        <f>HYPERLINK("https://baanknet.com/view-property/57019/FE1C1A4CB2689CA1936FA93334C7317E86BECFBE2108D750F287CB43175601DC", "https://baanknet.com/view-property/57019/FE1C1A4CB2689CA1936FA93334C7317E86BECFBE2108D750F287CB43175601DC")</f>
        <v>https://baanknet.com/view-property/57019/FE1C1A4CB2689CA1936FA93334C7317E86BECFBE2108D750F287CB43175601DC</v>
      </c>
      <c r="I3819" t="str">
        <f>HYPERLINK("https://baanknet.com/view-property/57019/FE1C1A4CB2689CA1936FA93334C7317E86BECFBE2108D750F287CB43175601DC", "Open")</f>
        <v>Open</v>
      </c>
      <c r="J3819" t="s">
        <v>3803</v>
      </c>
      <c r="L3819">
        <v>1237000</v>
      </c>
      <c r="M3819">
        <v>123700</v>
      </c>
    </row>
    <row r="3820" spans="1:13" x14ac:dyDescent="0.25">
      <c r="A3820" t="s">
        <v>12785</v>
      </c>
      <c r="B3820" t="s">
        <v>12786</v>
      </c>
      <c r="C3820" t="s">
        <v>121</v>
      </c>
      <c r="D3820" t="s">
        <v>8965</v>
      </c>
      <c r="E3820" t="s">
        <v>11024</v>
      </c>
      <c r="F3820" t="s">
        <v>11004</v>
      </c>
      <c r="G3820" t="s">
        <v>12787</v>
      </c>
      <c r="H3820" t="str">
        <f>HYPERLINK("https://baanknet.com/view-property/284722/7C4433C11B3BB942742539FEA85D7BE1FF1D2EDBB5780CA78480562C92CA7EEF", "https://baanknet.com/view-property/284722/7C4433C11B3BB942742539FEA85D7BE1FF1D2EDBB5780CA78480562C92CA7EEF")</f>
        <v>https://baanknet.com/view-property/284722/7C4433C11B3BB942742539FEA85D7BE1FF1D2EDBB5780CA78480562C92CA7EEF</v>
      </c>
      <c r="I3820" t="str">
        <f>HYPERLINK("https://baanknet.com/view-property/284722/7C4433C11B3BB942742539FEA85D7BE1FF1D2EDBB5780CA78480562C92CA7EEF", "Open")</f>
        <v>Open</v>
      </c>
      <c r="J3820" t="s">
        <v>3803</v>
      </c>
      <c r="L3820">
        <v>4200000</v>
      </c>
      <c r="M3820">
        <v>420000</v>
      </c>
    </row>
    <row r="3821" spans="1:13" x14ac:dyDescent="0.25">
      <c r="A3821" t="s">
        <v>12788</v>
      </c>
      <c r="B3821" t="s">
        <v>12789</v>
      </c>
      <c r="C3821" t="s">
        <v>121</v>
      </c>
      <c r="D3821" t="s">
        <v>12790</v>
      </c>
      <c r="E3821" t="s">
        <v>11024</v>
      </c>
      <c r="F3821" t="s">
        <v>11004</v>
      </c>
      <c r="G3821" t="s">
        <v>12791</v>
      </c>
      <c r="H3821" t="str">
        <f>HYPERLINK("https://baanknet.com/view-property/284721/E716583908E1A10859592EC03153C77BFD6BAD4807ACC4094CF24E9ED0BB8C09", "https://baanknet.com/view-property/284721/E716583908E1A10859592EC03153C77BFD6BAD4807ACC4094CF24E9ED0BB8C09")</f>
        <v>https://baanknet.com/view-property/284721/E716583908E1A10859592EC03153C77BFD6BAD4807ACC4094CF24E9ED0BB8C09</v>
      </c>
      <c r="I3821" t="str">
        <f>HYPERLINK("https://baanknet.com/view-property/284721/E716583908E1A10859592EC03153C77BFD6BAD4807ACC4094CF24E9ED0BB8C09", "Open")</f>
        <v>Open</v>
      </c>
      <c r="J3821" t="s">
        <v>3803</v>
      </c>
      <c r="L3821">
        <v>2100000</v>
      </c>
      <c r="M3821">
        <v>210000</v>
      </c>
    </row>
    <row r="3822" spans="1:13" x14ac:dyDescent="0.25">
      <c r="A3822" t="s">
        <v>12792</v>
      </c>
      <c r="B3822" t="s">
        <v>12793</v>
      </c>
      <c r="C3822" t="s">
        <v>121</v>
      </c>
      <c r="D3822" t="s">
        <v>1892</v>
      </c>
      <c r="E3822" t="s">
        <v>11024</v>
      </c>
      <c r="F3822" t="s">
        <v>11004</v>
      </c>
      <c r="G3822" t="s">
        <v>12794</v>
      </c>
      <c r="H3822" t="str">
        <f>HYPERLINK("https://baanknet.com/view-property/227372/3F6E0E0A37A741ECBB73227CF7736FD572FB8381C8D9A7C2C80EBC4CB8500517", "https://baanknet.com/view-property/227372/3F6E0E0A37A741ECBB73227CF7736FD572FB8381C8D9A7C2C80EBC4CB8500517")</f>
        <v>https://baanknet.com/view-property/227372/3F6E0E0A37A741ECBB73227CF7736FD572FB8381C8D9A7C2C80EBC4CB8500517</v>
      </c>
      <c r="I3822" t="str">
        <f>HYPERLINK("https://baanknet.com/view-property/227372/3F6E0E0A37A741ECBB73227CF7736FD572FB8381C8D9A7C2C80EBC4CB8500517", "Open")</f>
        <v>Open</v>
      </c>
      <c r="J3822" t="s">
        <v>3803</v>
      </c>
      <c r="L3822">
        <v>9300000</v>
      </c>
      <c r="M3822">
        <v>930000</v>
      </c>
    </row>
    <row r="3823" spans="1:13" x14ac:dyDescent="0.25">
      <c r="A3823" t="s">
        <v>12795</v>
      </c>
      <c r="B3823" t="s">
        <v>12796</v>
      </c>
      <c r="C3823" t="s">
        <v>121</v>
      </c>
      <c r="D3823" t="s">
        <v>12797</v>
      </c>
      <c r="E3823" t="s">
        <v>11024</v>
      </c>
      <c r="F3823" t="s">
        <v>11004</v>
      </c>
      <c r="G3823" t="s">
        <v>12798</v>
      </c>
      <c r="H3823" t="str">
        <f>HYPERLINK("https://baanknet.com/view-property/227398/D051B042E3910CFCD8631B3B1CE10D590ADA85EFB83D2913D2D8B821C30D372F", "https://baanknet.com/view-property/227398/D051B042E3910CFCD8631B3B1CE10D590ADA85EFB83D2913D2D8B821C30D372F")</f>
        <v>https://baanknet.com/view-property/227398/D051B042E3910CFCD8631B3B1CE10D590ADA85EFB83D2913D2D8B821C30D372F</v>
      </c>
      <c r="I3823" t="str">
        <f>HYPERLINK("https://baanknet.com/view-property/227398/D051B042E3910CFCD8631B3B1CE10D590ADA85EFB83D2913D2D8B821C30D372F", "Open")</f>
        <v>Open</v>
      </c>
      <c r="J3823" t="s">
        <v>3803</v>
      </c>
      <c r="L3823">
        <v>16132000</v>
      </c>
      <c r="M3823">
        <v>1613200</v>
      </c>
    </row>
    <row r="3824" spans="1:13" x14ac:dyDescent="0.25">
      <c r="A3824" t="s">
        <v>12799</v>
      </c>
      <c r="B3824" t="s">
        <v>12800</v>
      </c>
      <c r="C3824" t="s">
        <v>332</v>
      </c>
      <c r="D3824" t="s">
        <v>3879</v>
      </c>
      <c r="E3824" t="s">
        <v>11024</v>
      </c>
      <c r="F3824" t="s">
        <v>11004</v>
      </c>
      <c r="G3824" t="s">
        <v>12801</v>
      </c>
      <c r="H3824" t="str">
        <f>HYPERLINK("https://baanknet.com/view-property/276263/5533EB4122A77CEBAC894A1C97B45C67822E8027FAA221C542467390C5187237", "https://baanknet.com/view-property/276263/5533EB4122A77CEBAC894A1C97B45C67822E8027FAA221C542467390C5187237")</f>
        <v>https://baanknet.com/view-property/276263/5533EB4122A77CEBAC894A1C97B45C67822E8027FAA221C542467390C5187237</v>
      </c>
      <c r="I3824" t="str">
        <f>HYPERLINK("https://baanknet.com/view-property/276263/5533EB4122A77CEBAC894A1C97B45C67822E8027FAA221C542467390C5187237", "Open")</f>
        <v>Open</v>
      </c>
      <c r="J3824" t="s">
        <v>3803</v>
      </c>
      <c r="L3824">
        <v>46800000</v>
      </c>
      <c r="M3824">
        <v>4680000</v>
      </c>
    </row>
    <row r="3825" spans="1:13" x14ac:dyDescent="0.25">
      <c r="A3825" t="s">
        <v>12802</v>
      </c>
      <c r="B3825" t="s">
        <v>12803</v>
      </c>
      <c r="C3825" t="s">
        <v>332</v>
      </c>
      <c r="D3825" t="s">
        <v>12804</v>
      </c>
      <c r="E3825" t="s">
        <v>11024</v>
      </c>
      <c r="F3825" t="s">
        <v>11004</v>
      </c>
      <c r="G3825" t="s">
        <v>12805</v>
      </c>
      <c r="H3825" t="str">
        <f>HYPERLINK("https://baanknet.com/view-property/281050/4D2FA9AA298239678778D0C3D99D60DC734723B755D50422CA8B2D0D6D4AD355", "https://baanknet.com/view-property/281050/4D2FA9AA298239678778D0C3D99D60DC734723B755D50422CA8B2D0D6D4AD355")</f>
        <v>https://baanknet.com/view-property/281050/4D2FA9AA298239678778D0C3D99D60DC734723B755D50422CA8B2D0D6D4AD355</v>
      </c>
      <c r="I3825" t="str">
        <f>HYPERLINK("https://baanknet.com/view-property/281050/4D2FA9AA298239678778D0C3D99D60DC734723B755D50422CA8B2D0D6D4AD355", "Open")</f>
        <v>Open</v>
      </c>
      <c r="J3825" t="s">
        <v>3803</v>
      </c>
      <c r="L3825">
        <v>7300000</v>
      </c>
      <c r="M3825">
        <v>730000</v>
      </c>
    </row>
    <row r="3826" spans="1:13" x14ac:dyDescent="0.25">
      <c r="A3826" t="s">
        <v>12806</v>
      </c>
      <c r="B3826" t="s">
        <v>12807</v>
      </c>
      <c r="C3826" t="s">
        <v>332</v>
      </c>
      <c r="D3826" t="s">
        <v>12804</v>
      </c>
      <c r="E3826" t="s">
        <v>11024</v>
      </c>
      <c r="F3826" t="s">
        <v>11004</v>
      </c>
      <c r="G3826" t="s">
        <v>12808</v>
      </c>
      <c r="H3826" t="str">
        <f>HYPERLINK("https://baanknet.com/view-property/281069/8F311C1650A2A4D76500B6E55493195E6CACEB0FD2D5F68E2396967D318AF0B1", "https://baanknet.com/view-property/281069/8F311C1650A2A4D76500B6E55493195E6CACEB0FD2D5F68E2396967D318AF0B1")</f>
        <v>https://baanknet.com/view-property/281069/8F311C1650A2A4D76500B6E55493195E6CACEB0FD2D5F68E2396967D318AF0B1</v>
      </c>
      <c r="I3826" t="str">
        <f>HYPERLINK("https://baanknet.com/view-property/281069/8F311C1650A2A4D76500B6E55493195E6CACEB0FD2D5F68E2396967D318AF0B1", "Open")</f>
        <v>Open</v>
      </c>
      <c r="J3826" t="s">
        <v>3803</v>
      </c>
      <c r="L3826">
        <v>7300000</v>
      </c>
      <c r="M3826">
        <v>730000</v>
      </c>
    </row>
    <row r="3827" spans="1:13" x14ac:dyDescent="0.25">
      <c r="A3827" t="s">
        <v>12809</v>
      </c>
      <c r="B3827" t="s">
        <v>12810</v>
      </c>
      <c r="C3827" t="s">
        <v>332</v>
      </c>
      <c r="D3827" t="s">
        <v>12804</v>
      </c>
      <c r="E3827" t="s">
        <v>11024</v>
      </c>
      <c r="F3827" t="s">
        <v>11004</v>
      </c>
      <c r="G3827" t="s">
        <v>12811</v>
      </c>
      <c r="H3827" t="str">
        <f>HYPERLINK("https://baanknet.com/view-property/281076/26F3313EF7E259551E7CCDBD843C45A5601A1B20E1C1D2BBFFD7DECEF35E26CB", "https://baanknet.com/view-property/281076/26F3313EF7E259551E7CCDBD843C45A5601A1B20E1C1D2BBFFD7DECEF35E26CB")</f>
        <v>https://baanknet.com/view-property/281076/26F3313EF7E259551E7CCDBD843C45A5601A1B20E1C1D2BBFFD7DECEF35E26CB</v>
      </c>
      <c r="I3827" t="str">
        <f>HYPERLINK("https://baanknet.com/view-property/281076/26F3313EF7E259551E7CCDBD843C45A5601A1B20E1C1D2BBFFD7DECEF35E26CB", "Open")</f>
        <v>Open</v>
      </c>
      <c r="J3827" t="s">
        <v>3803</v>
      </c>
      <c r="L3827">
        <v>7500000</v>
      </c>
      <c r="M3827">
        <v>750000</v>
      </c>
    </row>
    <row r="3828" spans="1:13" x14ac:dyDescent="0.25">
      <c r="A3828" t="s">
        <v>12812</v>
      </c>
      <c r="B3828" t="s">
        <v>12813</v>
      </c>
      <c r="C3828" t="s">
        <v>332</v>
      </c>
      <c r="D3828" t="s">
        <v>12804</v>
      </c>
      <c r="E3828" t="s">
        <v>11024</v>
      </c>
      <c r="F3828" t="s">
        <v>11004</v>
      </c>
      <c r="G3828" t="s">
        <v>12814</v>
      </c>
      <c r="H3828" t="str">
        <f>HYPERLINK("https://baanknet.com/view-property/281261/32980958167983839B8FB403EA2DD6B2EC12B6B931FD8CEE94AB2424BA5143BF", "https://baanknet.com/view-property/281261/32980958167983839B8FB403EA2DD6B2EC12B6B931FD8CEE94AB2424BA5143BF")</f>
        <v>https://baanknet.com/view-property/281261/32980958167983839B8FB403EA2DD6B2EC12B6B931FD8CEE94AB2424BA5143BF</v>
      </c>
      <c r="I3828" t="str">
        <f>HYPERLINK("https://baanknet.com/view-property/281261/32980958167983839B8FB403EA2DD6B2EC12B6B931FD8CEE94AB2424BA5143BF", "Open")</f>
        <v>Open</v>
      </c>
      <c r="J3828" t="s">
        <v>3803</v>
      </c>
      <c r="L3828">
        <v>7400000</v>
      </c>
      <c r="M3828">
        <v>740000</v>
      </c>
    </row>
    <row r="3829" spans="1:13" x14ac:dyDescent="0.25">
      <c r="A3829" t="s">
        <v>12815</v>
      </c>
      <c r="B3829" t="s">
        <v>12816</v>
      </c>
      <c r="C3829" t="s">
        <v>332</v>
      </c>
      <c r="D3829" t="s">
        <v>12804</v>
      </c>
      <c r="E3829" t="s">
        <v>11024</v>
      </c>
      <c r="F3829" t="s">
        <v>11004</v>
      </c>
      <c r="G3829" t="s">
        <v>12817</v>
      </c>
      <c r="H3829" t="str">
        <f>HYPERLINK("https://baanknet.com/view-property/281266/6CA7CFC13964F2DA0E88107E24B10E8BE3241DDDDF7D4575ADC08FAD7127C274", "https://baanknet.com/view-property/281266/6CA7CFC13964F2DA0E88107E24B10E8BE3241DDDDF7D4575ADC08FAD7127C274")</f>
        <v>https://baanknet.com/view-property/281266/6CA7CFC13964F2DA0E88107E24B10E8BE3241DDDDF7D4575ADC08FAD7127C274</v>
      </c>
      <c r="I3829" t="str">
        <f>HYPERLINK("https://baanknet.com/view-property/281266/6CA7CFC13964F2DA0E88107E24B10E8BE3241DDDDF7D4575ADC08FAD7127C274", "Open")</f>
        <v>Open</v>
      </c>
      <c r="J3829" t="s">
        <v>3803</v>
      </c>
      <c r="L3829">
        <v>7850000</v>
      </c>
      <c r="M3829">
        <v>785000</v>
      </c>
    </row>
    <row r="3830" spans="1:13" x14ac:dyDescent="0.25">
      <c r="A3830" t="s">
        <v>12818</v>
      </c>
      <c r="B3830" t="s">
        <v>12819</v>
      </c>
      <c r="C3830" t="s">
        <v>332</v>
      </c>
      <c r="D3830" t="s">
        <v>12804</v>
      </c>
      <c r="E3830" t="s">
        <v>11024</v>
      </c>
      <c r="F3830" t="s">
        <v>11004</v>
      </c>
      <c r="G3830" t="s">
        <v>12820</v>
      </c>
      <c r="H3830" t="str">
        <f>HYPERLINK("https://baanknet.com/view-property/281279/298DB310616BD6B47B1B867A0A966F6F29725EED8910A63888BE10E67A232ECA", "https://baanknet.com/view-property/281279/298DB310616BD6B47B1B867A0A966F6F29725EED8910A63888BE10E67A232ECA")</f>
        <v>https://baanknet.com/view-property/281279/298DB310616BD6B47B1B867A0A966F6F29725EED8910A63888BE10E67A232ECA</v>
      </c>
      <c r="I3830" t="str">
        <f>HYPERLINK("https://baanknet.com/view-property/281279/298DB310616BD6B47B1B867A0A966F6F29725EED8910A63888BE10E67A232ECA", "Open")</f>
        <v>Open</v>
      </c>
      <c r="J3830" t="s">
        <v>3803</v>
      </c>
      <c r="L3830">
        <v>9400000</v>
      </c>
      <c r="M3830">
        <v>940000</v>
      </c>
    </row>
    <row r="3831" spans="1:13" x14ac:dyDescent="0.25">
      <c r="A3831" t="s">
        <v>12821</v>
      </c>
      <c r="B3831" t="s">
        <v>12822</v>
      </c>
      <c r="C3831" t="s">
        <v>332</v>
      </c>
      <c r="D3831" t="s">
        <v>12804</v>
      </c>
      <c r="E3831" t="s">
        <v>11024</v>
      </c>
      <c r="F3831" t="s">
        <v>11004</v>
      </c>
      <c r="G3831" t="s">
        <v>12823</v>
      </c>
      <c r="H3831" t="str">
        <f>HYPERLINK("https://baanknet.com/view-property/281455/AF2A23D314EBE98C3940A26A91360C24E495B505EF93112AAA424E00A52DDE18", "https://baanknet.com/view-property/281455/AF2A23D314EBE98C3940A26A91360C24E495B505EF93112AAA424E00A52DDE18")</f>
        <v>https://baanknet.com/view-property/281455/AF2A23D314EBE98C3940A26A91360C24E495B505EF93112AAA424E00A52DDE18</v>
      </c>
      <c r="I3831" t="str">
        <f>HYPERLINK("https://baanknet.com/view-property/281455/AF2A23D314EBE98C3940A26A91360C24E495B505EF93112AAA424E00A52DDE18", "Open")</f>
        <v>Open</v>
      </c>
      <c r="J3831" t="s">
        <v>3803</v>
      </c>
      <c r="L3831">
        <v>7600000</v>
      </c>
      <c r="M3831">
        <v>760000</v>
      </c>
    </row>
    <row r="3832" spans="1:13" x14ac:dyDescent="0.25">
      <c r="A3832" t="s">
        <v>12824</v>
      </c>
      <c r="B3832" t="s">
        <v>12825</v>
      </c>
      <c r="C3832" t="s">
        <v>332</v>
      </c>
      <c r="D3832" t="s">
        <v>12804</v>
      </c>
      <c r="E3832" t="s">
        <v>11024</v>
      </c>
      <c r="F3832" t="s">
        <v>11004</v>
      </c>
      <c r="G3832" t="s">
        <v>12826</v>
      </c>
      <c r="H3832" t="str">
        <f>HYPERLINK("https://baanknet.com/view-property/281178/3278B6C824A884C345BE627ED302288C92770BD9B0E2A9AF60F33CD1BDCB1BB2", "https://baanknet.com/view-property/281178/3278B6C824A884C345BE627ED302288C92770BD9B0E2A9AF60F33CD1BDCB1BB2")</f>
        <v>https://baanknet.com/view-property/281178/3278B6C824A884C345BE627ED302288C92770BD9B0E2A9AF60F33CD1BDCB1BB2</v>
      </c>
      <c r="I3832" t="str">
        <f>HYPERLINK("https://baanknet.com/view-property/281178/3278B6C824A884C345BE627ED302288C92770BD9B0E2A9AF60F33CD1BDCB1BB2", "Open")</f>
        <v>Open</v>
      </c>
      <c r="J3832" t="s">
        <v>3803</v>
      </c>
      <c r="L3832">
        <v>5000000</v>
      </c>
      <c r="M3832">
        <v>500000</v>
      </c>
    </row>
    <row r="3833" spans="1:13" x14ac:dyDescent="0.25">
      <c r="A3833" t="s">
        <v>12827</v>
      </c>
      <c r="B3833" t="s">
        <v>12828</v>
      </c>
      <c r="C3833" t="s">
        <v>332</v>
      </c>
      <c r="D3833" t="s">
        <v>12829</v>
      </c>
      <c r="E3833" t="s">
        <v>11024</v>
      </c>
      <c r="F3833" t="s">
        <v>11004</v>
      </c>
      <c r="G3833" t="s">
        <v>12830</v>
      </c>
      <c r="H3833" t="str">
        <f>HYPERLINK("https://baanknet.com/view-property/261636/7F38A4A4063736E992EE39581C3D1AE47B7F1B1428E61B10195A5235472FB60C", "https://baanknet.com/view-property/261636/7F38A4A4063736E992EE39581C3D1AE47B7F1B1428E61B10195A5235472FB60C")</f>
        <v>https://baanknet.com/view-property/261636/7F38A4A4063736E992EE39581C3D1AE47B7F1B1428E61B10195A5235472FB60C</v>
      </c>
      <c r="I3833" t="str">
        <f>HYPERLINK("https://baanknet.com/view-property/261636/7F38A4A4063736E992EE39581C3D1AE47B7F1B1428E61B10195A5235472FB60C", "Open")</f>
        <v>Open</v>
      </c>
      <c r="J3833" t="s">
        <v>3803</v>
      </c>
      <c r="L3833">
        <v>7700000</v>
      </c>
      <c r="M3833">
        <v>770000</v>
      </c>
    </row>
    <row r="3834" spans="1:13" x14ac:dyDescent="0.25">
      <c r="A3834" t="s">
        <v>12831</v>
      </c>
      <c r="B3834" t="s">
        <v>12832</v>
      </c>
      <c r="C3834" t="s">
        <v>332</v>
      </c>
      <c r="D3834" t="s">
        <v>12833</v>
      </c>
      <c r="E3834" t="s">
        <v>11024</v>
      </c>
      <c r="F3834" t="s">
        <v>11004</v>
      </c>
      <c r="G3834" t="s">
        <v>12834</v>
      </c>
      <c r="H3834" t="str">
        <f>HYPERLINK("https://baanknet.com/view-property/283043/1C9B5FC03590A94EFA54912700591AEEE592CD8D65F88092EAB31B62C67801BC", "https://baanknet.com/view-property/283043/1C9B5FC03590A94EFA54912700591AEEE592CD8D65F88092EAB31B62C67801BC")</f>
        <v>https://baanknet.com/view-property/283043/1C9B5FC03590A94EFA54912700591AEEE592CD8D65F88092EAB31B62C67801BC</v>
      </c>
      <c r="I3834" t="str">
        <f>HYPERLINK("https://baanknet.com/view-property/283043/1C9B5FC03590A94EFA54912700591AEEE592CD8D65F88092EAB31B62C67801BC", "Open")</f>
        <v>Open</v>
      </c>
      <c r="J3834" t="s">
        <v>3803</v>
      </c>
      <c r="L3834">
        <v>3800000</v>
      </c>
      <c r="M3834">
        <v>380000</v>
      </c>
    </row>
    <row r="3835" spans="1:13" x14ac:dyDescent="0.25">
      <c r="A3835" t="s">
        <v>12835</v>
      </c>
      <c r="B3835" t="s">
        <v>12836</v>
      </c>
      <c r="C3835" t="s">
        <v>332</v>
      </c>
      <c r="D3835" t="s">
        <v>12837</v>
      </c>
      <c r="E3835" t="s">
        <v>11024</v>
      </c>
      <c r="F3835" t="s">
        <v>11004</v>
      </c>
      <c r="G3835" t="s">
        <v>12838</v>
      </c>
      <c r="H3835" t="str">
        <f>HYPERLINK("https://baanknet.com/view-property/85158/849F0F44A0F7F46F7FE2843E70A0D69011D7096BA52BDF551F6D629778A37EC5", "https://baanknet.com/view-property/85158/849F0F44A0F7F46F7FE2843E70A0D69011D7096BA52BDF551F6D629778A37EC5")</f>
        <v>https://baanknet.com/view-property/85158/849F0F44A0F7F46F7FE2843E70A0D69011D7096BA52BDF551F6D629778A37EC5</v>
      </c>
      <c r="I3835" t="str">
        <f>HYPERLINK("https://baanknet.com/view-property/85158/849F0F44A0F7F46F7FE2843E70A0D69011D7096BA52BDF551F6D629778A37EC5", "Open")</f>
        <v>Open</v>
      </c>
      <c r="J3835" t="s">
        <v>3803</v>
      </c>
      <c r="L3835">
        <v>2500000</v>
      </c>
      <c r="M3835">
        <v>250000</v>
      </c>
    </row>
    <row r="3836" spans="1:13" x14ac:dyDescent="0.25">
      <c r="A3836" t="s">
        <v>12839</v>
      </c>
      <c r="B3836" t="s">
        <v>12840</v>
      </c>
      <c r="C3836" t="s">
        <v>332</v>
      </c>
      <c r="D3836" t="s">
        <v>4542</v>
      </c>
      <c r="E3836" t="s">
        <v>11024</v>
      </c>
      <c r="F3836" t="s">
        <v>11004</v>
      </c>
      <c r="G3836" t="s">
        <v>12841</v>
      </c>
      <c r="H3836" t="str">
        <f>HYPERLINK("https://baanknet.com/view-property/271320/1031044A3B21C5274AA5BA8663F4B1F903DD6E99564E55E515248340D962CD04", "https://baanknet.com/view-property/271320/1031044A3B21C5274AA5BA8663F4B1F903DD6E99564E55E515248340D962CD04")</f>
        <v>https://baanknet.com/view-property/271320/1031044A3B21C5274AA5BA8663F4B1F903DD6E99564E55E515248340D962CD04</v>
      </c>
      <c r="I3836" t="str">
        <f>HYPERLINK("https://baanknet.com/view-property/271320/1031044A3B21C5274AA5BA8663F4B1F903DD6E99564E55E515248340D962CD04", "Open")</f>
        <v>Open</v>
      </c>
      <c r="J3836" t="s">
        <v>3803</v>
      </c>
      <c r="L3836">
        <v>1950000</v>
      </c>
      <c r="M3836">
        <v>195000</v>
      </c>
    </row>
    <row r="3837" spans="1:13" x14ac:dyDescent="0.25">
      <c r="A3837" t="s">
        <v>12842</v>
      </c>
      <c r="B3837" t="s">
        <v>12843</v>
      </c>
      <c r="C3837" t="s">
        <v>332</v>
      </c>
      <c r="D3837" t="s">
        <v>4542</v>
      </c>
      <c r="E3837" t="s">
        <v>11024</v>
      </c>
      <c r="F3837" t="s">
        <v>11004</v>
      </c>
      <c r="G3837" t="s">
        <v>12844</v>
      </c>
      <c r="H3837" t="str">
        <f>HYPERLINK("https://baanknet.com/view-property/264504/A14AD0A93AB06E7E74BE693D5FDDAEB876692B0F280F010566F4E5B647CAC2C5", "https://baanknet.com/view-property/264504/A14AD0A93AB06E7E74BE693D5FDDAEB876692B0F280F010566F4E5B647CAC2C5")</f>
        <v>https://baanknet.com/view-property/264504/A14AD0A93AB06E7E74BE693D5FDDAEB876692B0F280F010566F4E5B647CAC2C5</v>
      </c>
      <c r="I3837" t="str">
        <f>HYPERLINK("https://baanknet.com/view-property/264504/A14AD0A93AB06E7E74BE693D5FDDAEB876692B0F280F010566F4E5B647CAC2C5", "Open")</f>
        <v>Open</v>
      </c>
      <c r="J3837" t="s">
        <v>3803</v>
      </c>
      <c r="L3837">
        <v>2160000</v>
      </c>
      <c r="M3837">
        <v>216000</v>
      </c>
    </row>
    <row r="3838" spans="1:13" x14ac:dyDescent="0.25">
      <c r="A3838" t="s">
        <v>12845</v>
      </c>
      <c r="B3838" t="s">
        <v>12846</v>
      </c>
      <c r="C3838" t="s">
        <v>332</v>
      </c>
      <c r="D3838" t="s">
        <v>8454</v>
      </c>
      <c r="E3838" t="s">
        <v>11024</v>
      </c>
      <c r="F3838" t="s">
        <v>11004</v>
      </c>
      <c r="G3838" t="s">
        <v>12847</v>
      </c>
      <c r="H3838" t="str">
        <f>HYPERLINK("https://baanknet.com/view-property/261653/4329E97F4227A07F01691B22A82AF3703E6FCDA21CF1CF94BF5467012196BD60", "https://baanknet.com/view-property/261653/4329E97F4227A07F01691B22A82AF3703E6FCDA21CF1CF94BF5467012196BD60")</f>
        <v>https://baanknet.com/view-property/261653/4329E97F4227A07F01691B22A82AF3703E6FCDA21CF1CF94BF5467012196BD60</v>
      </c>
      <c r="I3838" t="str">
        <f>HYPERLINK("https://baanknet.com/view-property/261653/4329E97F4227A07F01691B22A82AF3703E6FCDA21CF1CF94BF5467012196BD60", "Open")</f>
        <v>Open</v>
      </c>
      <c r="J3838" t="s">
        <v>3803</v>
      </c>
      <c r="L3838">
        <v>3360000</v>
      </c>
      <c r="M3838">
        <v>336000</v>
      </c>
    </row>
    <row r="3839" spans="1:13" x14ac:dyDescent="0.25">
      <c r="A3839" t="s">
        <v>12848</v>
      </c>
      <c r="B3839" t="s">
        <v>12849</v>
      </c>
      <c r="C3839" t="s">
        <v>144</v>
      </c>
      <c r="D3839" t="s">
        <v>12850</v>
      </c>
      <c r="E3839" t="s">
        <v>11024</v>
      </c>
      <c r="F3839" t="s">
        <v>11004</v>
      </c>
      <c r="G3839" t="s">
        <v>12851</v>
      </c>
      <c r="H3839" t="str">
        <f>HYPERLINK("https://baanknet.com/view-property/134482/777A865947C47CB0948671BAB6B783176CD3A89E662B31CF744BDED189A84447", "https://baanknet.com/view-property/134482/777A865947C47CB0948671BAB6B783176CD3A89E662B31CF744BDED189A84447")</f>
        <v>https://baanknet.com/view-property/134482/777A865947C47CB0948671BAB6B783176CD3A89E662B31CF744BDED189A84447</v>
      </c>
      <c r="I3839" t="str">
        <f>HYPERLINK("https://baanknet.com/view-property/134482/777A865947C47CB0948671BAB6B783176CD3A89E662B31CF744BDED189A84447", "Open")</f>
        <v>Open</v>
      </c>
      <c r="J3839" t="s">
        <v>3803</v>
      </c>
      <c r="L3839">
        <v>962500</v>
      </c>
      <c r="M3839">
        <v>96250</v>
      </c>
    </row>
    <row r="3840" spans="1:13" x14ac:dyDescent="0.25">
      <c r="A3840" t="s">
        <v>12852</v>
      </c>
      <c r="B3840" t="s">
        <v>12853</v>
      </c>
      <c r="C3840" t="s">
        <v>144</v>
      </c>
      <c r="D3840" t="s">
        <v>12854</v>
      </c>
      <c r="E3840" t="s">
        <v>11024</v>
      </c>
      <c r="F3840" t="s">
        <v>11004</v>
      </c>
      <c r="G3840" t="s">
        <v>12855</v>
      </c>
      <c r="H3840" t="str">
        <f>HYPERLINK("https://baanknet.com/view-property/261605/D98874A574DE73B41DB351898FA52DBA59BBF4658EFF2661BBC797A5AC4B2304", "https://baanknet.com/view-property/261605/D98874A574DE73B41DB351898FA52DBA59BBF4658EFF2661BBC797A5AC4B2304")</f>
        <v>https://baanknet.com/view-property/261605/D98874A574DE73B41DB351898FA52DBA59BBF4658EFF2661BBC797A5AC4B2304</v>
      </c>
      <c r="I3840" t="str">
        <f>HYPERLINK("https://baanknet.com/view-property/261605/D98874A574DE73B41DB351898FA52DBA59BBF4658EFF2661BBC797A5AC4B2304", "Open")</f>
        <v>Open</v>
      </c>
      <c r="J3840" t="s">
        <v>3803</v>
      </c>
      <c r="L3840">
        <v>3373200</v>
      </c>
      <c r="M3840">
        <v>337320</v>
      </c>
    </row>
    <row r="3841" spans="1:13" x14ac:dyDescent="0.25">
      <c r="A3841" t="s">
        <v>12856</v>
      </c>
      <c r="B3841" t="s">
        <v>12857</v>
      </c>
      <c r="C3841" t="s">
        <v>144</v>
      </c>
      <c r="D3841" t="s">
        <v>12858</v>
      </c>
      <c r="E3841" t="s">
        <v>11024</v>
      </c>
      <c r="F3841" t="s">
        <v>11004</v>
      </c>
      <c r="G3841" t="s">
        <v>12859</v>
      </c>
      <c r="H3841" t="str">
        <f>HYPERLINK("https://baanknet.com/view-property/245488/481919B70B591D2E47F4F732B0782937A74CDF3C825C551420D407230DB0DEF5", "https://baanknet.com/view-property/245488/481919B70B591D2E47F4F732B0782937A74CDF3C825C551420D407230DB0DEF5")</f>
        <v>https://baanknet.com/view-property/245488/481919B70B591D2E47F4F732B0782937A74CDF3C825C551420D407230DB0DEF5</v>
      </c>
      <c r="I3841" t="str">
        <f>HYPERLINK("https://baanknet.com/view-property/245488/481919B70B591D2E47F4F732B0782937A74CDF3C825C551420D407230DB0DEF5", "Open")</f>
        <v>Open</v>
      </c>
      <c r="J3841" t="s">
        <v>3803</v>
      </c>
      <c r="L3841">
        <v>11634748</v>
      </c>
      <c r="M3841">
        <v>1163474.8</v>
      </c>
    </row>
    <row r="3842" spans="1:13" x14ac:dyDescent="0.25">
      <c r="A3842" t="s">
        <v>12860</v>
      </c>
      <c r="B3842" t="s">
        <v>12861</v>
      </c>
      <c r="C3842" t="s">
        <v>571</v>
      </c>
      <c r="D3842" t="s">
        <v>12862</v>
      </c>
      <c r="E3842" t="s">
        <v>11024</v>
      </c>
      <c r="F3842" t="s">
        <v>11004</v>
      </c>
      <c r="G3842" t="s">
        <v>12863</v>
      </c>
      <c r="H3842" t="str">
        <f>HYPERLINK("https://baanknet.com/view-property/277922/02ED3595AAE491AC74A443EE25E678665ED3E1E31C9EED3C73AB8C50BB5AFDFD", "https://baanknet.com/view-property/277922/02ED3595AAE491AC74A443EE25E678665ED3E1E31C9EED3C73AB8C50BB5AFDFD")</f>
        <v>https://baanknet.com/view-property/277922/02ED3595AAE491AC74A443EE25E678665ED3E1E31C9EED3C73AB8C50BB5AFDFD</v>
      </c>
      <c r="I3842" t="str">
        <f>HYPERLINK("https://baanknet.com/view-property/277922/02ED3595AAE491AC74A443EE25E678665ED3E1E31C9EED3C73AB8C50BB5AFDFD", "Open")</f>
        <v>Open</v>
      </c>
      <c r="J3842" t="s">
        <v>3803</v>
      </c>
      <c r="L3842">
        <v>1163000</v>
      </c>
      <c r="M3842">
        <v>116300</v>
      </c>
    </row>
    <row r="3843" spans="1:13" x14ac:dyDescent="0.25">
      <c r="A3843" t="s">
        <v>12864</v>
      </c>
      <c r="B3843" t="s">
        <v>12865</v>
      </c>
      <c r="C3843" t="s">
        <v>571</v>
      </c>
      <c r="D3843" t="s">
        <v>12862</v>
      </c>
      <c r="E3843" t="s">
        <v>11024</v>
      </c>
      <c r="F3843" t="s">
        <v>11004</v>
      </c>
      <c r="G3843" t="s">
        <v>12866</v>
      </c>
      <c r="H3843" t="str">
        <f>HYPERLINK("https://baanknet.com/view-property/278011/BD6CFB08B59E6485896CFA5E26D80B6532A07E9712F66349FFFB126782B57AB1", "https://baanknet.com/view-property/278011/BD6CFB08B59E6485896CFA5E26D80B6532A07E9712F66349FFFB126782B57AB1")</f>
        <v>https://baanknet.com/view-property/278011/BD6CFB08B59E6485896CFA5E26D80B6532A07E9712F66349FFFB126782B57AB1</v>
      </c>
      <c r="I3843" t="str">
        <f>HYPERLINK("https://baanknet.com/view-property/278011/BD6CFB08B59E6485896CFA5E26D80B6532A07E9712F66349FFFB126782B57AB1", "Open")</f>
        <v>Open</v>
      </c>
      <c r="J3843" t="s">
        <v>3803</v>
      </c>
      <c r="L3843">
        <v>1343000</v>
      </c>
      <c r="M3843">
        <v>134300</v>
      </c>
    </row>
    <row r="3844" spans="1:13" x14ac:dyDescent="0.25">
      <c r="A3844" t="s">
        <v>12867</v>
      </c>
      <c r="B3844" t="s">
        <v>12868</v>
      </c>
      <c r="C3844" t="s">
        <v>121</v>
      </c>
      <c r="D3844" t="s">
        <v>612</v>
      </c>
      <c r="E3844" t="s">
        <v>11024</v>
      </c>
      <c r="F3844" t="s">
        <v>11004</v>
      </c>
      <c r="G3844" t="s">
        <v>12869</v>
      </c>
      <c r="H3844" t="str">
        <f>HYPERLINK("https://baanknet.com/view-property/185168/754F74A5F12C5DD16700A2B2F29244DE57037B16D2329CB505FFEF4BB343212C", "https://baanknet.com/view-property/185168/754F74A5F12C5DD16700A2B2F29244DE57037B16D2329CB505FFEF4BB343212C")</f>
        <v>https://baanknet.com/view-property/185168/754F74A5F12C5DD16700A2B2F29244DE57037B16D2329CB505FFEF4BB343212C</v>
      </c>
      <c r="I3844" t="str">
        <f>HYPERLINK("https://baanknet.com/view-property/185168/754F74A5F12C5DD16700A2B2F29244DE57037B16D2329CB505FFEF4BB343212C", "Open")</f>
        <v>Open</v>
      </c>
      <c r="J3844" t="s">
        <v>3803</v>
      </c>
      <c r="L3844">
        <v>7374000</v>
      </c>
      <c r="M3844">
        <v>737400</v>
      </c>
    </row>
    <row r="3845" spans="1:13" x14ac:dyDescent="0.25">
      <c r="A3845" t="s">
        <v>12870</v>
      </c>
      <c r="B3845" t="s">
        <v>12871</v>
      </c>
      <c r="C3845" t="s">
        <v>525</v>
      </c>
      <c r="D3845" t="s">
        <v>1246</v>
      </c>
      <c r="E3845" t="s">
        <v>11024</v>
      </c>
      <c r="F3845" t="s">
        <v>11004</v>
      </c>
      <c r="G3845" t="s">
        <v>12872</v>
      </c>
      <c r="H3845" t="str">
        <f>HYPERLINK("https://baanknet.com/view-property/227743/892274ABAFBE414B45CBFBAC11AB0704D0028A15C5B13D34C9C9785F75035D1A", "https://baanknet.com/view-property/227743/892274ABAFBE414B45CBFBAC11AB0704D0028A15C5B13D34C9C9785F75035D1A")</f>
        <v>https://baanknet.com/view-property/227743/892274ABAFBE414B45CBFBAC11AB0704D0028A15C5B13D34C9C9785F75035D1A</v>
      </c>
      <c r="I3845" t="str">
        <f>HYPERLINK("https://baanknet.com/view-property/227743/892274ABAFBE414B45CBFBAC11AB0704D0028A15C5B13D34C9C9785F75035D1A", "Open")</f>
        <v>Open</v>
      </c>
      <c r="J3845" t="s">
        <v>3803</v>
      </c>
      <c r="L3845">
        <v>3870000</v>
      </c>
      <c r="M3845">
        <v>390000</v>
      </c>
    </row>
    <row r="3846" spans="1:13" x14ac:dyDescent="0.25">
      <c r="A3846" t="s">
        <v>12873</v>
      </c>
      <c r="B3846" t="s">
        <v>12874</v>
      </c>
      <c r="C3846" t="s">
        <v>121</v>
      </c>
      <c r="D3846" t="s">
        <v>533</v>
      </c>
      <c r="E3846" t="s">
        <v>11024</v>
      </c>
      <c r="F3846" t="s">
        <v>11004</v>
      </c>
      <c r="G3846" t="s">
        <v>12875</v>
      </c>
      <c r="H3846" t="str">
        <f>HYPERLINK("https://baanknet.com/view-property/280578/2D9BBCB4A955D2AEC951935F8E777D670E5793685B65EC188ED8E29880681E24", "https://baanknet.com/view-property/280578/2D9BBCB4A955D2AEC951935F8E777D670E5793685B65EC188ED8E29880681E24")</f>
        <v>https://baanknet.com/view-property/280578/2D9BBCB4A955D2AEC951935F8E777D670E5793685B65EC188ED8E29880681E24</v>
      </c>
      <c r="I3846" t="str">
        <f>HYPERLINK("https://baanknet.com/view-property/280578/2D9BBCB4A955D2AEC951935F8E777D670E5793685B65EC188ED8E29880681E24", "Open")</f>
        <v>Open</v>
      </c>
      <c r="J3846" t="s">
        <v>3803</v>
      </c>
      <c r="L3846">
        <v>32600000</v>
      </c>
      <c r="M3846">
        <v>3260000</v>
      </c>
    </row>
    <row r="3847" spans="1:13" x14ac:dyDescent="0.25">
      <c r="A3847" t="s">
        <v>12876</v>
      </c>
      <c r="B3847" t="s">
        <v>12877</v>
      </c>
      <c r="C3847" t="s">
        <v>121</v>
      </c>
      <c r="D3847" t="s">
        <v>526</v>
      </c>
      <c r="E3847" t="s">
        <v>11024</v>
      </c>
      <c r="F3847" t="s">
        <v>11004</v>
      </c>
      <c r="G3847" t="s">
        <v>12878</v>
      </c>
      <c r="H3847" t="str">
        <f>HYPERLINK("https://baanknet.com/view-property/186323/569EB117A367DBC4FD38B3AB452F824F737E2ACD5D07E206370112C8E26B5442", "https://baanknet.com/view-property/186323/569EB117A367DBC4FD38B3AB452F824F737E2ACD5D07E206370112C8E26B5442")</f>
        <v>https://baanknet.com/view-property/186323/569EB117A367DBC4FD38B3AB452F824F737E2ACD5D07E206370112C8E26B5442</v>
      </c>
      <c r="I3847" t="str">
        <f>HYPERLINK("https://baanknet.com/view-property/186323/569EB117A367DBC4FD38B3AB452F824F737E2ACD5D07E206370112C8E26B5442", "Open")</f>
        <v>Open</v>
      </c>
      <c r="J3847" t="s">
        <v>3803</v>
      </c>
      <c r="L3847">
        <v>2050000</v>
      </c>
      <c r="M3847">
        <v>205000</v>
      </c>
    </row>
    <row r="3848" spans="1:13" x14ac:dyDescent="0.25">
      <c r="A3848" t="s">
        <v>12879</v>
      </c>
      <c r="B3848" t="s">
        <v>12880</v>
      </c>
      <c r="C3848" t="s">
        <v>332</v>
      </c>
      <c r="D3848" t="s">
        <v>4542</v>
      </c>
      <c r="E3848" t="s">
        <v>11024</v>
      </c>
      <c r="F3848" t="s">
        <v>11004</v>
      </c>
      <c r="G3848" t="s">
        <v>12881</v>
      </c>
      <c r="H3848" t="str">
        <f>HYPERLINK("https://baanknet.com/view-property/266524/4F1173E5A9E286D837E20B0B51A6131F404063F0A850ADF6ACE4812CFE698CE5", "https://baanknet.com/view-property/266524/4F1173E5A9E286D837E20B0B51A6131F404063F0A850ADF6ACE4812CFE698CE5")</f>
        <v>https://baanknet.com/view-property/266524/4F1173E5A9E286D837E20B0B51A6131F404063F0A850ADF6ACE4812CFE698CE5</v>
      </c>
      <c r="I3848" t="str">
        <f>HYPERLINK("https://baanknet.com/view-property/266524/4F1173E5A9E286D837E20B0B51A6131F404063F0A850ADF6ACE4812CFE698CE5", "Open")</f>
        <v>Open</v>
      </c>
      <c r="J3848" t="s">
        <v>3803</v>
      </c>
      <c r="L3848">
        <v>2100000</v>
      </c>
      <c r="M3848">
        <v>210000</v>
      </c>
    </row>
    <row r="3849" spans="1:13" x14ac:dyDescent="0.25">
      <c r="A3849" t="s">
        <v>12882</v>
      </c>
      <c r="B3849" t="s">
        <v>12883</v>
      </c>
      <c r="C3849" t="s">
        <v>121</v>
      </c>
      <c r="D3849" t="s">
        <v>1843</v>
      </c>
      <c r="E3849" t="s">
        <v>11024</v>
      </c>
      <c r="F3849" t="s">
        <v>11004</v>
      </c>
      <c r="G3849" t="s">
        <v>12884</v>
      </c>
      <c r="H3849" t="str">
        <f>HYPERLINK("https://baanknet.com/view-property/276995/27065D8D7836A57019472F93FAE8201E98103C66E2BC680EAD699DF754D6C1BB", "https://baanknet.com/view-property/276995/27065D8D7836A57019472F93FAE8201E98103C66E2BC680EAD699DF754D6C1BB")</f>
        <v>https://baanknet.com/view-property/276995/27065D8D7836A57019472F93FAE8201E98103C66E2BC680EAD699DF754D6C1BB</v>
      </c>
      <c r="I3849" t="str">
        <f>HYPERLINK("https://baanknet.com/view-property/276995/27065D8D7836A57019472F93FAE8201E98103C66E2BC680EAD699DF754D6C1BB", "Open")</f>
        <v>Open</v>
      </c>
      <c r="J3849" t="s">
        <v>3803</v>
      </c>
      <c r="L3849">
        <v>500000</v>
      </c>
      <c r="M3849">
        <v>50000</v>
      </c>
    </row>
    <row r="3850" spans="1:13" x14ac:dyDescent="0.25">
      <c r="A3850" t="s">
        <v>12885</v>
      </c>
      <c r="B3850" t="s">
        <v>12886</v>
      </c>
      <c r="C3850" t="s">
        <v>121</v>
      </c>
      <c r="D3850" t="s">
        <v>1843</v>
      </c>
      <c r="E3850" t="s">
        <v>11024</v>
      </c>
      <c r="F3850" t="s">
        <v>11004</v>
      </c>
      <c r="G3850" t="s">
        <v>12887</v>
      </c>
      <c r="H3850" t="str">
        <f>HYPERLINK("https://baanknet.com/view-property/277036/FED6F712F35967C659EA90EE3623B0E8A0F45AEB389F2586492313BF4838ED09", "https://baanknet.com/view-property/277036/FED6F712F35967C659EA90EE3623B0E8A0F45AEB389F2586492313BF4838ED09")</f>
        <v>https://baanknet.com/view-property/277036/FED6F712F35967C659EA90EE3623B0E8A0F45AEB389F2586492313BF4838ED09</v>
      </c>
      <c r="I3850" t="str">
        <f>HYPERLINK("https://baanknet.com/view-property/277036/FED6F712F35967C659EA90EE3623B0E8A0F45AEB389F2586492313BF4838ED09", "Open")</f>
        <v>Open</v>
      </c>
      <c r="J3850" t="s">
        <v>3803</v>
      </c>
      <c r="L3850">
        <v>311000</v>
      </c>
      <c r="M3850">
        <v>31100</v>
      </c>
    </row>
    <row r="3851" spans="1:13" x14ac:dyDescent="0.25">
      <c r="A3851" t="s">
        <v>12888</v>
      </c>
      <c r="B3851" t="s">
        <v>12889</v>
      </c>
      <c r="C3851" t="s">
        <v>332</v>
      </c>
      <c r="D3851" t="s">
        <v>12890</v>
      </c>
      <c r="E3851" t="s">
        <v>11024</v>
      </c>
      <c r="F3851" t="s">
        <v>11004</v>
      </c>
      <c r="G3851" t="s">
        <v>12891</v>
      </c>
      <c r="H3851" t="str">
        <f>HYPERLINK("https://baanknet.com/view-property/286088/1F4A2485EEA79721526CBC596E4B1D490192D41F634FD71737C8B52FACACC8AE", "https://baanknet.com/view-property/286088/1F4A2485EEA79721526CBC596E4B1D490192D41F634FD71737C8B52FACACC8AE")</f>
        <v>https://baanknet.com/view-property/286088/1F4A2485EEA79721526CBC596E4B1D490192D41F634FD71737C8B52FACACC8AE</v>
      </c>
      <c r="I3851" t="str">
        <f>HYPERLINK("https://baanknet.com/view-property/286088/1F4A2485EEA79721526CBC596E4B1D490192D41F634FD71737C8B52FACACC8AE", "Open")</f>
        <v>Open</v>
      </c>
      <c r="J3851" t="s">
        <v>3803</v>
      </c>
      <c r="L3851">
        <v>2638000</v>
      </c>
      <c r="M3851">
        <v>263800</v>
      </c>
    </row>
    <row r="3852" spans="1:13" x14ac:dyDescent="0.25">
      <c r="A3852" t="s">
        <v>12892</v>
      </c>
      <c r="B3852" t="s">
        <v>12893</v>
      </c>
      <c r="C3852" t="s">
        <v>121</v>
      </c>
      <c r="D3852" t="s">
        <v>1843</v>
      </c>
      <c r="E3852" t="s">
        <v>11024</v>
      </c>
      <c r="F3852" t="s">
        <v>11004</v>
      </c>
      <c r="G3852" t="s">
        <v>12894</v>
      </c>
      <c r="H3852" t="str">
        <f>HYPERLINK("https://baanknet.com/view-property/277039/71C126DA0917FD29DD18AA59AF758AC9B3B55ACF1A9D31F1707A06E2DDADB522", "https://baanknet.com/view-property/277039/71C126DA0917FD29DD18AA59AF758AC9B3B55ACF1A9D31F1707A06E2DDADB522")</f>
        <v>https://baanknet.com/view-property/277039/71C126DA0917FD29DD18AA59AF758AC9B3B55ACF1A9D31F1707A06E2DDADB522</v>
      </c>
      <c r="I3852" t="str">
        <f>HYPERLINK("https://baanknet.com/view-property/277039/71C126DA0917FD29DD18AA59AF758AC9B3B55ACF1A9D31F1707A06E2DDADB522", "Open")</f>
        <v>Open</v>
      </c>
      <c r="J3852" t="s">
        <v>3803</v>
      </c>
      <c r="L3852">
        <v>311000</v>
      </c>
      <c r="M3852">
        <v>31100</v>
      </c>
    </row>
    <row r="3853" spans="1:13" x14ac:dyDescent="0.25">
      <c r="A3853" t="s">
        <v>12895</v>
      </c>
      <c r="B3853" t="s">
        <v>12896</v>
      </c>
      <c r="C3853" t="s">
        <v>121</v>
      </c>
      <c r="D3853" t="s">
        <v>1843</v>
      </c>
      <c r="E3853" t="s">
        <v>11024</v>
      </c>
      <c r="F3853" t="s">
        <v>11004</v>
      </c>
      <c r="G3853" t="s">
        <v>12897</v>
      </c>
      <c r="H3853" t="str">
        <f>HYPERLINK("https://baanknet.com/view-property/277059/E77712EFDC544DA17EA9C687DB3AEEAC28015C2F3B7DF0568185A0F59BE68702", "https://baanknet.com/view-property/277059/E77712EFDC544DA17EA9C687DB3AEEAC28015C2F3B7DF0568185A0F59BE68702")</f>
        <v>https://baanknet.com/view-property/277059/E77712EFDC544DA17EA9C687DB3AEEAC28015C2F3B7DF0568185A0F59BE68702</v>
      </c>
      <c r="I3853" t="str">
        <f>HYPERLINK("https://baanknet.com/view-property/277059/E77712EFDC544DA17EA9C687DB3AEEAC28015C2F3B7DF0568185A0F59BE68702", "Open")</f>
        <v>Open</v>
      </c>
      <c r="J3853" t="s">
        <v>3803</v>
      </c>
      <c r="L3853">
        <v>538000</v>
      </c>
      <c r="M3853">
        <v>53800</v>
      </c>
    </row>
    <row r="3854" spans="1:13" x14ac:dyDescent="0.25">
      <c r="A3854" t="s">
        <v>12898</v>
      </c>
      <c r="B3854" t="s">
        <v>12899</v>
      </c>
      <c r="C3854" t="s">
        <v>121</v>
      </c>
      <c r="D3854" t="s">
        <v>1843</v>
      </c>
      <c r="E3854" t="s">
        <v>11024</v>
      </c>
      <c r="F3854" t="s">
        <v>11004</v>
      </c>
      <c r="G3854" t="s">
        <v>12900</v>
      </c>
      <c r="H3854" t="str">
        <f>HYPERLINK("https://baanknet.com/view-property/277065/C5F6FDD66BAC6FE98EA096C985E59DADBB5530C8B603900F0B0F53BE54A09EE1", "https://baanknet.com/view-property/277065/C5F6FDD66BAC6FE98EA096C985E59DADBB5530C8B603900F0B0F53BE54A09EE1")</f>
        <v>https://baanknet.com/view-property/277065/C5F6FDD66BAC6FE98EA096C985E59DADBB5530C8B603900F0B0F53BE54A09EE1</v>
      </c>
      <c r="I3854" t="str">
        <f>HYPERLINK("https://baanknet.com/view-property/277065/C5F6FDD66BAC6FE98EA096C985E59DADBB5530C8B603900F0B0F53BE54A09EE1", "Open")</f>
        <v>Open</v>
      </c>
      <c r="J3854" t="s">
        <v>3803</v>
      </c>
      <c r="L3854">
        <v>289000</v>
      </c>
      <c r="M3854">
        <v>28900</v>
      </c>
    </row>
    <row r="3855" spans="1:13" x14ac:dyDescent="0.25">
      <c r="A3855" t="s">
        <v>12901</v>
      </c>
      <c r="B3855" t="s">
        <v>12902</v>
      </c>
      <c r="C3855" t="s">
        <v>121</v>
      </c>
      <c r="D3855" t="s">
        <v>1843</v>
      </c>
      <c r="E3855" t="s">
        <v>11024</v>
      </c>
      <c r="F3855" t="s">
        <v>11004</v>
      </c>
      <c r="G3855" t="s">
        <v>12903</v>
      </c>
      <c r="H3855" t="str">
        <f>HYPERLINK("https://baanknet.com/view-property/277101/427113FCCC3A585C0E5F47580BBEADCB1F3E3C1683F64DFA677C5AE89C9DE1EE", "https://baanknet.com/view-property/277101/427113FCCC3A585C0E5F47580BBEADCB1F3E3C1683F64DFA677C5AE89C9DE1EE")</f>
        <v>https://baanknet.com/view-property/277101/427113FCCC3A585C0E5F47580BBEADCB1F3E3C1683F64DFA677C5AE89C9DE1EE</v>
      </c>
      <c r="I3855" t="str">
        <f>HYPERLINK("https://baanknet.com/view-property/277101/427113FCCC3A585C0E5F47580BBEADCB1F3E3C1683F64DFA677C5AE89C9DE1EE", "Open")</f>
        <v>Open</v>
      </c>
      <c r="J3855" t="s">
        <v>3803</v>
      </c>
      <c r="L3855">
        <v>309000</v>
      </c>
      <c r="M3855">
        <v>30900</v>
      </c>
    </row>
    <row r="3856" spans="1:13" x14ac:dyDescent="0.25">
      <c r="A3856" t="s">
        <v>12904</v>
      </c>
      <c r="B3856" t="s">
        <v>12905</v>
      </c>
      <c r="C3856" t="s">
        <v>121</v>
      </c>
      <c r="D3856" t="s">
        <v>1843</v>
      </c>
      <c r="E3856" t="s">
        <v>11024</v>
      </c>
      <c r="F3856" t="s">
        <v>11004</v>
      </c>
      <c r="G3856" t="s">
        <v>12906</v>
      </c>
      <c r="H3856" t="str">
        <f>HYPERLINK("https://baanknet.com/view-property/277119/807A669FBE335A4F79B81EBC2734B1CDF2ABF7BCBF2236841490F4419A6455DD", "https://baanknet.com/view-property/277119/807A669FBE335A4F79B81EBC2734B1CDF2ABF7BCBF2236841490F4419A6455DD")</f>
        <v>https://baanknet.com/view-property/277119/807A669FBE335A4F79B81EBC2734B1CDF2ABF7BCBF2236841490F4419A6455DD</v>
      </c>
      <c r="I3856" t="str">
        <f>HYPERLINK("https://baanknet.com/view-property/277119/807A669FBE335A4F79B81EBC2734B1CDF2ABF7BCBF2236841490F4419A6455DD", "Open")</f>
        <v>Open</v>
      </c>
      <c r="J3856" t="s">
        <v>3803</v>
      </c>
      <c r="L3856">
        <v>309000</v>
      </c>
      <c r="M3856">
        <v>30900</v>
      </c>
    </row>
    <row r="3857" spans="1:13" x14ac:dyDescent="0.25">
      <c r="A3857" t="s">
        <v>12907</v>
      </c>
      <c r="B3857" t="s">
        <v>12908</v>
      </c>
      <c r="C3857" t="s">
        <v>121</v>
      </c>
      <c r="D3857" t="s">
        <v>1843</v>
      </c>
      <c r="E3857" t="s">
        <v>11024</v>
      </c>
      <c r="F3857" t="s">
        <v>11004</v>
      </c>
      <c r="G3857" t="s">
        <v>12909</v>
      </c>
      <c r="H3857" t="str">
        <f>HYPERLINK("https://baanknet.com/view-property/277139/254A9660CB1B41CB2C652C23E5E95E864F6A785C60D6377CCFDE1F3D6F3DB0D6", "https://baanknet.com/view-property/277139/254A9660CB1B41CB2C652C23E5E95E864F6A785C60D6377CCFDE1F3D6F3DB0D6")</f>
        <v>https://baanknet.com/view-property/277139/254A9660CB1B41CB2C652C23E5E95E864F6A785C60D6377CCFDE1F3D6F3DB0D6</v>
      </c>
      <c r="I3857" t="str">
        <f>HYPERLINK("https://baanknet.com/view-property/277139/254A9660CB1B41CB2C652C23E5E95E864F6A785C60D6377CCFDE1F3D6F3DB0D6", "Open")</f>
        <v>Open</v>
      </c>
      <c r="J3857" t="s">
        <v>3803</v>
      </c>
      <c r="L3857">
        <v>309000</v>
      </c>
      <c r="M3857">
        <v>30900</v>
      </c>
    </row>
    <row r="3858" spans="1:13" x14ac:dyDescent="0.25">
      <c r="A3858" t="s">
        <v>12910</v>
      </c>
      <c r="B3858" t="s">
        <v>12911</v>
      </c>
      <c r="C3858" t="s">
        <v>121</v>
      </c>
      <c r="D3858" t="s">
        <v>1843</v>
      </c>
      <c r="E3858" t="s">
        <v>11024</v>
      </c>
      <c r="F3858" t="s">
        <v>11004</v>
      </c>
      <c r="G3858" t="s">
        <v>12912</v>
      </c>
      <c r="H3858" t="str">
        <f>HYPERLINK("https://baanknet.com/view-property/277390/F9AF09525FA0AC5CC06D07ECC64BC940AB1E7EC4BAF55E6EE9AE6277103E3EB3", "https://baanknet.com/view-property/277390/F9AF09525FA0AC5CC06D07ECC64BC940AB1E7EC4BAF55E6EE9AE6277103E3EB3")</f>
        <v>https://baanknet.com/view-property/277390/F9AF09525FA0AC5CC06D07ECC64BC940AB1E7EC4BAF55E6EE9AE6277103E3EB3</v>
      </c>
      <c r="I3858" t="str">
        <f>HYPERLINK("https://baanknet.com/view-property/277390/F9AF09525FA0AC5CC06D07ECC64BC940AB1E7EC4BAF55E6EE9AE6277103E3EB3", "Open")</f>
        <v>Open</v>
      </c>
      <c r="J3858" t="s">
        <v>3803</v>
      </c>
      <c r="L3858">
        <v>974000</v>
      </c>
      <c r="M3858">
        <v>97400</v>
      </c>
    </row>
    <row r="3859" spans="1:13" x14ac:dyDescent="0.25">
      <c r="A3859" t="s">
        <v>12913</v>
      </c>
      <c r="B3859" t="s">
        <v>12914</v>
      </c>
      <c r="C3859" t="s">
        <v>121</v>
      </c>
      <c r="D3859" t="s">
        <v>1843</v>
      </c>
      <c r="E3859" t="s">
        <v>11024</v>
      </c>
      <c r="F3859" t="s">
        <v>11004</v>
      </c>
      <c r="G3859" t="s">
        <v>12915</v>
      </c>
      <c r="H3859" t="str">
        <f>HYPERLINK("https://baanknet.com/view-property/277400/3477BD646B31E90B4312530209A3B6D561BE501B78FF64330598BC2393012655", "https://baanknet.com/view-property/277400/3477BD646B31E90B4312530209A3B6D561BE501B78FF64330598BC2393012655")</f>
        <v>https://baanknet.com/view-property/277400/3477BD646B31E90B4312530209A3B6D561BE501B78FF64330598BC2393012655</v>
      </c>
      <c r="I3859" t="str">
        <f>HYPERLINK("https://baanknet.com/view-property/277400/3477BD646B31E90B4312530209A3B6D561BE501B78FF64330598BC2393012655", "Open")</f>
        <v>Open</v>
      </c>
      <c r="J3859" t="s">
        <v>3803</v>
      </c>
      <c r="L3859">
        <v>1631000</v>
      </c>
      <c r="M3859">
        <v>163100</v>
      </c>
    </row>
    <row r="3860" spans="1:13" x14ac:dyDescent="0.25">
      <c r="A3860" t="s">
        <v>12916</v>
      </c>
      <c r="B3860" t="s">
        <v>12917</v>
      </c>
      <c r="C3860" t="s">
        <v>332</v>
      </c>
      <c r="D3860" t="s">
        <v>608</v>
      </c>
      <c r="E3860" t="s">
        <v>11024</v>
      </c>
      <c r="F3860" t="s">
        <v>11004</v>
      </c>
      <c r="G3860" t="s">
        <v>12918</v>
      </c>
      <c r="H3860" t="str">
        <f>HYPERLINK("https://baanknet.com/view-property/253541/D9516F7BD254C5478DCBF4F8D8585F3564E3B83DEAD69C300403E5FD2030A943", "https://baanknet.com/view-property/253541/D9516F7BD254C5478DCBF4F8D8585F3564E3B83DEAD69C300403E5FD2030A943")</f>
        <v>https://baanknet.com/view-property/253541/D9516F7BD254C5478DCBF4F8D8585F3564E3B83DEAD69C300403E5FD2030A943</v>
      </c>
      <c r="I3860" t="str">
        <f>HYPERLINK("https://baanknet.com/view-property/253541/D9516F7BD254C5478DCBF4F8D8585F3564E3B83DEAD69C300403E5FD2030A943", "Open")</f>
        <v>Open</v>
      </c>
      <c r="J3860" t="s">
        <v>3803</v>
      </c>
      <c r="L3860">
        <v>3819000</v>
      </c>
      <c r="M3860">
        <v>381900</v>
      </c>
    </row>
    <row r="3861" spans="1:13" x14ac:dyDescent="0.25">
      <c r="A3861" t="s">
        <v>12919</v>
      </c>
      <c r="B3861" t="s">
        <v>12920</v>
      </c>
      <c r="C3861" t="s">
        <v>332</v>
      </c>
      <c r="D3861" t="s">
        <v>12804</v>
      </c>
      <c r="E3861" t="s">
        <v>11024</v>
      </c>
      <c r="F3861" t="s">
        <v>11004</v>
      </c>
      <c r="G3861" t="s">
        <v>12921</v>
      </c>
      <c r="H3861" t="str">
        <f>HYPERLINK("https://baanknet.com/view-property/281292/33F54C20D66D97503A03D593391183BC8B63751124C6F9A9C83490D0E05100F0", "https://baanknet.com/view-property/281292/33F54C20D66D97503A03D593391183BC8B63751124C6F9A9C83490D0E05100F0")</f>
        <v>https://baanknet.com/view-property/281292/33F54C20D66D97503A03D593391183BC8B63751124C6F9A9C83490D0E05100F0</v>
      </c>
      <c r="I3861" t="str">
        <f>HYPERLINK("https://baanknet.com/view-property/281292/33F54C20D66D97503A03D593391183BC8B63751124C6F9A9C83490D0E05100F0", "Open")</f>
        <v>Open</v>
      </c>
      <c r="J3861" t="s">
        <v>3803</v>
      </c>
      <c r="L3861">
        <v>7500000</v>
      </c>
      <c r="M3861">
        <v>750000</v>
      </c>
    </row>
    <row r="3862" spans="1:13" x14ac:dyDescent="0.25">
      <c r="A3862" t="s">
        <v>12922</v>
      </c>
      <c r="B3862" t="s">
        <v>12923</v>
      </c>
      <c r="C3862" t="s">
        <v>332</v>
      </c>
      <c r="D3862" t="s">
        <v>12804</v>
      </c>
      <c r="E3862" t="s">
        <v>11024</v>
      </c>
      <c r="F3862" t="s">
        <v>11004</v>
      </c>
      <c r="G3862" t="s">
        <v>12924</v>
      </c>
      <c r="H3862" t="str">
        <f>HYPERLINK("https://baanknet.com/view-property/281298/C08E6436B3DFCA935A16A3E6CC58DF2A6D884E38C9A9347A789BA9A35A0FBEBA", "https://baanknet.com/view-property/281298/C08E6436B3DFCA935A16A3E6CC58DF2A6D884E38C9A9347A789BA9A35A0FBEBA")</f>
        <v>https://baanknet.com/view-property/281298/C08E6436B3DFCA935A16A3E6CC58DF2A6D884E38C9A9347A789BA9A35A0FBEBA</v>
      </c>
      <c r="I3862" t="str">
        <f>HYPERLINK("https://baanknet.com/view-property/281298/C08E6436B3DFCA935A16A3E6CC58DF2A6D884E38C9A9347A789BA9A35A0FBEBA", "Open")</f>
        <v>Open</v>
      </c>
      <c r="J3862" t="s">
        <v>3803</v>
      </c>
      <c r="L3862">
        <v>7500000</v>
      </c>
      <c r="M3862">
        <v>750000</v>
      </c>
    </row>
    <row r="3863" spans="1:13" x14ac:dyDescent="0.25">
      <c r="A3863" t="s">
        <v>12925</v>
      </c>
      <c r="B3863" t="s">
        <v>12926</v>
      </c>
      <c r="C3863" t="s">
        <v>332</v>
      </c>
      <c r="D3863" t="s">
        <v>12804</v>
      </c>
      <c r="E3863" t="s">
        <v>11024</v>
      </c>
      <c r="F3863" t="s">
        <v>11004</v>
      </c>
      <c r="G3863" t="s">
        <v>12927</v>
      </c>
      <c r="H3863" t="str">
        <f>HYPERLINK("https://baanknet.com/view-property/281166/8893B069C15EBE632C5EEBD5E9E786B43365FBC85944E0E16FFD1488FC8748D6", "https://baanknet.com/view-property/281166/8893B069C15EBE632C5EEBD5E9E786B43365FBC85944E0E16FFD1488FC8748D6")</f>
        <v>https://baanknet.com/view-property/281166/8893B069C15EBE632C5EEBD5E9E786B43365FBC85944E0E16FFD1488FC8748D6</v>
      </c>
      <c r="I3863" t="str">
        <f>HYPERLINK("https://baanknet.com/view-property/281166/8893B069C15EBE632C5EEBD5E9E786B43365FBC85944E0E16FFD1488FC8748D6", "Open")</f>
        <v>Open</v>
      </c>
      <c r="J3863" t="s">
        <v>3803</v>
      </c>
      <c r="L3863">
        <v>5500000</v>
      </c>
      <c r="M3863">
        <v>550000</v>
      </c>
    </row>
    <row r="3864" spans="1:13" x14ac:dyDescent="0.25">
      <c r="A3864" t="s">
        <v>12928</v>
      </c>
      <c r="B3864" t="s">
        <v>12929</v>
      </c>
      <c r="C3864" t="s">
        <v>332</v>
      </c>
      <c r="D3864" t="s">
        <v>501</v>
      </c>
      <c r="E3864" t="s">
        <v>11024</v>
      </c>
      <c r="F3864" t="s">
        <v>11004</v>
      </c>
      <c r="G3864" t="s">
        <v>12930</v>
      </c>
      <c r="H3864" t="str">
        <f>HYPERLINK("https://baanknet.com/view-property/23525/CFD5BAE07585A0DA8EA120A9AD6FA71DADD78CD7DD805ED6222612BB4FA84EA6", "https://baanknet.com/view-property/23525/CFD5BAE07585A0DA8EA120A9AD6FA71DADD78CD7DD805ED6222612BB4FA84EA6")</f>
        <v>https://baanknet.com/view-property/23525/CFD5BAE07585A0DA8EA120A9AD6FA71DADD78CD7DD805ED6222612BB4FA84EA6</v>
      </c>
      <c r="I3864" t="str">
        <f>HYPERLINK("https://baanknet.com/view-property/23525/CFD5BAE07585A0DA8EA120A9AD6FA71DADD78CD7DD805ED6222612BB4FA84EA6", "Open")</f>
        <v>Open</v>
      </c>
      <c r="J3864" t="s">
        <v>3803</v>
      </c>
      <c r="L3864">
        <v>8200000</v>
      </c>
      <c r="M3864">
        <v>820000</v>
      </c>
    </row>
    <row r="3865" spans="1:13" x14ac:dyDescent="0.25">
      <c r="A3865" t="s">
        <v>12931</v>
      </c>
      <c r="B3865" t="s">
        <v>12932</v>
      </c>
      <c r="C3865" t="s">
        <v>332</v>
      </c>
      <c r="D3865" t="s">
        <v>12804</v>
      </c>
      <c r="E3865" t="s">
        <v>11024</v>
      </c>
      <c r="F3865" t="s">
        <v>11004</v>
      </c>
      <c r="G3865" t="s">
        <v>12933</v>
      </c>
      <c r="H3865" t="str">
        <f>HYPERLINK("https://baanknet.com/view-property/281170/2B60969F878649239FC4971445E4F5285EA6E3C6F35DF941825553179FE0E95F", "https://baanknet.com/view-property/281170/2B60969F878649239FC4971445E4F5285EA6E3C6F35DF941825553179FE0E95F")</f>
        <v>https://baanknet.com/view-property/281170/2B60969F878649239FC4971445E4F5285EA6E3C6F35DF941825553179FE0E95F</v>
      </c>
      <c r="I3865" t="str">
        <f>HYPERLINK("https://baanknet.com/view-property/281170/2B60969F878649239FC4971445E4F5285EA6E3C6F35DF941825553179FE0E95F", "Open")</f>
        <v>Open</v>
      </c>
      <c r="J3865" t="s">
        <v>3803</v>
      </c>
      <c r="L3865">
        <v>7400000</v>
      </c>
      <c r="M3865">
        <v>740000</v>
      </c>
    </row>
    <row r="3866" spans="1:13" x14ac:dyDescent="0.25">
      <c r="A3866" t="s">
        <v>12934</v>
      </c>
      <c r="B3866" t="s">
        <v>12935</v>
      </c>
      <c r="C3866" t="s">
        <v>332</v>
      </c>
      <c r="D3866" t="s">
        <v>12804</v>
      </c>
      <c r="E3866" t="s">
        <v>11024</v>
      </c>
      <c r="F3866" t="s">
        <v>11004</v>
      </c>
      <c r="G3866" t="s">
        <v>12936</v>
      </c>
      <c r="H3866" t="str">
        <f>HYPERLINK("https://baanknet.com/view-property/281461/947CE73A490D9C0C05E6E401628262A6EA276D718E6479146B6ED596360F94E1", "https://baanknet.com/view-property/281461/947CE73A490D9C0C05E6E401628262A6EA276D718E6479146B6ED596360F94E1")</f>
        <v>https://baanknet.com/view-property/281461/947CE73A490D9C0C05E6E401628262A6EA276D718E6479146B6ED596360F94E1</v>
      </c>
      <c r="I3866" t="str">
        <f>HYPERLINK("https://baanknet.com/view-property/281461/947CE73A490D9C0C05E6E401628262A6EA276D718E6479146B6ED596360F94E1", "Open")</f>
        <v>Open</v>
      </c>
      <c r="J3866" t="s">
        <v>3803</v>
      </c>
      <c r="L3866">
        <v>7400000</v>
      </c>
      <c r="M3866">
        <v>740000</v>
      </c>
    </row>
    <row r="3867" spans="1:13" x14ac:dyDescent="0.25">
      <c r="A3867" t="s">
        <v>12937</v>
      </c>
      <c r="B3867" t="s">
        <v>12938</v>
      </c>
      <c r="C3867" t="s">
        <v>332</v>
      </c>
      <c r="D3867" t="s">
        <v>12804</v>
      </c>
      <c r="E3867" t="s">
        <v>11024</v>
      </c>
      <c r="F3867" t="s">
        <v>11004</v>
      </c>
      <c r="G3867" t="s">
        <v>12939</v>
      </c>
      <c r="H3867" t="str">
        <f>HYPERLINK("https://baanknet.com/view-property/281305/3C64FDD3196E31E9CE3652394C11EC13FAEE31D3CC037734CDCEBF5E516C2E32", "https://baanknet.com/view-property/281305/3C64FDD3196E31E9CE3652394C11EC13FAEE31D3CC037734CDCEBF5E516C2E32")</f>
        <v>https://baanknet.com/view-property/281305/3C64FDD3196E31E9CE3652394C11EC13FAEE31D3CC037734CDCEBF5E516C2E32</v>
      </c>
      <c r="I3867" t="str">
        <f>HYPERLINK("https://baanknet.com/view-property/281305/3C64FDD3196E31E9CE3652394C11EC13FAEE31D3CC037734CDCEBF5E516C2E32", "Open")</f>
        <v>Open</v>
      </c>
      <c r="J3867" t="s">
        <v>3803</v>
      </c>
      <c r="L3867">
        <v>7400000</v>
      </c>
      <c r="M3867">
        <v>740000</v>
      </c>
    </row>
    <row r="3868" spans="1:13" x14ac:dyDescent="0.25">
      <c r="A3868" t="s">
        <v>12940</v>
      </c>
      <c r="B3868" t="s">
        <v>12941</v>
      </c>
      <c r="C3868" t="s">
        <v>332</v>
      </c>
      <c r="D3868" t="s">
        <v>12804</v>
      </c>
      <c r="E3868" t="s">
        <v>11024</v>
      </c>
      <c r="F3868" t="s">
        <v>11004</v>
      </c>
      <c r="G3868" t="s">
        <v>12942</v>
      </c>
      <c r="H3868" t="str">
        <f>HYPERLINK("https://baanknet.com/view-property/281307/C38EE5B3B6154496633AD5E98E2076F4C0FB4857FFD6D841E150C70FAA1CA5C5", "https://baanknet.com/view-property/281307/C38EE5B3B6154496633AD5E98E2076F4C0FB4857FFD6D841E150C70FAA1CA5C5")</f>
        <v>https://baanknet.com/view-property/281307/C38EE5B3B6154496633AD5E98E2076F4C0FB4857FFD6D841E150C70FAA1CA5C5</v>
      </c>
      <c r="I3868" t="str">
        <f>HYPERLINK("https://baanknet.com/view-property/281307/C38EE5B3B6154496633AD5E98E2076F4C0FB4857FFD6D841E150C70FAA1CA5C5", "Open")</f>
        <v>Open</v>
      </c>
      <c r="J3868" t="s">
        <v>3803</v>
      </c>
      <c r="L3868">
        <v>7400000</v>
      </c>
      <c r="M3868">
        <v>740000</v>
      </c>
    </row>
    <row r="3869" spans="1:13" x14ac:dyDescent="0.25">
      <c r="A3869" t="s">
        <v>12943</v>
      </c>
      <c r="B3869" t="s">
        <v>12944</v>
      </c>
      <c r="C3869" t="s">
        <v>332</v>
      </c>
      <c r="D3869" t="s">
        <v>12804</v>
      </c>
      <c r="E3869" t="s">
        <v>11024</v>
      </c>
      <c r="F3869" t="s">
        <v>11004</v>
      </c>
      <c r="G3869" t="s">
        <v>12945</v>
      </c>
      <c r="H3869" t="str">
        <f>HYPERLINK("https://baanknet.com/view-property/281312/5FB5C275186D8EBF8631043F909A9EE074AB2B9559F9E12D6CD67F5FC15C2888", "https://baanknet.com/view-property/281312/5FB5C275186D8EBF8631043F909A9EE074AB2B9559F9E12D6CD67F5FC15C2888")</f>
        <v>https://baanknet.com/view-property/281312/5FB5C275186D8EBF8631043F909A9EE074AB2B9559F9E12D6CD67F5FC15C2888</v>
      </c>
      <c r="I3869" t="str">
        <f>HYPERLINK("https://baanknet.com/view-property/281312/5FB5C275186D8EBF8631043F909A9EE074AB2B9559F9E12D6CD67F5FC15C2888", "Open")</f>
        <v>Open</v>
      </c>
      <c r="J3869" t="s">
        <v>3803</v>
      </c>
      <c r="L3869">
        <v>7800000</v>
      </c>
      <c r="M3869">
        <v>780000</v>
      </c>
    </row>
    <row r="3870" spans="1:13" x14ac:dyDescent="0.25">
      <c r="A3870" t="s">
        <v>12946</v>
      </c>
      <c r="B3870" t="s">
        <v>12947</v>
      </c>
      <c r="C3870" t="s">
        <v>332</v>
      </c>
      <c r="D3870" t="s">
        <v>12804</v>
      </c>
      <c r="E3870" t="s">
        <v>11024</v>
      </c>
      <c r="F3870" t="s">
        <v>11004</v>
      </c>
      <c r="G3870" t="s">
        <v>12948</v>
      </c>
      <c r="H3870" t="str">
        <f>HYPERLINK("https://baanknet.com/view-property/281342/91CC8A139F448269B12A8A86B445937D0B8747975D3E39C92F8758FDF926130A", "https://baanknet.com/view-property/281342/91CC8A139F448269B12A8A86B445937D0B8747975D3E39C92F8758FDF926130A")</f>
        <v>https://baanknet.com/view-property/281342/91CC8A139F448269B12A8A86B445937D0B8747975D3E39C92F8758FDF926130A</v>
      </c>
      <c r="I3870" t="str">
        <f>HYPERLINK("https://baanknet.com/view-property/281342/91CC8A139F448269B12A8A86B445937D0B8747975D3E39C92F8758FDF926130A", "Open")</f>
        <v>Open</v>
      </c>
      <c r="J3870" t="s">
        <v>3803</v>
      </c>
      <c r="L3870">
        <v>6700000</v>
      </c>
      <c r="M3870">
        <v>670000</v>
      </c>
    </row>
    <row r="3871" spans="1:13" x14ac:dyDescent="0.25">
      <c r="A3871" t="s">
        <v>12949</v>
      </c>
      <c r="B3871" t="s">
        <v>12950</v>
      </c>
      <c r="C3871" t="s">
        <v>332</v>
      </c>
      <c r="D3871" t="s">
        <v>12804</v>
      </c>
      <c r="E3871" t="s">
        <v>11024</v>
      </c>
      <c r="F3871" t="s">
        <v>11004</v>
      </c>
      <c r="G3871" t="s">
        <v>12951</v>
      </c>
      <c r="H3871" t="str">
        <f>HYPERLINK("https://baanknet.com/view-property/281347/2D50EFB1CE371AF08DB3150806356467FA8C19EBF546D3D48CE8AF99D89E8B97", "https://baanknet.com/view-property/281347/2D50EFB1CE371AF08DB3150806356467FA8C19EBF546D3D48CE8AF99D89E8B97")</f>
        <v>https://baanknet.com/view-property/281347/2D50EFB1CE371AF08DB3150806356467FA8C19EBF546D3D48CE8AF99D89E8B97</v>
      </c>
      <c r="I3871" t="str">
        <f>HYPERLINK("https://baanknet.com/view-property/281347/2D50EFB1CE371AF08DB3150806356467FA8C19EBF546D3D48CE8AF99D89E8B97", "Open")</f>
        <v>Open</v>
      </c>
      <c r="J3871" t="s">
        <v>3803</v>
      </c>
      <c r="L3871">
        <v>7500000</v>
      </c>
      <c r="M3871">
        <v>750000</v>
      </c>
    </row>
    <row r="3872" spans="1:13" x14ac:dyDescent="0.25">
      <c r="A3872" t="s">
        <v>12952</v>
      </c>
      <c r="B3872" t="s">
        <v>12953</v>
      </c>
      <c r="C3872" t="s">
        <v>332</v>
      </c>
      <c r="D3872" t="s">
        <v>12804</v>
      </c>
      <c r="E3872" t="s">
        <v>11024</v>
      </c>
      <c r="F3872" t="s">
        <v>11004</v>
      </c>
      <c r="G3872" t="s">
        <v>12954</v>
      </c>
      <c r="H3872" t="str">
        <f>HYPERLINK("https://baanknet.com/view-property/281079/53A3E4D24120FEEAC985FC2F634FF15236FCDAC337DB40E33E2DC86BD1D4FA38", "https://baanknet.com/view-property/281079/53A3E4D24120FEEAC985FC2F634FF15236FCDAC337DB40E33E2DC86BD1D4FA38")</f>
        <v>https://baanknet.com/view-property/281079/53A3E4D24120FEEAC985FC2F634FF15236FCDAC337DB40E33E2DC86BD1D4FA38</v>
      </c>
      <c r="I3872" t="str">
        <f>HYPERLINK("https://baanknet.com/view-property/281079/53A3E4D24120FEEAC985FC2F634FF15236FCDAC337DB40E33E2DC86BD1D4FA38", "Open")</f>
        <v>Open</v>
      </c>
      <c r="J3872" t="s">
        <v>3803</v>
      </c>
      <c r="L3872">
        <v>5500000</v>
      </c>
      <c r="M3872">
        <v>550000</v>
      </c>
    </row>
    <row r="3873" spans="1:13" x14ac:dyDescent="0.25">
      <c r="A3873" t="s">
        <v>12955</v>
      </c>
      <c r="B3873" t="s">
        <v>12956</v>
      </c>
      <c r="C3873" t="s">
        <v>332</v>
      </c>
      <c r="D3873" t="s">
        <v>12804</v>
      </c>
      <c r="E3873" t="s">
        <v>11024</v>
      </c>
      <c r="F3873" t="s">
        <v>11004</v>
      </c>
      <c r="G3873" t="s">
        <v>12957</v>
      </c>
      <c r="H3873" t="str">
        <f>HYPERLINK("https://baanknet.com/view-property/281353/16C8E841D2555323B3EEFCA12E447013D6DD4F88ACACF059A7D3245483CCFEC2", "https://baanknet.com/view-property/281353/16C8E841D2555323B3EEFCA12E447013D6DD4F88ACACF059A7D3245483CCFEC2")</f>
        <v>https://baanknet.com/view-property/281353/16C8E841D2555323B3EEFCA12E447013D6DD4F88ACACF059A7D3245483CCFEC2</v>
      </c>
      <c r="I3873" t="str">
        <f>HYPERLINK("https://baanknet.com/view-property/281353/16C8E841D2555323B3EEFCA12E447013D6DD4F88ACACF059A7D3245483CCFEC2", "Open")</f>
        <v>Open</v>
      </c>
      <c r="J3873" t="s">
        <v>3803</v>
      </c>
      <c r="L3873">
        <v>7500000</v>
      </c>
      <c r="M3873">
        <v>750000</v>
      </c>
    </row>
    <row r="3874" spans="1:13" x14ac:dyDescent="0.25">
      <c r="A3874" t="s">
        <v>12958</v>
      </c>
      <c r="B3874" t="s">
        <v>12959</v>
      </c>
      <c r="C3874" t="s">
        <v>332</v>
      </c>
      <c r="D3874" t="s">
        <v>12804</v>
      </c>
      <c r="E3874" t="s">
        <v>11024</v>
      </c>
      <c r="F3874" t="s">
        <v>11004</v>
      </c>
      <c r="G3874" t="s">
        <v>12960</v>
      </c>
      <c r="H3874" t="str">
        <f>HYPERLINK("https://baanknet.com/view-property/281357/2331864E6E8798102BDB5976EE039F304EF9D7F32F09418917012CAF7A9FE964", "https://baanknet.com/view-property/281357/2331864E6E8798102BDB5976EE039F304EF9D7F32F09418917012CAF7A9FE964")</f>
        <v>https://baanknet.com/view-property/281357/2331864E6E8798102BDB5976EE039F304EF9D7F32F09418917012CAF7A9FE964</v>
      </c>
      <c r="I3874" t="str">
        <f>HYPERLINK("https://baanknet.com/view-property/281357/2331864E6E8798102BDB5976EE039F304EF9D7F32F09418917012CAF7A9FE964", "Open")</f>
        <v>Open</v>
      </c>
      <c r="J3874" t="s">
        <v>3803</v>
      </c>
      <c r="L3874">
        <v>8500000</v>
      </c>
      <c r="M3874">
        <v>850000</v>
      </c>
    </row>
    <row r="3875" spans="1:13" x14ac:dyDescent="0.25">
      <c r="A3875" t="s">
        <v>12961</v>
      </c>
      <c r="B3875" t="s">
        <v>12962</v>
      </c>
      <c r="C3875" t="s">
        <v>332</v>
      </c>
      <c r="D3875" t="s">
        <v>12804</v>
      </c>
      <c r="E3875" t="s">
        <v>11024</v>
      </c>
      <c r="F3875" t="s">
        <v>11004</v>
      </c>
      <c r="G3875" t="s">
        <v>12963</v>
      </c>
      <c r="H3875" t="str">
        <f>HYPERLINK("https://baanknet.com/view-property/281363/8EB6E13A779E5630136C264A47CF612AF5C645108F6D7AED5E5E1971120A4949", "https://baanknet.com/view-property/281363/8EB6E13A779E5630136C264A47CF612AF5C645108F6D7AED5E5E1971120A4949")</f>
        <v>https://baanknet.com/view-property/281363/8EB6E13A779E5630136C264A47CF612AF5C645108F6D7AED5E5E1971120A4949</v>
      </c>
      <c r="I3875" t="str">
        <f>HYPERLINK("https://baanknet.com/view-property/281363/8EB6E13A779E5630136C264A47CF612AF5C645108F6D7AED5E5E1971120A4949", "Open")</f>
        <v>Open</v>
      </c>
      <c r="J3875" t="s">
        <v>3803</v>
      </c>
      <c r="L3875">
        <v>7600000</v>
      </c>
      <c r="M3875">
        <v>760000</v>
      </c>
    </row>
    <row r="3876" spans="1:13" x14ac:dyDescent="0.25">
      <c r="A3876" t="s">
        <v>12964</v>
      </c>
      <c r="B3876" t="s">
        <v>12965</v>
      </c>
      <c r="C3876" t="s">
        <v>332</v>
      </c>
      <c r="D3876" t="s">
        <v>12804</v>
      </c>
      <c r="E3876" t="s">
        <v>11024</v>
      </c>
      <c r="F3876" t="s">
        <v>11004</v>
      </c>
      <c r="G3876" t="s">
        <v>12966</v>
      </c>
      <c r="H3876" t="str">
        <f>HYPERLINK("https://baanknet.com/view-property/281365/5C4DFEA9FA2A2A0AEB39DA55A8A0A34F443465980836A9BF25FC36F1B543A967", "https://baanknet.com/view-property/281365/5C4DFEA9FA2A2A0AEB39DA55A8A0A34F443465980836A9BF25FC36F1B543A967")</f>
        <v>https://baanknet.com/view-property/281365/5C4DFEA9FA2A2A0AEB39DA55A8A0A34F443465980836A9BF25FC36F1B543A967</v>
      </c>
      <c r="I3876" t="str">
        <f>HYPERLINK("https://baanknet.com/view-property/281365/5C4DFEA9FA2A2A0AEB39DA55A8A0A34F443465980836A9BF25FC36F1B543A967", "Open")</f>
        <v>Open</v>
      </c>
      <c r="J3876" t="s">
        <v>3803</v>
      </c>
      <c r="L3876">
        <v>7600000</v>
      </c>
      <c r="M3876">
        <v>760000</v>
      </c>
    </row>
    <row r="3877" spans="1:13" x14ac:dyDescent="0.25">
      <c r="A3877" t="s">
        <v>12967</v>
      </c>
      <c r="B3877" t="s">
        <v>12968</v>
      </c>
      <c r="C3877" t="s">
        <v>332</v>
      </c>
      <c r="D3877" t="s">
        <v>12804</v>
      </c>
      <c r="E3877" t="s">
        <v>11024</v>
      </c>
      <c r="F3877" t="s">
        <v>11004</v>
      </c>
      <c r="G3877" t="s">
        <v>12969</v>
      </c>
      <c r="H3877" t="str">
        <f>HYPERLINK("https://baanknet.com/view-property/281165/B035D37ADEB4CCA397F9332A94C9772738E7DBF5B128F044CC0B77CA41CF4792", "https://baanknet.com/view-property/281165/B035D37ADEB4CCA397F9332A94C9772738E7DBF5B128F044CC0B77CA41CF4792")</f>
        <v>https://baanknet.com/view-property/281165/B035D37ADEB4CCA397F9332A94C9772738E7DBF5B128F044CC0B77CA41CF4792</v>
      </c>
      <c r="I3877" t="str">
        <f>HYPERLINK("https://baanknet.com/view-property/281165/B035D37ADEB4CCA397F9332A94C9772738E7DBF5B128F044CC0B77CA41CF4792", "Open")</f>
        <v>Open</v>
      </c>
      <c r="J3877" t="s">
        <v>3803</v>
      </c>
      <c r="L3877">
        <v>5600000</v>
      </c>
      <c r="M3877">
        <v>560000</v>
      </c>
    </row>
    <row r="3878" spans="1:13" x14ac:dyDescent="0.25">
      <c r="A3878" t="s">
        <v>12970</v>
      </c>
      <c r="B3878" t="s">
        <v>12971</v>
      </c>
      <c r="C3878" t="s">
        <v>332</v>
      </c>
      <c r="D3878" t="s">
        <v>12804</v>
      </c>
      <c r="E3878" t="s">
        <v>11024</v>
      </c>
      <c r="F3878" t="s">
        <v>11004</v>
      </c>
      <c r="G3878" t="s">
        <v>12972</v>
      </c>
      <c r="H3878" t="str">
        <f>HYPERLINK("https://baanknet.com/view-property/281163/B5C02FEEEB5CF273367ED08E0C418B81A2528D78EBFB6EE07603F754AC96775B", "https://baanknet.com/view-property/281163/B5C02FEEEB5CF273367ED08E0C418B81A2528D78EBFB6EE07603F754AC96775B")</f>
        <v>https://baanknet.com/view-property/281163/B5C02FEEEB5CF273367ED08E0C418B81A2528D78EBFB6EE07603F754AC96775B</v>
      </c>
      <c r="I3878" t="str">
        <f>HYPERLINK("https://baanknet.com/view-property/281163/B5C02FEEEB5CF273367ED08E0C418B81A2528D78EBFB6EE07603F754AC96775B", "Open")</f>
        <v>Open</v>
      </c>
      <c r="J3878" t="s">
        <v>3803</v>
      </c>
      <c r="L3878">
        <v>5600000</v>
      </c>
      <c r="M3878">
        <v>560000</v>
      </c>
    </row>
    <row r="3879" spans="1:13" x14ac:dyDescent="0.25">
      <c r="A3879" t="s">
        <v>12973</v>
      </c>
      <c r="B3879" t="s">
        <v>12974</v>
      </c>
      <c r="C3879" t="s">
        <v>332</v>
      </c>
      <c r="D3879" t="s">
        <v>12804</v>
      </c>
      <c r="E3879" t="s">
        <v>11024</v>
      </c>
      <c r="F3879" t="s">
        <v>11004</v>
      </c>
      <c r="G3879" t="s">
        <v>12975</v>
      </c>
      <c r="H3879" t="str">
        <f>HYPERLINK("https://baanknet.com/view-property/281179/94E1297C44CCB4233C1EC012A9121D5DF6ECA8DAC0F3A29C44EE653790AFCAFB", "https://baanknet.com/view-property/281179/94E1297C44CCB4233C1EC012A9121D5DF6ECA8DAC0F3A29C44EE653790AFCAFB")</f>
        <v>https://baanknet.com/view-property/281179/94E1297C44CCB4233C1EC012A9121D5DF6ECA8DAC0F3A29C44EE653790AFCAFB</v>
      </c>
      <c r="I3879" t="str">
        <f>HYPERLINK("https://baanknet.com/view-property/281179/94E1297C44CCB4233C1EC012A9121D5DF6ECA8DAC0F3A29C44EE653790AFCAFB", "Open")</f>
        <v>Open</v>
      </c>
      <c r="J3879" t="s">
        <v>3803</v>
      </c>
      <c r="L3879">
        <v>5500000</v>
      </c>
      <c r="M3879">
        <v>550000</v>
      </c>
    </row>
    <row r="3880" spans="1:13" x14ac:dyDescent="0.25">
      <c r="A3880" t="s">
        <v>12976</v>
      </c>
      <c r="B3880" t="s">
        <v>12977</v>
      </c>
      <c r="C3880" t="s">
        <v>332</v>
      </c>
      <c r="D3880" t="s">
        <v>12804</v>
      </c>
      <c r="E3880" t="s">
        <v>11024</v>
      </c>
      <c r="F3880" t="s">
        <v>11004</v>
      </c>
      <c r="G3880" t="s">
        <v>12978</v>
      </c>
      <c r="H3880" t="str">
        <f>HYPERLINK("https://baanknet.com/view-property/281467/D1B57404560CBD5EE03AD7C5E6167AC6D516DABD23BA4F3C9D3D9056058A5B34", "https://baanknet.com/view-property/281467/D1B57404560CBD5EE03AD7C5E6167AC6D516DABD23BA4F3C9D3D9056058A5B34")</f>
        <v>https://baanknet.com/view-property/281467/D1B57404560CBD5EE03AD7C5E6167AC6D516DABD23BA4F3C9D3D9056058A5B34</v>
      </c>
      <c r="I3880" t="str">
        <f>HYPERLINK("https://baanknet.com/view-property/281467/D1B57404560CBD5EE03AD7C5E6167AC6D516DABD23BA4F3C9D3D9056058A5B34", "Open")</f>
        <v>Open</v>
      </c>
      <c r="J3880" t="s">
        <v>3803</v>
      </c>
      <c r="L3880">
        <v>7400000</v>
      </c>
      <c r="M3880">
        <v>740000</v>
      </c>
    </row>
    <row r="3881" spans="1:13" x14ac:dyDescent="0.25">
      <c r="A3881" t="s">
        <v>12979</v>
      </c>
      <c r="B3881" t="s">
        <v>12980</v>
      </c>
      <c r="C3881" t="s">
        <v>332</v>
      </c>
      <c r="D3881" t="s">
        <v>12804</v>
      </c>
      <c r="E3881" t="s">
        <v>11024</v>
      </c>
      <c r="F3881" t="s">
        <v>11004</v>
      </c>
      <c r="G3881" t="s">
        <v>12981</v>
      </c>
      <c r="H3881" t="str">
        <f>HYPERLINK("https://baanknet.com/view-property/281469/CE969DE54EAF60518162C2F94AA8F70F7F72832CC3860F2B6D6B44412D466AE2", "https://baanknet.com/view-property/281469/CE969DE54EAF60518162C2F94AA8F70F7F72832CC3860F2B6D6B44412D466AE2")</f>
        <v>https://baanknet.com/view-property/281469/CE969DE54EAF60518162C2F94AA8F70F7F72832CC3860F2B6D6B44412D466AE2</v>
      </c>
      <c r="I3881" t="str">
        <f>HYPERLINK("https://baanknet.com/view-property/281469/CE969DE54EAF60518162C2F94AA8F70F7F72832CC3860F2B6D6B44412D466AE2", "Open")</f>
        <v>Open</v>
      </c>
      <c r="J3881" t="s">
        <v>3803</v>
      </c>
      <c r="L3881">
        <v>7400000</v>
      </c>
      <c r="M3881">
        <v>740000</v>
      </c>
    </row>
    <row r="3882" spans="1:13" x14ac:dyDescent="0.25">
      <c r="A3882" t="s">
        <v>12982</v>
      </c>
      <c r="B3882" t="s">
        <v>12983</v>
      </c>
      <c r="C3882" t="s">
        <v>332</v>
      </c>
      <c r="D3882" t="s">
        <v>12804</v>
      </c>
      <c r="E3882" t="s">
        <v>11024</v>
      </c>
      <c r="F3882" t="s">
        <v>11004</v>
      </c>
      <c r="G3882" t="s">
        <v>12984</v>
      </c>
      <c r="H3882" t="str">
        <f>HYPERLINK("https://baanknet.com/view-property/281368/D36310ECEB83B2FAEA985A5E0094CC6AD51B2743E8C527947DC9E38988C5DBAA", "https://baanknet.com/view-property/281368/D36310ECEB83B2FAEA985A5E0094CC6AD51B2743E8C527947DC9E38988C5DBAA")</f>
        <v>https://baanknet.com/view-property/281368/D36310ECEB83B2FAEA985A5E0094CC6AD51B2743E8C527947DC9E38988C5DBAA</v>
      </c>
      <c r="I3882" t="str">
        <f>HYPERLINK("https://baanknet.com/view-property/281368/D36310ECEB83B2FAEA985A5E0094CC6AD51B2743E8C527947DC9E38988C5DBAA", "Open")</f>
        <v>Open</v>
      </c>
      <c r="J3882" t="s">
        <v>3803</v>
      </c>
      <c r="L3882">
        <v>5700000</v>
      </c>
      <c r="M3882">
        <v>570000</v>
      </c>
    </row>
    <row r="3883" spans="1:13" x14ac:dyDescent="0.25">
      <c r="A3883" t="s">
        <v>12985</v>
      </c>
      <c r="B3883" t="s">
        <v>12986</v>
      </c>
      <c r="C3883" t="s">
        <v>332</v>
      </c>
      <c r="D3883" t="s">
        <v>12804</v>
      </c>
      <c r="E3883" t="s">
        <v>11024</v>
      </c>
      <c r="F3883" t="s">
        <v>11004</v>
      </c>
      <c r="G3883" t="s">
        <v>12987</v>
      </c>
      <c r="H3883" t="str">
        <f>HYPERLINK("https://baanknet.com/view-property/281169/29612313C43ED26EF1FBB568A103D67ED00B351D38DA17618A85A6AFD3EE5B42", "https://baanknet.com/view-property/281169/29612313C43ED26EF1FBB568A103D67ED00B351D38DA17618A85A6AFD3EE5B42")</f>
        <v>https://baanknet.com/view-property/281169/29612313C43ED26EF1FBB568A103D67ED00B351D38DA17618A85A6AFD3EE5B42</v>
      </c>
      <c r="I3883" t="str">
        <f>HYPERLINK("https://baanknet.com/view-property/281169/29612313C43ED26EF1FBB568A103D67ED00B351D38DA17618A85A6AFD3EE5B42", "Open")</f>
        <v>Open</v>
      </c>
      <c r="J3883" t="s">
        <v>3803</v>
      </c>
      <c r="L3883">
        <v>7300000</v>
      </c>
      <c r="M3883">
        <v>730000</v>
      </c>
    </row>
    <row r="3884" spans="1:13" x14ac:dyDescent="0.25">
      <c r="A3884" t="s">
        <v>12988</v>
      </c>
      <c r="B3884" t="s">
        <v>12989</v>
      </c>
      <c r="C3884" t="s">
        <v>332</v>
      </c>
      <c r="D3884" t="s">
        <v>12804</v>
      </c>
      <c r="E3884" t="s">
        <v>11024</v>
      </c>
      <c r="F3884" t="s">
        <v>11004</v>
      </c>
      <c r="G3884" t="s">
        <v>12990</v>
      </c>
      <c r="H3884" t="str">
        <f>HYPERLINK("https://baanknet.com/view-property/281458/AB88029C569DF0652D719A4B13324E5A05B849B79D6F232F2F17E5954CD329F1", "https://baanknet.com/view-property/281458/AB88029C569DF0652D719A4B13324E5A05B849B79D6F232F2F17E5954CD329F1")</f>
        <v>https://baanknet.com/view-property/281458/AB88029C569DF0652D719A4B13324E5A05B849B79D6F232F2F17E5954CD329F1</v>
      </c>
      <c r="I3884" t="str">
        <f>HYPERLINK("https://baanknet.com/view-property/281458/AB88029C569DF0652D719A4B13324E5A05B849B79D6F232F2F17E5954CD329F1", "Open")</f>
        <v>Open</v>
      </c>
      <c r="J3884" t="s">
        <v>3803</v>
      </c>
      <c r="L3884">
        <v>7500000</v>
      </c>
      <c r="M3884">
        <v>750000</v>
      </c>
    </row>
    <row r="3885" spans="1:13" x14ac:dyDescent="0.25">
      <c r="A3885" t="s">
        <v>12991</v>
      </c>
      <c r="B3885" t="s">
        <v>12992</v>
      </c>
      <c r="C3885" t="s">
        <v>332</v>
      </c>
      <c r="D3885" t="s">
        <v>12804</v>
      </c>
      <c r="E3885" t="s">
        <v>11024</v>
      </c>
      <c r="F3885" t="s">
        <v>11004</v>
      </c>
      <c r="G3885" t="s">
        <v>12993</v>
      </c>
      <c r="H3885" t="str">
        <f>HYPERLINK("https://baanknet.com/view-property/281372/6EB08F51F124C662DEB9D096460380BA34DEDE20B69F431266C254CF14F75A24", "https://baanknet.com/view-property/281372/6EB08F51F124C662DEB9D096460380BA34DEDE20B69F431266C254CF14F75A24")</f>
        <v>https://baanknet.com/view-property/281372/6EB08F51F124C662DEB9D096460380BA34DEDE20B69F431266C254CF14F75A24</v>
      </c>
      <c r="I3885" t="str">
        <f>HYPERLINK("https://baanknet.com/view-property/281372/6EB08F51F124C662DEB9D096460380BA34DEDE20B69F431266C254CF14F75A24", "Open")</f>
        <v>Open</v>
      </c>
      <c r="J3885" t="s">
        <v>3803</v>
      </c>
      <c r="L3885">
        <v>7600000</v>
      </c>
      <c r="M3885">
        <v>760000</v>
      </c>
    </row>
    <row r="3886" spans="1:13" x14ac:dyDescent="0.25">
      <c r="A3886" t="s">
        <v>12994</v>
      </c>
      <c r="B3886" t="s">
        <v>12995</v>
      </c>
      <c r="C3886" t="s">
        <v>332</v>
      </c>
      <c r="D3886" t="s">
        <v>12804</v>
      </c>
      <c r="E3886" t="s">
        <v>11024</v>
      </c>
      <c r="F3886" t="s">
        <v>11004</v>
      </c>
      <c r="G3886" t="s">
        <v>12996</v>
      </c>
      <c r="H3886" t="str">
        <f>HYPERLINK("https://baanknet.com/view-property/281374/6B4AC5F0516AC7D482559B4E8CE0E5888086D4A08DA718F40C1284DDB51F5C50", "https://baanknet.com/view-property/281374/6B4AC5F0516AC7D482559B4E8CE0E5888086D4A08DA718F40C1284DDB51F5C50")</f>
        <v>https://baanknet.com/view-property/281374/6B4AC5F0516AC7D482559B4E8CE0E5888086D4A08DA718F40C1284DDB51F5C50</v>
      </c>
      <c r="I3886" t="str">
        <f>HYPERLINK("https://baanknet.com/view-property/281374/6B4AC5F0516AC7D482559B4E8CE0E5888086D4A08DA718F40C1284DDB51F5C50", "Open")</f>
        <v>Open</v>
      </c>
      <c r="J3886" t="s">
        <v>3803</v>
      </c>
      <c r="L3886">
        <v>8700000</v>
      </c>
      <c r="M3886">
        <v>870000</v>
      </c>
    </row>
    <row r="3887" spans="1:13" x14ac:dyDescent="0.25">
      <c r="A3887" t="s">
        <v>12997</v>
      </c>
      <c r="B3887" t="s">
        <v>12998</v>
      </c>
      <c r="C3887" t="s">
        <v>332</v>
      </c>
      <c r="D3887" t="s">
        <v>12804</v>
      </c>
      <c r="E3887" t="s">
        <v>11024</v>
      </c>
      <c r="F3887" t="s">
        <v>11004</v>
      </c>
      <c r="G3887" t="s">
        <v>12999</v>
      </c>
      <c r="H3887" t="str">
        <f>HYPERLINK("https://baanknet.com/view-property/281377/C2B16A9CB2C04EF6E2C7AEDD2575EE4EE6D700C7E767A9B0A23D64AD066A4933", "https://baanknet.com/view-property/281377/C2B16A9CB2C04EF6E2C7AEDD2575EE4EE6D700C7E767A9B0A23D64AD066A4933")</f>
        <v>https://baanknet.com/view-property/281377/C2B16A9CB2C04EF6E2C7AEDD2575EE4EE6D700C7E767A9B0A23D64AD066A4933</v>
      </c>
      <c r="I3887" t="str">
        <f>HYPERLINK("https://baanknet.com/view-property/281377/C2B16A9CB2C04EF6E2C7AEDD2575EE4EE6D700C7E767A9B0A23D64AD066A4933", "Open")</f>
        <v>Open</v>
      </c>
      <c r="J3887" t="s">
        <v>3803</v>
      </c>
      <c r="L3887">
        <v>7500000</v>
      </c>
      <c r="M3887">
        <v>750000</v>
      </c>
    </row>
    <row r="3888" spans="1:13" x14ac:dyDescent="0.25">
      <c r="A3888" t="s">
        <v>13000</v>
      </c>
      <c r="B3888" t="s">
        <v>13001</v>
      </c>
      <c r="C3888" t="s">
        <v>332</v>
      </c>
      <c r="D3888" t="s">
        <v>12804</v>
      </c>
      <c r="E3888" t="s">
        <v>11024</v>
      </c>
      <c r="F3888" t="s">
        <v>11004</v>
      </c>
      <c r="G3888" t="s">
        <v>13002</v>
      </c>
      <c r="H3888" t="str">
        <f>HYPERLINK("https://baanknet.com/view-property/281379/D448E1447706F96FDED172CA946469B5F68F99873A1DB261023378536758C746", "https://baanknet.com/view-property/281379/D448E1447706F96FDED172CA946469B5F68F99873A1DB261023378536758C746")</f>
        <v>https://baanknet.com/view-property/281379/D448E1447706F96FDED172CA946469B5F68F99873A1DB261023378536758C746</v>
      </c>
      <c r="I3888" t="str">
        <f>HYPERLINK("https://baanknet.com/view-property/281379/D448E1447706F96FDED172CA946469B5F68F99873A1DB261023378536758C746", "Open")</f>
        <v>Open</v>
      </c>
      <c r="J3888" t="s">
        <v>3803</v>
      </c>
      <c r="L3888">
        <v>7500000</v>
      </c>
      <c r="M3888">
        <v>750000</v>
      </c>
    </row>
    <row r="3889" spans="1:13" x14ac:dyDescent="0.25">
      <c r="A3889" t="s">
        <v>13003</v>
      </c>
      <c r="B3889" t="s">
        <v>13004</v>
      </c>
      <c r="C3889" t="s">
        <v>387</v>
      </c>
      <c r="D3889" t="s">
        <v>4771</v>
      </c>
      <c r="E3889" t="s">
        <v>11024</v>
      </c>
      <c r="F3889" t="s">
        <v>11004</v>
      </c>
      <c r="G3889" t="s">
        <v>13005</v>
      </c>
      <c r="H3889" t="str">
        <f>HYPERLINK("https://baanknet.com/view-property/275966/E8C9C96B2667CEE5229EB9EDF7C64D61EAB17466645C7AD522E2EB70FDFDA8BE", "https://baanknet.com/view-property/275966/E8C9C96B2667CEE5229EB9EDF7C64D61EAB17466645C7AD522E2EB70FDFDA8BE")</f>
        <v>https://baanknet.com/view-property/275966/E8C9C96B2667CEE5229EB9EDF7C64D61EAB17466645C7AD522E2EB70FDFDA8BE</v>
      </c>
      <c r="I3889" t="str">
        <f>HYPERLINK("https://baanknet.com/view-property/275966/E8C9C96B2667CEE5229EB9EDF7C64D61EAB17466645C7AD522E2EB70FDFDA8BE", "Open")</f>
        <v>Open</v>
      </c>
      <c r="J3889" t="s">
        <v>3803</v>
      </c>
      <c r="L3889">
        <v>9900000</v>
      </c>
      <c r="M3889">
        <v>990000</v>
      </c>
    </row>
    <row r="3890" spans="1:13" x14ac:dyDescent="0.25">
      <c r="A3890" t="s">
        <v>13006</v>
      </c>
      <c r="B3890" t="s">
        <v>13007</v>
      </c>
      <c r="C3890" t="s">
        <v>332</v>
      </c>
      <c r="D3890" t="s">
        <v>1520</v>
      </c>
      <c r="E3890" t="s">
        <v>11024</v>
      </c>
      <c r="F3890" t="s">
        <v>11004</v>
      </c>
      <c r="G3890" t="s">
        <v>13008</v>
      </c>
      <c r="H3890" t="str">
        <f>HYPERLINK("https://baanknet.com/view-property/286079/75A57D3F531D66262FC5C922666FEB19EA00009E1295F7CF8333E285E66E0643", "https://baanknet.com/view-property/286079/75A57D3F531D66262FC5C922666FEB19EA00009E1295F7CF8333E285E66E0643")</f>
        <v>https://baanknet.com/view-property/286079/75A57D3F531D66262FC5C922666FEB19EA00009E1295F7CF8333E285E66E0643</v>
      </c>
      <c r="I3890" t="str">
        <f>HYPERLINK("https://baanknet.com/view-property/286079/75A57D3F531D66262FC5C922666FEB19EA00009E1295F7CF8333E285E66E0643", "Open")</f>
        <v>Open</v>
      </c>
      <c r="J3890" t="s">
        <v>3803</v>
      </c>
      <c r="L3890">
        <v>7800000</v>
      </c>
      <c r="M3890">
        <v>780000</v>
      </c>
    </row>
    <row r="3891" spans="1:13" x14ac:dyDescent="0.25">
      <c r="A3891" t="s">
        <v>13009</v>
      </c>
      <c r="B3891" t="s">
        <v>13010</v>
      </c>
      <c r="C3891" t="s">
        <v>332</v>
      </c>
      <c r="D3891" t="s">
        <v>8644</v>
      </c>
      <c r="E3891" t="s">
        <v>11024</v>
      </c>
      <c r="F3891" t="s">
        <v>11004</v>
      </c>
      <c r="G3891" t="s">
        <v>13011</v>
      </c>
      <c r="H3891" t="str">
        <f>HYPERLINK("https://baanknet.com/view-property/201461/BEF73968617212321AF584017A8FC50BA3B5CDDEFBF2BB088A552E54A2BE4739", "https://baanknet.com/view-property/201461/BEF73968617212321AF584017A8FC50BA3B5CDDEFBF2BB088A552E54A2BE4739")</f>
        <v>https://baanknet.com/view-property/201461/BEF73968617212321AF584017A8FC50BA3B5CDDEFBF2BB088A552E54A2BE4739</v>
      </c>
      <c r="I3891" t="str">
        <f>HYPERLINK("https://baanknet.com/view-property/201461/BEF73968617212321AF584017A8FC50BA3B5CDDEFBF2BB088A552E54A2BE4739", "Open")</f>
        <v>Open</v>
      </c>
      <c r="J3891" t="s">
        <v>3803</v>
      </c>
      <c r="L3891">
        <v>2500000</v>
      </c>
      <c r="M3891">
        <v>250000</v>
      </c>
    </row>
    <row r="3892" spans="1:13" x14ac:dyDescent="0.25">
      <c r="A3892" t="s">
        <v>13012</v>
      </c>
      <c r="B3892" t="s">
        <v>13013</v>
      </c>
      <c r="C3892" t="s">
        <v>332</v>
      </c>
      <c r="D3892" t="s">
        <v>8644</v>
      </c>
      <c r="E3892" t="s">
        <v>11024</v>
      </c>
      <c r="F3892" t="s">
        <v>11004</v>
      </c>
      <c r="G3892" t="s">
        <v>13014</v>
      </c>
      <c r="H3892" t="str">
        <f>HYPERLINK("https://baanknet.com/view-property/267235/9B51ABEA740491CB4660218E2134822766112BAF4F7FBFEFED7B2DE5E2C15DF1", "https://baanknet.com/view-property/267235/9B51ABEA740491CB4660218E2134822766112BAF4F7FBFEFED7B2DE5E2C15DF1")</f>
        <v>https://baanknet.com/view-property/267235/9B51ABEA740491CB4660218E2134822766112BAF4F7FBFEFED7B2DE5E2C15DF1</v>
      </c>
      <c r="I3892" t="str">
        <f>HYPERLINK("https://baanknet.com/view-property/267235/9B51ABEA740491CB4660218E2134822766112BAF4F7FBFEFED7B2DE5E2C15DF1", "Open")</f>
        <v>Open</v>
      </c>
      <c r="J3892" t="s">
        <v>3803</v>
      </c>
      <c r="L3892">
        <v>4900000</v>
      </c>
      <c r="M3892">
        <v>490000</v>
      </c>
    </row>
    <row r="3893" spans="1:13" x14ac:dyDescent="0.25">
      <c r="A3893" t="s">
        <v>13015</v>
      </c>
      <c r="B3893" t="s">
        <v>13016</v>
      </c>
      <c r="C3893" t="s">
        <v>387</v>
      </c>
      <c r="D3893" t="s">
        <v>1477</v>
      </c>
      <c r="E3893" t="s">
        <v>11024</v>
      </c>
      <c r="F3893" t="s">
        <v>11004</v>
      </c>
      <c r="G3893" t="s">
        <v>13017</v>
      </c>
      <c r="H3893" t="str">
        <f>HYPERLINK("https://baanknet.com/view-property/253167/C947A84F186F5A01EB4C91A6C0FC12E8EC270FECE00CE6A517D512034922F53B", "https://baanknet.com/view-property/253167/C947A84F186F5A01EB4C91A6C0FC12E8EC270FECE00CE6A517D512034922F53B")</f>
        <v>https://baanknet.com/view-property/253167/C947A84F186F5A01EB4C91A6C0FC12E8EC270FECE00CE6A517D512034922F53B</v>
      </c>
      <c r="I3893" t="str">
        <f>HYPERLINK("https://baanknet.com/view-property/253167/C947A84F186F5A01EB4C91A6C0FC12E8EC270FECE00CE6A517D512034922F53B", "Open")</f>
        <v>Open</v>
      </c>
      <c r="J3893" t="s">
        <v>3803</v>
      </c>
      <c r="L3893">
        <v>1446000</v>
      </c>
      <c r="M3893">
        <v>144600</v>
      </c>
    </row>
    <row r="3894" spans="1:13" x14ac:dyDescent="0.25">
      <c r="A3894" t="s">
        <v>13018</v>
      </c>
      <c r="B3894" t="s">
        <v>13019</v>
      </c>
      <c r="C3894" t="s">
        <v>387</v>
      </c>
      <c r="D3894" t="s">
        <v>995</v>
      </c>
      <c r="E3894" t="s">
        <v>11024</v>
      </c>
      <c r="F3894" t="s">
        <v>11004</v>
      </c>
      <c r="G3894" t="s">
        <v>13020</v>
      </c>
      <c r="H3894" t="str">
        <f>HYPERLINK("https://baanknet.com/view-property/255197/068E72E10EE3A5F07CBB56350563C5A3F3232AD0C5BCF3C384BE64DC940DA9EE", "https://baanknet.com/view-property/255197/068E72E10EE3A5F07CBB56350563C5A3F3232AD0C5BCF3C384BE64DC940DA9EE")</f>
        <v>https://baanknet.com/view-property/255197/068E72E10EE3A5F07CBB56350563C5A3F3232AD0C5BCF3C384BE64DC940DA9EE</v>
      </c>
      <c r="I3894" t="str">
        <f>HYPERLINK("https://baanknet.com/view-property/255197/068E72E10EE3A5F07CBB56350563C5A3F3232AD0C5BCF3C384BE64DC940DA9EE", "Open")</f>
        <v>Open</v>
      </c>
      <c r="J3894" t="s">
        <v>3803</v>
      </c>
      <c r="L3894">
        <v>475000</v>
      </c>
      <c r="M3894">
        <v>47500</v>
      </c>
    </row>
    <row r="3895" spans="1:13" x14ac:dyDescent="0.25">
      <c r="A3895" t="s">
        <v>13021</v>
      </c>
      <c r="B3895" t="s">
        <v>13022</v>
      </c>
      <c r="C3895" t="s">
        <v>121</v>
      </c>
      <c r="D3895" t="s">
        <v>533</v>
      </c>
      <c r="E3895" t="s">
        <v>11024</v>
      </c>
      <c r="F3895" t="s">
        <v>11004</v>
      </c>
      <c r="G3895" t="s">
        <v>13023</v>
      </c>
      <c r="H3895" t="str">
        <f>HYPERLINK("https://baanknet.com/view-property/273260/EF9E65B2E8DDD5D4C394B81FCAC4C45307F473279E1DAA6FB51A08408D1F379F", "https://baanknet.com/view-property/273260/EF9E65B2E8DDD5D4C394B81FCAC4C45307F473279E1DAA6FB51A08408D1F379F")</f>
        <v>https://baanknet.com/view-property/273260/EF9E65B2E8DDD5D4C394B81FCAC4C45307F473279E1DAA6FB51A08408D1F379F</v>
      </c>
      <c r="I3895" t="str">
        <f>HYPERLINK("https://baanknet.com/view-property/273260/EF9E65B2E8DDD5D4C394B81FCAC4C45307F473279E1DAA6FB51A08408D1F379F", "Open")</f>
        <v>Open</v>
      </c>
      <c r="J3895" t="s">
        <v>3803</v>
      </c>
      <c r="L3895">
        <v>15300000</v>
      </c>
      <c r="M3895">
        <v>1530000</v>
      </c>
    </row>
    <row r="3896" spans="1:13" x14ac:dyDescent="0.25">
      <c r="A3896" t="s">
        <v>13024</v>
      </c>
      <c r="B3896" t="s">
        <v>13025</v>
      </c>
      <c r="C3896" t="s">
        <v>121</v>
      </c>
      <c r="D3896" t="s">
        <v>518</v>
      </c>
      <c r="E3896" t="s">
        <v>11024</v>
      </c>
      <c r="F3896" t="s">
        <v>11004</v>
      </c>
      <c r="G3896" t="s">
        <v>13026</v>
      </c>
      <c r="H3896" t="str">
        <f>HYPERLINK("https://baanknet.com/view-property/183125/B6DA0689C393542555AC4AD5507C27C264186F5B5E723EE68F45B2555BD07F55", "https://baanknet.com/view-property/183125/B6DA0689C393542555AC4AD5507C27C264186F5B5E723EE68F45B2555BD07F55")</f>
        <v>https://baanknet.com/view-property/183125/B6DA0689C393542555AC4AD5507C27C264186F5B5E723EE68F45B2555BD07F55</v>
      </c>
      <c r="I3896" t="str">
        <f>HYPERLINK("https://baanknet.com/view-property/183125/B6DA0689C393542555AC4AD5507C27C264186F5B5E723EE68F45B2555BD07F55", "Open")</f>
        <v>Open</v>
      </c>
      <c r="J3896" t="s">
        <v>3803</v>
      </c>
      <c r="L3896">
        <v>6885000</v>
      </c>
      <c r="M3896">
        <v>688500</v>
      </c>
    </row>
    <row r="3897" spans="1:13" x14ac:dyDescent="0.25">
      <c r="A3897" t="s">
        <v>13027</v>
      </c>
      <c r="B3897" t="s">
        <v>13028</v>
      </c>
      <c r="C3897" t="s">
        <v>121</v>
      </c>
      <c r="D3897" t="s">
        <v>518</v>
      </c>
      <c r="E3897" t="s">
        <v>11024</v>
      </c>
      <c r="F3897" t="s">
        <v>11004</v>
      </c>
      <c r="G3897" t="s">
        <v>13029</v>
      </c>
      <c r="H3897" t="str">
        <f>HYPERLINK("https://baanknet.com/view-property/237562/C8B2E7339BEAC6CE47893A86FDBFBE8657F3B37F7DCA7A7E6E312B58D77899CA", "https://baanknet.com/view-property/237562/C8B2E7339BEAC6CE47893A86FDBFBE8657F3B37F7DCA7A7E6E312B58D77899CA")</f>
        <v>https://baanknet.com/view-property/237562/C8B2E7339BEAC6CE47893A86FDBFBE8657F3B37F7DCA7A7E6E312B58D77899CA</v>
      </c>
      <c r="I3897" t="str">
        <f>HYPERLINK("https://baanknet.com/view-property/237562/C8B2E7339BEAC6CE47893A86FDBFBE8657F3B37F7DCA7A7E6E312B58D77899CA", "Open")</f>
        <v>Open</v>
      </c>
      <c r="J3897" t="s">
        <v>3803</v>
      </c>
      <c r="L3897">
        <v>10230000</v>
      </c>
      <c r="M3897">
        <v>1023000</v>
      </c>
    </row>
    <row r="3898" spans="1:13" x14ac:dyDescent="0.25">
      <c r="A3898" t="s">
        <v>13030</v>
      </c>
      <c r="B3898" t="s">
        <v>13031</v>
      </c>
      <c r="C3898" t="s">
        <v>121</v>
      </c>
      <c r="D3898" t="s">
        <v>13032</v>
      </c>
      <c r="E3898" t="s">
        <v>11024</v>
      </c>
      <c r="F3898" t="s">
        <v>11004</v>
      </c>
      <c r="G3898" t="s">
        <v>13033</v>
      </c>
      <c r="H3898" t="str">
        <f>HYPERLINK("https://baanknet.com/view-property/281760/4457BEB172C47374A990CAC6E70C68FEC36B3A0932E98DAA75C5EC395A72BE80", "https://baanknet.com/view-property/281760/4457BEB172C47374A990CAC6E70C68FEC36B3A0932E98DAA75C5EC395A72BE80")</f>
        <v>https://baanknet.com/view-property/281760/4457BEB172C47374A990CAC6E70C68FEC36B3A0932E98DAA75C5EC395A72BE80</v>
      </c>
      <c r="I3898" t="str">
        <f>HYPERLINK("https://baanknet.com/view-property/281760/4457BEB172C47374A990CAC6E70C68FEC36B3A0932E98DAA75C5EC395A72BE80", "Open")</f>
        <v>Open</v>
      </c>
      <c r="J3898" t="s">
        <v>3803</v>
      </c>
      <c r="L3898">
        <v>3003000</v>
      </c>
      <c r="M3898">
        <v>301000</v>
      </c>
    </row>
    <row r="3899" spans="1:13" x14ac:dyDescent="0.25">
      <c r="A3899" t="s">
        <v>13034</v>
      </c>
      <c r="B3899" t="s">
        <v>13035</v>
      </c>
      <c r="C3899" t="s">
        <v>121</v>
      </c>
      <c r="D3899" t="s">
        <v>13036</v>
      </c>
      <c r="E3899" t="s">
        <v>11024</v>
      </c>
      <c r="F3899" t="s">
        <v>11004</v>
      </c>
      <c r="G3899" t="s">
        <v>13037</v>
      </c>
      <c r="H3899" t="str">
        <f>HYPERLINK("https://baanknet.com/view-property/221596/B043E54503D6719FF2E3B64BD2C1C76E91894E429F2AEDEDD5F448D6A68A6644", "https://baanknet.com/view-property/221596/B043E54503D6719FF2E3B64BD2C1C76E91894E429F2AEDEDD5F448D6A68A6644")</f>
        <v>https://baanknet.com/view-property/221596/B043E54503D6719FF2E3B64BD2C1C76E91894E429F2AEDEDD5F448D6A68A6644</v>
      </c>
      <c r="I3899" t="str">
        <f>HYPERLINK("https://baanknet.com/view-property/221596/B043E54503D6719FF2E3B64BD2C1C76E91894E429F2AEDEDD5F448D6A68A6644", "Open")</f>
        <v>Open</v>
      </c>
      <c r="J3899" t="s">
        <v>3803</v>
      </c>
      <c r="L3899">
        <v>2769000</v>
      </c>
      <c r="M3899">
        <v>276900</v>
      </c>
    </row>
    <row r="3900" spans="1:13" x14ac:dyDescent="0.25">
      <c r="A3900" t="s">
        <v>13038</v>
      </c>
      <c r="B3900" t="s">
        <v>13039</v>
      </c>
      <c r="C3900" t="s">
        <v>571</v>
      </c>
      <c r="D3900" t="s">
        <v>153</v>
      </c>
      <c r="E3900" t="s">
        <v>11024</v>
      </c>
      <c r="F3900" t="s">
        <v>11004</v>
      </c>
      <c r="G3900" t="s">
        <v>13040</v>
      </c>
      <c r="H3900" t="str">
        <f>HYPERLINK("https://baanknet.com/view-property/249563/712D9BF07A13DFC7EB215A47F58B1427C6038D920E430B3D8396C3DF389A0A22", "https://baanknet.com/view-property/249563/712D9BF07A13DFC7EB215A47F58B1427C6038D920E430B3D8396C3DF389A0A22")</f>
        <v>https://baanknet.com/view-property/249563/712D9BF07A13DFC7EB215A47F58B1427C6038D920E430B3D8396C3DF389A0A22</v>
      </c>
      <c r="I3900" t="str">
        <f>HYPERLINK("https://baanknet.com/view-property/249563/712D9BF07A13DFC7EB215A47F58B1427C6038D920E430B3D8396C3DF389A0A22", "Open")</f>
        <v>Open</v>
      </c>
      <c r="J3900" t="s">
        <v>3803</v>
      </c>
      <c r="L3900">
        <v>720000</v>
      </c>
      <c r="M3900">
        <v>72000</v>
      </c>
    </row>
    <row r="3901" spans="1:13" x14ac:dyDescent="0.25">
      <c r="A3901" t="s">
        <v>13041</v>
      </c>
      <c r="B3901" t="s">
        <v>13042</v>
      </c>
      <c r="C3901" t="s">
        <v>121</v>
      </c>
      <c r="D3901" t="s">
        <v>1892</v>
      </c>
      <c r="E3901" t="s">
        <v>11024</v>
      </c>
      <c r="F3901" t="s">
        <v>11004</v>
      </c>
      <c r="G3901" t="s">
        <v>13043</v>
      </c>
      <c r="H3901" t="str">
        <f>HYPERLINK("https://baanknet.com/view-property/179998/46F62C07F7955E6DCBF27BD45FA10BFF880F202EC2C642276B3B250BC6CFC5CF", "https://baanknet.com/view-property/179998/46F62C07F7955E6DCBF27BD45FA10BFF880F202EC2C642276B3B250BC6CFC5CF")</f>
        <v>https://baanknet.com/view-property/179998/46F62C07F7955E6DCBF27BD45FA10BFF880F202EC2C642276B3B250BC6CFC5CF</v>
      </c>
      <c r="I3901" t="str">
        <f>HYPERLINK("https://baanknet.com/view-property/179998/46F62C07F7955E6DCBF27BD45FA10BFF880F202EC2C642276B3B250BC6CFC5CF", "Open")</f>
        <v>Open</v>
      </c>
      <c r="J3901" t="s">
        <v>3803</v>
      </c>
      <c r="L3901">
        <v>3264000</v>
      </c>
      <c r="M3901">
        <v>327000</v>
      </c>
    </row>
    <row r="3902" spans="1:13" x14ac:dyDescent="0.25">
      <c r="A3902" t="s">
        <v>13044</v>
      </c>
      <c r="B3902" t="s">
        <v>13045</v>
      </c>
      <c r="C3902" t="s">
        <v>332</v>
      </c>
      <c r="D3902" t="s">
        <v>2163</v>
      </c>
      <c r="E3902" t="s">
        <v>11024</v>
      </c>
      <c r="F3902" t="s">
        <v>11004</v>
      </c>
      <c r="G3902" t="s">
        <v>13046</v>
      </c>
      <c r="H3902" t="str">
        <f>HYPERLINK("https://baanknet.com/view-property/266559/871BB77CB9F4694EA453B3C951AE408E6983F9100FB9A27243213FA5D942B1BD", "https://baanknet.com/view-property/266559/871BB77CB9F4694EA453B3C951AE408E6983F9100FB9A27243213FA5D942B1BD")</f>
        <v>https://baanknet.com/view-property/266559/871BB77CB9F4694EA453B3C951AE408E6983F9100FB9A27243213FA5D942B1BD</v>
      </c>
      <c r="I3902" t="str">
        <f>HYPERLINK("https://baanknet.com/view-property/266559/871BB77CB9F4694EA453B3C951AE408E6983F9100FB9A27243213FA5D942B1BD", "Open")</f>
        <v>Open</v>
      </c>
      <c r="J3902" t="s">
        <v>3803</v>
      </c>
      <c r="L3902">
        <v>2400000</v>
      </c>
      <c r="M3902">
        <v>240000</v>
      </c>
    </row>
    <row r="3903" spans="1:13" x14ac:dyDescent="0.25">
      <c r="A3903" t="s">
        <v>13047</v>
      </c>
      <c r="B3903" t="s">
        <v>13048</v>
      </c>
      <c r="C3903" t="s">
        <v>121</v>
      </c>
      <c r="D3903" t="s">
        <v>9350</v>
      </c>
      <c r="E3903" t="s">
        <v>11024</v>
      </c>
      <c r="F3903" t="s">
        <v>11004</v>
      </c>
      <c r="G3903" t="s">
        <v>13049</v>
      </c>
      <c r="H3903" t="str">
        <f>HYPERLINK("https://baanknet.com/view-property/275513/5D50033D8C04BED76220B05F9DA7311A5F1559C102B07462C7C82E38CBDB13C4", "https://baanknet.com/view-property/275513/5D50033D8C04BED76220B05F9DA7311A5F1559C102B07462C7C82E38CBDB13C4")</f>
        <v>https://baanknet.com/view-property/275513/5D50033D8C04BED76220B05F9DA7311A5F1559C102B07462C7C82E38CBDB13C4</v>
      </c>
      <c r="I3903" t="str">
        <f>HYPERLINK("https://baanknet.com/view-property/275513/5D50033D8C04BED76220B05F9DA7311A5F1559C102B07462C7C82E38CBDB13C4", "Open")</f>
        <v>Open</v>
      </c>
      <c r="J3903" t="s">
        <v>3803</v>
      </c>
      <c r="L3903">
        <v>7830000</v>
      </c>
      <c r="M3903">
        <v>783000</v>
      </c>
    </row>
    <row r="3904" spans="1:13" x14ac:dyDescent="0.25">
      <c r="A3904" t="s">
        <v>13050</v>
      </c>
      <c r="B3904" t="s">
        <v>13051</v>
      </c>
      <c r="C3904" t="s">
        <v>332</v>
      </c>
      <c r="D3904" t="s">
        <v>1310</v>
      </c>
      <c r="E3904" t="s">
        <v>11024</v>
      </c>
      <c r="F3904" t="s">
        <v>11004</v>
      </c>
      <c r="G3904" t="s">
        <v>13052</v>
      </c>
      <c r="H3904" t="str">
        <f>HYPERLINK("https://baanknet.com/view-property/275286/8C3DC6A32D591693F7B2606928501EF93440C318E702923284D1965F74576F30", "https://baanknet.com/view-property/275286/8C3DC6A32D591693F7B2606928501EF93440C318E702923284D1965F74576F30")</f>
        <v>https://baanknet.com/view-property/275286/8C3DC6A32D591693F7B2606928501EF93440C318E702923284D1965F74576F30</v>
      </c>
      <c r="I3904" t="str">
        <f>HYPERLINK("https://baanknet.com/view-property/275286/8C3DC6A32D591693F7B2606928501EF93440C318E702923284D1965F74576F30", "Open")</f>
        <v>Open</v>
      </c>
      <c r="J3904" t="s">
        <v>3803</v>
      </c>
      <c r="L3904">
        <v>13200000</v>
      </c>
      <c r="M3904">
        <v>1320000</v>
      </c>
    </row>
    <row r="3905" spans="1:13" x14ac:dyDescent="0.25">
      <c r="A3905" t="s">
        <v>13053</v>
      </c>
      <c r="B3905" t="s">
        <v>13054</v>
      </c>
      <c r="C3905" t="s">
        <v>387</v>
      </c>
      <c r="D3905" t="s">
        <v>1477</v>
      </c>
      <c r="E3905" t="s">
        <v>11024</v>
      </c>
      <c r="F3905" t="s">
        <v>11004</v>
      </c>
      <c r="G3905" t="s">
        <v>13055</v>
      </c>
      <c r="H3905" t="str">
        <f>HYPERLINK("https://baanknet.com/view-property/253447/2C0BE75F7CD9E9525AB888C1087B80EED4B1D743FF04406A89D3227D58402404", "https://baanknet.com/view-property/253447/2C0BE75F7CD9E9525AB888C1087B80EED4B1D743FF04406A89D3227D58402404")</f>
        <v>https://baanknet.com/view-property/253447/2C0BE75F7CD9E9525AB888C1087B80EED4B1D743FF04406A89D3227D58402404</v>
      </c>
      <c r="I3905" t="str">
        <f>HYPERLINK("https://baanknet.com/view-property/253447/2C0BE75F7CD9E9525AB888C1087B80EED4B1D743FF04406A89D3227D58402404", "Open")</f>
        <v>Open</v>
      </c>
      <c r="J3905" t="s">
        <v>3803</v>
      </c>
      <c r="L3905">
        <v>714000</v>
      </c>
      <c r="M3905">
        <v>71400</v>
      </c>
    </row>
    <row r="3906" spans="1:13" x14ac:dyDescent="0.25">
      <c r="A3906" t="s">
        <v>13056</v>
      </c>
      <c r="B3906" t="s">
        <v>13057</v>
      </c>
      <c r="C3906" t="s">
        <v>525</v>
      </c>
      <c r="D3906" t="s">
        <v>995</v>
      </c>
      <c r="E3906" t="s">
        <v>11024</v>
      </c>
      <c r="F3906" t="s">
        <v>11004</v>
      </c>
      <c r="G3906" t="s">
        <v>13058</v>
      </c>
      <c r="H3906" t="str">
        <f>HYPERLINK("https://baanknet.com/view-property/279390/481868C1262BDB747A65D7AA7C9984CEB66474F10C10F7F162FA4A9AB5BE320E", "https://baanknet.com/view-property/279390/481868C1262BDB747A65D7AA7C9984CEB66474F10C10F7F162FA4A9AB5BE320E")</f>
        <v>https://baanknet.com/view-property/279390/481868C1262BDB747A65D7AA7C9984CEB66474F10C10F7F162FA4A9AB5BE320E</v>
      </c>
      <c r="I3906" t="str">
        <f>HYPERLINK("https://baanknet.com/view-property/279390/481868C1262BDB747A65D7AA7C9984CEB66474F10C10F7F162FA4A9AB5BE320E", "Open")</f>
        <v>Open</v>
      </c>
      <c r="J3906" t="s">
        <v>3803</v>
      </c>
      <c r="L3906">
        <v>2300000</v>
      </c>
      <c r="M3906">
        <v>230000</v>
      </c>
    </row>
    <row r="3907" spans="1:13" x14ac:dyDescent="0.25">
      <c r="A3907" t="s">
        <v>13059</v>
      </c>
      <c r="B3907" t="s">
        <v>13060</v>
      </c>
      <c r="C3907" t="s">
        <v>525</v>
      </c>
      <c r="D3907" t="s">
        <v>1246</v>
      </c>
      <c r="E3907" t="s">
        <v>11024</v>
      </c>
      <c r="F3907" t="s">
        <v>11004</v>
      </c>
      <c r="G3907" t="s">
        <v>13061</v>
      </c>
      <c r="H3907" t="str">
        <f>HYPERLINK("https://baanknet.com/view-property/274560/507666F30B28C5F59F56A44410813FD0DECBE0F0BDA1C3D0CFC570DDD7EA5F69", "https://baanknet.com/view-property/274560/507666F30B28C5F59F56A44410813FD0DECBE0F0BDA1C3D0CFC570DDD7EA5F69")</f>
        <v>https://baanknet.com/view-property/274560/507666F30B28C5F59F56A44410813FD0DECBE0F0BDA1C3D0CFC570DDD7EA5F69</v>
      </c>
      <c r="I3907" t="str">
        <f>HYPERLINK("https://baanknet.com/view-property/274560/507666F30B28C5F59F56A44410813FD0DECBE0F0BDA1C3D0CFC570DDD7EA5F69", "Open")</f>
        <v>Open</v>
      </c>
      <c r="J3907" t="s">
        <v>3803</v>
      </c>
      <c r="L3907">
        <v>8200000</v>
      </c>
      <c r="M3907">
        <v>820000</v>
      </c>
    </row>
    <row r="3908" spans="1:13" x14ac:dyDescent="0.25">
      <c r="A3908" t="s">
        <v>13062</v>
      </c>
      <c r="B3908" t="s">
        <v>13063</v>
      </c>
      <c r="C3908" t="s">
        <v>525</v>
      </c>
      <c r="D3908" t="s">
        <v>1246</v>
      </c>
      <c r="E3908" t="s">
        <v>11024</v>
      </c>
      <c r="F3908" t="s">
        <v>11004</v>
      </c>
      <c r="G3908" t="s">
        <v>13064</v>
      </c>
      <c r="H3908" t="str">
        <f>HYPERLINK("https://baanknet.com/view-property/257083/43AABF3420CC89778ADC43782596D6F40EAC25E0EC9B4FA3FB24AB3C23EF6FFE", "https://baanknet.com/view-property/257083/43AABF3420CC89778ADC43782596D6F40EAC25E0EC9B4FA3FB24AB3C23EF6FFE")</f>
        <v>https://baanknet.com/view-property/257083/43AABF3420CC89778ADC43782596D6F40EAC25E0EC9B4FA3FB24AB3C23EF6FFE</v>
      </c>
      <c r="I3908" t="str">
        <f>HYPERLINK("https://baanknet.com/view-property/257083/43AABF3420CC89778ADC43782596D6F40EAC25E0EC9B4FA3FB24AB3C23EF6FFE", "Open")</f>
        <v>Open</v>
      </c>
      <c r="J3908" t="s">
        <v>3803</v>
      </c>
      <c r="L3908">
        <v>2070000</v>
      </c>
      <c r="M3908">
        <v>207000</v>
      </c>
    </row>
    <row r="3909" spans="1:13" x14ac:dyDescent="0.25">
      <c r="A3909" t="s">
        <v>13065</v>
      </c>
      <c r="B3909" t="s">
        <v>13066</v>
      </c>
      <c r="C3909" t="s">
        <v>525</v>
      </c>
      <c r="D3909" t="s">
        <v>1246</v>
      </c>
      <c r="E3909" t="s">
        <v>11024</v>
      </c>
      <c r="F3909" t="s">
        <v>11004</v>
      </c>
      <c r="G3909" t="s">
        <v>13067</v>
      </c>
      <c r="H3909" t="str">
        <f>HYPERLINK("https://baanknet.com/view-property/257074/7F4CB65772FECB89F186E37CA69C62F5DCB588150D3E98E92DA387CCE3C37C54", "https://baanknet.com/view-property/257074/7F4CB65772FECB89F186E37CA69C62F5DCB588150D3E98E92DA387CCE3C37C54")</f>
        <v>https://baanknet.com/view-property/257074/7F4CB65772FECB89F186E37CA69C62F5DCB588150D3E98E92DA387CCE3C37C54</v>
      </c>
      <c r="I3909" t="str">
        <f>HYPERLINK("https://baanknet.com/view-property/257074/7F4CB65772FECB89F186E37CA69C62F5DCB588150D3E98E92DA387CCE3C37C54", "Open")</f>
        <v>Open</v>
      </c>
      <c r="J3909" t="s">
        <v>3803</v>
      </c>
      <c r="L3909">
        <v>2800000</v>
      </c>
      <c r="M3909">
        <v>280000</v>
      </c>
    </row>
    <row r="3910" spans="1:13" x14ac:dyDescent="0.25">
      <c r="A3910" t="s">
        <v>13068</v>
      </c>
      <c r="B3910" t="s">
        <v>13069</v>
      </c>
      <c r="C3910" t="s">
        <v>525</v>
      </c>
      <c r="D3910" t="s">
        <v>2425</v>
      </c>
      <c r="E3910" t="s">
        <v>11024</v>
      </c>
      <c r="F3910" t="s">
        <v>11004</v>
      </c>
      <c r="G3910" t="s">
        <v>13070</v>
      </c>
      <c r="H3910" t="str">
        <f>HYPERLINK("https://baanknet.com/view-property/224291/832258DE57E90147B5BBC93142A1DDD41601EBAE49D6FCE8614D650686BCB605", "https://baanknet.com/view-property/224291/832258DE57E90147B5BBC93142A1DDD41601EBAE49D6FCE8614D650686BCB605")</f>
        <v>https://baanknet.com/view-property/224291/832258DE57E90147B5BBC93142A1DDD41601EBAE49D6FCE8614D650686BCB605</v>
      </c>
      <c r="I3910" t="str">
        <f>HYPERLINK("https://baanknet.com/view-property/224291/832258DE57E90147B5BBC93142A1DDD41601EBAE49D6FCE8614D650686BCB605", "Open")</f>
        <v>Open</v>
      </c>
      <c r="J3910" t="s">
        <v>3803</v>
      </c>
      <c r="L3910">
        <v>2800000</v>
      </c>
      <c r="M3910">
        <v>280000</v>
      </c>
    </row>
    <row r="3911" spans="1:13" x14ac:dyDescent="0.25">
      <c r="A3911" t="s">
        <v>13071</v>
      </c>
      <c r="B3911" t="s">
        <v>13072</v>
      </c>
      <c r="C3911" t="s">
        <v>832</v>
      </c>
      <c r="D3911" t="s">
        <v>937</v>
      </c>
      <c r="E3911" t="s">
        <v>11024</v>
      </c>
      <c r="F3911" t="s">
        <v>11004</v>
      </c>
      <c r="G3911" t="s">
        <v>13073</v>
      </c>
      <c r="H3911" t="str">
        <f>HYPERLINK("https://baanknet.com/view-property/221781/DD23CA3C8DFA6DCCFFC9040FF5D15F5BB96DAFB9120E7E2442E87427C514608A", "https://baanknet.com/view-property/221781/DD23CA3C8DFA6DCCFFC9040FF5D15F5BB96DAFB9120E7E2442E87427C514608A")</f>
        <v>https://baanknet.com/view-property/221781/DD23CA3C8DFA6DCCFFC9040FF5D15F5BB96DAFB9120E7E2442E87427C514608A</v>
      </c>
      <c r="I3911" t="str">
        <f>HYPERLINK("https://baanknet.com/view-property/221781/DD23CA3C8DFA6DCCFFC9040FF5D15F5BB96DAFB9120E7E2442E87427C514608A", "Open")</f>
        <v>Open</v>
      </c>
      <c r="J3911" t="s">
        <v>3803</v>
      </c>
      <c r="L3911">
        <v>3351000</v>
      </c>
      <c r="M3911">
        <v>335100</v>
      </c>
    </row>
    <row r="3912" spans="1:13" x14ac:dyDescent="0.25">
      <c r="A3912" t="s">
        <v>13074</v>
      </c>
      <c r="B3912" t="s">
        <v>13075</v>
      </c>
      <c r="C3912" t="s">
        <v>525</v>
      </c>
      <c r="D3912" t="s">
        <v>13076</v>
      </c>
      <c r="E3912" t="s">
        <v>11024</v>
      </c>
      <c r="F3912" t="s">
        <v>11004</v>
      </c>
      <c r="G3912" t="s">
        <v>13077</v>
      </c>
      <c r="H3912" t="str">
        <f>HYPERLINK("https://baanknet.com/view-property/279161/67C1725F8F98AE8D54CB1AE05DDBF13C4E57B81EA42C131127CE7543CDB86BF6", "https://baanknet.com/view-property/279161/67C1725F8F98AE8D54CB1AE05DDBF13C4E57B81EA42C131127CE7543CDB86BF6")</f>
        <v>https://baanknet.com/view-property/279161/67C1725F8F98AE8D54CB1AE05DDBF13C4E57B81EA42C131127CE7543CDB86BF6</v>
      </c>
      <c r="I3912" t="str">
        <f>HYPERLINK("https://baanknet.com/view-property/279161/67C1725F8F98AE8D54CB1AE05DDBF13C4E57B81EA42C131127CE7543CDB86BF6", "Open")</f>
        <v>Open</v>
      </c>
      <c r="J3912" t="s">
        <v>3803</v>
      </c>
      <c r="L3912">
        <v>2950000</v>
      </c>
      <c r="M3912">
        <v>295000</v>
      </c>
    </row>
    <row r="3913" spans="1:13" x14ac:dyDescent="0.25">
      <c r="A3913" t="s">
        <v>13078</v>
      </c>
      <c r="B3913" t="s">
        <v>13079</v>
      </c>
      <c r="C3913" t="s">
        <v>525</v>
      </c>
      <c r="D3913" t="s">
        <v>1246</v>
      </c>
      <c r="E3913" t="s">
        <v>11024</v>
      </c>
      <c r="F3913" t="s">
        <v>11004</v>
      </c>
      <c r="G3913" t="s">
        <v>13080</v>
      </c>
      <c r="H3913" t="str">
        <f>HYPERLINK("https://baanknet.com/view-property/231052/9A7F8E82BEB965D140776CEDEA12EF197504628AD0F85A4E482C1B487340935A", "https://baanknet.com/view-property/231052/9A7F8E82BEB965D140776CEDEA12EF197504628AD0F85A4E482C1B487340935A")</f>
        <v>https://baanknet.com/view-property/231052/9A7F8E82BEB965D140776CEDEA12EF197504628AD0F85A4E482C1B487340935A</v>
      </c>
      <c r="I3913" t="str">
        <f>HYPERLINK("https://baanknet.com/view-property/231052/9A7F8E82BEB965D140776CEDEA12EF197504628AD0F85A4E482C1B487340935A", "Open")</f>
        <v>Open</v>
      </c>
      <c r="J3913" t="s">
        <v>3803</v>
      </c>
      <c r="L3913">
        <v>2100000</v>
      </c>
      <c r="M3913">
        <v>210000</v>
      </c>
    </row>
    <row r="3914" spans="1:13" x14ac:dyDescent="0.25">
      <c r="A3914" t="s">
        <v>13081</v>
      </c>
      <c r="B3914" t="s">
        <v>13082</v>
      </c>
      <c r="C3914" t="s">
        <v>832</v>
      </c>
      <c r="D3914" t="s">
        <v>937</v>
      </c>
      <c r="E3914" t="s">
        <v>11024</v>
      </c>
      <c r="F3914" t="s">
        <v>11004</v>
      </c>
      <c r="G3914" t="s">
        <v>13083</v>
      </c>
      <c r="H3914" t="str">
        <f>HYPERLINK("https://baanknet.com/view-property/285876/4A4589A5165F02C2E4ECE909ADAE3A81CDF3D21FAAE86AD4C4348C1A669C0488", "https://baanknet.com/view-property/285876/4A4589A5165F02C2E4ECE909ADAE3A81CDF3D21FAAE86AD4C4348C1A669C0488")</f>
        <v>https://baanknet.com/view-property/285876/4A4589A5165F02C2E4ECE909ADAE3A81CDF3D21FAAE86AD4C4348C1A669C0488</v>
      </c>
      <c r="I3914" t="str">
        <f>HYPERLINK("https://baanknet.com/view-property/285876/4A4589A5165F02C2E4ECE909ADAE3A81CDF3D21FAAE86AD4C4348C1A669C0488", "Open")</f>
        <v>Open</v>
      </c>
      <c r="J3914" t="s">
        <v>3803</v>
      </c>
      <c r="L3914">
        <v>7800000</v>
      </c>
      <c r="M3914">
        <v>780000</v>
      </c>
    </row>
    <row r="3915" spans="1:13" x14ac:dyDescent="0.25">
      <c r="A3915" t="s">
        <v>13084</v>
      </c>
      <c r="B3915" t="s">
        <v>13085</v>
      </c>
      <c r="C3915" t="s">
        <v>832</v>
      </c>
      <c r="D3915" t="s">
        <v>937</v>
      </c>
      <c r="E3915" t="s">
        <v>11024</v>
      </c>
      <c r="F3915" t="s">
        <v>11004</v>
      </c>
      <c r="G3915" t="s">
        <v>13086</v>
      </c>
      <c r="H3915" t="str">
        <f>HYPERLINK("https://baanknet.com/view-property/287394/6F5B1245668E7F796B0E6D26751D5E467EEF61F130E93291D9FBFA9482047A51", "https://baanknet.com/view-property/287394/6F5B1245668E7F796B0E6D26751D5E467EEF61F130E93291D9FBFA9482047A51")</f>
        <v>https://baanknet.com/view-property/287394/6F5B1245668E7F796B0E6D26751D5E467EEF61F130E93291D9FBFA9482047A51</v>
      </c>
      <c r="I3915" t="str">
        <f>HYPERLINK("https://baanknet.com/view-property/287394/6F5B1245668E7F796B0E6D26751D5E467EEF61F130E93291D9FBFA9482047A51", "Open")</f>
        <v>Open</v>
      </c>
      <c r="J3915" t="s">
        <v>3803</v>
      </c>
      <c r="L3915">
        <v>12300000</v>
      </c>
      <c r="M3915">
        <v>1230000</v>
      </c>
    </row>
    <row r="3916" spans="1:13" x14ac:dyDescent="0.25">
      <c r="A3916" t="s">
        <v>13087</v>
      </c>
      <c r="B3916" t="s">
        <v>13088</v>
      </c>
      <c r="C3916" t="s">
        <v>525</v>
      </c>
      <c r="D3916" t="s">
        <v>3024</v>
      </c>
      <c r="E3916" t="s">
        <v>11024</v>
      </c>
      <c r="F3916" t="s">
        <v>11004</v>
      </c>
      <c r="G3916" t="s">
        <v>13089</v>
      </c>
      <c r="H3916" t="str">
        <f>HYPERLINK("https://baanknet.com/view-property/21251/C34D123AEA12461D1EC11E3B5145279D1A2890C06A63734346D95C3480883CD6", "https://baanknet.com/view-property/21251/C34D123AEA12461D1EC11E3B5145279D1A2890C06A63734346D95C3480883CD6")</f>
        <v>https://baanknet.com/view-property/21251/C34D123AEA12461D1EC11E3B5145279D1A2890C06A63734346D95C3480883CD6</v>
      </c>
      <c r="I3916" t="str">
        <f>HYPERLINK("https://baanknet.com/view-property/21251/C34D123AEA12461D1EC11E3B5145279D1A2890C06A63734346D95C3480883CD6", "Open")</f>
        <v>Open</v>
      </c>
      <c r="J3916" t="s">
        <v>3803</v>
      </c>
      <c r="L3916">
        <v>1450000</v>
      </c>
      <c r="M3916">
        <v>145000</v>
      </c>
    </row>
    <row r="3917" spans="1:13" x14ac:dyDescent="0.25">
      <c r="A3917" t="s">
        <v>13090</v>
      </c>
      <c r="B3917" t="s">
        <v>13091</v>
      </c>
      <c r="C3917" t="s">
        <v>525</v>
      </c>
      <c r="D3917" t="s">
        <v>13076</v>
      </c>
      <c r="E3917" t="s">
        <v>11024</v>
      </c>
      <c r="F3917" t="s">
        <v>11004</v>
      </c>
      <c r="G3917" t="s">
        <v>13092</v>
      </c>
      <c r="H3917" t="str">
        <f>HYPERLINK("https://baanknet.com/view-property/17170/0D490FA371965A89C4CF5D730FC81940D6DC1DBCE16BEEF49634E0A1FFD077D9", "https://baanknet.com/view-property/17170/0D490FA371965A89C4CF5D730FC81940D6DC1DBCE16BEEF49634E0A1FFD077D9")</f>
        <v>https://baanknet.com/view-property/17170/0D490FA371965A89C4CF5D730FC81940D6DC1DBCE16BEEF49634E0A1FFD077D9</v>
      </c>
      <c r="I3917" t="str">
        <f>HYPERLINK("https://baanknet.com/view-property/17170/0D490FA371965A89C4CF5D730FC81940D6DC1DBCE16BEEF49634E0A1FFD077D9", "Open")</f>
        <v>Open</v>
      </c>
      <c r="J3917" t="s">
        <v>3803</v>
      </c>
      <c r="L3917">
        <v>400000</v>
      </c>
      <c r="M3917">
        <v>40000</v>
      </c>
    </row>
    <row r="3918" spans="1:13" x14ac:dyDescent="0.25">
      <c r="A3918" t="s">
        <v>13093</v>
      </c>
      <c r="B3918" t="s">
        <v>13094</v>
      </c>
      <c r="C3918" t="s">
        <v>387</v>
      </c>
      <c r="D3918" t="s">
        <v>7770</v>
      </c>
      <c r="E3918" t="s">
        <v>11024</v>
      </c>
      <c r="F3918" t="s">
        <v>11004</v>
      </c>
      <c r="G3918" t="s">
        <v>13095</v>
      </c>
      <c r="H3918" t="str">
        <f>HYPERLINK("https://baanknet.com/view-property/187672/516927ED63ABCE167784254110BDE5FA8E5B13C0D5505397C009C2BE4E55879E", "https://baanknet.com/view-property/187672/516927ED63ABCE167784254110BDE5FA8E5B13C0D5505397C009C2BE4E55879E")</f>
        <v>https://baanknet.com/view-property/187672/516927ED63ABCE167784254110BDE5FA8E5B13C0D5505397C009C2BE4E55879E</v>
      </c>
      <c r="I3918" t="str">
        <f>HYPERLINK("https://baanknet.com/view-property/187672/516927ED63ABCE167784254110BDE5FA8E5B13C0D5505397C009C2BE4E55879E", "Open")</f>
        <v>Open</v>
      </c>
      <c r="J3918" t="s">
        <v>3803</v>
      </c>
      <c r="L3918">
        <v>1800000</v>
      </c>
      <c r="M3918">
        <v>180000</v>
      </c>
    </row>
    <row r="3919" spans="1:13" x14ac:dyDescent="0.25">
      <c r="A3919" t="s">
        <v>13096</v>
      </c>
      <c r="B3919" t="s">
        <v>13097</v>
      </c>
      <c r="C3919" t="s">
        <v>832</v>
      </c>
      <c r="D3919" t="s">
        <v>950</v>
      </c>
      <c r="E3919" t="s">
        <v>11024</v>
      </c>
      <c r="F3919" t="s">
        <v>11004</v>
      </c>
      <c r="G3919" t="s">
        <v>13098</v>
      </c>
      <c r="H3919" t="str">
        <f>HYPERLINK("https://baanknet.com/view-property/287494/F1D1ECDCB931707E1490228BDBD752EE0F66B5DE70FA135AEB4D883939FC8356", "https://baanknet.com/view-property/287494/F1D1ECDCB931707E1490228BDBD752EE0F66B5DE70FA135AEB4D883939FC8356")</f>
        <v>https://baanknet.com/view-property/287494/F1D1ECDCB931707E1490228BDBD752EE0F66B5DE70FA135AEB4D883939FC8356</v>
      </c>
      <c r="I3919" t="str">
        <f>HYPERLINK("https://baanknet.com/view-property/287494/F1D1ECDCB931707E1490228BDBD752EE0F66B5DE70FA135AEB4D883939FC8356", "Open")</f>
        <v>Open</v>
      </c>
      <c r="J3919" t="s">
        <v>3803</v>
      </c>
      <c r="L3919">
        <v>2116800</v>
      </c>
      <c r="M3919">
        <v>211680</v>
      </c>
    </row>
    <row r="3920" spans="1:13" x14ac:dyDescent="0.25">
      <c r="A3920" t="s">
        <v>13099</v>
      </c>
      <c r="B3920" t="s">
        <v>13100</v>
      </c>
      <c r="C3920" t="s">
        <v>832</v>
      </c>
      <c r="D3920" t="s">
        <v>950</v>
      </c>
      <c r="E3920" t="s">
        <v>11024</v>
      </c>
      <c r="F3920" t="s">
        <v>11004</v>
      </c>
      <c r="G3920" t="s">
        <v>13101</v>
      </c>
      <c r="H3920" t="str">
        <f>HYPERLINK("https://baanknet.com/view-property/287491/9518138907753D7DB420C0865B23FD1E436E1173DAE3310097F529D035642420", "https://baanknet.com/view-property/287491/9518138907753D7DB420C0865B23FD1E436E1173DAE3310097F529D035642420")</f>
        <v>https://baanknet.com/view-property/287491/9518138907753D7DB420C0865B23FD1E436E1173DAE3310097F529D035642420</v>
      </c>
      <c r="I3920" t="str">
        <f>HYPERLINK("https://baanknet.com/view-property/287491/9518138907753D7DB420C0865B23FD1E436E1173DAE3310097F529D035642420", "Open")</f>
        <v>Open</v>
      </c>
      <c r="J3920" t="s">
        <v>3803</v>
      </c>
      <c r="L3920">
        <v>2116800</v>
      </c>
      <c r="M3920">
        <v>211680</v>
      </c>
    </row>
    <row r="3921" spans="1:13" x14ac:dyDescent="0.25">
      <c r="A3921" t="s">
        <v>13102</v>
      </c>
      <c r="B3921" t="s">
        <v>13103</v>
      </c>
      <c r="C3921" t="s">
        <v>832</v>
      </c>
      <c r="D3921" t="s">
        <v>950</v>
      </c>
      <c r="E3921" t="s">
        <v>11024</v>
      </c>
      <c r="F3921" t="s">
        <v>11004</v>
      </c>
      <c r="G3921" t="s">
        <v>13104</v>
      </c>
      <c r="H3921" t="str">
        <f>HYPERLINK("https://baanknet.com/view-property/287489/15FDA83031A92D055946CF28426DC9709B808C34D2AD4BA224D9401CC0D340C7", "https://baanknet.com/view-property/287489/15FDA83031A92D055946CF28426DC9709B808C34D2AD4BA224D9401CC0D340C7")</f>
        <v>https://baanknet.com/view-property/287489/15FDA83031A92D055946CF28426DC9709B808C34D2AD4BA224D9401CC0D340C7</v>
      </c>
      <c r="I3921" t="str">
        <f>HYPERLINK("https://baanknet.com/view-property/287489/15FDA83031A92D055946CF28426DC9709B808C34D2AD4BA224D9401CC0D340C7", "Open")</f>
        <v>Open</v>
      </c>
      <c r="J3921" t="s">
        <v>3803</v>
      </c>
      <c r="L3921">
        <v>2113200</v>
      </c>
      <c r="M3921">
        <v>211320</v>
      </c>
    </row>
    <row r="3922" spans="1:13" x14ac:dyDescent="0.25">
      <c r="A3922" t="s">
        <v>13105</v>
      </c>
      <c r="B3922" t="s">
        <v>13106</v>
      </c>
      <c r="C3922" t="s">
        <v>832</v>
      </c>
      <c r="D3922" t="s">
        <v>950</v>
      </c>
      <c r="E3922" t="s">
        <v>11024</v>
      </c>
      <c r="F3922" t="s">
        <v>11004</v>
      </c>
      <c r="G3922" t="s">
        <v>13107</v>
      </c>
      <c r="H3922" t="str">
        <f>HYPERLINK("https://baanknet.com/view-property/287467/FBA3E93D0A6EDBFC42B72CDA7C78C64EEEBA2F877D7E5881E9AD6B285D78A47A", "https://baanknet.com/view-property/287467/FBA3E93D0A6EDBFC42B72CDA7C78C64EEEBA2F877D7E5881E9AD6B285D78A47A")</f>
        <v>https://baanknet.com/view-property/287467/FBA3E93D0A6EDBFC42B72CDA7C78C64EEEBA2F877D7E5881E9AD6B285D78A47A</v>
      </c>
      <c r="I3922" t="str">
        <f>HYPERLINK("https://baanknet.com/view-property/287467/FBA3E93D0A6EDBFC42B72CDA7C78C64EEEBA2F877D7E5881E9AD6B285D78A47A", "Open")</f>
        <v>Open</v>
      </c>
      <c r="J3922" t="s">
        <v>3803</v>
      </c>
      <c r="L3922">
        <v>2113200</v>
      </c>
      <c r="M3922">
        <v>211320</v>
      </c>
    </row>
    <row r="3923" spans="1:13" x14ac:dyDescent="0.25">
      <c r="A3923" t="s">
        <v>13108</v>
      </c>
      <c r="B3923" t="s">
        <v>13109</v>
      </c>
      <c r="C3923" t="s">
        <v>332</v>
      </c>
      <c r="D3923" t="s">
        <v>8454</v>
      </c>
      <c r="E3923" t="s">
        <v>11024</v>
      </c>
      <c r="F3923" t="s">
        <v>11004</v>
      </c>
      <c r="G3923" t="s">
        <v>13110</v>
      </c>
      <c r="H3923" t="str">
        <f>HYPERLINK("https://baanknet.com/view-property/87204/F01CDDC839257764B0F01D3E756ED6F3090986A2C0B132861CB2677EB572EFD3", "https://baanknet.com/view-property/87204/F01CDDC839257764B0F01D3E756ED6F3090986A2C0B132861CB2677EB572EFD3")</f>
        <v>https://baanknet.com/view-property/87204/F01CDDC839257764B0F01D3E756ED6F3090986A2C0B132861CB2677EB572EFD3</v>
      </c>
      <c r="I3923" t="str">
        <f>HYPERLINK("https://baanknet.com/view-property/87204/F01CDDC839257764B0F01D3E756ED6F3090986A2C0B132861CB2677EB572EFD3", "Open")</f>
        <v>Open</v>
      </c>
      <c r="J3923" t="s">
        <v>3803</v>
      </c>
      <c r="L3923">
        <v>1402000</v>
      </c>
      <c r="M3923">
        <v>140200</v>
      </c>
    </row>
    <row r="3924" spans="1:13" x14ac:dyDescent="0.25">
      <c r="A3924" t="s">
        <v>13111</v>
      </c>
      <c r="B3924" t="s">
        <v>13112</v>
      </c>
      <c r="C3924" t="s">
        <v>332</v>
      </c>
      <c r="D3924" t="s">
        <v>8454</v>
      </c>
      <c r="E3924" t="s">
        <v>11024</v>
      </c>
      <c r="F3924" t="s">
        <v>11004</v>
      </c>
      <c r="G3924" t="s">
        <v>13113</v>
      </c>
      <c r="H3924" t="str">
        <f>HYPERLINK("https://baanknet.com/view-property/76970/84F2CF2E070B1BAA27CBBC3E953F28FA5D31AAAEFADE4081D7EEDBE4392E40FD", "https://baanknet.com/view-property/76970/84F2CF2E070B1BAA27CBBC3E953F28FA5D31AAAEFADE4081D7EEDBE4392E40FD")</f>
        <v>https://baanknet.com/view-property/76970/84F2CF2E070B1BAA27CBBC3E953F28FA5D31AAAEFADE4081D7EEDBE4392E40FD</v>
      </c>
      <c r="I3924" t="str">
        <f>HYPERLINK("https://baanknet.com/view-property/76970/84F2CF2E070B1BAA27CBBC3E953F28FA5D31AAAEFADE4081D7EEDBE4392E40FD", "Open")</f>
        <v>Open</v>
      </c>
      <c r="J3924" t="s">
        <v>3803</v>
      </c>
      <c r="L3924">
        <v>1925000</v>
      </c>
      <c r="M3924">
        <v>192500</v>
      </c>
    </row>
    <row r="3925" spans="1:13" x14ac:dyDescent="0.25">
      <c r="A3925" t="s">
        <v>13114</v>
      </c>
      <c r="B3925" t="s">
        <v>13115</v>
      </c>
      <c r="C3925" t="s">
        <v>525</v>
      </c>
      <c r="D3925" t="s">
        <v>2059</v>
      </c>
      <c r="E3925" t="s">
        <v>11024</v>
      </c>
      <c r="F3925" t="s">
        <v>11004</v>
      </c>
      <c r="G3925" t="s">
        <v>13116</v>
      </c>
      <c r="H3925" t="str">
        <f>HYPERLINK("https://baanknet.com/view-property/268195/F9FEB791C1B914429222CB82D3CEB65D67DF303ECE02736BA3CCB6AD84D4ECFC", "https://baanknet.com/view-property/268195/F9FEB791C1B914429222CB82D3CEB65D67DF303ECE02736BA3CCB6AD84D4ECFC")</f>
        <v>https://baanknet.com/view-property/268195/F9FEB791C1B914429222CB82D3CEB65D67DF303ECE02736BA3CCB6AD84D4ECFC</v>
      </c>
      <c r="I3925" t="str">
        <f>HYPERLINK("https://baanknet.com/view-property/268195/F9FEB791C1B914429222CB82D3CEB65D67DF303ECE02736BA3CCB6AD84D4ECFC", "Open")</f>
        <v>Open</v>
      </c>
      <c r="J3925" t="s">
        <v>3803</v>
      </c>
      <c r="L3925">
        <v>1750000</v>
      </c>
      <c r="M3925">
        <v>175000</v>
      </c>
    </row>
    <row r="3926" spans="1:13" x14ac:dyDescent="0.25">
      <c r="A3926" t="s">
        <v>13117</v>
      </c>
      <c r="B3926" t="s">
        <v>13118</v>
      </c>
      <c r="C3926" t="s">
        <v>387</v>
      </c>
      <c r="D3926" t="s">
        <v>13119</v>
      </c>
      <c r="E3926" t="s">
        <v>11024</v>
      </c>
      <c r="F3926" t="s">
        <v>11004</v>
      </c>
      <c r="G3926" t="s">
        <v>13120</v>
      </c>
      <c r="H3926" t="str">
        <f>HYPERLINK("https://baanknet.com/view-property/178983/C722C350CABEE9EA5FE1CED9D7EC66236FF440B975FCDF4DEFDE110D3A89D601", "https://baanknet.com/view-property/178983/C722C350CABEE9EA5FE1CED9D7EC66236FF440B975FCDF4DEFDE110D3A89D601")</f>
        <v>https://baanknet.com/view-property/178983/C722C350CABEE9EA5FE1CED9D7EC66236FF440B975FCDF4DEFDE110D3A89D601</v>
      </c>
      <c r="I3926" t="str">
        <f>HYPERLINK("https://baanknet.com/view-property/178983/C722C350CABEE9EA5FE1CED9D7EC66236FF440B975FCDF4DEFDE110D3A89D601", "Open")</f>
        <v>Open</v>
      </c>
      <c r="J3926" t="s">
        <v>3803</v>
      </c>
      <c r="L3926">
        <v>4000000</v>
      </c>
      <c r="M3926">
        <v>400000</v>
      </c>
    </row>
    <row r="3927" spans="1:13" x14ac:dyDescent="0.25">
      <c r="A3927" t="s">
        <v>13121</v>
      </c>
      <c r="B3927" t="s">
        <v>13122</v>
      </c>
      <c r="C3927" t="s">
        <v>387</v>
      </c>
      <c r="D3927" t="s">
        <v>13123</v>
      </c>
      <c r="E3927" t="s">
        <v>11024</v>
      </c>
      <c r="F3927" t="s">
        <v>11004</v>
      </c>
      <c r="G3927" t="s">
        <v>13124</v>
      </c>
      <c r="H3927" t="str">
        <f>HYPERLINK("https://baanknet.com/view-property/252690/2900EAAEEB63F2C29750AEE6410AFF077867A492DA318C4A5560DB3DFBA233D7", "https://baanknet.com/view-property/252690/2900EAAEEB63F2C29750AEE6410AFF077867A492DA318C4A5560DB3DFBA233D7")</f>
        <v>https://baanknet.com/view-property/252690/2900EAAEEB63F2C29750AEE6410AFF077867A492DA318C4A5560DB3DFBA233D7</v>
      </c>
      <c r="I3927" t="str">
        <f>HYPERLINK("https://baanknet.com/view-property/252690/2900EAAEEB63F2C29750AEE6410AFF077867A492DA318C4A5560DB3DFBA233D7", "Open")</f>
        <v>Open</v>
      </c>
      <c r="J3927" t="s">
        <v>3803</v>
      </c>
      <c r="L3927">
        <v>1850000</v>
      </c>
      <c r="M3927">
        <v>185000</v>
      </c>
    </row>
    <row r="3928" spans="1:13" x14ac:dyDescent="0.25">
      <c r="A3928" t="s">
        <v>13125</v>
      </c>
      <c r="B3928" t="s">
        <v>13126</v>
      </c>
      <c r="C3928" t="s">
        <v>387</v>
      </c>
      <c r="D3928" t="s">
        <v>7632</v>
      </c>
      <c r="E3928" t="s">
        <v>11024</v>
      </c>
      <c r="F3928" t="s">
        <v>11004</v>
      </c>
      <c r="G3928" t="s">
        <v>13127</v>
      </c>
      <c r="H3928" t="str">
        <f>HYPERLINK("https://baanknet.com/view-property/287496/C55A2B8ECF6E769D4D85FDD7FEAAF8CF8F32D3DD2A5F247122B3F815FB577C6D", "https://baanknet.com/view-property/287496/C55A2B8ECF6E769D4D85FDD7FEAAF8CF8F32D3DD2A5F247122B3F815FB577C6D")</f>
        <v>https://baanknet.com/view-property/287496/C55A2B8ECF6E769D4D85FDD7FEAAF8CF8F32D3DD2A5F247122B3F815FB577C6D</v>
      </c>
      <c r="I3928" t="str">
        <f>HYPERLINK("https://baanknet.com/view-property/287496/C55A2B8ECF6E769D4D85FDD7FEAAF8CF8F32D3DD2A5F247122B3F815FB577C6D", "Open")</f>
        <v>Open</v>
      </c>
      <c r="J3928" t="s">
        <v>3803</v>
      </c>
      <c r="L3928">
        <v>2065000</v>
      </c>
      <c r="M3928">
        <v>206500</v>
      </c>
    </row>
    <row r="3929" spans="1:13" x14ac:dyDescent="0.25">
      <c r="A3929" t="s">
        <v>13128</v>
      </c>
      <c r="B3929" t="s">
        <v>13129</v>
      </c>
      <c r="C3929" t="s">
        <v>387</v>
      </c>
      <c r="D3929" t="s">
        <v>13123</v>
      </c>
      <c r="E3929" t="s">
        <v>11024</v>
      </c>
      <c r="F3929" t="s">
        <v>11004</v>
      </c>
      <c r="G3929" t="s">
        <v>13130</v>
      </c>
      <c r="H3929" t="str">
        <f>HYPERLINK("https://baanknet.com/view-property/252694/C2E25277F7AC252F1627B29BC89005FBCE21F456CE91E0A7140ED62A64285CEB", "https://baanknet.com/view-property/252694/C2E25277F7AC252F1627B29BC89005FBCE21F456CE91E0A7140ED62A64285CEB")</f>
        <v>https://baanknet.com/view-property/252694/C2E25277F7AC252F1627B29BC89005FBCE21F456CE91E0A7140ED62A64285CEB</v>
      </c>
      <c r="I3929" t="str">
        <f>HYPERLINK("https://baanknet.com/view-property/252694/C2E25277F7AC252F1627B29BC89005FBCE21F456CE91E0A7140ED62A64285CEB", "Open")</f>
        <v>Open</v>
      </c>
      <c r="J3929" t="s">
        <v>3803</v>
      </c>
      <c r="L3929">
        <v>2250000</v>
      </c>
      <c r="M3929">
        <v>225000</v>
      </c>
    </row>
    <row r="3930" spans="1:13" x14ac:dyDescent="0.25">
      <c r="A3930" t="s">
        <v>13131</v>
      </c>
      <c r="B3930" t="s">
        <v>13132</v>
      </c>
      <c r="C3930" t="s">
        <v>525</v>
      </c>
      <c r="D3930" t="s">
        <v>9790</v>
      </c>
      <c r="E3930" t="s">
        <v>11024</v>
      </c>
      <c r="F3930" t="s">
        <v>11004</v>
      </c>
      <c r="G3930" t="s">
        <v>13133</v>
      </c>
      <c r="H3930" t="str">
        <f>HYPERLINK("https://baanknet.com/view-property/192668/B7CCF15B802F0BCA54E7E1745D49A88DEE1B9033951B3197A3C362EFAF854476", "https://baanknet.com/view-property/192668/B7CCF15B802F0BCA54E7E1745D49A88DEE1B9033951B3197A3C362EFAF854476")</f>
        <v>https://baanknet.com/view-property/192668/B7CCF15B802F0BCA54E7E1745D49A88DEE1B9033951B3197A3C362EFAF854476</v>
      </c>
      <c r="I3930" t="str">
        <f>HYPERLINK("https://baanknet.com/view-property/192668/B7CCF15B802F0BCA54E7E1745D49A88DEE1B9033951B3197A3C362EFAF854476", "Open")</f>
        <v>Open</v>
      </c>
      <c r="J3930" t="s">
        <v>3803</v>
      </c>
      <c r="L3930">
        <v>8600000</v>
      </c>
      <c r="M3930">
        <v>860000</v>
      </c>
    </row>
    <row r="3931" spans="1:13" x14ac:dyDescent="0.25">
      <c r="A3931" t="s">
        <v>13134</v>
      </c>
      <c r="B3931" t="s">
        <v>13135</v>
      </c>
      <c r="C3931" t="s">
        <v>387</v>
      </c>
      <c r="D3931" t="s">
        <v>3747</v>
      </c>
      <c r="E3931" t="s">
        <v>11024</v>
      </c>
      <c r="F3931" t="s">
        <v>11004</v>
      </c>
      <c r="G3931" t="s">
        <v>13136</v>
      </c>
      <c r="H3931" t="str">
        <f>HYPERLINK("https://baanknet.com/view-property/187685/753574F3D6011EF4D55D0A340C2213CBD610C5D33C47D1A6BD7E5B1F8A265B1E", "https://baanknet.com/view-property/187685/753574F3D6011EF4D55D0A340C2213CBD610C5D33C47D1A6BD7E5B1F8A265B1E")</f>
        <v>https://baanknet.com/view-property/187685/753574F3D6011EF4D55D0A340C2213CBD610C5D33C47D1A6BD7E5B1F8A265B1E</v>
      </c>
      <c r="I3931" t="str">
        <f>HYPERLINK("https://baanknet.com/view-property/187685/753574F3D6011EF4D55D0A340C2213CBD610C5D33C47D1A6BD7E5B1F8A265B1E", "Open")</f>
        <v>Open</v>
      </c>
      <c r="J3931" t="s">
        <v>3803</v>
      </c>
      <c r="L3931">
        <v>1800000</v>
      </c>
      <c r="M3931">
        <v>180000</v>
      </c>
    </row>
    <row r="3932" spans="1:13" x14ac:dyDescent="0.25">
      <c r="A3932" t="s">
        <v>13137</v>
      </c>
      <c r="B3932" t="s">
        <v>13138</v>
      </c>
      <c r="C3932" t="s">
        <v>121</v>
      </c>
      <c r="D3932" t="s">
        <v>388</v>
      </c>
      <c r="E3932" t="s">
        <v>11024</v>
      </c>
      <c r="F3932" t="s">
        <v>11004</v>
      </c>
      <c r="G3932" t="s">
        <v>13139</v>
      </c>
      <c r="H3932" t="str">
        <f>HYPERLINK("https://baanknet.com/view-property/177995/E807EF26A97ECEDD2E6A7B46C79DAE63CFEB74D6606E00F17BF4B1FBF37ED187", "https://baanknet.com/view-property/177995/E807EF26A97ECEDD2E6A7B46C79DAE63CFEB74D6606E00F17BF4B1FBF37ED187")</f>
        <v>https://baanknet.com/view-property/177995/E807EF26A97ECEDD2E6A7B46C79DAE63CFEB74D6606E00F17BF4B1FBF37ED187</v>
      </c>
      <c r="I3932" t="str">
        <f>HYPERLINK("https://baanknet.com/view-property/177995/E807EF26A97ECEDD2E6A7B46C79DAE63CFEB74D6606E00F17BF4B1FBF37ED187", "Open")</f>
        <v>Open</v>
      </c>
      <c r="J3932" t="s">
        <v>3803</v>
      </c>
      <c r="L3932">
        <v>2026000</v>
      </c>
      <c r="M3932">
        <v>202600</v>
      </c>
    </row>
    <row r="3933" spans="1:13" x14ac:dyDescent="0.25">
      <c r="A3933" t="s">
        <v>13140</v>
      </c>
      <c r="B3933" t="s">
        <v>13141</v>
      </c>
      <c r="C3933" t="s">
        <v>387</v>
      </c>
      <c r="D3933" t="s">
        <v>1246</v>
      </c>
      <c r="E3933" t="s">
        <v>11024</v>
      </c>
      <c r="F3933" t="s">
        <v>11004</v>
      </c>
      <c r="G3933" t="s">
        <v>13142</v>
      </c>
      <c r="H3933" t="str">
        <f>HYPERLINK("https://baanknet.com/view-property/266821/C38B251D36EB24F0BCCC62F794D120CDE88E5BDBE00A6325129ED8931AB69E75", "https://baanknet.com/view-property/266821/C38B251D36EB24F0BCCC62F794D120CDE88E5BDBE00A6325129ED8931AB69E75")</f>
        <v>https://baanknet.com/view-property/266821/C38B251D36EB24F0BCCC62F794D120CDE88E5BDBE00A6325129ED8931AB69E75</v>
      </c>
      <c r="I3933" t="str">
        <f>HYPERLINK("https://baanknet.com/view-property/266821/C38B251D36EB24F0BCCC62F794D120CDE88E5BDBE00A6325129ED8931AB69E75", "Open")</f>
        <v>Open</v>
      </c>
      <c r="J3933" t="s">
        <v>3803</v>
      </c>
      <c r="L3933">
        <v>1750000</v>
      </c>
      <c r="M3933">
        <v>175000</v>
      </c>
    </row>
    <row r="3934" spans="1:13" x14ac:dyDescent="0.25">
      <c r="A3934" t="s">
        <v>13143</v>
      </c>
      <c r="B3934" t="s">
        <v>13144</v>
      </c>
      <c r="C3934" t="s">
        <v>387</v>
      </c>
      <c r="D3934" t="s">
        <v>1246</v>
      </c>
      <c r="E3934" t="s">
        <v>11024</v>
      </c>
      <c r="F3934" t="s">
        <v>11004</v>
      </c>
      <c r="G3934" t="s">
        <v>13145</v>
      </c>
      <c r="H3934" t="str">
        <f>HYPERLINK("https://baanknet.com/view-property/253204/A89BFA7659773725D404196526D4B92282E30CB9884CB1675BB6BF120F88D71F", "https://baanknet.com/view-property/253204/A89BFA7659773725D404196526D4B92282E30CB9884CB1675BB6BF120F88D71F")</f>
        <v>https://baanknet.com/view-property/253204/A89BFA7659773725D404196526D4B92282E30CB9884CB1675BB6BF120F88D71F</v>
      </c>
      <c r="I3934" t="str">
        <f>HYPERLINK("https://baanknet.com/view-property/253204/A89BFA7659773725D404196526D4B92282E30CB9884CB1675BB6BF120F88D71F", "Open")</f>
        <v>Open</v>
      </c>
      <c r="J3934" t="s">
        <v>3803</v>
      </c>
      <c r="L3934">
        <v>1800000</v>
      </c>
      <c r="M3934">
        <v>180000</v>
      </c>
    </row>
    <row r="3935" spans="1:13" x14ac:dyDescent="0.25">
      <c r="A3935" t="s">
        <v>13146</v>
      </c>
      <c r="B3935" t="s">
        <v>13147</v>
      </c>
      <c r="C3935" t="s">
        <v>121</v>
      </c>
      <c r="D3935" t="s">
        <v>13148</v>
      </c>
      <c r="E3935" t="s">
        <v>11024</v>
      </c>
      <c r="F3935" t="s">
        <v>11004</v>
      </c>
      <c r="G3935" t="s">
        <v>13149</v>
      </c>
      <c r="H3935" t="str">
        <f>HYPERLINK("https://baanknet.com/view-property/175827/0DF58BEDCC385A725FE466F1B35070E9B15917BE9B76486575F8EDB17ACB0409", "https://baanknet.com/view-property/175827/0DF58BEDCC385A725FE466F1B35070E9B15917BE9B76486575F8EDB17ACB0409")</f>
        <v>https://baanknet.com/view-property/175827/0DF58BEDCC385A725FE466F1B35070E9B15917BE9B76486575F8EDB17ACB0409</v>
      </c>
      <c r="I3935" t="str">
        <f>HYPERLINK("https://baanknet.com/view-property/175827/0DF58BEDCC385A725FE466F1B35070E9B15917BE9B76486575F8EDB17ACB0409", "Open")</f>
        <v>Open</v>
      </c>
      <c r="J3935" t="s">
        <v>3803</v>
      </c>
      <c r="L3935">
        <v>2891000</v>
      </c>
      <c r="M3935">
        <v>289100</v>
      </c>
    </row>
    <row r="3936" spans="1:13" x14ac:dyDescent="0.25">
      <c r="A3936" t="s">
        <v>13150</v>
      </c>
      <c r="B3936" t="s">
        <v>13151</v>
      </c>
      <c r="C3936" t="s">
        <v>121</v>
      </c>
      <c r="D3936" t="s">
        <v>157</v>
      </c>
      <c r="E3936" t="s">
        <v>11024</v>
      </c>
      <c r="F3936" t="s">
        <v>11004</v>
      </c>
      <c r="G3936" t="s">
        <v>13152</v>
      </c>
      <c r="H3936" t="str">
        <f>HYPERLINK("https://baanknet.com/view-property/175829/D202774AFCCC06E1A687D779A610BCDD78B73F0C6E3F109119D3987E006B04C9", "https://baanknet.com/view-property/175829/D202774AFCCC06E1A687D779A610BCDD78B73F0C6E3F109119D3987E006B04C9")</f>
        <v>https://baanknet.com/view-property/175829/D202774AFCCC06E1A687D779A610BCDD78B73F0C6E3F109119D3987E006B04C9</v>
      </c>
      <c r="I3936" t="str">
        <f>HYPERLINK("https://baanknet.com/view-property/175829/D202774AFCCC06E1A687D779A610BCDD78B73F0C6E3F109119D3987E006B04C9", "Open")</f>
        <v>Open</v>
      </c>
      <c r="J3936" t="s">
        <v>3803</v>
      </c>
      <c r="L3936">
        <v>2570000</v>
      </c>
      <c r="M3936">
        <v>257000</v>
      </c>
    </row>
    <row r="3937" spans="1:13" x14ac:dyDescent="0.25">
      <c r="A3937" t="s">
        <v>13153</v>
      </c>
      <c r="B3937" t="s">
        <v>13154</v>
      </c>
      <c r="C3937" t="s">
        <v>121</v>
      </c>
      <c r="D3937" t="s">
        <v>157</v>
      </c>
      <c r="E3937" t="s">
        <v>11024</v>
      </c>
      <c r="F3937" t="s">
        <v>11004</v>
      </c>
      <c r="G3937" t="s">
        <v>13155</v>
      </c>
      <c r="H3937" t="str">
        <f>HYPERLINK("https://baanknet.com/view-property/175797/1E4DFB36F8EA4851A7F5C844C25C4CC153F37E180888839FA514C982F1232B89", "https://baanknet.com/view-property/175797/1E4DFB36F8EA4851A7F5C844C25C4CC153F37E180888839FA514C982F1232B89")</f>
        <v>https://baanknet.com/view-property/175797/1E4DFB36F8EA4851A7F5C844C25C4CC153F37E180888839FA514C982F1232B89</v>
      </c>
      <c r="I3937" t="str">
        <f>HYPERLINK("https://baanknet.com/view-property/175797/1E4DFB36F8EA4851A7F5C844C25C4CC153F37E180888839FA514C982F1232B89", "Open")</f>
        <v>Open</v>
      </c>
      <c r="J3937" t="s">
        <v>3803</v>
      </c>
      <c r="L3937">
        <v>3150000</v>
      </c>
      <c r="M3937">
        <v>315000</v>
      </c>
    </row>
    <row r="3938" spans="1:13" x14ac:dyDescent="0.25">
      <c r="A3938" t="s">
        <v>13156</v>
      </c>
      <c r="B3938" t="s">
        <v>13157</v>
      </c>
      <c r="C3938" t="s">
        <v>332</v>
      </c>
      <c r="D3938" t="s">
        <v>578</v>
      </c>
      <c r="E3938" t="s">
        <v>11024</v>
      </c>
      <c r="F3938" t="s">
        <v>11004</v>
      </c>
      <c r="G3938" t="s">
        <v>13158</v>
      </c>
      <c r="H3938" t="str">
        <f>HYPERLINK("https://baanknet.com/view-property/273650/E78847E14A0483B23D5C9AF6B161F9D7A7FB30408F259C2AD3EC301293794562", "https://baanknet.com/view-property/273650/E78847E14A0483B23D5C9AF6B161F9D7A7FB30408F259C2AD3EC301293794562")</f>
        <v>https://baanknet.com/view-property/273650/E78847E14A0483B23D5C9AF6B161F9D7A7FB30408F259C2AD3EC301293794562</v>
      </c>
      <c r="I3938" t="str">
        <f>HYPERLINK("https://baanknet.com/view-property/273650/E78847E14A0483B23D5C9AF6B161F9D7A7FB30408F259C2AD3EC301293794562", "Open")</f>
        <v>Open</v>
      </c>
      <c r="J3938" t="s">
        <v>3803</v>
      </c>
      <c r="L3938">
        <v>8750000</v>
      </c>
      <c r="M3938">
        <v>875000</v>
      </c>
    </row>
    <row r="3939" spans="1:13" x14ac:dyDescent="0.25">
      <c r="A3939" t="s">
        <v>13159</v>
      </c>
      <c r="B3939" t="s">
        <v>13160</v>
      </c>
      <c r="C3939" t="s">
        <v>332</v>
      </c>
      <c r="D3939" t="s">
        <v>3131</v>
      </c>
      <c r="E3939" t="s">
        <v>11024</v>
      </c>
      <c r="F3939" t="s">
        <v>11004</v>
      </c>
      <c r="G3939" t="s">
        <v>13161</v>
      </c>
      <c r="H3939" t="str">
        <f>HYPERLINK("https://baanknet.com/view-property/262654/31BEEDC8A223BF7849CA18359D805154FF994CF857E83AB06701194DF4310C39", "https://baanknet.com/view-property/262654/31BEEDC8A223BF7849CA18359D805154FF994CF857E83AB06701194DF4310C39")</f>
        <v>https://baanknet.com/view-property/262654/31BEEDC8A223BF7849CA18359D805154FF994CF857E83AB06701194DF4310C39</v>
      </c>
      <c r="I3939" t="str">
        <f>HYPERLINK("https://baanknet.com/view-property/262654/31BEEDC8A223BF7849CA18359D805154FF994CF857E83AB06701194DF4310C39", "Open")</f>
        <v>Open</v>
      </c>
      <c r="J3939" t="s">
        <v>3803</v>
      </c>
      <c r="L3939">
        <v>3060000</v>
      </c>
      <c r="M3939">
        <v>306000</v>
      </c>
    </row>
    <row r="3940" spans="1:13" x14ac:dyDescent="0.25">
      <c r="A3940" t="s">
        <v>13162</v>
      </c>
      <c r="B3940" t="s">
        <v>13163</v>
      </c>
      <c r="C3940" t="s">
        <v>121</v>
      </c>
      <c r="D3940" t="s">
        <v>7596</v>
      </c>
      <c r="E3940" t="s">
        <v>11024</v>
      </c>
      <c r="F3940" t="s">
        <v>11004</v>
      </c>
      <c r="G3940" t="s">
        <v>13164</v>
      </c>
      <c r="H3940" t="str">
        <f>HYPERLINK("https://baanknet.com/view-property/180817/7C7A8F853075BC148C9EBFA1873325DEF122658EAA69D8BC31D44886BF64D6BF", "https://baanknet.com/view-property/180817/7C7A8F853075BC148C9EBFA1873325DEF122658EAA69D8BC31D44886BF64D6BF")</f>
        <v>https://baanknet.com/view-property/180817/7C7A8F853075BC148C9EBFA1873325DEF122658EAA69D8BC31D44886BF64D6BF</v>
      </c>
      <c r="I3940" t="str">
        <f>HYPERLINK("https://baanknet.com/view-property/180817/7C7A8F853075BC148C9EBFA1873325DEF122658EAA69D8BC31D44886BF64D6BF", "Open")</f>
        <v>Open</v>
      </c>
      <c r="J3940" t="s">
        <v>3803</v>
      </c>
      <c r="L3940">
        <v>850000</v>
      </c>
      <c r="M3940">
        <v>85000</v>
      </c>
    </row>
    <row r="3941" spans="1:13" x14ac:dyDescent="0.25">
      <c r="A3941" t="s">
        <v>13165</v>
      </c>
      <c r="B3941" t="s">
        <v>13166</v>
      </c>
      <c r="C3941" t="s">
        <v>121</v>
      </c>
      <c r="D3941" t="s">
        <v>9523</v>
      </c>
      <c r="E3941" t="s">
        <v>11024</v>
      </c>
      <c r="F3941" t="s">
        <v>11004</v>
      </c>
      <c r="G3941" t="s">
        <v>13167</v>
      </c>
      <c r="H3941" t="str">
        <f>HYPERLINK("https://baanknet.com/view-property/181515/79472A06F71BA41DD0EFE622DDDF02C3533B7197055E4BFA4CB6D6C08310CDAD", "https://baanknet.com/view-property/181515/79472A06F71BA41DD0EFE622DDDF02C3533B7197055E4BFA4CB6D6C08310CDAD")</f>
        <v>https://baanknet.com/view-property/181515/79472A06F71BA41DD0EFE622DDDF02C3533B7197055E4BFA4CB6D6C08310CDAD</v>
      </c>
      <c r="I3941" t="str">
        <f>HYPERLINK("https://baanknet.com/view-property/181515/79472A06F71BA41DD0EFE622DDDF02C3533B7197055E4BFA4CB6D6C08310CDAD", "Open")</f>
        <v>Open</v>
      </c>
      <c r="J3941" t="s">
        <v>3803</v>
      </c>
      <c r="L3941">
        <v>6746000</v>
      </c>
      <c r="M3941">
        <v>674600</v>
      </c>
    </row>
    <row r="3942" spans="1:13" x14ac:dyDescent="0.25">
      <c r="A3942" t="s">
        <v>13168</v>
      </c>
      <c r="B3942" t="s">
        <v>13169</v>
      </c>
      <c r="C3942" t="s">
        <v>121</v>
      </c>
      <c r="D3942" t="s">
        <v>7596</v>
      </c>
      <c r="E3942" t="s">
        <v>11024</v>
      </c>
      <c r="F3942" t="s">
        <v>11004</v>
      </c>
      <c r="G3942" t="s">
        <v>13170</v>
      </c>
      <c r="H3942" t="str">
        <f>HYPERLINK("https://baanknet.com/view-property/180819/6A027BAAAA37BA3C469E360F541CF6FF3061B1C42BF5730FF9228E9C520DBB8C", "https://baanknet.com/view-property/180819/6A027BAAAA37BA3C469E360F541CF6FF3061B1C42BF5730FF9228E9C520DBB8C")</f>
        <v>https://baanknet.com/view-property/180819/6A027BAAAA37BA3C469E360F541CF6FF3061B1C42BF5730FF9228E9C520DBB8C</v>
      </c>
      <c r="I3942" t="str">
        <f>HYPERLINK("https://baanknet.com/view-property/180819/6A027BAAAA37BA3C469E360F541CF6FF3061B1C42BF5730FF9228E9C520DBB8C", "Open")</f>
        <v>Open</v>
      </c>
      <c r="J3942" t="s">
        <v>3803</v>
      </c>
      <c r="L3942">
        <v>1900000</v>
      </c>
      <c r="M3942">
        <v>190000</v>
      </c>
    </row>
    <row r="3943" spans="1:13" x14ac:dyDescent="0.25">
      <c r="A3943" t="s">
        <v>13171</v>
      </c>
      <c r="B3943" t="s">
        <v>13172</v>
      </c>
      <c r="C3943" t="s">
        <v>387</v>
      </c>
      <c r="D3943" t="s">
        <v>1602</v>
      </c>
      <c r="E3943" t="s">
        <v>11024</v>
      </c>
      <c r="F3943" t="s">
        <v>11004</v>
      </c>
      <c r="G3943" t="s">
        <v>13173</v>
      </c>
      <c r="H3943" t="str">
        <f>HYPERLINK("https://baanknet.com/view-property/272069/6D1A1F5D7B2D393A6DBBF96846DD1A7BF9F40EB991B8EB98A7DD264D39840082", "https://baanknet.com/view-property/272069/6D1A1F5D7B2D393A6DBBF96846DD1A7BF9F40EB991B8EB98A7DD264D39840082")</f>
        <v>https://baanknet.com/view-property/272069/6D1A1F5D7B2D393A6DBBF96846DD1A7BF9F40EB991B8EB98A7DD264D39840082</v>
      </c>
      <c r="I3943" t="str">
        <f>HYPERLINK("https://baanknet.com/view-property/272069/6D1A1F5D7B2D393A6DBBF96846DD1A7BF9F40EB991B8EB98A7DD264D39840082", "Open")</f>
        <v>Open</v>
      </c>
      <c r="J3943" t="s">
        <v>3803</v>
      </c>
      <c r="L3943">
        <v>4075000</v>
      </c>
      <c r="M3943">
        <v>407500</v>
      </c>
    </row>
    <row r="3944" spans="1:13" x14ac:dyDescent="0.25">
      <c r="A3944" t="s">
        <v>13174</v>
      </c>
      <c r="B3944" t="s">
        <v>13175</v>
      </c>
      <c r="C3944" t="s">
        <v>121</v>
      </c>
      <c r="D3944" t="s">
        <v>9523</v>
      </c>
      <c r="E3944" t="s">
        <v>11024</v>
      </c>
      <c r="F3944" t="s">
        <v>11004</v>
      </c>
      <c r="G3944" t="s">
        <v>13176</v>
      </c>
      <c r="H3944" t="str">
        <f>HYPERLINK("https://baanknet.com/view-property/182200/58FFAFD164A3A539051E55EF685D889D2BB71CC1EB22670D340C4C5BCB666545", "https://baanknet.com/view-property/182200/58FFAFD164A3A539051E55EF685D889D2BB71CC1EB22670D340C4C5BCB666545")</f>
        <v>https://baanknet.com/view-property/182200/58FFAFD164A3A539051E55EF685D889D2BB71CC1EB22670D340C4C5BCB666545</v>
      </c>
      <c r="I3944" t="str">
        <f>HYPERLINK("https://baanknet.com/view-property/182200/58FFAFD164A3A539051E55EF685D889D2BB71CC1EB22670D340C4C5BCB666545", "Open")</f>
        <v>Open</v>
      </c>
      <c r="J3944" t="s">
        <v>3803</v>
      </c>
      <c r="L3944">
        <v>3400000</v>
      </c>
      <c r="M3944">
        <v>340000</v>
      </c>
    </row>
    <row r="3945" spans="1:13" x14ac:dyDescent="0.25">
      <c r="A3945" t="s">
        <v>13177</v>
      </c>
      <c r="B3945" t="s">
        <v>13178</v>
      </c>
      <c r="C3945" t="s">
        <v>121</v>
      </c>
      <c r="D3945" t="s">
        <v>7596</v>
      </c>
      <c r="E3945" t="s">
        <v>11024</v>
      </c>
      <c r="F3945" t="s">
        <v>11004</v>
      </c>
      <c r="G3945" t="s">
        <v>13179</v>
      </c>
      <c r="H3945" t="str">
        <f>HYPERLINK("https://baanknet.com/view-property/182818/1DC2FD29246FD15A3C0E5A99D1BC41484238034F8D3D612AF9CD18C2361AE065", "https://baanknet.com/view-property/182818/1DC2FD29246FD15A3C0E5A99D1BC41484238034F8D3D612AF9CD18C2361AE065")</f>
        <v>https://baanknet.com/view-property/182818/1DC2FD29246FD15A3C0E5A99D1BC41484238034F8D3D612AF9CD18C2361AE065</v>
      </c>
      <c r="I3945" t="str">
        <f>HYPERLINK("https://baanknet.com/view-property/182818/1DC2FD29246FD15A3C0E5A99D1BC41484238034F8D3D612AF9CD18C2361AE065", "Open")</f>
        <v>Open</v>
      </c>
      <c r="J3945" t="s">
        <v>3803</v>
      </c>
      <c r="L3945">
        <v>800000</v>
      </c>
      <c r="M3945">
        <v>80000</v>
      </c>
    </row>
    <row r="3946" spans="1:13" x14ac:dyDescent="0.25">
      <c r="A3946" t="s">
        <v>13180</v>
      </c>
      <c r="B3946" t="s">
        <v>13181</v>
      </c>
      <c r="C3946" t="s">
        <v>525</v>
      </c>
      <c r="D3946" t="s">
        <v>13182</v>
      </c>
      <c r="E3946" t="s">
        <v>11024</v>
      </c>
      <c r="F3946" t="s">
        <v>11004</v>
      </c>
      <c r="G3946" t="s">
        <v>13183</v>
      </c>
      <c r="H3946" t="str">
        <f>HYPERLINK("https://baanknet.com/view-property/28748/BD37C52EC1569A43D36F561047E39F0C9296DE7EAEF67DCAE8A582618630907E", "https://baanknet.com/view-property/28748/BD37C52EC1569A43D36F561047E39F0C9296DE7EAEF67DCAE8A582618630907E")</f>
        <v>https://baanknet.com/view-property/28748/BD37C52EC1569A43D36F561047E39F0C9296DE7EAEF67DCAE8A582618630907E</v>
      </c>
      <c r="I3946" t="str">
        <f>HYPERLINK("https://baanknet.com/view-property/28748/BD37C52EC1569A43D36F561047E39F0C9296DE7EAEF67DCAE8A582618630907E", "Open")</f>
        <v>Open</v>
      </c>
      <c r="J3946" t="s">
        <v>3803</v>
      </c>
      <c r="L3946">
        <v>3300000</v>
      </c>
      <c r="M3946">
        <v>330000</v>
      </c>
    </row>
    <row r="3947" spans="1:13" x14ac:dyDescent="0.25">
      <c r="A3947" t="s">
        <v>13184</v>
      </c>
      <c r="B3947" t="s">
        <v>13185</v>
      </c>
      <c r="C3947" t="s">
        <v>525</v>
      </c>
      <c r="D3947" t="s">
        <v>13186</v>
      </c>
      <c r="E3947" t="s">
        <v>11024</v>
      </c>
      <c r="F3947" t="s">
        <v>11004</v>
      </c>
      <c r="G3947" t="s">
        <v>13187</v>
      </c>
      <c r="H3947" t="str">
        <f>HYPERLINK("https://baanknet.com/view-property/287743/B3C207C8F6EE73B77FF801D49EF35112D7E8EDD182B596D6B9141953200DDF06", "https://baanknet.com/view-property/287743/B3C207C8F6EE73B77FF801D49EF35112D7E8EDD182B596D6B9141953200DDF06")</f>
        <v>https://baanknet.com/view-property/287743/B3C207C8F6EE73B77FF801D49EF35112D7E8EDD182B596D6B9141953200DDF06</v>
      </c>
      <c r="I3947" t="str">
        <f>HYPERLINK("https://baanknet.com/view-property/287743/B3C207C8F6EE73B77FF801D49EF35112D7E8EDD182B596D6B9141953200DDF06", "Open")</f>
        <v>Open</v>
      </c>
      <c r="J3947" t="s">
        <v>3803</v>
      </c>
      <c r="L3947">
        <v>1041000</v>
      </c>
      <c r="M3947">
        <v>104100</v>
      </c>
    </row>
    <row r="3948" spans="1:13" x14ac:dyDescent="0.25">
      <c r="A3948" t="s">
        <v>13188</v>
      </c>
      <c r="B3948" t="s">
        <v>13189</v>
      </c>
      <c r="C3948" t="s">
        <v>525</v>
      </c>
      <c r="D3948" t="s">
        <v>13186</v>
      </c>
      <c r="E3948" t="s">
        <v>11024</v>
      </c>
      <c r="F3948" t="s">
        <v>11004</v>
      </c>
      <c r="G3948" t="s">
        <v>13190</v>
      </c>
      <c r="H3948" t="str">
        <f>HYPERLINK("https://baanknet.com/view-property/287742/88D596C89711A3F9F8BAE14AE5FD431B16FDCF17A1C1E5131C7271E05EF52DAB", "https://baanknet.com/view-property/287742/88D596C89711A3F9F8BAE14AE5FD431B16FDCF17A1C1E5131C7271E05EF52DAB")</f>
        <v>https://baanknet.com/view-property/287742/88D596C89711A3F9F8BAE14AE5FD431B16FDCF17A1C1E5131C7271E05EF52DAB</v>
      </c>
      <c r="I3948" t="str">
        <f>HYPERLINK("https://baanknet.com/view-property/287742/88D596C89711A3F9F8BAE14AE5FD431B16FDCF17A1C1E5131C7271E05EF52DAB", "Open")</f>
        <v>Open</v>
      </c>
      <c r="J3948" t="s">
        <v>3803</v>
      </c>
      <c r="L3948">
        <v>1214000</v>
      </c>
      <c r="M3948">
        <v>121400</v>
      </c>
    </row>
    <row r="3949" spans="1:13" x14ac:dyDescent="0.25">
      <c r="A3949" t="s">
        <v>13191</v>
      </c>
      <c r="B3949" t="s">
        <v>13192</v>
      </c>
      <c r="C3949" t="s">
        <v>525</v>
      </c>
      <c r="D3949" t="s">
        <v>13186</v>
      </c>
      <c r="E3949" t="s">
        <v>11024</v>
      </c>
      <c r="F3949" t="s">
        <v>11004</v>
      </c>
      <c r="G3949" t="s">
        <v>13193</v>
      </c>
      <c r="H3949" t="str">
        <f>HYPERLINK("https://baanknet.com/view-property/287741/E9A8D0318B8AD7700582E8C51DF8B3948EB3CC3C5BE41A62F8A182A79678C343", "https://baanknet.com/view-property/287741/E9A8D0318B8AD7700582E8C51DF8B3948EB3CC3C5BE41A62F8A182A79678C343")</f>
        <v>https://baanknet.com/view-property/287741/E9A8D0318B8AD7700582E8C51DF8B3948EB3CC3C5BE41A62F8A182A79678C343</v>
      </c>
      <c r="I3949" t="str">
        <f>HYPERLINK("https://baanknet.com/view-property/287741/E9A8D0318B8AD7700582E8C51DF8B3948EB3CC3C5BE41A62F8A182A79678C343", "Open")</f>
        <v>Open</v>
      </c>
      <c r="J3949" t="s">
        <v>3803</v>
      </c>
      <c r="L3949">
        <v>1214000</v>
      </c>
      <c r="M3949">
        <v>121400</v>
      </c>
    </row>
    <row r="3950" spans="1:13" x14ac:dyDescent="0.25">
      <c r="A3950" t="s">
        <v>13194</v>
      </c>
      <c r="B3950" t="s">
        <v>13195</v>
      </c>
      <c r="C3950" t="s">
        <v>525</v>
      </c>
      <c r="D3950" t="s">
        <v>3483</v>
      </c>
      <c r="E3950" t="s">
        <v>11024</v>
      </c>
      <c r="F3950" t="s">
        <v>11004</v>
      </c>
      <c r="G3950" t="s">
        <v>13196</v>
      </c>
      <c r="H3950" t="str">
        <f>HYPERLINK("https://baanknet.com/view-property/287739/D1DCF58B2D6E489043E5606F78048B086EC6544675013E273959A5248D898F0F", "https://baanknet.com/view-property/287739/D1DCF58B2D6E489043E5606F78048B086EC6544675013E273959A5248D898F0F")</f>
        <v>https://baanknet.com/view-property/287739/D1DCF58B2D6E489043E5606F78048B086EC6544675013E273959A5248D898F0F</v>
      </c>
      <c r="I3950" t="str">
        <f>HYPERLINK("https://baanknet.com/view-property/287739/D1DCF58B2D6E489043E5606F78048B086EC6544675013E273959A5248D898F0F", "Open")</f>
        <v>Open</v>
      </c>
      <c r="J3950" t="s">
        <v>3803</v>
      </c>
      <c r="L3950">
        <v>1150000</v>
      </c>
      <c r="M3950">
        <v>115000</v>
      </c>
    </row>
    <row r="3951" spans="1:13" x14ac:dyDescent="0.25">
      <c r="A3951" t="s">
        <v>13197</v>
      </c>
      <c r="B3951" t="s">
        <v>13198</v>
      </c>
      <c r="C3951" t="s">
        <v>832</v>
      </c>
      <c r="D3951" t="s">
        <v>937</v>
      </c>
      <c r="E3951" t="s">
        <v>11024</v>
      </c>
      <c r="F3951" t="s">
        <v>11004</v>
      </c>
      <c r="G3951" t="s">
        <v>13199</v>
      </c>
      <c r="H3951" t="str">
        <f>HYPERLINK("https://baanknet.com/view-property/287379/826C5650049C71FECEA3364C688F1ABFF138E23EC06C5FA5866359F699C6CF54", "https://baanknet.com/view-property/287379/826C5650049C71FECEA3364C688F1ABFF138E23EC06C5FA5866359F699C6CF54")</f>
        <v>https://baanknet.com/view-property/287379/826C5650049C71FECEA3364C688F1ABFF138E23EC06C5FA5866359F699C6CF54</v>
      </c>
      <c r="I3951" t="str">
        <f>HYPERLINK("https://baanknet.com/view-property/287379/826C5650049C71FECEA3364C688F1ABFF138E23EC06C5FA5866359F699C6CF54", "Open")</f>
        <v>Open</v>
      </c>
      <c r="J3951" t="s">
        <v>3803</v>
      </c>
      <c r="L3951">
        <v>3512000</v>
      </c>
      <c r="M3951">
        <v>351200</v>
      </c>
    </row>
    <row r="3952" spans="1:13" x14ac:dyDescent="0.25">
      <c r="A3952" t="s">
        <v>13200</v>
      </c>
      <c r="B3952" t="s">
        <v>13201</v>
      </c>
      <c r="C3952" t="s">
        <v>832</v>
      </c>
      <c r="D3952" t="s">
        <v>937</v>
      </c>
      <c r="E3952" t="s">
        <v>11024</v>
      </c>
      <c r="F3952" t="s">
        <v>11004</v>
      </c>
      <c r="G3952" t="s">
        <v>13202</v>
      </c>
      <c r="H3952" t="str">
        <f>HYPERLINK("https://baanknet.com/view-property/287421/FDC0398E62C5A708C2C1BA8103C186272F9C9D67EA839147CB7C44FBD69308BF", "https://baanknet.com/view-property/287421/FDC0398E62C5A708C2C1BA8103C186272F9C9D67EA839147CB7C44FBD69308BF")</f>
        <v>https://baanknet.com/view-property/287421/FDC0398E62C5A708C2C1BA8103C186272F9C9D67EA839147CB7C44FBD69308BF</v>
      </c>
      <c r="I3952" t="str">
        <f>HYPERLINK("https://baanknet.com/view-property/287421/FDC0398E62C5A708C2C1BA8103C186272F9C9D67EA839147CB7C44FBD69308BF", "Open")</f>
        <v>Open</v>
      </c>
      <c r="J3952" t="s">
        <v>3803</v>
      </c>
      <c r="L3952">
        <v>10500000</v>
      </c>
      <c r="M3952">
        <v>1050000</v>
      </c>
    </row>
    <row r="3953" spans="1:13" x14ac:dyDescent="0.25">
      <c r="A3953" t="s">
        <v>13203</v>
      </c>
      <c r="B3953" t="s">
        <v>13204</v>
      </c>
      <c r="C3953" t="s">
        <v>832</v>
      </c>
      <c r="D3953" t="s">
        <v>937</v>
      </c>
      <c r="E3953" t="s">
        <v>11024</v>
      </c>
      <c r="F3953" t="s">
        <v>11004</v>
      </c>
      <c r="G3953" t="s">
        <v>13205</v>
      </c>
      <c r="H3953" t="str">
        <f>HYPERLINK("https://baanknet.com/view-property/287913/3EF58D5485191C45507D03A52CE0F91AC39D8B6D7411D6BD8EFA51F5DC3AB3E1", "https://baanknet.com/view-property/287913/3EF58D5485191C45507D03A52CE0F91AC39D8B6D7411D6BD8EFA51F5DC3AB3E1")</f>
        <v>https://baanknet.com/view-property/287913/3EF58D5485191C45507D03A52CE0F91AC39D8B6D7411D6BD8EFA51F5DC3AB3E1</v>
      </c>
      <c r="I3953" t="str">
        <f>HYPERLINK("https://baanknet.com/view-property/287913/3EF58D5485191C45507D03A52CE0F91AC39D8B6D7411D6BD8EFA51F5DC3AB3E1", "Open")</f>
        <v>Open</v>
      </c>
      <c r="J3953" t="s">
        <v>3803</v>
      </c>
      <c r="L3953">
        <v>14860000</v>
      </c>
      <c r="M3953">
        <v>1486000</v>
      </c>
    </row>
    <row r="3954" spans="1:13" x14ac:dyDescent="0.25">
      <c r="A3954" t="s">
        <v>13206</v>
      </c>
      <c r="B3954" t="s">
        <v>13207</v>
      </c>
      <c r="C3954" t="s">
        <v>832</v>
      </c>
      <c r="D3954" t="s">
        <v>4814</v>
      </c>
      <c r="E3954" t="s">
        <v>11024</v>
      </c>
      <c r="F3954" t="s">
        <v>11004</v>
      </c>
      <c r="G3954" t="s">
        <v>13208</v>
      </c>
      <c r="H3954" t="str">
        <f>HYPERLINK("https://baanknet.com/view-property/287414/D98475FD0FB7439C3044C45355EF38989019C71778CF41595D5FBDDB538899AB", "https://baanknet.com/view-property/287414/D98475FD0FB7439C3044C45355EF38989019C71778CF41595D5FBDDB538899AB")</f>
        <v>https://baanknet.com/view-property/287414/D98475FD0FB7439C3044C45355EF38989019C71778CF41595D5FBDDB538899AB</v>
      </c>
      <c r="I3954" t="str">
        <f>HYPERLINK("https://baanknet.com/view-property/287414/D98475FD0FB7439C3044C45355EF38989019C71778CF41595D5FBDDB538899AB", "Open")</f>
        <v>Open</v>
      </c>
      <c r="J3954" t="s">
        <v>3803</v>
      </c>
      <c r="L3954">
        <v>3557000</v>
      </c>
      <c r="M3954">
        <v>355700</v>
      </c>
    </row>
    <row r="3955" spans="1:13" x14ac:dyDescent="0.25">
      <c r="A3955" t="s">
        <v>13209</v>
      </c>
      <c r="B3955" t="s">
        <v>13210</v>
      </c>
      <c r="C3955" t="s">
        <v>832</v>
      </c>
      <c r="D3955" t="s">
        <v>4814</v>
      </c>
      <c r="E3955" t="s">
        <v>11024</v>
      </c>
      <c r="F3955" t="s">
        <v>11004</v>
      </c>
      <c r="G3955" t="s">
        <v>13211</v>
      </c>
      <c r="H3955" t="str">
        <f>HYPERLINK("https://baanknet.com/view-property/287410/D0453CA755D3201ACDF3239F1FEABB1E35FBD248260A5D9D0E1BE004C96FF1E6", "https://baanknet.com/view-property/287410/D0453CA755D3201ACDF3239F1FEABB1E35FBD248260A5D9D0E1BE004C96FF1E6")</f>
        <v>https://baanknet.com/view-property/287410/D0453CA755D3201ACDF3239F1FEABB1E35FBD248260A5D9D0E1BE004C96FF1E6</v>
      </c>
      <c r="I3955" t="str">
        <f>HYPERLINK("https://baanknet.com/view-property/287410/D0453CA755D3201ACDF3239F1FEABB1E35FBD248260A5D9D0E1BE004C96FF1E6", "Open")</f>
        <v>Open</v>
      </c>
      <c r="J3955" t="s">
        <v>3803</v>
      </c>
      <c r="L3955">
        <v>3557000</v>
      </c>
      <c r="M3955">
        <v>355700</v>
      </c>
    </row>
    <row r="3956" spans="1:13" x14ac:dyDescent="0.25">
      <c r="A3956" t="s">
        <v>13212</v>
      </c>
      <c r="B3956" t="s">
        <v>13213</v>
      </c>
      <c r="C3956" t="s">
        <v>332</v>
      </c>
      <c r="D3956" t="s">
        <v>13186</v>
      </c>
      <c r="E3956" t="s">
        <v>11024</v>
      </c>
      <c r="F3956" t="s">
        <v>11004</v>
      </c>
      <c r="G3956" t="s">
        <v>13214</v>
      </c>
      <c r="H3956" t="str">
        <f>HYPERLINK("https://baanknet.com/view-property/227990/FB0C37EF11737043086F2291B22DA5C45CF95F129B9B668DE4C0AA2367EB7302", "https://baanknet.com/view-property/227990/FB0C37EF11737043086F2291B22DA5C45CF95F129B9B668DE4C0AA2367EB7302")</f>
        <v>https://baanknet.com/view-property/227990/FB0C37EF11737043086F2291B22DA5C45CF95F129B9B668DE4C0AA2367EB7302</v>
      </c>
      <c r="I3956" t="str">
        <f>HYPERLINK("https://baanknet.com/view-property/227990/FB0C37EF11737043086F2291B22DA5C45CF95F129B9B668DE4C0AA2367EB7302", "Open")</f>
        <v>Open</v>
      </c>
      <c r="J3956" t="s">
        <v>3803</v>
      </c>
      <c r="L3956">
        <v>2845000</v>
      </c>
      <c r="M3956">
        <v>284500</v>
      </c>
    </row>
    <row r="3957" spans="1:13" x14ac:dyDescent="0.25">
      <c r="A3957" t="s">
        <v>13215</v>
      </c>
      <c r="B3957" t="s">
        <v>13216</v>
      </c>
      <c r="C3957" t="s">
        <v>387</v>
      </c>
      <c r="D3957" t="s">
        <v>13217</v>
      </c>
      <c r="E3957" t="s">
        <v>11024</v>
      </c>
      <c r="F3957" t="s">
        <v>11004</v>
      </c>
      <c r="G3957" t="s">
        <v>13218</v>
      </c>
      <c r="H3957" t="str">
        <f>HYPERLINK("https://baanknet.com/view-property/288147/F4CEF357C7D59497B5F5F19456FD9ECDE0C3715E1673F253DAA3A0089EE6D726", "https://baanknet.com/view-property/288147/F4CEF357C7D59497B5F5F19456FD9ECDE0C3715E1673F253DAA3A0089EE6D726")</f>
        <v>https://baanknet.com/view-property/288147/F4CEF357C7D59497B5F5F19456FD9ECDE0C3715E1673F253DAA3A0089EE6D726</v>
      </c>
      <c r="I3957" t="str">
        <f>HYPERLINK("https://baanknet.com/view-property/288147/F4CEF357C7D59497B5F5F19456FD9ECDE0C3715E1673F253DAA3A0089EE6D726", "Open")</f>
        <v>Open</v>
      </c>
      <c r="J3957" t="s">
        <v>3803</v>
      </c>
      <c r="L3957">
        <v>4009500</v>
      </c>
      <c r="M3957">
        <v>400950</v>
      </c>
    </row>
    <row r="3958" spans="1:13" x14ac:dyDescent="0.25">
      <c r="A3958" t="s">
        <v>13219</v>
      </c>
      <c r="B3958" t="s">
        <v>13220</v>
      </c>
      <c r="C3958" t="s">
        <v>387</v>
      </c>
      <c r="D3958" t="s">
        <v>10111</v>
      </c>
      <c r="E3958" t="s">
        <v>11024</v>
      </c>
      <c r="F3958" t="s">
        <v>11004</v>
      </c>
      <c r="G3958" t="s">
        <v>13221</v>
      </c>
      <c r="H3958" t="str">
        <f>HYPERLINK("https://baanknet.com/view-property/288145/B65B060EE5B41030C07A34415D7DA2C6F35CA8244DD86D794733B5C7C931FF44", "https://baanknet.com/view-property/288145/B65B060EE5B41030C07A34415D7DA2C6F35CA8244DD86D794733B5C7C931FF44")</f>
        <v>https://baanknet.com/view-property/288145/B65B060EE5B41030C07A34415D7DA2C6F35CA8244DD86D794733B5C7C931FF44</v>
      </c>
      <c r="I3958" t="str">
        <f>HYPERLINK("https://baanknet.com/view-property/288145/B65B060EE5B41030C07A34415D7DA2C6F35CA8244DD86D794733B5C7C931FF44", "Open")</f>
        <v>Open</v>
      </c>
      <c r="J3958" t="s">
        <v>3803</v>
      </c>
      <c r="L3958">
        <v>1865500</v>
      </c>
      <c r="M3958">
        <v>186550</v>
      </c>
    </row>
    <row r="3959" spans="1:13" x14ac:dyDescent="0.25">
      <c r="A3959" t="s">
        <v>13222</v>
      </c>
      <c r="B3959" t="s">
        <v>13223</v>
      </c>
      <c r="C3959" t="s">
        <v>387</v>
      </c>
      <c r="D3959" t="s">
        <v>13224</v>
      </c>
      <c r="E3959" t="s">
        <v>11024</v>
      </c>
      <c r="F3959" t="s">
        <v>11004</v>
      </c>
      <c r="G3959" t="s">
        <v>13225</v>
      </c>
      <c r="H3959" t="str">
        <f>HYPERLINK("https://baanknet.com/view-property/288143/C369D8F5B4A3A5F19D43C075C2BBC7C5E947BF89B083A2646AEF80A2E9D0AA8C", "https://baanknet.com/view-property/288143/C369D8F5B4A3A5F19D43C075C2BBC7C5E947BF89B083A2646AEF80A2E9D0AA8C")</f>
        <v>https://baanknet.com/view-property/288143/C369D8F5B4A3A5F19D43C075C2BBC7C5E947BF89B083A2646AEF80A2E9D0AA8C</v>
      </c>
      <c r="I3959" t="str">
        <f>HYPERLINK("https://baanknet.com/view-property/288143/C369D8F5B4A3A5F19D43C075C2BBC7C5E947BF89B083A2646AEF80A2E9D0AA8C", "Open")</f>
        <v>Open</v>
      </c>
      <c r="J3959" t="s">
        <v>3803</v>
      </c>
      <c r="L3959">
        <v>972000</v>
      </c>
      <c r="M3959">
        <v>97200</v>
      </c>
    </row>
    <row r="3960" spans="1:13" x14ac:dyDescent="0.25">
      <c r="A3960" t="s">
        <v>13226</v>
      </c>
      <c r="B3960" t="s">
        <v>13227</v>
      </c>
      <c r="C3960" t="s">
        <v>387</v>
      </c>
      <c r="D3960" t="s">
        <v>13217</v>
      </c>
      <c r="E3960" t="s">
        <v>11024</v>
      </c>
      <c r="F3960" t="s">
        <v>11004</v>
      </c>
      <c r="G3960" t="s">
        <v>13228</v>
      </c>
      <c r="H3960" t="str">
        <f>HYPERLINK("https://baanknet.com/view-property/288136/B809CAC03E8026A3506DF99387722BCD0EA3D20874D1E5E2BAFBCDAB07305D7D", "https://baanknet.com/view-property/288136/B809CAC03E8026A3506DF99387722BCD0EA3D20874D1E5E2BAFBCDAB07305D7D")</f>
        <v>https://baanknet.com/view-property/288136/B809CAC03E8026A3506DF99387722BCD0EA3D20874D1E5E2BAFBCDAB07305D7D</v>
      </c>
      <c r="I3960" t="str">
        <f>HYPERLINK("https://baanknet.com/view-property/288136/B809CAC03E8026A3506DF99387722BCD0EA3D20874D1E5E2BAFBCDAB07305D7D", "Open")</f>
        <v>Open</v>
      </c>
      <c r="J3960" t="s">
        <v>3803</v>
      </c>
      <c r="L3960">
        <v>1188000</v>
      </c>
      <c r="M3960">
        <v>118800</v>
      </c>
    </row>
    <row r="3961" spans="1:13" x14ac:dyDescent="0.25">
      <c r="A3961" t="s">
        <v>13229</v>
      </c>
      <c r="B3961" t="s">
        <v>13230</v>
      </c>
      <c r="C3961" t="s">
        <v>387</v>
      </c>
      <c r="D3961" t="s">
        <v>5803</v>
      </c>
      <c r="E3961" t="s">
        <v>11024</v>
      </c>
      <c r="F3961" t="s">
        <v>11004</v>
      </c>
      <c r="G3961" t="s">
        <v>13231</v>
      </c>
      <c r="H3961" t="str">
        <f>HYPERLINK("https://baanknet.com/view-property/288119/34EF3015007E1F3A37E6D395361DF6E557AEA6188E7F6225832B72B9C580D2A4", "https://baanknet.com/view-property/288119/34EF3015007E1F3A37E6D395361DF6E557AEA6188E7F6225832B72B9C580D2A4")</f>
        <v>https://baanknet.com/view-property/288119/34EF3015007E1F3A37E6D395361DF6E557AEA6188E7F6225832B72B9C580D2A4</v>
      </c>
      <c r="I3961" t="str">
        <f>HYPERLINK("https://baanknet.com/view-property/288119/34EF3015007E1F3A37E6D395361DF6E557AEA6188E7F6225832B72B9C580D2A4", "Open")</f>
        <v>Open</v>
      </c>
      <c r="J3961" t="s">
        <v>3803</v>
      </c>
      <c r="L3961">
        <v>1024500</v>
      </c>
      <c r="M3961">
        <v>102450</v>
      </c>
    </row>
    <row r="3962" spans="1:13" x14ac:dyDescent="0.25">
      <c r="A3962" t="s">
        <v>13232</v>
      </c>
      <c r="B3962" t="s">
        <v>13233</v>
      </c>
      <c r="C3962" t="s">
        <v>387</v>
      </c>
      <c r="D3962" t="s">
        <v>13234</v>
      </c>
      <c r="E3962" t="s">
        <v>11024</v>
      </c>
      <c r="F3962" t="s">
        <v>11004</v>
      </c>
      <c r="G3962" t="s">
        <v>13235</v>
      </c>
      <c r="H3962" t="str">
        <f>HYPERLINK("https://baanknet.com/view-property/288118/319FBC5E864F96CDBE9913E253E5A060A9B029AB2B1FFA2C28104DD8C5357AB9", "https://baanknet.com/view-property/288118/319FBC5E864F96CDBE9913E253E5A060A9B029AB2B1FFA2C28104DD8C5357AB9")</f>
        <v>https://baanknet.com/view-property/288118/319FBC5E864F96CDBE9913E253E5A060A9B029AB2B1FFA2C28104DD8C5357AB9</v>
      </c>
      <c r="I3962" t="str">
        <f>HYPERLINK("https://baanknet.com/view-property/288118/319FBC5E864F96CDBE9913E253E5A060A9B029AB2B1FFA2C28104DD8C5357AB9", "Open")</f>
        <v>Open</v>
      </c>
      <c r="J3962" t="s">
        <v>3803</v>
      </c>
      <c r="L3962">
        <v>2420000</v>
      </c>
      <c r="M3962">
        <v>242000</v>
      </c>
    </row>
    <row r="3963" spans="1:13" x14ac:dyDescent="0.25">
      <c r="A3963" t="s">
        <v>13236</v>
      </c>
      <c r="B3963" t="s">
        <v>13237</v>
      </c>
      <c r="C3963" t="s">
        <v>387</v>
      </c>
      <c r="D3963" t="s">
        <v>13238</v>
      </c>
      <c r="E3963" t="s">
        <v>11024</v>
      </c>
      <c r="F3963" t="s">
        <v>11004</v>
      </c>
      <c r="G3963" t="s">
        <v>13239</v>
      </c>
      <c r="H3963" t="str">
        <f>HYPERLINK("https://baanknet.com/view-property/288115/A697217A40873F5C4129346169E6A3FB761C441E2B8DC2EBC95C9128354A3390", "https://baanknet.com/view-property/288115/A697217A40873F5C4129346169E6A3FB761C441E2B8DC2EBC95C9128354A3390")</f>
        <v>https://baanknet.com/view-property/288115/A697217A40873F5C4129346169E6A3FB761C441E2B8DC2EBC95C9128354A3390</v>
      </c>
      <c r="I3963" t="str">
        <f>HYPERLINK("https://baanknet.com/view-property/288115/A697217A40873F5C4129346169E6A3FB761C441E2B8DC2EBC95C9128354A3390", "Open")</f>
        <v>Open</v>
      </c>
      <c r="J3963" t="s">
        <v>3803</v>
      </c>
      <c r="L3963">
        <v>800000</v>
      </c>
      <c r="M3963">
        <v>80000</v>
      </c>
    </row>
    <row r="3964" spans="1:13" x14ac:dyDescent="0.25">
      <c r="A3964" t="s">
        <v>13240</v>
      </c>
      <c r="B3964" t="s">
        <v>13241</v>
      </c>
      <c r="C3964" t="s">
        <v>387</v>
      </c>
      <c r="D3964" t="s">
        <v>13242</v>
      </c>
      <c r="E3964" t="s">
        <v>11024</v>
      </c>
      <c r="F3964" t="s">
        <v>11004</v>
      </c>
      <c r="G3964" t="s">
        <v>13243</v>
      </c>
      <c r="H3964" t="str">
        <f>HYPERLINK("https://baanknet.com/view-property/288108/5DA8334CF8F1470109AE37093AFBCC42E8015B7D67E2E919AE4FBED3A5C66332", "https://baanknet.com/view-property/288108/5DA8334CF8F1470109AE37093AFBCC42E8015B7D67E2E919AE4FBED3A5C66332")</f>
        <v>https://baanknet.com/view-property/288108/5DA8334CF8F1470109AE37093AFBCC42E8015B7D67E2E919AE4FBED3A5C66332</v>
      </c>
      <c r="I3964" t="str">
        <f>HYPERLINK("https://baanknet.com/view-property/288108/5DA8334CF8F1470109AE37093AFBCC42E8015B7D67E2E919AE4FBED3A5C66332", "Open")</f>
        <v>Open</v>
      </c>
      <c r="J3964" t="s">
        <v>3803</v>
      </c>
      <c r="L3964">
        <v>2640000</v>
      </c>
      <c r="M3964">
        <v>264000</v>
      </c>
    </row>
    <row r="3965" spans="1:13" x14ac:dyDescent="0.25">
      <c r="A3965" t="s">
        <v>13244</v>
      </c>
      <c r="B3965" t="s">
        <v>13245</v>
      </c>
      <c r="C3965" t="s">
        <v>387</v>
      </c>
      <c r="D3965" t="s">
        <v>13246</v>
      </c>
      <c r="E3965" t="s">
        <v>11024</v>
      </c>
      <c r="F3965" t="s">
        <v>11004</v>
      </c>
      <c r="G3965" t="s">
        <v>13247</v>
      </c>
      <c r="H3965" t="str">
        <f>HYPERLINK("https://baanknet.com/view-property/288105/137DD04F180F9A960174A07F453436590CA1C118B714CA77DA4790C97436D16A", "https://baanknet.com/view-property/288105/137DD04F180F9A960174A07F453436590CA1C118B714CA77DA4790C97436D16A")</f>
        <v>https://baanknet.com/view-property/288105/137DD04F180F9A960174A07F453436590CA1C118B714CA77DA4790C97436D16A</v>
      </c>
      <c r="I3965" t="str">
        <f>HYPERLINK("https://baanknet.com/view-property/288105/137DD04F180F9A960174A07F453436590CA1C118B714CA77DA4790C97436D16A", "Open")</f>
        <v>Open</v>
      </c>
      <c r="J3965" t="s">
        <v>3803</v>
      </c>
      <c r="L3965">
        <v>1520000</v>
      </c>
      <c r="M3965">
        <v>152000</v>
      </c>
    </row>
    <row r="3966" spans="1:13" x14ac:dyDescent="0.25">
      <c r="A3966" t="s">
        <v>13248</v>
      </c>
      <c r="B3966" t="s">
        <v>13249</v>
      </c>
      <c r="C3966" t="s">
        <v>387</v>
      </c>
      <c r="D3966" t="s">
        <v>13250</v>
      </c>
      <c r="E3966" t="s">
        <v>11024</v>
      </c>
      <c r="F3966" t="s">
        <v>11004</v>
      </c>
      <c r="G3966" t="s">
        <v>13251</v>
      </c>
      <c r="H3966" t="str">
        <f>HYPERLINK("https://baanknet.com/view-property/288098/5941C778CF5DC342B2D79611ED6114697D87AE89E9FA7A554D73D9815BF4F3DE", "https://baanknet.com/view-property/288098/5941C778CF5DC342B2D79611ED6114697D87AE89E9FA7A554D73D9815BF4F3DE")</f>
        <v>https://baanknet.com/view-property/288098/5941C778CF5DC342B2D79611ED6114697D87AE89E9FA7A554D73D9815BF4F3DE</v>
      </c>
      <c r="I3966" t="str">
        <f>HYPERLINK("https://baanknet.com/view-property/288098/5941C778CF5DC342B2D79611ED6114697D87AE89E9FA7A554D73D9815BF4F3DE", "Open")</f>
        <v>Open</v>
      </c>
      <c r="J3966" t="s">
        <v>3803</v>
      </c>
      <c r="L3966">
        <v>13725000</v>
      </c>
      <c r="M3966">
        <v>1372500</v>
      </c>
    </row>
    <row r="3967" spans="1:13" x14ac:dyDescent="0.25">
      <c r="A3967" t="s">
        <v>13252</v>
      </c>
      <c r="B3967" t="s">
        <v>13253</v>
      </c>
      <c r="C3967" t="s">
        <v>387</v>
      </c>
      <c r="D3967" t="s">
        <v>13254</v>
      </c>
      <c r="E3967" t="s">
        <v>11024</v>
      </c>
      <c r="F3967" t="s">
        <v>11004</v>
      </c>
      <c r="G3967" t="s">
        <v>13255</v>
      </c>
      <c r="H3967" t="str">
        <f>HYPERLINK("https://baanknet.com/view-property/288093/664FAD178F70032EF32AE8AF8B6FE6044506E2CF6553D0CABA884D99D0B23D55", "https://baanknet.com/view-property/288093/664FAD178F70032EF32AE8AF8B6FE6044506E2CF6553D0CABA884D99D0B23D55")</f>
        <v>https://baanknet.com/view-property/288093/664FAD178F70032EF32AE8AF8B6FE6044506E2CF6553D0CABA884D99D0B23D55</v>
      </c>
      <c r="I3967" t="str">
        <f>HYPERLINK("https://baanknet.com/view-property/288093/664FAD178F70032EF32AE8AF8B6FE6044506E2CF6553D0CABA884D99D0B23D55", "Open")</f>
        <v>Open</v>
      </c>
      <c r="J3967" t="s">
        <v>3803</v>
      </c>
      <c r="L3967">
        <v>2370250</v>
      </c>
      <c r="M3967">
        <v>237025</v>
      </c>
    </row>
    <row r="3968" spans="1:13" x14ac:dyDescent="0.25">
      <c r="A3968" t="s">
        <v>13256</v>
      </c>
      <c r="B3968" t="s">
        <v>13257</v>
      </c>
      <c r="C3968" t="s">
        <v>387</v>
      </c>
      <c r="D3968" t="s">
        <v>5304</v>
      </c>
      <c r="E3968" t="s">
        <v>11024</v>
      </c>
      <c r="F3968" t="s">
        <v>11004</v>
      </c>
      <c r="G3968" t="s">
        <v>13258</v>
      </c>
      <c r="H3968" t="str">
        <f>HYPERLINK("https://baanknet.com/view-property/288081/F9332F081543C728AC4510B9738C450194620EDD39931540F1F84B459C8158A7", "https://baanknet.com/view-property/288081/F9332F081543C728AC4510B9738C450194620EDD39931540F1F84B459C8158A7")</f>
        <v>https://baanknet.com/view-property/288081/F9332F081543C728AC4510B9738C450194620EDD39931540F1F84B459C8158A7</v>
      </c>
      <c r="I3968" t="str">
        <f>HYPERLINK("https://baanknet.com/view-property/288081/F9332F081543C728AC4510B9738C450194620EDD39931540F1F84B459C8158A7", "Open")</f>
        <v>Open</v>
      </c>
      <c r="J3968" t="s">
        <v>3803</v>
      </c>
      <c r="L3968">
        <v>2442000</v>
      </c>
      <c r="M3968">
        <v>244200</v>
      </c>
    </row>
    <row r="3969" spans="1:13" x14ac:dyDescent="0.25">
      <c r="A3969" t="s">
        <v>13259</v>
      </c>
      <c r="B3969" t="s">
        <v>13260</v>
      </c>
      <c r="C3969" t="s">
        <v>589</v>
      </c>
      <c r="D3969" t="s">
        <v>497</v>
      </c>
      <c r="E3969" t="s">
        <v>11024</v>
      </c>
      <c r="F3969" t="s">
        <v>11430</v>
      </c>
      <c r="G3969" t="s">
        <v>13261</v>
      </c>
      <c r="H3969" t="str">
        <f>HYPERLINK("https://baanknet.com/view-property/264087/8421DA64B55C050ADD1596E121ABA2A8BE698AA4D3A708DE8ABA8EAA70F73980", "https://baanknet.com/view-property/264087/8421DA64B55C050ADD1596E121ABA2A8BE698AA4D3A708DE8ABA8EAA70F73980")</f>
        <v>https://baanknet.com/view-property/264087/8421DA64B55C050ADD1596E121ABA2A8BE698AA4D3A708DE8ABA8EAA70F73980</v>
      </c>
      <c r="I3969" t="str">
        <f>HYPERLINK("https://baanknet.com/view-property/264087/8421DA64B55C050ADD1596E121ABA2A8BE698AA4D3A708DE8ABA8EAA70F73980", "Open")</f>
        <v>Open</v>
      </c>
      <c r="J3969" t="s">
        <v>3803</v>
      </c>
      <c r="L3969">
        <v>6300000</v>
      </c>
      <c r="M3969">
        <v>630000</v>
      </c>
    </row>
    <row r="3970" spans="1:13" x14ac:dyDescent="0.25">
      <c r="A3970" t="s">
        <v>13262</v>
      </c>
      <c r="B3970" t="s">
        <v>13263</v>
      </c>
      <c r="C3970" t="s">
        <v>589</v>
      </c>
      <c r="D3970" t="s">
        <v>497</v>
      </c>
      <c r="E3970" t="s">
        <v>11024</v>
      </c>
      <c r="F3970" t="s">
        <v>11430</v>
      </c>
      <c r="G3970" t="s">
        <v>13264</v>
      </c>
      <c r="H3970" t="str">
        <f>HYPERLINK("https://baanknet.com/view-property/274336/12991D435F83594AE3B455C0FCD019F5311AB542B82D7A31E8176954598BA2C7", "https://baanknet.com/view-property/274336/12991D435F83594AE3B455C0FCD019F5311AB542B82D7A31E8176954598BA2C7")</f>
        <v>https://baanknet.com/view-property/274336/12991D435F83594AE3B455C0FCD019F5311AB542B82D7A31E8176954598BA2C7</v>
      </c>
      <c r="I3970" t="str">
        <f>HYPERLINK("https://baanknet.com/view-property/274336/12991D435F83594AE3B455C0FCD019F5311AB542B82D7A31E8176954598BA2C7", "Open")</f>
        <v>Open</v>
      </c>
      <c r="J3970" t="s">
        <v>3803</v>
      </c>
      <c r="L3970">
        <v>40000000</v>
      </c>
      <c r="M3970">
        <v>4000000</v>
      </c>
    </row>
    <row r="3971" spans="1:13" x14ac:dyDescent="0.25">
      <c r="A3971" t="s">
        <v>13265</v>
      </c>
      <c r="B3971" t="s">
        <v>13266</v>
      </c>
      <c r="C3971" t="s">
        <v>589</v>
      </c>
      <c r="D3971" t="s">
        <v>32</v>
      </c>
      <c r="E3971" t="s">
        <v>11024</v>
      </c>
      <c r="F3971" t="s">
        <v>11430</v>
      </c>
      <c r="G3971" t="s">
        <v>13267</v>
      </c>
      <c r="H3971" t="str">
        <f>HYPERLINK("https://baanknet.com/view-property/264572/2F1C2AC0530E206D69FD45AF10EA27AE3E3245B81E5228E55463E835C223DE67", "https://baanknet.com/view-property/264572/2F1C2AC0530E206D69FD45AF10EA27AE3E3245B81E5228E55463E835C223DE67")</f>
        <v>https://baanknet.com/view-property/264572/2F1C2AC0530E206D69FD45AF10EA27AE3E3245B81E5228E55463E835C223DE67</v>
      </c>
      <c r="I3971" t="str">
        <f>HYPERLINK("https://baanknet.com/view-property/264572/2F1C2AC0530E206D69FD45AF10EA27AE3E3245B81E5228E55463E835C223DE67", "Open")</f>
        <v>Open</v>
      </c>
      <c r="J3971" t="s">
        <v>3803</v>
      </c>
      <c r="L3971">
        <v>4677000</v>
      </c>
      <c r="M3971">
        <v>500000</v>
      </c>
    </row>
    <row r="3972" spans="1:13" x14ac:dyDescent="0.25">
      <c r="A3972" t="s">
        <v>13268</v>
      </c>
      <c r="B3972" t="s">
        <v>13269</v>
      </c>
      <c r="C3972" t="s">
        <v>589</v>
      </c>
      <c r="D3972" t="s">
        <v>32</v>
      </c>
      <c r="E3972" t="s">
        <v>11024</v>
      </c>
      <c r="F3972" t="s">
        <v>11430</v>
      </c>
      <c r="G3972" t="s">
        <v>13270</v>
      </c>
      <c r="H3972" t="str">
        <f>HYPERLINK("https://baanknet.com/view-property/274196/503F851B5BD8D1C3FD6CB32B0F86E9CEFBCB36EAD4487939585C754057163B10", "https://baanknet.com/view-property/274196/503F851B5BD8D1C3FD6CB32B0F86E9CEFBCB36EAD4487939585C754057163B10")</f>
        <v>https://baanknet.com/view-property/274196/503F851B5BD8D1C3FD6CB32B0F86E9CEFBCB36EAD4487939585C754057163B10</v>
      </c>
      <c r="I3972" t="str">
        <f>HYPERLINK("https://baanknet.com/view-property/274196/503F851B5BD8D1C3FD6CB32B0F86E9CEFBCB36EAD4487939585C754057163B10", "Open")</f>
        <v>Open</v>
      </c>
      <c r="J3972" t="s">
        <v>3803</v>
      </c>
      <c r="L3972">
        <v>5250000</v>
      </c>
      <c r="M3972">
        <v>525000</v>
      </c>
    </row>
    <row r="3973" spans="1:13" x14ac:dyDescent="0.25">
      <c r="A3973" t="s">
        <v>13271</v>
      </c>
      <c r="B3973" t="s">
        <v>13272</v>
      </c>
      <c r="C3973" t="s">
        <v>7449</v>
      </c>
      <c r="D3973" t="s">
        <v>13273</v>
      </c>
      <c r="E3973" t="s">
        <v>11024</v>
      </c>
      <c r="F3973" t="s">
        <v>11430</v>
      </c>
      <c r="G3973" t="s">
        <v>13274</v>
      </c>
      <c r="H3973" t="str">
        <f>HYPERLINK("https://baanknet.com/view-property/272737/DE62BA4FF45F468D9E48E82BA1D01B7D0AFAF58DE816A8EA704B0B7ED4413322", "https://baanknet.com/view-property/272737/DE62BA4FF45F468D9E48E82BA1D01B7D0AFAF58DE816A8EA704B0B7ED4413322")</f>
        <v>https://baanknet.com/view-property/272737/DE62BA4FF45F468D9E48E82BA1D01B7D0AFAF58DE816A8EA704B0B7ED4413322</v>
      </c>
      <c r="I3973" t="str">
        <f>HYPERLINK("https://baanknet.com/view-property/272737/DE62BA4FF45F468D9E48E82BA1D01B7D0AFAF58DE816A8EA704B0B7ED4413322", "Open")</f>
        <v>Open</v>
      </c>
      <c r="J3973" t="s">
        <v>3803</v>
      </c>
      <c r="L3973">
        <v>3283000</v>
      </c>
      <c r="M3973">
        <v>328300</v>
      </c>
    </row>
    <row r="3974" spans="1:13" x14ac:dyDescent="0.25">
      <c r="A3974" t="s">
        <v>13275</v>
      </c>
      <c r="B3974" t="s">
        <v>13276</v>
      </c>
      <c r="C3974" t="s">
        <v>7449</v>
      </c>
      <c r="D3974" t="s">
        <v>13277</v>
      </c>
      <c r="E3974" t="s">
        <v>11024</v>
      </c>
      <c r="F3974" t="s">
        <v>11430</v>
      </c>
      <c r="G3974" t="s">
        <v>13278</v>
      </c>
      <c r="H3974" t="str">
        <f>HYPERLINK("https://baanknet.com/view-property/123698/74542DA4E339B1B73EE8A03FCAD7D407C2C3CE3BF5B90923CFC74F48BE0096F8", "https://baanknet.com/view-property/123698/74542DA4E339B1B73EE8A03FCAD7D407C2C3CE3BF5B90923CFC74F48BE0096F8")</f>
        <v>https://baanknet.com/view-property/123698/74542DA4E339B1B73EE8A03FCAD7D407C2C3CE3BF5B90923CFC74F48BE0096F8</v>
      </c>
      <c r="I3974" t="str">
        <f>HYPERLINK("https://baanknet.com/view-property/123698/74542DA4E339B1B73EE8A03FCAD7D407C2C3CE3BF5B90923CFC74F48BE0096F8", "Open")</f>
        <v>Open</v>
      </c>
      <c r="J3974" t="s">
        <v>3803</v>
      </c>
      <c r="L3974">
        <v>1071000</v>
      </c>
      <c r="M3974">
        <v>107100</v>
      </c>
    </row>
    <row r="3975" spans="1:13" x14ac:dyDescent="0.25">
      <c r="A3975" t="s">
        <v>13279</v>
      </c>
      <c r="B3975" t="s">
        <v>13280</v>
      </c>
      <c r="C3975" t="s">
        <v>332</v>
      </c>
      <c r="D3975" t="s">
        <v>13281</v>
      </c>
      <c r="E3975" t="s">
        <v>11024</v>
      </c>
      <c r="F3975" t="s">
        <v>11430</v>
      </c>
      <c r="G3975" t="s">
        <v>13282</v>
      </c>
      <c r="H3975" t="str">
        <f>HYPERLINK("https://baanknet.com/view-property/59653/63625644B8591561F95D689BFC40E21EB65AB65009CE712A53B504E4A8B13BF3", "https://baanknet.com/view-property/59653/63625644B8591561F95D689BFC40E21EB65AB65009CE712A53B504E4A8B13BF3")</f>
        <v>https://baanknet.com/view-property/59653/63625644B8591561F95D689BFC40E21EB65AB65009CE712A53B504E4A8B13BF3</v>
      </c>
      <c r="I3975" t="str">
        <f>HYPERLINK("https://baanknet.com/view-property/59653/63625644B8591561F95D689BFC40E21EB65AB65009CE712A53B504E4A8B13BF3", "Open")</f>
        <v>Open</v>
      </c>
      <c r="J3975" t="s">
        <v>3803</v>
      </c>
      <c r="L3975">
        <v>1500000</v>
      </c>
      <c r="M3975">
        <v>150000</v>
      </c>
    </row>
    <row r="3976" spans="1:13" x14ac:dyDescent="0.25">
      <c r="A3976" t="s">
        <v>13283</v>
      </c>
      <c r="B3976" t="s">
        <v>13284</v>
      </c>
      <c r="C3976" t="s">
        <v>832</v>
      </c>
      <c r="D3976" t="s">
        <v>2341</v>
      </c>
      <c r="E3976" t="s">
        <v>11024</v>
      </c>
      <c r="F3976" t="s">
        <v>11430</v>
      </c>
      <c r="G3976" t="s">
        <v>13285</v>
      </c>
      <c r="H3976" t="str">
        <f>HYPERLINK("https://baanknet.com/view-property/286426/D6B90F51354ECEF5D8868EE322B43AF836A0AFB3F481BF218387EEB2AA6BCDE4", "https://baanknet.com/view-property/286426/D6B90F51354ECEF5D8868EE322B43AF836A0AFB3F481BF218387EEB2AA6BCDE4")</f>
        <v>https://baanknet.com/view-property/286426/D6B90F51354ECEF5D8868EE322B43AF836A0AFB3F481BF218387EEB2AA6BCDE4</v>
      </c>
      <c r="I3976" t="str">
        <f>HYPERLINK("https://baanknet.com/view-property/286426/D6B90F51354ECEF5D8868EE322B43AF836A0AFB3F481BF218387EEB2AA6BCDE4", "Open")</f>
        <v>Open</v>
      </c>
      <c r="J3976" t="s">
        <v>3803</v>
      </c>
      <c r="L3976">
        <v>9080000</v>
      </c>
      <c r="M3976">
        <v>908000</v>
      </c>
    </row>
    <row r="3977" spans="1:13" x14ac:dyDescent="0.25">
      <c r="A3977" t="s">
        <v>13286</v>
      </c>
      <c r="B3977" t="s">
        <v>13287</v>
      </c>
      <c r="C3977" t="s">
        <v>832</v>
      </c>
      <c r="D3977" t="s">
        <v>2988</v>
      </c>
      <c r="E3977" t="s">
        <v>11024</v>
      </c>
      <c r="F3977" t="s">
        <v>11430</v>
      </c>
      <c r="G3977" t="s">
        <v>13288</v>
      </c>
      <c r="H3977" t="str">
        <f>HYPERLINK("https://baanknet.com/view-property/286431/DBC02698E86AA5171ABA0872C5B528ABF1A21BD22953EED1FE21FE3F9ABCD443", "https://baanknet.com/view-property/286431/DBC02698E86AA5171ABA0872C5B528ABF1A21BD22953EED1FE21FE3F9ABCD443")</f>
        <v>https://baanknet.com/view-property/286431/DBC02698E86AA5171ABA0872C5B528ABF1A21BD22953EED1FE21FE3F9ABCD443</v>
      </c>
      <c r="I3977" t="str">
        <f>HYPERLINK("https://baanknet.com/view-property/286431/DBC02698E86AA5171ABA0872C5B528ABF1A21BD22953EED1FE21FE3F9ABCD443", "Open")</f>
        <v>Open</v>
      </c>
      <c r="J3977" t="s">
        <v>3803</v>
      </c>
      <c r="L3977">
        <v>1664000</v>
      </c>
      <c r="M3977">
        <v>166400</v>
      </c>
    </row>
    <row r="3978" spans="1:13" x14ac:dyDescent="0.25">
      <c r="A3978" t="s">
        <v>13289</v>
      </c>
      <c r="B3978" t="s">
        <v>13290</v>
      </c>
      <c r="C3978" t="s">
        <v>571</v>
      </c>
      <c r="D3978" t="s">
        <v>710</v>
      </c>
      <c r="E3978" t="s">
        <v>11024</v>
      </c>
      <c r="F3978" t="s">
        <v>11430</v>
      </c>
      <c r="G3978" t="s">
        <v>13291</v>
      </c>
      <c r="H3978" t="str">
        <f>HYPERLINK("https://baanknet.com/view-property/221047/4688B176AC00929CB27E558EA7C046938CBB9523331012CED87FEE4D8EB35890", "https://baanknet.com/view-property/221047/4688B176AC00929CB27E558EA7C046938CBB9523331012CED87FEE4D8EB35890")</f>
        <v>https://baanknet.com/view-property/221047/4688B176AC00929CB27E558EA7C046938CBB9523331012CED87FEE4D8EB35890</v>
      </c>
      <c r="I3978" t="str">
        <f>HYPERLINK("https://baanknet.com/view-property/221047/4688B176AC00929CB27E558EA7C046938CBB9523331012CED87FEE4D8EB35890", "Open")</f>
        <v>Open</v>
      </c>
      <c r="J3978" t="s">
        <v>3803</v>
      </c>
      <c r="L3978">
        <v>5431000</v>
      </c>
      <c r="M3978">
        <v>543100</v>
      </c>
    </row>
    <row r="3979" spans="1:13" x14ac:dyDescent="0.25">
      <c r="A3979" t="s">
        <v>13292</v>
      </c>
      <c r="B3979" t="s">
        <v>13293</v>
      </c>
      <c r="C3979" t="s">
        <v>7449</v>
      </c>
      <c r="D3979" t="s">
        <v>157</v>
      </c>
      <c r="E3979" t="s">
        <v>11024</v>
      </c>
      <c r="F3979" t="s">
        <v>11430</v>
      </c>
      <c r="G3979" t="s">
        <v>13294</v>
      </c>
      <c r="H3979" t="str">
        <f>HYPERLINK("https://baanknet.com/view-property/286568/F89C70FC66854C4BBFB70D45E60E1D2F4F7D783F01170DEF6621CD5E3CF914DE", "https://baanknet.com/view-property/286568/F89C70FC66854C4BBFB70D45E60E1D2F4F7D783F01170DEF6621CD5E3CF914DE")</f>
        <v>https://baanknet.com/view-property/286568/F89C70FC66854C4BBFB70D45E60E1D2F4F7D783F01170DEF6621CD5E3CF914DE</v>
      </c>
      <c r="I3979" t="str">
        <f>HYPERLINK("https://baanknet.com/view-property/286568/F89C70FC66854C4BBFB70D45E60E1D2F4F7D783F01170DEF6621CD5E3CF914DE", "Open")</f>
        <v>Open</v>
      </c>
      <c r="J3979" t="s">
        <v>3803</v>
      </c>
      <c r="L3979">
        <v>2091000</v>
      </c>
      <c r="M3979">
        <v>210000</v>
      </c>
    </row>
    <row r="3980" spans="1:13" x14ac:dyDescent="0.25">
      <c r="A3980" t="s">
        <v>13295</v>
      </c>
      <c r="B3980" t="s">
        <v>13296</v>
      </c>
      <c r="C3980" t="s">
        <v>832</v>
      </c>
      <c r="D3980" t="s">
        <v>1059</v>
      </c>
      <c r="E3980" t="s">
        <v>11024</v>
      </c>
      <c r="F3980" t="s">
        <v>11430</v>
      </c>
      <c r="G3980" t="s">
        <v>13297</v>
      </c>
      <c r="H3980" t="str">
        <f>HYPERLINK("https://baanknet.com/view-property/286609/1848EC16508FBA61F9F5D92F4D931B98B6E0CEFAFCE825959F9C5783EC7D751C", "https://baanknet.com/view-property/286609/1848EC16508FBA61F9F5D92F4D931B98B6E0CEFAFCE825959F9C5783EC7D751C")</f>
        <v>https://baanknet.com/view-property/286609/1848EC16508FBA61F9F5D92F4D931B98B6E0CEFAFCE825959F9C5783EC7D751C</v>
      </c>
      <c r="I3980" t="str">
        <f>HYPERLINK("https://baanknet.com/view-property/286609/1848EC16508FBA61F9F5D92F4D931B98B6E0CEFAFCE825959F9C5783EC7D751C", "Open")</f>
        <v>Open</v>
      </c>
      <c r="J3980" t="s">
        <v>3803</v>
      </c>
      <c r="L3980">
        <v>1730000</v>
      </c>
      <c r="M3980">
        <v>173000</v>
      </c>
    </row>
    <row r="3981" spans="1:13" x14ac:dyDescent="0.25">
      <c r="A3981" t="s">
        <v>13298</v>
      </c>
      <c r="B3981" t="s">
        <v>13299</v>
      </c>
      <c r="C3981" t="s">
        <v>7449</v>
      </c>
      <c r="D3981" t="s">
        <v>401</v>
      </c>
      <c r="E3981" t="s">
        <v>11024</v>
      </c>
      <c r="F3981" t="s">
        <v>11430</v>
      </c>
      <c r="G3981" t="s">
        <v>13300</v>
      </c>
      <c r="H3981" t="str">
        <f>HYPERLINK("https://baanknet.com/view-property/267664/394C13F72D5E0AB330A5B65DFF9C2DBCBA44B8E0A2FAE57CDF4A07D5A98244D2", "https://baanknet.com/view-property/267664/394C13F72D5E0AB330A5B65DFF9C2DBCBA44B8E0A2FAE57CDF4A07D5A98244D2")</f>
        <v>https://baanknet.com/view-property/267664/394C13F72D5E0AB330A5B65DFF9C2DBCBA44B8E0A2FAE57CDF4A07D5A98244D2</v>
      </c>
      <c r="I3981" t="str">
        <f>HYPERLINK("https://baanknet.com/view-property/267664/394C13F72D5E0AB330A5B65DFF9C2DBCBA44B8E0A2FAE57CDF4A07D5A98244D2", "Open")</f>
        <v>Open</v>
      </c>
      <c r="J3981" t="s">
        <v>3803</v>
      </c>
      <c r="L3981">
        <v>2036000</v>
      </c>
      <c r="M3981">
        <v>203600</v>
      </c>
    </row>
    <row r="3982" spans="1:13" x14ac:dyDescent="0.25">
      <c r="A3982" t="s">
        <v>13301</v>
      </c>
      <c r="B3982" t="s">
        <v>13302</v>
      </c>
      <c r="C3982" t="s">
        <v>7449</v>
      </c>
      <c r="D3982" t="s">
        <v>13303</v>
      </c>
      <c r="E3982" t="s">
        <v>11024</v>
      </c>
      <c r="F3982" t="s">
        <v>11430</v>
      </c>
      <c r="G3982" t="s">
        <v>13304</v>
      </c>
      <c r="H3982" t="str">
        <f>HYPERLINK("https://baanknet.com/view-property/278322/3B00DE82B6A3C56A342FA87AAE5E16C76FFA979D6D927EC9A7AEC43E8CB85303", "https://baanknet.com/view-property/278322/3B00DE82B6A3C56A342FA87AAE5E16C76FFA979D6D927EC9A7AEC43E8CB85303")</f>
        <v>https://baanknet.com/view-property/278322/3B00DE82B6A3C56A342FA87AAE5E16C76FFA979D6D927EC9A7AEC43E8CB85303</v>
      </c>
      <c r="I3982" t="str">
        <f>HYPERLINK("https://baanknet.com/view-property/278322/3B00DE82B6A3C56A342FA87AAE5E16C76FFA979D6D927EC9A7AEC43E8CB85303", "Open")</f>
        <v>Open</v>
      </c>
      <c r="J3982" t="s">
        <v>3803</v>
      </c>
      <c r="L3982">
        <v>2425000</v>
      </c>
      <c r="M3982">
        <v>242500</v>
      </c>
    </row>
    <row r="3983" spans="1:13" x14ac:dyDescent="0.25">
      <c r="A3983" t="s">
        <v>13305</v>
      </c>
      <c r="B3983" t="s">
        <v>13306</v>
      </c>
      <c r="C3983" t="s">
        <v>7449</v>
      </c>
      <c r="D3983" t="s">
        <v>13307</v>
      </c>
      <c r="E3983" t="s">
        <v>11024</v>
      </c>
      <c r="F3983" t="s">
        <v>11430</v>
      </c>
      <c r="G3983" t="s">
        <v>13308</v>
      </c>
      <c r="H3983" t="str">
        <f>HYPERLINK("https://baanknet.com/view-property/286664/DB2F87EF3ABC31FC935BE74329D9F0B0D701EC848E519AC7B84C64ABAD5B79AB", "https://baanknet.com/view-property/286664/DB2F87EF3ABC31FC935BE74329D9F0B0D701EC848E519AC7B84C64ABAD5B79AB")</f>
        <v>https://baanknet.com/view-property/286664/DB2F87EF3ABC31FC935BE74329D9F0B0D701EC848E519AC7B84C64ABAD5B79AB</v>
      </c>
      <c r="I3983" t="str">
        <f>HYPERLINK("https://baanknet.com/view-property/286664/DB2F87EF3ABC31FC935BE74329D9F0B0D701EC848E519AC7B84C64ABAD5B79AB", "Open")</f>
        <v>Open</v>
      </c>
      <c r="J3983" t="s">
        <v>3803</v>
      </c>
      <c r="L3983">
        <v>10900000</v>
      </c>
      <c r="M3983">
        <v>1090000</v>
      </c>
    </row>
    <row r="3984" spans="1:13" x14ac:dyDescent="0.25">
      <c r="A3984" t="s">
        <v>13309</v>
      </c>
      <c r="B3984" t="s">
        <v>13310</v>
      </c>
      <c r="C3984" t="s">
        <v>7449</v>
      </c>
      <c r="D3984" t="s">
        <v>12890</v>
      </c>
      <c r="E3984" t="s">
        <v>11024</v>
      </c>
      <c r="F3984" t="s">
        <v>11430</v>
      </c>
      <c r="G3984" t="s">
        <v>13311</v>
      </c>
      <c r="H3984" t="str">
        <f>HYPERLINK("https://baanknet.com/view-property/286695/9220B235E2711968AA6F43786A50605D781467C32701B439757E613C8BB02088", "https://baanknet.com/view-property/286695/9220B235E2711968AA6F43786A50605D781467C32701B439757E613C8BB02088")</f>
        <v>https://baanknet.com/view-property/286695/9220B235E2711968AA6F43786A50605D781467C32701B439757E613C8BB02088</v>
      </c>
      <c r="I3984" t="str">
        <f>HYPERLINK("https://baanknet.com/view-property/286695/9220B235E2711968AA6F43786A50605D781467C32701B439757E613C8BB02088", "Open")</f>
        <v>Open</v>
      </c>
      <c r="J3984" t="s">
        <v>3803</v>
      </c>
      <c r="L3984">
        <v>957000</v>
      </c>
      <c r="M3984">
        <v>95700</v>
      </c>
    </row>
    <row r="3985" spans="1:13" x14ac:dyDescent="0.25">
      <c r="A3985" t="s">
        <v>13312</v>
      </c>
      <c r="B3985" t="s">
        <v>13313</v>
      </c>
      <c r="C3985" t="s">
        <v>7449</v>
      </c>
      <c r="D3985" t="s">
        <v>12890</v>
      </c>
      <c r="E3985" t="s">
        <v>11024</v>
      </c>
      <c r="F3985" t="s">
        <v>11430</v>
      </c>
      <c r="G3985" t="s">
        <v>13314</v>
      </c>
      <c r="H3985" t="str">
        <f>HYPERLINK("https://baanknet.com/view-property/286696/A54E0BF439F15501B43BFA2DC6AC732525A5F1B3B7D4EF292EBD5ECFEB0C56E8", "https://baanknet.com/view-property/286696/A54E0BF439F15501B43BFA2DC6AC732525A5F1B3B7D4EF292EBD5ECFEB0C56E8")</f>
        <v>https://baanknet.com/view-property/286696/A54E0BF439F15501B43BFA2DC6AC732525A5F1B3B7D4EF292EBD5ECFEB0C56E8</v>
      </c>
      <c r="I3985" t="str">
        <f>HYPERLINK("https://baanknet.com/view-property/286696/A54E0BF439F15501B43BFA2DC6AC732525A5F1B3B7D4EF292EBD5ECFEB0C56E8", "Open")</f>
        <v>Open</v>
      </c>
      <c r="J3985" t="s">
        <v>3803</v>
      </c>
      <c r="L3985">
        <v>810000</v>
      </c>
      <c r="M3985">
        <v>81000</v>
      </c>
    </row>
    <row r="3986" spans="1:13" x14ac:dyDescent="0.25">
      <c r="A3986" t="s">
        <v>13315</v>
      </c>
      <c r="B3986" t="s">
        <v>13316</v>
      </c>
      <c r="C3986" t="s">
        <v>7449</v>
      </c>
      <c r="D3986" t="s">
        <v>12890</v>
      </c>
      <c r="E3986" t="s">
        <v>11024</v>
      </c>
      <c r="F3986" t="s">
        <v>11430</v>
      </c>
      <c r="G3986" t="s">
        <v>13317</v>
      </c>
      <c r="H3986" t="str">
        <f>HYPERLINK("https://baanknet.com/view-property/286697/6D971DF8970D5D31D2CB518650BBA4FBF24E8C3F2AF3F9DEDCFE80E4DB175A3F", "https://baanknet.com/view-property/286697/6D971DF8970D5D31D2CB518650BBA4FBF24E8C3F2AF3F9DEDCFE80E4DB175A3F")</f>
        <v>https://baanknet.com/view-property/286697/6D971DF8970D5D31D2CB518650BBA4FBF24E8C3F2AF3F9DEDCFE80E4DB175A3F</v>
      </c>
      <c r="I3986" t="str">
        <f>HYPERLINK("https://baanknet.com/view-property/286697/6D971DF8970D5D31D2CB518650BBA4FBF24E8C3F2AF3F9DEDCFE80E4DB175A3F", "Open")</f>
        <v>Open</v>
      </c>
      <c r="J3986" t="s">
        <v>3803</v>
      </c>
      <c r="L3986">
        <v>957000</v>
      </c>
      <c r="M3986">
        <v>95700</v>
      </c>
    </row>
    <row r="3987" spans="1:13" x14ac:dyDescent="0.25">
      <c r="A3987" t="s">
        <v>13318</v>
      </c>
      <c r="B3987" t="s">
        <v>13319</v>
      </c>
      <c r="C3987" t="s">
        <v>7449</v>
      </c>
      <c r="D3987" t="s">
        <v>12890</v>
      </c>
      <c r="E3987" t="s">
        <v>11024</v>
      </c>
      <c r="F3987" t="s">
        <v>11430</v>
      </c>
      <c r="G3987" t="s">
        <v>13320</v>
      </c>
      <c r="H3987" t="str">
        <f>HYPERLINK("https://baanknet.com/view-property/286698/C1A0939EB66691C0C3594070506C90D1912AE9BF8DD04D9C9FE3A5BA769CF795", "https://baanknet.com/view-property/286698/C1A0939EB66691C0C3594070506C90D1912AE9BF8DD04D9C9FE3A5BA769CF795")</f>
        <v>https://baanknet.com/view-property/286698/C1A0939EB66691C0C3594070506C90D1912AE9BF8DD04D9C9FE3A5BA769CF795</v>
      </c>
      <c r="I3987" t="str">
        <f>HYPERLINK("https://baanknet.com/view-property/286698/C1A0939EB66691C0C3594070506C90D1912AE9BF8DD04D9C9FE3A5BA769CF795", "Open")</f>
        <v>Open</v>
      </c>
      <c r="J3987" t="s">
        <v>3803</v>
      </c>
      <c r="L3987">
        <v>957000</v>
      </c>
      <c r="M3987">
        <v>95700</v>
      </c>
    </row>
    <row r="3988" spans="1:13" x14ac:dyDescent="0.25">
      <c r="A3988" t="s">
        <v>13321</v>
      </c>
      <c r="B3988" t="s">
        <v>13322</v>
      </c>
      <c r="C3988" t="s">
        <v>7449</v>
      </c>
      <c r="D3988" t="s">
        <v>12890</v>
      </c>
      <c r="E3988" t="s">
        <v>11024</v>
      </c>
      <c r="F3988" t="s">
        <v>11430</v>
      </c>
      <c r="G3988" t="s">
        <v>13323</v>
      </c>
      <c r="H3988" t="str">
        <f>HYPERLINK("https://baanknet.com/view-property/286699/8C9957EC656F7382000637002B59796AC3693D0E0C8067E57E7D2CAF9DFA51E0", "https://baanknet.com/view-property/286699/8C9957EC656F7382000637002B59796AC3693D0E0C8067E57E7D2CAF9DFA51E0")</f>
        <v>https://baanknet.com/view-property/286699/8C9957EC656F7382000637002B59796AC3693D0E0C8067E57E7D2CAF9DFA51E0</v>
      </c>
      <c r="I3988" t="str">
        <f>HYPERLINK("https://baanknet.com/view-property/286699/8C9957EC656F7382000637002B59796AC3693D0E0C8067E57E7D2CAF9DFA51E0", "Open")</f>
        <v>Open</v>
      </c>
      <c r="J3988" t="s">
        <v>3803</v>
      </c>
      <c r="L3988">
        <v>957000</v>
      </c>
      <c r="M3988">
        <v>95700</v>
      </c>
    </row>
    <row r="3989" spans="1:13" x14ac:dyDescent="0.25">
      <c r="A3989" t="s">
        <v>13324</v>
      </c>
      <c r="B3989" t="s">
        <v>13325</v>
      </c>
      <c r="C3989" t="s">
        <v>7449</v>
      </c>
      <c r="D3989" t="s">
        <v>8769</v>
      </c>
      <c r="E3989" t="s">
        <v>11024</v>
      </c>
      <c r="F3989" t="s">
        <v>11430</v>
      </c>
      <c r="G3989" t="s">
        <v>13326</v>
      </c>
      <c r="H3989" t="str">
        <f>HYPERLINK("https://baanknet.com/view-property/274223/CD4CB4D310BB3476014A6D8C70F3DA8A6F95132BD7E12053443D523278AEBCE7", "https://baanknet.com/view-property/274223/CD4CB4D310BB3476014A6D8C70F3DA8A6F95132BD7E12053443D523278AEBCE7")</f>
        <v>https://baanknet.com/view-property/274223/CD4CB4D310BB3476014A6D8C70F3DA8A6F95132BD7E12053443D523278AEBCE7</v>
      </c>
      <c r="I3989" t="str">
        <f>HYPERLINK("https://baanknet.com/view-property/274223/CD4CB4D310BB3476014A6D8C70F3DA8A6F95132BD7E12053443D523278AEBCE7", "Open")</f>
        <v>Open</v>
      </c>
      <c r="J3989" t="s">
        <v>3803</v>
      </c>
      <c r="L3989">
        <v>2078000</v>
      </c>
      <c r="M3989">
        <v>207800</v>
      </c>
    </row>
    <row r="3990" spans="1:13" x14ac:dyDescent="0.25">
      <c r="A3990" t="s">
        <v>13327</v>
      </c>
      <c r="B3990" t="s">
        <v>13328</v>
      </c>
      <c r="C3990" t="s">
        <v>7449</v>
      </c>
      <c r="D3990" t="s">
        <v>8769</v>
      </c>
      <c r="E3990" t="s">
        <v>11024</v>
      </c>
      <c r="F3990" t="s">
        <v>11430</v>
      </c>
      <c r="G3990" t="s">
        <v>13329</v>
      </c>
      <c r="H3990" t="str">
        <f>HYPERLINK("https://baanknet.com/view-property/274236/958496FC95F2BBC69149134B0B8D061E7538745FA9D588672AC843B2361BA191", "https://baanknet.com/view-property/274236/958496FC95F2BBC69149134B0B8D061E7538745FA9D588672AC843B2361BA191")</f>
        <v>https://baanknet.com/view-property/274236/958496FC95F2BBC69149134B0B8D061E7538745FA9D588672AC843B2361BA191</v>
      </c>
      <c r="I3990" t="str">
        <f>HYPERLINK("https://baanknet.com/view-property/274236/958496FC95F2BBC69149134B0B8D061E7538745FA9D588672AC843B2361BA191", "Open")</f>
        <v>Open</v>
      </c>
      <c r="J3990" t="s">
        <v>3803</v>
      </c>
      <c r="L3990">
        <v>4238000</v>
      </c>
      <c r="M3990">
        <v>423800</v>
      </c>
    </row>
    <row r="3991" spans="1:13" x14ac:dyDescent="0.25">
      <c r="A3991" t="s">
        <v>13330</v>
      </c>
      <c r="B3991" t="s">
        <v>13331</v>
      </c>
      <c r="C3991" t="s">
        <v>7449</v>
      </c>
      <c r="D3991" t="s">
        <v>8769</v>
      </c>
      <c r="E3991" t="s">
        <v>11024</v>
      </c>
      <c r="F3991" t="s">
        <v>11430</v>
      </c>
      <c r="G3991" t="s">
        <v>13332</v>
      </c>
      <c r="H3991" t="str">
        <f>HYPERLINK("https://baanknet.com/view-property/274241/5009CE59AFA949D5C448B0A75A6039BBFC7B8FC1DB148E78A86D457030F8F701", "https://baanknet.com/view-property/274241/5009CE59AFA949D5C448B0A75A6039BBFC7B8FC1DB148E78A86D457030F8F701")</f>
        <v>https://baanknet.com/view-property/274241/5009CE59AFA949D5C448B0A75A6039BBFC7B8FC1DB148E78A86D457030F8F701</v>
      </c>
      <c r="I3991" t="str">
        <f>HYPERLINK("https://baanknet.com/view-property/274241/5009CE59AFA949D5C448B0A75A6039BBFC7B8FC1DB148E78A86D457030F8F701", "Open")</f>
        <v>Open</v>
      </c>
      <c r="J3991" t="s">
        <v>3803</v>
      </c>
      <c r="L3991">
        <v>5476000</v>
      </c>
      <c r="M3991">
        <v>547600</v>
      </c>
    </row>
    <row r="3992" spans="1:13" x14ac:dyDescent="0.25">
      <c r="A3992" t="s">
        <v>13333</v>
      </c>
      <c r="B3992" t="s">
        <v>13334</v>
      </c>
      <c r="C3992" t="s">
        <v>7449</v>
      </c>
      <c r="D3992" t="s">
        <v>3165</v>
      </c>
      <c r="E3992" t="s">
        <v>11024</v>
      </c>
      <c r="F3992" t="s">
        <v>11430</v>
      </c>
      <c r="G3992" t="s">
        <v>13335</v>
      </c>
      <c r="H3992" t="str">
        <f>HYPERLINK("https://baanknet.com/view-property/275799/BFAD8299B90BE4CACF363962CDA71AB5CF9D880A44E4DE455D2D0B5849981DDA", "https://baanknet.com/view-property/275799/BFAD8299B90BE4CACF363962CDA71AB5CF9D880A44E4DE455D2D0B5849981DDA")</f>
        <v>https://baanknet.com/view-property/275799/BFAD8299B90BE4CACF363962CDA71AB5CF9D880A44E4DE455D2D0B5849981DDA</v>
      </c>
      <c r="I3992" t="str">
        <f>HYPERLINK("https://baanknet.com/view-property/275799/BFAD8299B90BE4CACF363962CDA71AB5CF9D880A44E4DE455D2D0B5849981DDA", "Open")</f>
        <v>Open</v>
      </c>
      <c r="J3992" t="s">
        <v>3803</v>
      </c>
      <c r="L3992">
        <v>630000</v>
      </c>
      <c r="M3992">
        <v>63000</v>
      </c>
    </row>
    <row r="3993" spans="1:13" x14ac:dyDescent="0.25">
      <c r="A3993" t="s">
        <v>13336</v>
      </c>
      <c r="B3993" t="s">
        <v>13337</v>
      </c>
      <c r="C3993" t="s">
        <v>7449</v>
      </c>
      <c r="D3993" t="s">
        <v>3165</v>
      </c>
      <c r="E3993" t="s">
        <v>11024</v>
      </c>
      <c r="F3993" t="s">
        <v>11430</v>
      </c>
      <c r="G3993" t="s">
        <v>13338</v>
      </c>
      <c r="H3993" t="str">
        <f>HYPERLINK("https://baanknet.com/view-property/277835/5E852CF9D61DAA93E56B1F101412BD8EA33EE0FBD715A413D65796CD85487749", "https://baanknet.com/view-property/277835/5E852CF9D61DAA93E56B1F101412BD8EA33EE0FBD715A413D65796CD85487749")</f>
        <v>https://baanknet.com/view-property/277835/5E852CF9D61DAA93E56B1F101412BD8EA33EE0FBD715A413D65796CD85487749</v>
      </c>
      <c r="I3993" t="str">
        <f>HYPERLINK("https://baanknet.com/view-property/277835/5E852CF9D61DAA93E56B1F101412BD8EA33EE0FBD715A413D65796CD85487749", "Open")</f>
        <v>Open</v>
      </c>
      <c r="J3993" t="s">
        <v>3803</v>
      </c>
      <c r="L3993">
        <v>1912000</v>
      </c>
      <c r="M3993">
        <v>191200</v>
      </c>
    </row>
    <row r="3994" spans="1:13" x14ac:dyDescent="0.25">
      <c r="A3994" t="s">
        <v>13339</v>
      </c>
      <c r="B3994" t="s">
        <v>13340</v>
      </c>
      <c r="C3994" t="s">
        <v>7449</v>
      </c>
      <c r="D3994" t="s">
        <v>6627</v>
      </c>
      <c r="E3994" t="s">
        <v>11024</v>
      </c>
      <c r="F3994" t="s">
        <v>11430</v>
      </c>
      <c r="G3994" t="s">
        <v>13341</v>
      </c>
      <c r="H3994" t="str">
        <f>HYPERLINK("https://baanknet.com/view-property/272187/55FBD18BDAEAF345A57558A0BD8BBF128D4514D28383A812C3D1AD72A6504565", "https://baanknet.com/view-property/272187/55FBD18BDAEAF345A57558A0BD8BBF128D4514D28383A812C3D1AD72A6504565")</f>
        <v>https://baanknet.com/view-property/272187/55FBD18BDAEAF345A57558A0BD8BBF128D4514D28383A812C3D1AD72A6504565</v>
      </c>
      <c r="I3994" t="str">
        <f>HYPERLINK("https://baanknet.com/view-property/272187/55FBD18BDAEAF345A57558A0BD8BBF128D4514D28383A812C3D1AD72A6504565", "Open")</f>
        <v>Open</v>
      </c>
      <c r="J3994" t="s">
        <v>3803</v>
      </c>
      <c r="L3994">
        <v>8720000</v>
      </c>
      <c r="M3994">
        <v>872000</v>
      </c>
    </row>
    <row r="3995" spans="1:13" x14ac:dyDescent="0.25">
      <c r="A3995" t="s">
        <v>13342</v>
      </c>
      <c r="B3995" t="s">
        <v>13343</v>
      </c>
      <c r="C3995" t="s">
        <v>121</v>
      </c>
      <c r="D3995" t="s">
        <v>608</v>
      </c>
      <c r="E3995" t="s">
        <v>11024</v>
      </c>
      <c r="F3995" t="s">
        <v>11430</v>
      </c>
      <c r="G3995" t="s">
        <v>13344</v>
      </c>
      <c r="H3995" t="str">
        <f>HYPERLINK("https://baanknet.com/view-property/175785/8BD16882BF0B1D8E32535A06F2C18F07D14944F3DF9DDAC7678A6A1E1740D19C", "https://baanknet.com/view-property/175785/8BD16882BF0B1D8E32535A06F2C18F07D14944F3DF9DDAC7678A6A1E1740D19C")</f>
        <v>https://baanknet.com/view-property/175785/8BD16882BF0B1D8E32535A06F2C18F07D14944F3DF9DDAC7678A6A1E1740D19C</v>
      </c>
      <c r="I3995" t="str">
        <f>HYPERLINK("https://baanknet.com/view-property/175785/8BD16882BF0B1D8E32535A06F2C18F07D14944F3DF9DDAC7678A6A1E1740D19C", "Open")</f>
        <v>Open</v>
      </c>
      <c r="J3995" t="s">
        <v>3803</v>
      </c>
      <c r="L3995">
        <v>4266000</v>
      </c>
      <c r="M3995">
        <v>426600</v>
      </c>
    </row>
    <row r="3996" spans="1:13" x14ac:dyDescent="0.25">
      <c r="A3996" t="s">
        <v>13345</v>
      </c>
      <c r="B3996" t="s">
        <v>13346</v>
      </c>
      <c r="C3996" t="s">
        <v>144</v>
      </c>
      <c r="D3996" t="s">
        <v>1602</v>
      </c>
      <c r="E3996" t="s">
        <v>11024</v>
      </c>
      <c r="F3996" t="s">
        <v>11430</v>
      </c>
      <c r="G3996" t="s">
        <v>13347</v>
      </c>
      <c r="H3996" t="str">
        <f>HYPERLINK("https://baanknet.com/view-property/257934/B39440C74915B60A253580087E1E12CA17F80C540330EA5C012C656ABDC2EA8D", "https://baanknet.com/view-property/257934/B39440C74915B60A253580087E1E12CA17F80C540330EA5C012C656ABDC2EA8D")</f>
        <v>https://baanknet.com/view-property/257934/B39440C74915B60A253580087E1E12CA17F80C540330EA5C012C656ABDC2EA8D</v>
      </c>
      <c r="I3996" t="str">
        <f>HYPERLINK("https://baanknet.com/view-property/257934/B39440C74915B60A253580087E1E12CA17F80C540330EA5C012C656ABDC2EA8D", "Open")</f>
        <v>Open</v>
      </c>
      <c r="J3996" t="s">
        <v>3803</v>
      </c>
      <c r="L3996">
        <v>2021000</v>
      </c>
      <c r="M3996">
        <v>202100</v>
      </c>
    </row>
    <row r="3997" spans="1:13" x14ac:dyDescent="0.25">
      <c r="A3997" t="s">
        <v>13348</v>
      </c>
      <c r="B3997" t="s">
        <v>13349</v>
      </c>
      <c r="C3997" t="s">
        <v>121</v>
      </c>
      <c r="D3997" t="s">
        <v>608</v>
      </c>
      <c r="E3997" t="s">
        <v>11024</v>
      </c>
      <c r="F3997" t="s">
        <v>11430</v>
      </c>
      <c r="G3997" t="s">
        <v>13350</v>
      </c>
      <c r="H3997" t="str">
        <f>HYPERLINK("https://baanknet.com/view-property/178845/6BDCD2D9F5810CA8A95BC03BEED1E4E424F6981C95693F3B2015C842493B53D6", "https://baanknet.com/view-property/178845/6BDCD2D9F5810CA8A95BC03BEED1E4E424F6981C95693F3B2015C842493B53D6")</f>
        <v>https://baanknet.com/view-property/178845/6BDCD2D9F5810CA8A95BC03BEED1E4E424F6981C95693F3B2015C842493B53D6</v>
      </c>
      <c r="I3997" t="str">
        <f>HYPERLINK("https://baanknet.com/view-property/178845/6BDCD2D9F5810CA8A95BC03BEED1E4E424F6981C95693F3B2015C842493B53D6", "Open")</f>
        <v>Open</v>
      </c>
      <c r="J3997" t="s">
        <v>3803</v>
      </c>
      <c r="L3997">
        <v>3510000</v>
      </c>
      <c r="M3997">
        <v>351000</v>
      </c>
    </row>
    <row r="3998" spans="1:13" x14ac:dyDescent="0.25">
      <c r="A3998" t="s">
        <v>13351</v>
      </c>
      <c r="B3998" t="s">
        <v>13352</v>
      </c>
      <c r="C3998" t="s">
        <v>144</v>
      </c>
      <c r="D3998" t="s">
        <v>1602</v>
      </c>
      <c r="E3998" t="s">
        <v>11024</v>
      </c>
      <c r="F3998" t="s">
        <v>11430</v>
      </c>
      <c r="G3998" t="s">
        <v>13353</v>
      </c>
      <c r="H3998" t="str">
        <f>HYPERLINK("https://baanknet.com/view-property/183561/83A361EE1F61798E1498AF39445CA271C148D4E4E000448083F9D5C6E65C346E", "https://baanknet.com/view-property/183561/83A361EE1F61798E1498AF39445CA271C148D4E4E000448083F9D5C6E65C346E")</f>
        <v>https://baanknet.com/view-property/183561/83A361EE1F61798E1498AF39445CA271C148D4E4E000448083F9D5C6E65C346E</v>
      </c>
      <c r="I3998" t="str">
        <f>HYPERLINK("https://baanknet.com/view-property/183561/83A361EE1F61798E1498AF39445CA271C148D4E4E000448083F9D5C6E65C346E", "Open")</f>
        <v>Open</v>
      </c>
      <c r="J3998" t="s">
        <v>3803</v>
      </c>
      <c r="L3998">
        <v>637000</v>
      </c>
      <c r="M3998">
        <v>63700</v>
      </c>
    </row>
    <row r="3999" spans="1:13" x14ac:dyDescent="0.25">
      <c r="A3999" t="s">
        <v>13354</v>
      </c>
      <c r="B3999" t="s">
        <v>13355</v>
      </c>
      <c r="C3999" t="s">
        <v>144</v>
      </c>
      <c r="D3999" t="s">
        <v>1637</v>
      </c>
      <c r="E3999" t="s">
        <v>11024</v>
      </c>
      <c r="F3999" t="s">
        <v>11430</v>
      </c>
      <c r="G3999" t="s">
        <v>13356</v>
      </c>
      <c r="H3999" t="str">
        <f>HYPERLINK("https://baanknet.com/view-property/273075/1ED5C345A663BD918C84E7A81AA1F84006C8268580823B886C27C38E4A936A2A", "https://baanknet.com/view-property/273075/1ED5C345A663BD918C84E7A81AA1F84006C8268580823B886C27C38E4A936A2A")</f>
        <v>https://baanknet.com/view-property/273075/1ED5C345A663BD918C84E7A81AA1F84006C8268580823B886C27C38E4A936A2A</v>
      </c>
      <c r="I3999" t="str">
        <f>HYPERLINK("https://baanknet.com/view-property/273075/1ED5C345A663BD918C84E7A81AA1F84006C8268580823B886C27C38E4A936A2A", "Open")</f>
        <v>Open</v>
      </c>
      <c r="J3999" t="s">
        <v>3803</v>
      </c>
      <c r="L3999">
        <v>3010000</v>
      </c>
      <c r="M3999">
        <v>301000</v>
      </c>
    </row>
    <row r="4000" spans="1:13" x14ac:dyDescent="0.25">
      <c r="A4000" t="s">
        <v>13357</v>
      </c>
      <c r="B4000" t="s">
        <v>13358</v>
      </c>
      <c r="C4000" t="s">
        <v>144</v>
      </c>
      <c r="D4000" t="s">
        <v>1637</v>
      </c>
      <c r="E4000" t="s">
        <v>11024</v>
      </c>
      <c r="F4000" t="s">
        <v>11430</v>
      </c>
      <c r="G4000" t="s">
        <v>13359</v>
      </c>
      <c r="H4000" t="str">
        <f>HYPERLINK("https://baanknet.com/view-property/246995/82EDE21BF23E76CFDDB15050CA5B20509C7481415B8A62353C7950A932C2105C", "https://baanknet.com/view-property/246995/82EDE21BF23E76CFDDB15050CA5B20509C7481415B8A62353C7950A932C2105C")</f>
        <v>https://baanknet.com/view-property/246995/82EDE21BF23E76CFDDB15050CA5B20509C7481415B8A62353C7950A932C2105C</v>
      </c>
      <c r="I4000" t="str">
        <f>HYPERLINK("https://baanknet.com/view-property/246995/82EDE21BF23E76CFDDB15050CA5B20509C7481415B8A62353C7950A932C2105C", "Open")</f>
        <v>Open</v>
      </c>
      <c r="J4000" t="s">
        <v>3803</v>
      </c>
      <c r="L4000">
        <v>3470000</v>
      </c>
      <c r="M4000">
        <v>347000</v>
      </c>
    </row>
    <row r="4001" spans="1:13" x14ac:dyDescent="0.25">
      <c r="A4001" t="s">
        <v>13360</v>
      </c>
      <c r="B4001" t="s">
        <v>13361</v>
      </c>
      <c r="C4001" t="s">
        <v>7449</v>
      </c>
      <c r="D4001" t="s">
        <v>900</v>
      </c>
      <c r="E4001" t="s">
        <v>11024</v>
      </c>
      <c r="F4001" t="s">
        <v>11430</v>
      </c>
      <c r="G4001" t="s">
        <v>13362</v>
      </c>
      <c r="H4001" t="str">
        <f>HYPERLINK("https://baanknet.com/view-property/106137/89820B81405CF9B00954E8ED3D5E9505593B5BC19B47025F6A63065BEFD89153", "https://baanknet.com/view-property/106137/89820B81405CF9B00954E8ED3D5E9505593B5BC19B47025F6A63065BEFD89153")</f>
        <v>https://baanknet.com/view-property/106137/89820B81405CF9B00954E8ED3D5E9505593B5BC19B47025F6A63065BEFD89153</v>
      </c>
      <c r="I4001" t="str">
        <f>HYPERLINK("https://baanknet.com/view-property/106137/89820B81405CF9B00954E8ED3D5E9505593B5BC19B47025F6A63065BEFD89153", "Open")</f>
        <v>Open</v>
      </c>
      <c r="J4001" t="s">
        <v>3803</v>
      </c>
      <c r="L4001">
        <v>16144000</v>
      </c>
      <c r="M4001">
        <v>1614400</v>
      </c>
    </row>
    <row r="4002" spans="1:13" x14ac:dyDescent="0.25">
      <c r="A4002" t="s">
        <v>13363</v>
      </c>
      <c r="B4002" t="s">
        <v>13364</v>
      </c>
      <c r="C4002" t="s">
        <v>7449</v>
      </c>
      <c r="D4002" t="s">
        <v>3165</v>
      </c>
      <c r="E4002" t="s">
        <v>11024</v>
      </c>
      <c r="F4002" t="s">
        <v>11430</v>
      </c>
      <c r="G4002" t="s">
        <v>13365</v>
      </c>
      <c r="H4002" t="str">
        <f>HYPERLINK("https://baanknet.com/view-property/219776/BB64A03752B1323D5904654B9A8170BD19CA682EE09020AB03CB5B276DBFDDA1", "https://baanknet.com/view-property/219776/BB64A03752B1323D5904654B9A8170BD19CA682EE09020AB03CB5B276DBFDDA1")</f>
        <v>https://baanknet.com/view-property/219776/BB64A03752B1323D5904654B9A8170BD19CA682EE09020AB03CB5B276DBFDDA1</v>
      </c>
      <c r="I4002" t="str">
        <f>HYPERLINK("https://baanknet.com/view-property/219776/BB64A03752B1323D5904654B9A8170BD19CA682EE09020AB03CB5B276DBFDDA1", "Open")</f>
        <v>Open</v>
      </c>
      <c r="J4002" t="s">
        <v>3803</v>
      </c>
      <c r="L4002">
        <v>1768000</v>
      </c>
      <c r="M4002">
        <v>176800</v>
      </c>
    </row>
    <row r="4003" spans="1:13" x14ac:dyDescent="0.25">
      <c r="A4003" t="s">
        <v>13366</v>
      </c>
      <c r="B4003" t="s">
        <v>13367</v>
      </c>
      <c r="C4003" t="s">
        <v>7449</v>
      </c>
      <c r="D4003" t="s">
        <v>5032</v>
      </c>
      <c r="E4003" t="s">
        <v>11024</v>
      </c>
      <c r="F4003" t="s">
        <v>11430</v>
      </c>
      <c r="G4003" t="s">
        <v>13368</v>
      </c>
      <c r="H4003" t="str">
        <f>HYPERLINK("https://baanknet.com/view-property/50354/7F9731AC20D6CFAF3AAD5B6669C3AFB37C8DAEADDBFEC9B22E224CDE8408400D", "https://baanknet.com/view-property/50354/7F9731AC20D6CFAF3AAD5B6669C3AFB37C8DAEADDBFEC9B22E224CDE8408400D")</f>
        <v>https://baanknet.com/view-property/50354/7F9731AC20D6CFAF3AAD5B6669C3AFB37C8DAEADDBFEC9B22E224CDE8408400D</v>
      </c>
      <c r="I4003" t="str">
        <f>HYPERLINK("https://baanknet.com/view-property/50354/7F9731AC20D6CFAF3AAD5B6669C3AFB37C8DAEADDBFEC9B22E224CDE8408400D", "Open")</f>
        <v>Open</v>
      </c>
      <c r="J4003" t="s">
        <v>3803</v>
      </c>
      <c r="L4003">
        <v>9855000</v>
      </c>
      <c r="M4003">
        <v>985500</v>
      </c>
    </row>
    <row r="4004" spans="1:13" x14ac:dyDescent="0.25">
      <c r="A4004" t="s">
        <v>13369</v>
      </c>
      <c r="B4004" t="s">
        <v>13370</v>
      </c>
      <c r="C4004" t="s">
        <v>7449</v>
      </c>
      <c r="D4004" t="s">
        <v>5025</v>
      </c>
      <c r="E4004" t="s">
        <v>11024</v>
      </c>
      <c r="F4004" t="s">
        <v>11430</v>
      </c>
      <c r="G4004" t="s">
        <v>13371</v>
      </c>
      <c r="H4004" t="str">
        <f>HYPERLINK("https://baanknet.com/view-property/44882/D241B6A09E4A9F3B778FD0BDA21390620CB1F738780F869225D27292477A85EB", "https://baanknet.com/view-property/44882/D241B6A09E4A9F3B778FD0BDA21390620CB1F738780F869225D27292477A85EB")</f>
        <v>https://baanknet.com/view-property/44882/D241B6A09E4A9F3B778FD0BDA21390620CB1F738780F869225D27292477A85EB</v>
      </c>
      <c r="I4004" t="str">
        <f>HYPERLINK("https://baanknet.com/view-property/44882/D241B6A09E4A9F3B778FD0BDA21390620CB1F738780F869225D27292477A85EB", "Open")</f>
        <v>Open</v>
      </c>
      <c r="J4004" t="s">
        <v>3803</v>
      </c>
      <c r="L4004">
        <v>13600000</v>
      </c>
      <c r="M4004">
        <v>1360000</v>
      </c>
    </row>
    <row r="4005" spans="1:13" x14ac:dyDescent="0.25">
      <c r="A4005" t="s">
        <v>13372</v>
      </c>
      <c r="B4005" t="s">
        <v>13373</v>
      </c>
      <c r="C4005" t="s">
        <v>7449</v>
      </c>
      <c r="D4005" t="s">
        <v>5025</v>
      </c>
      <c r="E4005" t="s">
        <v>11024</v>
      </c>
      <c r="F4005" t="s">
        <v>11430</v>
      </c>
      <c r="G4005" t="s">
        <v>13374</v>
      </c>
      <c r="H4005" t="str">
        <f>HYPERLINK("https://baanknet.com/view-property/16617/D925EFB323FC145ECD95783E37352EFBF713F6ECBA0E30918E515BE533EC0A57", "https://baanknet.com/view-property/16617/D925EFB323FC145ECD95783E37352EFBF713F6ECBA0E30918E515BE533EC0A57")</f>
        <v>https://baanknet.com/view-property/16617/D925EFB323FC145ECD95783E37352EFBF713F6ECBA0E30918E515BE533EC0A57</v>
      </c>
      <c r="I4005" t="str">
        <f>HYPERLINK("https://baanknet.com/view-property/16617/D925EFB323FC145ECD95783E37352EFBF713F6ECBA0E30918E515BE533EC0A57", "Open")</f>
        <v>Open</v>
      </c>
      <c r="J4005" t="s">
        <v>3803</v>
      </c>
      <c r="L4005">
        <v>9175000</v>
      </c>
      <c r="M4005">
        <v>917500</v>
      </c>
    </row>
    <row r="4006" spans="1:13" x14ac:dyDescent="0.25">
      <c r="A4006" t="s">
        <v>13375</v>
      </c>
      <c r="B4006" t="s">
        <v>13376</v>
      </c>
      <c r="C4006" t="s">
        <v>7449</v>
      </c>
      <c r="D4006" t="s">
        <v>900</v>
      </c>
      <c r="E4006" t="s">
        <v>11024</v>
      </c>
      <c r="F4006" t="s">
        <v>11430</v>
      </c>
      <c r="G4006" t="s">
        <v>13377</v>
      </c>
      <c r="H4006" t="str">
        <f>HYPERLINK("https://baanknet.com/view-property/53968/0701953A1A4F1B1F8481AE59D19BD51939DB3330A5D7C7A3DE04BF3C8E2F20B2", "https://baanknet.com/view-property/53968/0701953A1A4F1B1F8481AE59D19BD51939DB3330A5D7C7A3DE04BF3C8E2F20B2")</f>
        <v>https://baanknet.com/view-property/53968/0701953A1A4F1B1F8481AE59D19BD51939DB3330A5D7C7A3DE04BF3C8E2F20B2</v>
      </c>
      <c r="I4006" t="str">
        <f>HYPERLINK("https://baanknet.com/view-property/53968/0701953A1A4F1B1F8481AE59D19BD51939DB3330A5D7C7A3DE04BF3C8E2F20B2", "Open")</f>
        <v>Open</v>
      </c>
      <c r="J4006" t="s">
        <v>3803</v>
      </c>
      <c r="L4006">
        <v>16531000</v>
      </c>
      <c r="M4006">
        <v>1653100</v>
      </c>
    </row>
    <row r="4007" spans="1:13" x14ac:dyDescent="0.25">
      <c r="A4007" t="s">
        <v>13378</v>
      </c>
      <c r="B4007" t="s">
        <v>13379</v>
      </c>
      <c r="C4007" t="s">
        <v>332</v>
      </c>
      <c r="D4007" t="s">
        <v>8454</v>
      </c>
      <c r="E4007" t="s">
        <v>11024</v>
      </c>
      <c r="F4007" t="s">
        <v>11430</v>
      </c>
      <c r="G4007" t="s">
        <v>13380</v>
      </c>
      <c r="H4007" t="str">
        <f>HYPERLINK("https://baanknet.com/view-property/47725/BDB3636757CE4C1B0063F12EC8D92A2F9C00898EC4F61DAADC710FF29CACB205", "https://baanknet.com/view-property/47725/BDB3636757CE4C1B0063F12EC8D92A2F9C00898EC4F61DAADC710FF29CACB205")</f>
        <v>https://baanknet.com/view-property/47725/BDB3636757CE4C1B0063F12EC8D92A2F9C00898EC4F61DAADC710FF29CACB205</v>
      </c>
      <c r="I4007" t="str">
        <f>HYPERLINK("https://baanknet.com/view-property/47725/BDB3636757CE4C1B0063F12EC8D92A2F9C00898EC4F61DAADC710FF29CACB205", "Open")</f>
        <v>Open</v>
      </c>
      <c r="J4007" t="s">
        <v>3803</v>
      </c>
      <c r="L4007">
        <v>1985000</v>
      </c>
      <c r="M4007">
        <v>198500</v>
      </c>
    </row>
    <row r="4008" spans="1:13" x14ac:dyDescent="0.25">
      <c r="A4008" t="s">
        <v>13381</v>
      </c>
      <c r="B4008" t="s">
        <v>13382</v>
      </c>
      <c r="C4008" t="s">
        <v>7449</v>
      </c>
      <c r="D4008" t="s">
        <v>1602</v>
      </c>
      <c r="E4008" t="s">
        <v>11024</v>
      </c>
      <c r="F4008" t="s">
        <v>11430</v>
      </c>
      <c r="G4008" t="s">
        <v>13383</v>
      </c>
      <c r="H4008" t="str">
        <f>HYPERLINK("https://baanknet.com/view-property/244282/2CC889AC722536BAFD0848DCAEDD2F2ECB92634E8CBE70DD8396380B6C76B999", "https://baanknet.com/view-property/244282/2CC889AC722536BAFD0848DCAEDD2F2ECB92634E8CBE70DD8396380B6C76B999")</f>
        <v>https://baanknet.com/view-property/244282/2CC889AC722536BAFD0848DCAEDD2F2ECB92634E8CBE70DD8396380B6C76B999</v>
      </c>
      <c r="I4008" t="str">
        <f>HYPERLINK("https://baanknet.com/view-property/244282/2CC889AC722536BAFD0848DCAEDD2F2ECB92634E8CBE70DD8396380B6C76B999", "Open")</f>
        <v>Open</v>
      </c>
      <c r="J4008" t="s">
        <v>3803</v>
      </c>
      <c r="L4008">
        <v>7965000</v>
      </c>
      <c r="M4008">
        <v>796500</v>
      </c>
    </row>
    <row r="4009" spans="1:13" x14ac:dyDescent="0.25">
      <c r="A4009" t="s">
        <v>13384</v>
      </c>
      <c r="B4009" t="s">
        <v>13385</v>
      </c>
      <c r="C4009" t="s">
        <v>589</v>
      </c>
      <c r="D4009" t="s">
        <v>13386</v>
      </c>
      <c r="E4009" t="s">
        <v>11024</v>
      </c>
      <c r="F4009" t="s">
        <v>11430</v>
      </c>
      <c r="G4009" t="s">
        <v>13387</v>
      </c>
      <c r="H4009" t="str">
        <f>HYPERLINK("https://baanknet.com/view-property/271944/8FC55FCE6D452F8ED327923626A58CA2C63BDBBE9826CA507D9D71F4A287D5D4", "https://baanknet.com/view-property/271944/8FC55FCE6D452F8ED327923626A58CA2C63BDBBE9826CA507D9D71F4A287D5D4")</f>
        <v>https://baanknet.com/view-property/271944/8FC55FCE6D452F8ED327923626A58CA2C63BDBBE9826CA507D9D71F4A287D5D4</v>
      </c>
      <c r="I4009" t="str">
        <f>HYPERLINK("https://baanknet.com/view-property/271944/8FC55FCE6D452F8ED327923626A58CA2C63BDBBE9826CA507D9D71F4A287D5D4", "Open")</f>
        <v>Open</v>
      </c>
      <c r="J4009" t="s">
        <v>3803</v>
      </c>
      <c r="L4009">
        <v>10530000</v>
      </c>
      <c r="M4009">
        <v>1053000</v>
      </c>
    </row>
    <row r="4010" spans="1:13" x14ac:dyDescent="0.25">
      <c r="A4010" t="s">
        <v>13388</v>
      </c>
      <c r="B4010" t="s">
        <v>13389</v>
      </c>
      <c r="C4010" t="s">
        <v>7449</v>
      </c>
      <c r="D4010" t="s">
        <v>309</v>
      </c>
      <c r="E4010" t="s">
        <v>11024</v>
      </c>
      <c r="F4010" t="s">
        <v>11430</v>
      </c>
      <c r="G4010" t="s">
        <v>13390</v>
      </c>
      <c r="H4010" t="str">
        <f>HYPERLINK("https://baanknet.com/view-property/273189/BD2C88D72EE9E7CF87E7EB206FE5336EFA2A52639BC1D5D97AF75946E9FB234C", "https://baanknet.com/view-property/273189/BD2C88D72EE9E7CF87E7EB206FE5336EFA2A52639BC1D5D97AF75946E9FB234C")</f>
        <v>https://baanknet.com/view-property/273189/BD2C88D72EE9E7CF87E7EB206FE5336EFA2A52639BC1D5D97AF75946E9FB234C</v>
      </c>
      <c r="I4010" t="str">
        <f>HYPERLINK("https://baanknet.com/view-property/273189/BD2C88D72EE9E7CF87E7EB206FE5336EFA2A52639BC1D5D97AF75946E9FB234C", "Open")</f>
        <v>Open</v>
      </c>
      <c r="J4010" t="s">
        <v>3803</v>
      </c>
      <c r="L4010">
        <v>1722000</v>
      </c>
      <c r="M4010">
        <v>172200</v>
      </c>
    </row>
    <row r="4011" spans="1:13" x14ac:dyDescent="0.25">
      <c r="A4011" t="s">
        <v>13391</v>
      </c>
      <c r="B4011" t="s">
        <v>13392</v>
      </c>
      <c r="C4011" t="s">
        <v>7449</v>
      </c>
      <c r="D4011" t="s">
        <v>309</v>
      </c>
      <c r="E4011" t="s">
        <v>11024</v>
      </c>
      <c r="F4011" t="s">
        <v>11430</v>
      </c>
      <c r="G4011" t="s">
        <v>13393</v>
      </c>
      <c r="H4011" t="str">
        <f>HYPERLINK("https://baanknet.com/view-property/273185/4F52C093C9652397A32A713820AB10D2ABBE3C8F4FB3A628E4D67E3D972826E2", "https://baanknet.com/view-property/273185/4F52C093C9652397A32A713820AB10D2ABBE3C8F4FB3A628E4D67E3D972826E2")</f>
        <v>https://baanknet.com/view-property/273185/4F52C093C9652397A32A713820AB10D2ABBE3C8F4FB3A628E4D67E3D972826E2</v>
      </c>
      <c r="I4011" t="str">
        <f>HYPERLINK("https://baanknet.com/view-property/273185/4F52C093C9652397A32A713820AB10D2ABBE3C8F4FB3A628E4D67E3D972826E2", "Open")</f>
        <v>Open</v>
      </c>
      <c r="J4011" t="s">
        <v>3803</v>
      </c>
      <c r="L4011">
        <v>1266000</v>
      </c>
      <c r="M4011">
        <v>126600</v>
      </c>
    </row>
    <row r="4012" spans="1:13" x14ac:dyDescent="0.25">
      <c r="A4012" t="s">
        <v>13394</v>
      </c>
      <c r="B4012" t="s">
        <v>13395</v>
      </c>
      <c r="C4012" t="s">
        <v>7449</v>
      </c>
      <c r="D4012" t="s">
        <v>309</v>
      </c>
      <c r="E4012" t="s">
        <v>11024</v>
      </c>
      <c r="F4012" t="s">
        <v>11430</v>
      </c>
      <c r="G4012" t="s">
        <v>13396</v>
      </c>
      <c r="H4012" t="str">
        <f>HYPERLINK("https://baanknet.com/view-property/273161/A71413D49303C3A1F383B305BB0E835E7E4563125D37C013382F196A44E48894", "https://baanknet.com/view-property/273161/A71413D49303C3A1F383B305BB0E835E7E4563125D37C013382F196A44E48894")</f>
        <v>https://baanknet.com/view-property/273161/A71413D49303C3A1F383B305BB0E835E7E4563125D37C013382F196A44E48894</v>
      </c>
      <c r="I4012" t="str">
        <f>HYPERLINK("https://baanknet.com/view-property/273161/A71413D49303C3A1F383B305BB0E835E7E4563125D37C013382F196A44E48894", "Open")</f>
        <v>Open</v>
      </c>
      <c r="J4012" t="s">
        <v>3803</v>
      </c>
      <c r="L4012">
        <v>1374300</v>
      </c>
      <c r="M4012">
        <v>137430</v>
      </c>
    </row>
    <row r="4013" spans="1:13" x14ac:dyDescent="0.25">
      <c r="A4013" t="s">
        <v>13397</v>
      </c>
      <c r="B4013" t="s">
        <v>13398</v>
      </c>
      <c r="C4013" t="s">
        <v>387</v>
      </c>
      <c r="D4013" t="s">
        <v>13399</v>
      </c>
      <c r="E4013" t="s">
        <v>11024</v>
      </c>
      <c r="F4013" t="s">
        <v>11430</v>
      </c>
      <c r="G4013" t="s">
        <v>13400</v>
      </c>
      <c r="H4013" t="str">
        <f>HYPERLINK("https://baanknet.com/view-property/270519/CFF8C018C7A369534927D06A2620FD3384BB88B0DEDBDA651CC15EDEA1456680", "https://baanknet.com/view-property/270519/CFF8C018C7A369534927D06A2620FD3384BB88B0DEDBDA651CC15EDEA1456680")</f>
        <v>https://baanknet.com/view-property/270519/CFF8C018C7A369534927D06A2620FD3384BB88B0DEDBDA651CC15EDEA1456680</v>
      </c>
      <c r="I4013" t="str">
        <f>HYPERLINK("https://baanknet.com/view-property/270519/CFF8C018C7A369534927D06A2620FD3384BB88B0DEDBDA651CC15EDEA1456680", "Open")</f>
        <v>Open</v>
      </c>
      <c r="J4013" t="s">
        <v>3803</v>
      </c>
      <c r="L4013">
        <v>1263000</v>
      </c>
      <c r="M4013">
        <v>126300</v>
      </c>
    </row>
    <row r="4014" spans="1:13" x14ac:dyDescent="0.25">
      <c r="A4014" t="s">
        <v>13401</v>
      </c>
      <c r="B4014" t="s">
        <v>13402</v>
      </c>
      <c r="C4014" t="s">
        <v>7449</v>
      </c>
      <c r="D4014" t="s">
        <v>3213</v>
      </c>
      <c r="E4014" t="s">
        <v>11024</v>
      </c>
      <c r="F4014" t="s">
        <v>11430</v>
      </c>
      <c r="G4014" t="s">
        <v>13403</v>
      </c>
      <c r="H4014" t="str">
        <f>HYPERLINK("https://baanknet.com/view-property/21493/18DD84F8652977931C1F6B2889C43B79CF19A9FF6982FBB00476AA3AA844AEDD", "https://baanknet.com/view-property/21493/18DD84F8652977931C1F6B2889C43B79CF19A9FF6982FBB00476AA3AA844AEDD")</f>
        <v>https://baanknet.com/view-property/21493/18DD84F8652977931C1F6B2889C43B79CF19A9FF6982FBB00476AA3AA844AEDD</v>
      </c>
      <c r="I4014" t="str">
        <f>HYPERLINK("https://baanknet.com/view-property/21493/18DD84F8652977931C1F6B2889C43B79CF19A9FF6982FBB00476AA3AA844AEDD", "Open")</f>
        <v>Open</v>
      </c>
      <c r="J4014" t="s">
        <v>3803</v>
      </c>
    </row>
    <row r="4015" spans="1:13" x14ac:dyDescent="0.25">
      <c r="A4015" t="s">
        <v>13404</v>
      </c>
      <c r="B4015" t="s">
        <v>13405</v>
      </c>
      <c r="C4015" t="s">
        <v>7449</v>
      </c>
      <c r="D4015" t="s">
        <v>3213</v>
      </c>
      <c r="E4015" t="s">
        <v>11024</v>
      </c>
      <c r="F4015" t="s">
        <v>11430</v>
      </c>
      <c r="G4015" t="s">
        <v>13406</v>
      </c>
      <c r="H4015" t="str">
        <f>HYPERLINK("https://baanknet.com/view-property/70493/7EEB8AFEA5FD37462B851B200D15F657A45FA186202FCC496CEAC60C0C976376", "https://baanknet.com/view-property/70493/7EEB8AFEA5FD37462B851B200D15F657A45FA186202FCC496CEAC60C0C976376")</f>
        <v>https://baanknet.com/view-property/70493/7EEB8AFEA5FD37462B851B200D15F657A45FA186202FCC496CEAC60C0C976376</v>
      </c>
      <c r="I4015" t="str">
        <f>HYPERLINK("https://baanknet.com/view-property/70493/7EEB8AFEA5FD37462B851B200D15F657A45FA186202FCC496CEAC60C0C976376", "Open")</f>
        <v>Open</v>
      </c>
      <c r="J4015" t="s">
        <v>3803</v>
      </c>
    </row>
    <row r="4016" spans="1:13" x14ac:dyDescent="0.25">
      <c r="A4016" t="s">
        <v>13407</v>
      </c>
      <c r="B4016" t="s">
        <v>13408</v>
      </c>
      <c r="C4016" t="s">
        <v>7449</v>
      </c>
      <c r="D4016" t="s">
        <v>3213</v>
      </c>
      <c r="E4016" t="s">
        <v>11024</v>
      </c>
      <c r="F4016" t="s">
        <v>11430</v>
      </c>
      <c r="G4016" t="s">
        <v>13409</v>
      </c>
      <c r="H4016" t="str">
        <f>HYPERLINK("https://baanknet.com/view-property/18723/A4729344A5890378C9EA2C64AF7A3B493722AE9D3F4AE180408D298C35F67ACB", "https://baanknet.com/view-property/18723/A4729344A5890378C9EA2C64AF7A3B493722AE9D3F4AE180408D298C35F67ACB")</f>
        <v>https://baanknet.com/view-property/18723/A4729344A5890378C9EA2C64AF7A3B493722AE9D3F4AE180408D298C35F67ACB</v>
      </c>
      <c r="I4016" t="str">
        <f>HYPERLINK("https://baanknet.com/view-property/18723/A4729344A5890378C9EA2C64AF7A3B493722AE9D3F4AE180408D298C35F67ACB", "Open")</f>
        <v>Open</v>
      </c>
      <c r="J4016" t="s">
        <v>3803</v>
      </c>
    </row>
    <row r="4017" spans="1:13" x14ac:dyDescent="0.25">
      <c r="A4017" t="s">
        <v>13410</v>
      </c>
      <c r="B4017" t="s">
        <v>13411</v>
      </c>
      <c r="C4017" t="s">
        <v>7449</v>
      </c>
      <c r="D4017" t="s">
        <v>13412</v>
      </c>
      <c r="E4017" t="s">
        <v>11024</v>
      </c>
      <c r="F4017" t="s">
        <v>11430</v>
      </c>
      <c r="G4017" t="s">
        <v>13413</v>
      </c>
      <c r="H4017" t="str">
        <f>HYPERLINK("https://baanknet.com/view-property/18435/44237D077A2EFA4CD8B0359B89D3371E3B608D372DCFB0410D8384B8A05A99D2", "https://baanknet.com/view-property/18435/44237D077A2EFA4CD8B0359B89D3371E3B608D372DCFB0410D8384B8A05A99D2")</f>
        <v>https://baanknet.com/view-property/18435/44237D077A2EFA4CD8B0359B89D3371E3B608D372DCFB0410D8384B8A05A99D2</v>
      </c>
      <c r="I4017" t="str">
        <f>HYPERLINK("https://baanknet.com/view-property/18435/44237D077A2EFA4CD8B0359B89D3371E3B608D372DCFB0410D8384B8A05A99D2", "Open")</f>
        <v>Open</v>
      </c>
      <c r="J4017" t="s">
        <v>3803</v>
      </c>
    </row>
    <row r="4018" spans="1:13" x14ac:dyDescent="0.25">
      <c r="A4018" t="s">
        <v>13414</v>
      </c>
      <c r="B4018" t="s">
        <v>13415</v>
      </c>
      <c r="C4018" t="s">
        <v>7449</v>
      </c>
      <c r="D4018" t="s">
        <v>13416</v>
      </c>
      <c r="E4018" t="s">
        <v>11024</v>
      </c>
      <c r="F4018" t="s">
        <v>11430</v>
      </c>
      <c r="G4018" t="s">
        <v>13417</v>
      </c>
      <c r="H4018" t="str">
        <f>HYPERLINK("https://baanknet.com/view-property/68672/FFBA514A0390D85064301F9A19A40546C27355FE89FD458ED7CA160AA9BFF0C9", "https://baanknet.com/view-property/68672/FFBA514A0390D85064301F9A19A40546C27355FE89FD458ED7CA160AA9BFF0C9")</f>
        <v>https://baanknet.com/view-property/68672/FFBA514A0390D85064301F9A19A40546C27355FE89FD458ED7CA160AA9BFF0C9</v>
      </c>
      <c r="I4018" t="str">
        <f>HYPERLINK("https://baanknet.com/view-property/68672/FFBA514A0390D85064301F9A19A40546C27355FE89FD458ED7CA160AA9BFF0C9", "Open")</f>
        <v>Open</v>
      </c>
      <c r="J4018" t="s">
        <v>3803</v>
      </c>
    </row>
    <row r="4019" spans="1:13" x14ac:dyDescent="0.25">
      <c r="A4019" t="s">
        <v>13418</v>
      </c>
      <c r="B4019" t="s">
        <v>13419</v>
      </c>
      <c r="C4019" t="s">
        <v>121</v>
      </c>
      <c r="D4019" t="s">
        <v>13420</v>
      </c>
      <c r="E4019" t="s">
        <v>11024</v>
      </c>
      <c r="F4019" t="s">
        <v>11430</v>
      </c>
      <c r="G4019" t="s">
        <v>13421</v>
      </c>
      <c r="H4019" t="str">
        <f>HYPERLINK("https://baanknet.com/view-property/255776/4513207F8F97B8CE45794B87E3DAA1A8B8BAC29821E39F0391B6FAADE64824A3", "https://baanknet.com/view-property/255776/4513207F8F97B8CE45794B87E3DAA1A8B8BAC29821E39F0391B6FAADE64824A3")</f>
        <v>https://baanknet.com/view-property/255776/4513207F8F97B8CE45794B87E3DAA1A8B8BAC29821E39F0391B6FAADE64824A3</v>
      </c>
      <c r="I4019" t="str">
        <f>HYPERLINK("https://baanknet.com/view-property/255776/4513207F8F97B8CE45794B87E3DAA1A8B8BAC29821E39F0391B6FAADE64824A3", "Open")</f>
        <v>Open</v>
      </c>
      <c r="J4019" t="s">
        <v>3803</v>
      </c>
      <c r="L4019">
        <v>1247000</v>
      </c>
      <c r="M4019">
        <v>124700</v>
      </c>
    </row>
    <row r="4020" spans="1:13" x14ac:dyDescent="0.25">
      <c r="A4020" t="s">
        <v>13422</v>
      </c>
      <c r="B4020" t="s">
        <v>13423</v>
      </c>
      <c r="C4020" t="s">
        <v>121</v>
      </c>
      <c r="D4020" t="s">
        <v>13424</v>
      </c>
      <c r="E4020" t="s">
        <v>11024</v>
      </c>
      <c r="F4020" t="s">
        <v>11430</v>
      </c>
      <c r="G4020" t="s">
        <v>13425</v>
      </c>
      <c r="H4020" t="str">
        <f>HYPERLINK("https://baanknet.com/view-property/175917/DFB350B37CECBD40234208AD1131A56188D37B55EC376344AB2B930F12BD98F6", "https://baanknet.com/view-property/175917/DFB350B37CECBD40234208AD1131A56188D37B55EC376344AB2B930F12BD98F6")</f>
        <v>https://baanknet.com/view-property/175917/DFB350B37CECBD40234208AD1131A56188D37B55EC376344AB2B930F12BD98F6</v>
      </c>
      <c r="I4020" t="str">
        <f>HYPERLINK("https://baanknet.com/view-property/175917/DFB350B37CECBD40234208AD1131A56188D37B55EC376344AB2B930F12BD98F6", "Open")</f>
        <v>Open</v>
      </c>
      <c r="J4020" t="s">
        <v>3803</v>
      </c>
      <c r="L4020">
        <v>1809000</v>
      </c>
      <c r="M4020">
        <v>180900</v>
      </c>
    </row>
    <row r="4021" spans="1:13" x14ac:dyDescent="0.25">
      <c r="A4021" t="s">
        <v>13426</v>
      </c>
      <c r="B4021" t="s">
        <v>13427</v>
      </c>
      <c r="C4021" t="s">
        <v>121</v>
      </c>
      <c r="D4021" t="s">
        <v>13428</v>
      </c>
      <c r="E4021" t="s">
        <v>11024</v>
      </c>
      <c r="F4021" t="s">
        <v>11430</v>
      </c>
      <c r="G4021" t="s">
        <v>13429</v>
      </c>
      <c r="H4021" t="str">
        <f>HYPERLINK("https://baanknet.com/view-property/176000/68D173B6641660477DEC8594EB502FDD4262F48106E5D08BB81E0DF29C6DEDA3", "https://baanknet.com/view-property/176000/68D173B6641660477DEC8594EB502FDD4262F48106E5D08BB81E0DF29C6DEDA3")</f>
        <v>https://baanknet.com/view-property/176000/68D173B6641660477DEC8594EB502FDD4262F48106E5D08BB81E0DF29C6DEDA3</v>
      </c>
      <c r="I4021" t="str">
        <f>HYPERLINK("https://baanknet.com/view-property/176000/68D173B6641660477DEC8594EB502FDD4262F48106E5D08BB81E0DF29C6DEDA3", "Open")</f>
        <v>Open</v>
      </c>
      <c r="J4021" t="s">
        <v>3803</v>
      </c>
      <c r="L4021">
        <v>2465000</v>
      </c>
      <c r="M4021">
        <v>246500</v>
      </c>
    </row>
    <row r="4022" spans="1:13" x14ac:dyDescent="0.25">
      <c r="A4022" t="s">
        <v>13430</v>
      </c>
      <c r="B4022" t="s">
        <v>13431</v>
      </c>
      <c r="C4022" t="s">
        <v>7449</v>
      </c>
      <c r="D4022" t="s">
        <v>309</v>
      </c>
      <c r="E4022" t="s">
        <v>11024</v>
      </c>
      <c r="F4022" t="s">
        <v>11430</v>
      </c>
      <c r="G4022" t="s">
        <v>13432</v>
      </c>
      <c r="H4022" t="str">
        <f>HYPERLINK("https://baanknet.com/view-property/280450/C412C8ADB2A59828171F9830012252DD27AEE41EB32675924E2D8AEAB33B1A52", "https://baanknet.com/view-property/280450/C412C8ADB2A59828171F9830012252DD27AEE41EB32675924E2D8AEAB33B1A52")</f>
        <v>https://baanknet.com/view-property/280450/C412C8ADB2A59828171F9830012252DD27AEE41EB32675924E2D8AEAB33B1A52</v>
      </c>
      <c r="I4022" t="str">
        <f>HYPERLINK("https://baanknet.com/view-property/280450/C412C8ADB2A59828171F9830012252DD27AEE41EB32675924E2D8AEAB33B1A52", "Open")</f>
        <v>Open</v>
      </c>
      <c r="J4022" t="s">
        <v>3803</v>
      </c>
      <c r="L4022">
        <v>4230000</v>
      </c>
      <c r="M4022">
        <v>423000</v>
      </c>
    </row>
    <row r="4023" spans="1:13" x14ac:dyDescent="0.25">
      <c r="A4023" t="s">
        <v>13433</v>
      </c>
      <c r="B4023" t="s">
        <v>13434</v>
      </c>
      <c r="C4023" t="s">
        <v>7449</v>
      </c>
      <c r="D4023" t="s">
        <v>11643</v>
      </c>
      <c r="E4023" t="s">
        <v>11024</v>
      </c>
      <c r="F4023" t="s">
        <v>11430</v>
      </c>
      <c r="G4023" t="s">
        <v>13435</v>
      </c>
      <c r="H4023" t="str">
        <f>HYPERLINK("https://baanknet.com/view-property/280444/96B1FB236203FE005F68134BDFD01DF75787FC41F6B9EF6D7D044925E4F33452", "https://baanknet.com/view-property/280444/96B1FB236203FE005F68134BDFD01DF75787FC41F6B9EF6D7D044925E4F33452")</f>
        <v>https://baanknet.com/view-property/280444/96B1FB236203FE005F68134BDFD01DF75787FC41F6B9EF6D7D044925E4F33452</v>
      </c>
      <c r="I4023" t="str">
        <f>HYPERLINK("https://baanknet.com/view-property/280444/96B1FB236203FE005F68134BDFD01DF75787FC41F6B9EF6D7D044925E4F33452", "Open")</f>
        <v>Open</v>
      </c>
      <c r="J4023" t="s">
        <v>3803</v>
      </c>
      <c r="L4023">
        <v>450000</v>
      </c>
      <c r="M4023">
        <v>45000</v>
      </c>
    </row>
    <row r="4024" spans="1:13" x14ac:dyDescent="0.25">
      <c r="A4024" t="s">
        <v>13436</v>
      </c>
      <c r="B4024" t="s">
        <v>13437</v>
      </c>
      <c r="C4024" t="s">
        <v>7449</v>
      </c>
      <c r="D4024" t="s">
        <v>11643</v>
      </c>
      <c r="E4024" t="s">
        <v>11024</v>
      </c>
      <c r="F4024" t="s">
        <v>11430</v>
      </c>
      <c r="G4024" t="s">
        <v>13438</v>
      </c>
      <c r="H4024" t="str">
        <f>HYPERLINK("https://baanknet.com/view-property/280442/418F02AEE17ADED61B2BF3123B8096802046F4508DEF13C0145176147DE6F18A", "https://baanknet.com/view-property/280442/418F02AEE17ADED61B2BF3123B8096802046F4508DEF13C0145176147DE6F18A")</f>
        <v>https://baanknet.com/view-property/280442/418F02AEE17ADED61B2BF3123B8096802046F4508DEF13C0145176147DE6F18A</v>
      </c>
      <c r="I4024" t="str">
        <f>HYPERLINK("https://baanknet.com/view-property/280442/418F02AEE17ADED61B2BF3123B8096802046F4508DEF13C0145176147DE6F18A", "Open")</f>
        <v>Open</v>
      </c>
      <c r="J4024" t="s">
        <v>3803</v>
      </c>
      <c r="L4024">
        <v>450000</v>
      </c>
      <c r="M4024">
        <v>45000</v>
      </c>
    </row>
    <row r="4025" spans="1:13" x14ac:dyDescent="0.25">
      <c r="A4025" t="s">
        <v>13439</v>
      </c>
      <c r="B4025" t="s">
        <v>13440</v>
      </c>
      <c r="C4025" t="s">
        <v>7449</v>
      </c>
      <c r="D4025" t="s">
        <v>608</v>
      </c>
      <c r="E4025" t="s">
        <v>11024</v>
      </c>
      <c r="F4025" t="s">
        <v>11430</v>
      </c>
      <c r="G4025" t="s">
        <v>13441</v>
      </c>
      <c r="H4025" t="str">
        <f>HYPERLINK("https://baanknet.com/view-property/60361/931401F40664842DEF3550B71F12E8FBAE511B674319029C617CEDC5B5266448", "https://baanknet.com/view-property/60361/931401F40664842DEF3550B71F12E8FBAE511B674319029C617CEDC5B5266448")</f>
        <v>https://baanknet.com/view-property/60361/931401F40664842DEF3550B71F12E8FBAE511B674319029C617CEDC5B5266448</v>
      </c>
      <c r="I4025" t="str">
        <f>HYPERLINK("https://baanknet.com/view-property/60361/931401F40664842DEF3550B71F12E8FBAE511B674319029C617CEDC5B5266448", "Open")</f>
        <v>Open</v>
      </c>
      <c r="J4025" t="s">
        <v>3803</v>
      </c>
    </row>
    <row r="4026" spans="1:13" x14ac:dyDescent="0.25">
      <c r="A4026" t="s">
        <v>13442</v>
      </c>
      <c r="B4026" t="s">
        <v>13443</v>
      </c>
      <c r="C4026" t="s">
        <v>7449</v>
      </c>
      <c r="D4026" t="s">
        <v>157</v>
      </c>
      <c r="E4026" t="s">
        <v>11024</v>
      </c>
      <c r="F4026" t="s">
        <v>11430</v>
      </c>
      <c r="G4026" t="s">
        <v>13444</v>
      </c>
      <c r="H4026" t="str">
        <f>HYPERLINK("https://baanknet.com/view-property/285784/F619327A22A3E5D8EDDC751493440955F5ED0C23ED4E32D161E087C9A182B171", "https://baanknet.com/view-property/285784/F619327A22A3E5D8EDDC751493440955F5ED0C23ED4E32D161E087C9A182B171")</f>
        <v>https://baanknet.com/view-property/285784/F619327A22A3E5D8EDDC751493440955F5ED0C23ED4E32D161E087C9A182B171</v>
      </c>
      <c r="I4026" t="str">
        <f>HYPERLINK("https://baanknet.com/view-property/285784/F619327A22A3E5D8EDDC751493440955F5ED0C23ED4E32D161E087C9A182B171", "Open")</f>
        <v>Open</v>
      </c>
      <c r="J4026" t="s">
        <v>3803</v>
      </c>
      <c r="L4026">
        <v>5676500</v>
      </c>
      <c r="M4026">
        <v>568000</v>
      </c>
    </row>
    <row r="4027" spans="1:13" x14ac:dyDescent="0.25">
      <c r="A4027" t="s">
        <v>13445</v>
      </c>
      <c r="B4027" t="s">
        <v>13446</v>
      </c>
      <c r="C4027" t="s">
        <v>7449</v>
      </c>
      <c r="D4027" t="s">
        <v>3205</v>
      </c>
      <c r="E4027" t="s">
        <v>11024</v>
      </c>
      <c r="F4027" t="s">
        <v>11430</v>
      </c>
      <c r="G4027" t="s">
        <v>13447</v>
      </c>
      <c r="H4027" t="str">
        <f>HYPERLINK("https://baanknet.com/view-property/235456/95220E988082432EC20A4A06DF552B7CCA0F44AA252FF8DC368BB496069B331A", "https://baanknet.com/view-property/235456/95220E988082432EC20A4A06DF552B7CCA0F44AA252FF8DC368BB496069B331A")</f>
        <v>https://baanknet.com/view-property/235456/95220E988082432EC20A4A06DF552B7CCA0F44AA252FF8DC368BB496069B331A</v>
      </c>
      <c r="I4027" t="str">
        <f>HYPERLINK("https://baanknet.com/view-property/235456/95220E988082432EC20A4A06DF552B7CCA0F44AA252FF8DC368BB496069B331A", "Open")</f>
        <v>Open</v>
      </c>
      <c r="J4027" t="s">
        <v>3803</v>
      </c>
      <c r="L4027">
        <v>2092000</v>
      </c>
      <c r="M4027">
        <v>209200</v>
      </c>
    </row>
    <row r="4028" spans="1:13" x14ac:dyDescent="0.25">
      <c r="A4028" t="s">
        <v>13448</v>
      </c>
      <c r="B4028" t="s">
        <v>13449</v>
      </c>
      <c r="C4028" t="s">
        <v>7449</v>
      </c>
      <c r="D4028" t="s">
        <v>3165</v>
      </c>
      <c r="E4028" t="s">
        <v>11024</v>
      </c>
      <c r="F4028" t="s">
        <v>11430</v>
      </c>
      <c r="G4028" t="s">
        <v>13450</v>
      </c>
      <c r="H4028" t="str">
        <f>HYPERLINK("https://baanknet.com/view-property/275744/94737E07CA7F6E08C7E1B4E573B69D17DF01496A61BF84CAEBDF222EBF35786B", "https://baanknet.com/view-property/275744/94737E07CA7F6E08C7E1B4E573B69D17DF01496A61BF84CAEBDF222EBF35786B")</f>
        <v>https://baanknet.com/view-property/275744/94737E07CA7F6E08C7E1B4E573B69D17DF01496A61BF84CAEBDF222EBF35786B</v>
      </c>
      <c r="I4028" t="str">
        <f>HYPERLINK("https://baanknet.com/view-property/275744/94737E07CA7F6E08C7E1B4E573B69D17DF01496A61BF84CAEBDF222EBF35786B", "Open")</f>
        <v>Open</v>
      </c>
      <c r="J4028" t="s">
        <v>3803</v>
      </c>
      <c r="L4028">
        <v>701000</v>
      </c>
      <c r="M4028">
        <v>70100</v>
      </c>
    </row>
    <row r="4029" spans="1:13" x14ac:dyDescent="0.25">
      <c r="A4029" t="s">
        <v>13451</v>
      </c>
      <c r="B4029" t="s">
        <v>13452</v>
      </c>
      <c r="C4029" t="s">
        <v>7449</v>
      </c>
      <c r="D4029" t="s">
        <v>900</v>
      </c>
      <c r="E4029" t="s">
        <v>11024</v>
      </c>
      <c r="F4029" t="s">
        <v>11430</v>
      </c>
      <c r="G4029" t="s">
        <v>13453</v>
      </c>
      <c r="H4029" t="str">
        <f>HYPERLINK("https://baanknet.com/view-property/255125/BAF3A4B9D83BBD7C4A31608349DA787F5D900111059A1BB53436A84E2558AB2A", "https://baanknet.com/view-property/255125/BAF3A4B9D83BBD7C4A31608349DA787F5D900111059A1BB53436A84E2558AB2A")</f>
        <v>https://baanknet.com/view-property/255125/BAF3A4B9D83BBD7C4A31608349DA787F5D900111059A1BB53436A84E2558AB2A</v>
      </c>
      <c r="I4029" t="str">
        <f>HYPERLINK("https://baanknet.com/view-property/255125/BAF3A4B9D83BBD7C4A31608349DA787F5D900111059A1BB53436A84E2558AB2A", "Open")</f>
        <v>Open</v>
      </c>
      <c r="J4029" t="s">
        <v>3803</v>
      </c>
      <c r="L4029">
        <v>16727000</v>
      </c>
      <c r="M4029">
        <v>1672700</v>
      </c>
    </row>
    <row r="4030" spans="1:13" x14ac:dyDescent="0.25">
      <c r="A4030" t="s">
        <v>13454</v>
      </c>
      <c r="B4030" t="s">
        <v>13455</v>
      </c>
      <c r="C4030" t="s">
        <v>7449</v>
      </c>
      <c r="D4030" t="s">
        <v>13456</v>
      </c>
      <c r="E4030" t="s">
        <v>11024</v>
      </c>
      <c r="F4030" t="s">
        <v>11430</v>
      </c>
      <c r="G4030" t="s">
        <v>13457</v>
      </c>
      <c r="H4030" t="str">
        <f>HYPERLINK("https://baanknet.com/view-property/275007/E2E248BEB0399DA9C3A13A197B9DC62EBC28DE0CAC7CD92EA7683BA7D005E985", "https://baanknet.com/view-property/275007/E2E248BEB0399DA9C3A13A197B9DC62EBC28DE0CAC7CD92EA7683BA7D005E985")</f>
        <v>https://baanknet.com/view-property/275007/E2E248BEB0399DA9C3A13A197B9DC62EBC28DE0CAC7CD92EA7683BA7D005E985</v>
      </c>
      <c r="I4030" t="str">
        <f>HYPERLINK("https://baanknet.com/view-property/275007/E2E248BEB0399DA9C3A13A197B9DC62EBC28DE0CAC7CD92EA7683BA7D005E985", "Open")</f>
        <v>Open</v>
      </c>
      <c r="J4030" t="s">
        <v>3803</v>
      </c>
      <c r="L4030">
        <v>5189000</v>
      </c>
      <c r="M4030">
        <v>518900</v>
      </c>
    </row>
    <row r="4031" spans="1:13" x14ac:dyDescent="0.25">
      <c r="A4031" t="s">
        <v>13458</v>
      </c>
      <c r="B4031" t="s">
        <v>13459</v>
      </c>
      <c r="C4031" t="s">
        <v>7449</v>
      </c>
      <c r="D4031" t="s">
        <v>4317</v>
      </c>
      <c r="E4031" t="s">
        <v>11024</v>
      </c>
      <c r="F4031" t="s">
        <v>11430</v>
      </c>
      <c r="G4031" t="s">
        <v>13460</v>
      </c>
      <c r="H4031" t="str">
        <f>HYPERLINK("https://baanknet.com/view-property/282549/5AE3C610F328C25F4B67F454609746C1664668FD248A6A1141BE837FBD87DDCA", "https://baanknet.com/view-property/282549/5AE3C610F328C25F4B67F454609746C1664668FD248A6A1141BE837FBD87DDCA")</f>
        <v>https://baanknet.com/view-property/282549/5AE3C610F328C25F4B67F454609746C1664668FD248A6A1141BE837FBD87DDCA</v>
      </c>
      <c r="I4031" t="str">
        <f>HYPERLINK("https://baanknet.com/view-property/282549/5AE3C610F328C25F4B67F454609746C1664668FD248A6A1141BE837FBD87DDCA", "Open")</f>
        <v>Open</v>
      </c>
      <c r="J4031" t="s">
        <v>3803</v>
      </c>
      <c r="L4031">
        <v>7458000</v>
      </c>
      <c r="M4031">
        <v>745800</v>
      </c>
    </row>
    <row r="4032" spans="1:13" x14ac:dyDescent="0.25">
      <c r="A4032" t="s">
        <v>13461</v>
      </c>
      <c r="B4032" t="s">
        <v>13462</v>
      </c>
      <c r="C4032" t="s">
        <v>7449</v>
      </c>
      <c r="D4032" t="s">
        <v>6876</v>
      </c>
      <c r="E4032" t="s">
        <v>11024</v>
      </c>
      <c r="F4032" t="s">
        <v>11430</v>
      </c>
      <c r="G4032" t="s">
        <v>13463</v>
      </c>
      <c r="H4032" t="str">
        <f>HYPERLINK("https://baanknet.com/view-property/262934/B43DCBFB85518FC9A7B3DDF52DA26C9B77FA408FF21F26D2A491E12C30A57829", "https://baanknet.com/view-property/262934/B43DCBFB85518FC9A7B3DDF52DA26C9B77FA408FF21F26D2A491E12C30A57829")</f>
        <v>https://baanknet.com/view-property/262934/B43DCBFB85518FC9A7B3DDF52DA26C9B77FA408FF21F26D2A491E12C30A57829</v>
      </c>
      <c r="I4032" t="str">
        <f>HYPERLINK("https://baanknet.com/view-property/262934/B43DCBFB85518FC9A7B3DDF52DA26C9B77FA408FF21F26D2A491E12C30A57829", "Open")</f>
        <v>Open</v>
      </c>
      <c r="J4032" t="s">
        <v>3803</v>
      </c>
      <c r="L4032">
        <v>7594000</v>
      </c>
      <c r="M4032">
        <v>759400</v>
      </c>
    </row>
    <row r="4033" spans="1:13" x14ac:dyDescent="0.25">
      <c r="A4033" t="s">
        <v>13464</v>
      </c>
      <c r="B4033" t="s">
        <v>13465</v>
      </c>
      <c r="C4033" t="s">
        <v>121</v>
      </c>
      <c r="D4033" t="s">
        <v>13428</v>
      </c>
      <c r="E4033" t="s">
        <v>11024</v>
      </c>
      <c r="F4033" t="s">
        <v>11430</v>
      </c>
      <c r="G4033" t="s">
        <v>13466</v>
      </c>
      <c r="H4033" t="str">
        <f>HYPERLINK("https://baanknet.com/view-property/266351/50A7D0478F582AE8BF373549ADA1942F1910331724151159C6A323E6037C58EC", "https://baanknet.com/view-property/266351/50A7D0478F582AE8BF373549ADA1942F1910331724151159C6A323E6037C58EC")</f>
        <v>https://baanknet.com/view-property/266351/50A7D0478F582AE8BF373549ADA1942F1910331724151159C6A323E6037C58EC</v>
      </c>
      <c r="I4033" t="str">
        <f>HYPERLINK("https://baanknet.com/view-property/266351/50A7D0478F582AE8BF373549ADA1942F1910331724151159C6A323E6037C58EC", "Open")</f>
        <v>Open</v>
      </c>
      <c r="J4033" t="s">
        <v>3803</v>
      </c>
      <c r="L4033">
        <v>4600000</v>
      </c>
      <c r="M4033">
        <v>460000</v>
      </c>
    </row>
    <row r="4034" spans="1:13" x14ac:dyDescent="0.25">
      <c r="A4034" t="s">
        <v>13467</v>
      </c>
      <c r="B4034" t="s">
        <v>13468</v>
      </c>
      <c r="C4034" t="s">
        <v>7449</v>
      </c>
      <c r="D4034" t="s">
        <v>13469</v>
      </c>
      <c r="E4034" t="s">
        <v>11024</v>
      </c>
      <c r="F4034" t="s">
        <v>11430</v>
      </c>
      <c r="G4034" t="s">
        <v>13470</v>
      </c>
      <c r="H4034" t="str">
        <f>HYPERLINK("https://baanknet.com/view-property/274996/F67ECE08B082F7A608ED5887B2BAFEAED639FDF57C1A845C45DECCA434C9DBCA", "https://baanknet.com/view-property/274996/F67ECE08B082F7A608ED5887B2BAFEAED639FDF57C1A845C45DECCA434C9DBCA")</f>
        <v>https://baanknet.com/view-property/274996/F67ECE08B082F7A608ED5887B2BAFEAED639FDF57C1A845C45DECCA434C9DBCA</v>
      </c>
      <c r="I4034" t="str">
        <f>HYPERLINK("https://baanknet.com/view-property/274996/F67ECE08B082F7A608ED5887B2BAFEAED639FDF57C1A845C45DECCA434C9DBCA", "Open")</f>
        <v>Open</v>
      </c>
      <c r="J4034" t="s">
        <v>3803</v>
      </c>
      <c r="L4034">
        <v>1621000</v>
      </c>
      <c r="M4034">
        <v>162100</v>
      </c>
    </row>
    <row r="4035" spans="1:13" x14ac:dyDescent="0.25">
      <c r="A4035" t="s">
        <v>13471</v>
      </c>
      <c r="B4035" t="s">
        <v>13472</v>
      </c>
      <c r="C4035" t="s">
        <v>7449</v>
      </c>
      <c r="D4035" t="s">
        <v>13473</v>
      </c>
      <c r="E4035" t="s">
        <v>11024</v>
      </c>
      <c r="F4035" t="s">
        <v>11430</v>
      </c>
      <c r="G4035" t="s">
        <v>13474</v>
      </c>
      <c r="H4035" t="str">
        <f>HYPERLINK("https://baanknet.com/view-property/6632/48DAE1B8887C7525170B742888D414B6B27995F191D5D8B9519FA4C2BC700152", "https://baanknet.com/view-property/6632/48DAE1B8887C7525170B742888D414B6B27995F191D5D8B9519FA4C2BC700152")</f>
        <v>https://baanknet.com/view-property/6632/48DAE1B8887C7525170B742888D414B6B27995F191D5D8B9519FA4C2BC700152</v>
      </c>
      <c r="I4035" t="str">
        <f>HYPERLINK("https://baanknet.com/view-property/6632/48DAE1B8887C7525170B742888D414B6B27995F191D5D8B9519FA4C2BC700152", "Open")</f>
        <v>Open</v>
      </c>
      <c r="J4035" t="s">
        <v>3803</v>
      </c>
      <c r="L4035">
        <v>1271000</v>
      </c>
      <c r="M4035">
        <v>127100</v>
      </c>
    </row>
    <row r="4036" spans="1:13" x14ac:dyDescent="0.25">
      <c r="A4036" t="s">
        <v>13475</v>
      </c>
      <c r="B4036" t="s">
        <v>13476</v>
      </c>
      <c r="C4036" t="s">
        <v>144</v>
      </c>
      <c r="D4036" t="s">
        <v>3747</v>
      </c>
      <c r="E4036" t="s">
        <v>11024</v>
      </c>
      <c r="F4036" t="s">
        <v>11430</v>
      </c>
      <c r="G4036" t="s">
        <v>13477</v>
      </c>
      <c r="H4036" t="str">
        <f>HYPERLINK("https://baanknet.com/view-property/255892/120AB0565AF16828B79746EFDBB0BB2DFFE480F63897DDA1C6FEAB4EFE938043", "https://baanknet.com/view-property/255892/120AB0565AF16828B79746EFDBB0BB2DFFE480F63897DDA1C6FEAB4EFE938043")</f>
        <v>https://baanknet.com/view-property/255892/120AB0565AF16828B79746EFDBB0BB2DFFE480F63897DDA1C6FEAB4EFE938043</v>
      </c>
      <c r="I4036" t="str">
        <f>HYPERLINK("https://baanknet.com/view-property/255892/120AB0565AF16828B79746EFDBB0BB2DFFE480F63897DDA1C6FEAB4EFE938043", "Open")</f>
        <v>Open</v>
      </c>
      <c r="J4036" t="s">
        <v>3803</v>
      </c>
      <c r="L4036">
        <v>1536000</v>
      </c>
      <c r="M4036">
        <v>153600</v>
      </c>
    </row>
    <row r="4037" spans="1:13" x14ac:dyDescent="0.25">
      <c r="A4037" t="s">
        <v>13478</v>
      </c>
      <c r="B4037" t="s">
        <v>13479</v>
      </c>
      <c r="C4037" t="s">
        <v>144</v>
      </c>
      <c r="D4037" t="s">
        <v>13480</v>
      </c>
      <c r="E4037" t="s">
        <v>11024</v>
      </c>
      <c r="F4037" t="s">
        <v>11430</v>
      </c>
      <c r="G4037" t="s">
        <v>13481</v>
      </c>
      <c r="H4037" t="str">
        <f>HYPERLINK("https://baanknet.com/view-property/269388/E3BAAE3C76ADEDFEC8898E28E8FD1F84C3115FE90E0CAC6206D607D17EDFA5FB", "https://baanknet.com/view-property/269388/E3BAAE3C76ADEDFEC8898E28E8FD1F84C3115FE90E0CAC6206D607D17EDFA5FB")</f>
        <v>https://baanknet.com/view-property/269388/E3BAAE3C76ADEDFEC8898E28E8FD1F84C3115FE90E0CAC6206D607D17EDFA5FB</v>
      </c>
      <c r="I4037" t="str">
        <f>HYPERLINK("https://baanknet.com/view-property/269388/E3BAAE3C76ADEDFEC8898E28E8FD1F84C3115FE90E0CAC6206D607D17EDFA5FB", "Open")</f>
        <v>Open</v>
      </c>
      <c r="J4037" t="s">
        <v>3803</v>
      </c>
      <c r="L4037">
        <v>3680000</v>
      </c>
      <c r="M4037">
        <v>368000</v>
      </c>
    </row>
    <row r="4038" spans="1:13" x14ac:dyDescent="0.25">
      <c r="A4038" t="s">
        <v>13482</v>
      </c>
      <c r="B4038" t="s">
        <v>13483</v>
      </c>
      <c r="C4038" t="s">
        <v>144</v>
      </c>
      <c r="D4038" t="s">
        <v>13484</v>
      </c>
      <c r="E4038" t="s">
        <v>11024</v>
      </c>
      <c r="F4038" t="s">
        <v>11430</v>
      </c>
      <c r="G4038" t="s">
        <v>13485</v>
      </c>
      <c r="H4038" t="str">
        <f>HYPERLINK("https://baanknet.com/view-property/66670/53515369E0A007B2C421A5A1CE90639F03C2A5F2544A2D58F3E6C2458914C39C", "https://baanknet.com/view-property/66670/53515369E0A007B2C421A5A1CE90639F03C2A5F2544A2D58F3E6C2458914C39C")</f>
        <v>https://baanknet.com/view-property/66670/53515369E0A007B2C421A5A1CE90639F03C2A5F2544A2D58F3E6C2458914C39C</v>
      </c>
      <c r="I4038" t="str">
        <f>HYPERLINK("https://baanknet.com/view-property/66670/53515369E0A007B2C421A5A1CE90639F03C2A5F2544A2D58F3E6C2458914C39C", "Open")</f>
        <v>Open</v>
      </c>
      <c r="J4038" t="s">
        <v>3803</v>
      </c>
      <c r="L4038">
        <v>497700</v>
      </c>
      <c r="M4038">
        <v>49770</v>
      </c>
    </row>
    <row r="4039" spans="1:13" x14ac:dyDescent="0.25">
      <c r="A4039" t="s">
        <v>13486</v>
      </c>
      <c r="B4039" t="s">
        <v>13487</v>
      </c>
      <c r="C4039" t="s">
        <v>589</v>
      </c>
      <c r="D4039" t="s">
        <v>900</v>
      </c>
      <c r="E4039" t="s">
        <v>11024</v>
      </c>
      <c r="F4039" t="s">
        <v>11430</v>
      </c>
      <c r="G4039" t="s">
        <v>13488</v>
      </c>
      <c r="H4039" t="str">
        <f>HYPERLINK("https://baanknet.com/view-property/288089/B67022A8B136C8D51AA7CCB1CF13391EE3DF5798FF0EE606F1A3E966199C79A9", "https://baanknet.com/view-property/288089/B67022A8B136C8D51AA7CCB1CF13391EE3DF5798FF0EE606F1A3E966199C79A9")</f>
        <v>https://baanknet.com/view-property/288089/B67022A8B136C8D51AA7CCB1CF13391EE3DF5798FF0EE606F1A3E966199C79A9</v>
      </c>
      <c r="I4039" t="str">
        <f>HYPERLINK("https://baanknet.com/view-property/288089/B67022A8B136C8D51AA7CCB1CF13391EE3DF5798FF0EE606F1A3E966199C79A9", "Open")</f>
        <v>Open</v>
      </c>
      <c r="J4039" t="s">
        <v>3803</v>
      </c>
      <c r="L4039">
        <v>3450000</v>
      </c>
      <c r="M4039">
        <v>345000</v>
      </c>
    </row>
    <row r="4040" spans="1:13" x14ac:dyDescent="0.25">
      <c r="A4040" t="s">
        <v>13489</v>
      </c>
      <c r="B4040" t="s">
        <v>13490</v>
      </c>
      <c r="C4040" t="s">
        <v>589</v>
      </c>
      <c r="D4040" t="s">
        <v>6231</v>
      </c>
      <c r="E4040" t="s">
        <v>11024</v>
      </c>
      <c r="F4040" t="s">
        <v>11430</v>
      </c>
      <c r="G4040" t="s">
        <v>13491</v>
      </c>
      <c r="H4040" t="str">
        <f>HYPERLINK("https://baanknet.com/view-property/288074/AF27A998885A61BECC300133D4B5DFDAFE395344075003665CB0C5393B64FEE8", "https://baanknet.com/view-property/288074/AF27A998885A61BECC300133D4B5DFDAFE395344075003665CB0C5393B64FEE8")</f>
        <v>https://baanknet.com/view-property/288074/AF27A998885A61BECC300133D4B5DFDAFE395344075003665CB0C5393B64FEE8</v>
      </c>
      <c r="I4040" t="str">
        <f>HYPERLINK("https://baanknet.com/view-property/288074/AF27A998885A61BECC300133D4B5DFDAFE395344075003665CB0C5393B64FEE8", "Open")</f>
        <v>Open</v>
      </c>
      <c r="J4040" t="s">
        <v>3803</v>
      </c>
      <c r="L4040">
        <v>2118000</v>
      </c>
      <c r="M4040">
        <v>212000</v>
      </c>
    </row>
    <row r="4041" spans="1:13" x14ac:dyDescent="0.25">
      <c r="A4041" t="s">
        <v>13492</v>
      </c>
      <c r="B4041" t="s">
        <v>13493</v>
      </c>
      <c r="C4041" t="s">
        <v>589</v>
      </c>
      <c r="D4041" t="s">
        <v>4587</v>
      </c>
      <c r="E4041" t="s">
        <v>11024</v>
      </c>
      <c r="F4041" t="s">
        <v>11430</v>
      </c>
      <c r="G4041" t="s">
        <v>13494</v>
      </c>
      <c r="H4041" t="str">
        <f>HYPERLINK("https://baanknet.com/view-property/288068/628334D6C45FE79822C910EDBBA41763B292240047C04B2132A23927E96A40F7", "https://baanknet.com/view-property/288068/628334D6C45FE79822C910EDBBA41763B292240047C04B2132A23927E96A40F7")</f>
        <v>https://baanknet.com/view-property/288068/628334D6C45FE79822C910EDBBA41763B292240047C04B2132A23927E96A40F7</v>
      </c>
      <c r="I4041" t="str">
        <f>HYPERLINK("https://baanknet.com/view-property/288068/628334D6C45FE79822C910EDBBA41763B292240047C04B2132A23927E96A40F7", "Open")</f>
        <v>Open</v>
      </c>
      <c r="J4041" t="s">
        <v>3803</v>
      </c>
      <c r="L4041">
        <v>1978000</v>
      </c>
      <c r="M4041">
        <v>200000</v>
      </c>
    </row>
    <row r="4042" spans="1:13" x14ac:dyDescent="0.25">
      <c r="A4042" t="s">
        <v>13495</v>
      </c>
      <c r="B4042" t="s">
        <v>13496</v>
      </c>
      <c r="C4042" t="s">
        <v>589</v>
      </c>
      <c r="D4042" t="s">
        <v>900</v>
      </c>
      <c r="E4042" t="s">
        <v>11024</v>
      </c>
      <c r="F4042" t="s">
        <v>11430</v>
      </c>
      <c r="G4042" t="s">
        <v>13497</v>
      </c>
      <c r="H4042" t="str">
        <f>HYPERLINK("https://baanknet.com/view-property/287393/1A56D5955E18B842AF7631BFE307813AA8213E9FB862929407C5FF85B4BCEEE9", "https://baanknet.com/view-property/287393/1A56D5955E18B842AF7631BFE307813AA8213E9FB862929407C5FF85B4BCEEE9")</f>
        <v>https://baanknet.com/view-property/287393/1A56D5955E18B842AF7631BFE307813AA8213E9FB862929407C5FF85B4BCEEE9</v>
      </c>
      <c r="I4042" t="str">
        <f>HYPERLINK("https://baanknet.com/view-property/287393/1A56D5955E18B842AF7631BFE307813AA8213E9FB862929407C5FF85B4BCEEE9", "Open")</f>
        <v>Open</v>
      </c>
      <c r="J4042" t="s">
        <v>3803</v>
      </c>
      <c r="L4042">
        <v>3100000</v>
      </c>
      <c r="M4042">
        <v>310000</v>
      </c>
    </row>
    <row r="4043" spans="1:13" x14ac:dyDescent="0.25">
      <c r="A4043" t="s">
        <v>13498</v>
      </c>
      <c r="B4043" t="s">
        <v>13499</v>
      </c>
      <c r="C4043" t="s">
        <v>589</v>
      </c>
      <c r="D4043" t="s">
        <v>13500</v>
      </c>
      <c r="E4043" t="s">
        <v>11024</v>
      </c>
      <c r="F4043" t="s">
        <v>11430</v>
      </c>
      <c r="G4043" t="s">
        <v>13501</v>
      </c>
      <c r="H4043" t="str">
        <f>HYPERLINK("https://baanknet.com/view-property/287423/293DD5B83259A09A98140A113E4990A4AA18BFE811EDD3D28E9005212FF2D7F2", "https://baanknet.com/view-property/287423/293DD5B83259A09A98140A113E4990A4AA18BFE811EDD3D28E9005212FF2D7F2")</f>
        <v>https://baanknet.com/view-property/287423/293DD5B83259A09A98140A113E4990A4AA18BFE811EDD3D28E9005212FF2D7F2</v>
      </c>
      <c r="I4043" t="str">
        <f>HYPERLINK("https://baanknet.com/view-property/287423/293DD5B83259A09A98140A113E4990A4AA18BFE811EDD3D28E9005212FF2D7F2", "Open")</f>
        <v>Open</v>
      </c>
      <c r="J4043" t="s">
        <v>3803</v>
      </c>
      <c r="L4043">
        <v>4235000</v>
      </c>
      <c r="M4043">
        <v>425000</v>
      </c>
    </row>
    <row r="4044" spans="1:13" x14ac:dyDescent="0.25">
      <c r="A4044" t="s">
        <v>13502</v>
      </c>
      <c r="B4044" t="s">
        <v>13503</v>
      </c>
      <c r="C4044" t="s">
        <v>387</v>
      </c>
      <c r="D4044" t="s">
        <v>357</v>
      </c>
      <c r="E4044" t="s">
        <v>11024</v>
      </c>
      <c r="F4044" t="s">
        <v>11430</v>
      </c>
      <c r="G4044" t="s">
        <v>13504</v>
      </c>
      <c r="H4044" t="str">
        <f>HYPERLINK("https://baanknet.com/view-property/287848/B75B7F91F6F62A9F96F5780B3C63706090B2EF28929DB02DD866562A6CB396C5", "https://baanknet.com/view-property/287848/B75B7F91F6F62A9F96F5780B3C63706090B2EF28929DB02DD866562A6CB396C5")</f>
        <v>https://baanknet.com/view-property/287848/B75B7F91F6F62A9F96F5780B3C63706090B2EF28929DB02DD866562A6CB396C5</v>
      </c>
      <c r="I4044" t="str">
        <f>HYPERLINK("https://baanknet.com/view-property/287848/B75B7F91F6F62A9F96F5780B3C63706090B2EF28929DB02DD866562A6CB396C5", "Open")</f>
        <v>Open</v>
      </c>
      <c r="J4044" t="s">
        <v>3803</v>
      </c>
      <c r="L4044">
        <v>5143200</v>
      </c>
      <c r="M4044">
        <v>514320</v>
      </c>
    </row>
    <row r="4045" spans="1:13" x14ac:dyDescent="0.25">
      <c r="A4045" t="s">
        <v>13505</v>
      </c>
      <c r="B4045" t="s">
        <v>13506</v>
      </c>
      <c r="C4045" t="s">
        <v>7449</v>
      </c>
      <c r="D4045" t="s">
        <v>13507</v>
      </c>
      <c r="E4045" t="s">
        <v>11024</v>
      </c>
      <c r="F4045" t="s">
        <v>11430</v>
      </c>
      <c r="G4045" t="s">
        <v>13508</v>
      </c>
      <c r="H4045" t="str">
        <f>HYPERLINK("https://baanknet.com/view-property/264220/F8AE4918BF2269065BECAD81C11420EC1A7AC5BCE5EAEA913AF42132AAB65450", "https://baanknet.com/view-property/264220/F8AE4918BF2269065BECAD81C11420EC1A7AC5BCE5EAEA913AF42132AAB65450")</f>
        <v>https://baanknet.com/view-property/264220/F8AE4918BF2269065BECAD81C11420EC1A7AC5BCE5EAEA913AF42132AAB65450</v>
      </c>
      <c r="I4045" t="str">
        <f>HYPERLINK("https://baanknet.com/view-property/264220/F8AE4918BF2269065BECAD81C11420EC1A7AC5BCE5EAEA913AF42132AAB65450", "Open")</f>
        <v>Open</v>
      </c>
      <c r="J4045" t="s">
        <v>3803</v>
      </c>
      <c r="L4045">
        <v>1732000</v>
      </c>
      <c r="M4045">
        <v>173200</v>
      </c>
    </row>
    <row r="4046" spans="1:13" x14ac:dyDescent="0.25">
      <c r="A4046" t="s">
        <v>13509</v>
      </c>
      <c r="B4046" t="s">
        <v>13510</v>
      </c>
      <c r="C4046" t="s">
        <v>7449</v>
      </c>
      <c r="D4046" t="s">
        <v>13511</v>
      </c>
      <c r="E4046" t="s">
        <v>11024</v>
      </c>
      <c r="F4046" t="s">
        <v>11430</v>
      </c>
      <c r="G4046" t="s">
        <v>13512</v>
      </c>
      <c r="H4046" t="str">
        <f>HYPERLINK("https://baanknet.com/view-property/280780/195FD49C51BDBC6CCC333CED9473D77EF479B70CA47796AF6017EFA2EFB28B4F", "https://baanknet.com/view-property/280780/195FD49C51BDBC6CCC333CED9473D77EF479B70CA47796AF6017EFA2EFB28B4F")</f>
        <v>https://baanknet.com/view-property/280780/195FD49C51BDBC6CCC333CED9473D77EF479B70CA47796AF6017EFA2EFB28B4F</v>
      </c>
      <c r="I4046" t="str">
        <f>HYPERLINK("https://baanknet.com/view-property/280780/195FD49C51BDBC6CCC333CED9473D77EF479B70CA47796AF6017EFA2EFB28B4F", "Open")</f>
        <v>Open</v>
      </c>
      <c r="J4046" t="s">
        <v>3803</v>
      </c>
      <c r="L4046">
        <v>4050000</v>
      </c>
      <c r="M4046">
        <v>405000</v>
      </c>
    </row>
    <row r="4047" spans="1:13" x14ac:dyDescent="0.25">
      <c r="A4047" t="s">
        <v>13513</v>
      </c>
      <c r="B4047" t="s">
        <v>13514</v>
      </c>
      <c r="C4047" t="s">
        <v>7449</v>
      </c>
      <c r="D4047" t="s">
        <v>4317</v>
      </c>
      <c r="E4047" t="s">
        <v>11024</v>
      </c>
      <c r="F4047" t="s">
        <v>11430</v>
      </c>
      <c r="G4047" t="s">
        <v>13515</v>
      </c>
      <c r="H4047" t="str">
        <f>HYPERLINK("https://baanknet.com/view-property/236872/66D9DAD597A6AF2E220101735F04FC0071499A883DA8FC524D2D24CABF5207EB", "https://baanknet.com/view-property/236872/66D9DAD597A6AF2E220101735F04FC0071499A883DA8FC524D2D24CABF5207EB")</f>
        <v>https://baanknet.com/view-property/236872/66D9DAD597A6AF2E220101735F04FC0071499A883DA8FC524D2D24CABF5207EB</v>
      </c>
      <c r="I4047" t="str">
        <f>HYPERLINK("https://baanknet.com/view-property/236872/66D9DAD597A6AF2E220101735F04FC0071499A883DA8FC524D2D24CABF5207EB", "Open")</f>
        <v>Open</v>
      </c>
      <c r="J4047" t="s">
        <v>3803</v>
      </c>
      <c r="L4047">
        <v>2240000</v>
      </c>
      <c r="M4047">
        <v>224000</v>
      </c>
    </row>
    <row r="4048" spans="1:13" x14ac:dyDescent="0.25">
      <c r="A4048" t="s">
        <v>13516</v>
      </c>
      <c r="B4048" t="s">
        <v>13517</v>
      </c>
      <c r="C4048" t="s">
        <v>7449</v>
      </c>
      <c r="D4048" t="s">
        <v>4317</v>
      </c>
      <c r="E4048" t="s">
        <v>11024</v>
      </c>
      <c r="F4048" t="s">
        <v>11430</v>
      </c>
      <c r="G4048" t="s">
        <v>13518</v>
      </c>
      <c r="H4048" t="str">
        <f>HYPERLINK("https://baanknet.com/view-property/124836/BC3C335DF6DB3C1C0BB84215A2C0637F0F239EE63FCFB655F610538AEFCECD73", "https://baanknet.com/view-property/124836/BC3C335DF6DB3C1C0BB84215A2C0637F0F239EE63FCFB655F610538AEFCECD73")</f>
        <v>https://baanknet.com/view-property/124836/BC3C335DF6DB3C1C0BB84215A2C0637F0F239EE63FCFB655F610538AEFCECD73</v>
      </c>
      <c r="I4048" t="str">
        <f>HYPERLINK("https://baanknet.com/view-property/124836/BC3C335DF6DB3C1C0BB84215A2C0637F0F239EE63FCFB655F610538AEFCECD73", "Open")</f>
        <v>Open</v>
      </c>
      <c r="J4048" t="s">
        <v>3803</v>
      </c>
      <c r="L4048">
        <v>1644000</v>
      </c>
      <c r="M4048">
        <v>164400</v>
      </c>
    </row>
    <row r="4049" spans="1:13" x14ac:dyDescent="0.25">
      <c r="A4049" t="s">
        <v>13519</v>
      </c>
      <c r="B4049" t="s">
        <v>13520</v>
      </c>
      <c r="C4049" t="s">
        <v>7449</v>
      </c>
      <c r="D4049" t="s">
        <v>13507</v>
      </c>
      <c r="E4049" t="s">
        <v>11024</v>
      </c>
      <c r="F4049" t="s">
        <v>11430</v>
      </c>
      <c r="G4049" t="s">
        <v>13521</v>
      </c>
      <c r="H4049" t="str">
        <f>HYPERLINK("https://baanknet.com/view-property/219916/2ED449F9EC4B1058305DC4AFB07AA6E8D0B3289A6C56D2D2EC6CAE9760AA2E31", "https://baanknet.com/view-property/219916/2ED449F9EC4B1058305DC4AFB07AA6E8D0B3289A6C56D2D2EC6CAE9760AA2E31")</f>
        <v>https://baanknet.com/view-property/219916/2ED449F9EC4B1058305DC4AFB07AA6E8D0B3289A6C56D2D2EC6CAE9760AA2E31</v>
      </c>
      <c r="I4049" t="str">
        <f>HYPERLINK("https://baanknet.com/view-property/219916/2ED449F9EC4B1058305DC4AFB07AA6E8D0B3289A6C56D2D2EC6CAE9760AA2E31", "Open")</f>
        <v>Open</v>
      </c>
      <c r="J4049" t="s">
        <v>3803</v>
      </c>
      <c r="L4049">
        <v>1373000</v>
      </c>
      <c r="M4049">
        <v>137300</v>
      </c>
    </row>
    <row r="4050" spans="1:13" x14ac:dyDescent="0.25">
      <c r="A4050" t="s">
        <v>13522</v>
      </c>
      <c r="B4050" t="s">
        <v>13523</v>
      </c>
      <c r="C4050" t="s">
        <v>7449</v>
      </c>
      <c r="D4050" t="s">
        <v>13524</v>
      </c>
      <c r="E4050" t="s">
        <v>11024</v>
      </c>
      <c r="F4050" t="s">
        <v>11430</v>
      </c>
      <c r="G4050" t="s">
        <v>13525</v>
      </c>
      <c r="H4050" t="str">
        <f>HYPERLINK("https://baanknet.com/view-property/156804/C628055B8F36F5245D380AED45275B2043C8A7C72E248846151CDF957B508688", "https://baanknet.com/view-property/156804/C628055B8F36F5245D380AED45275B2043C8A7C72E248846151CDF957B508688")</f>
        <v>https://baanknet.com/view-property/156804/C628055B8F36F5245D380AED45275B2043C8A7C72E248846151CDF957B508688</v>
      </c>
      <c r="I4050" t="str">
        <f>HYPERLINK("https://baanknet.com/view-property/156804/C628055B8F36F5245D380AED45275B2043C8A7C72E248846151CDF957B508688", "Open")</f>
        <v>Open</v>
      </c>
      <c r="J4050" t="s">
        <v>3803</v>
      </c>
      <c r="L4050">
        <v>1926000</v>
      </c>
      <c r="M4050">
        <v>192600</v>
      </c>
    </row>
    <row r="4051" spans="1:13" x14ac:dyDescent="0.25">
      <c r="A4051" t="s">
        <v>13526</v>
      </c>
      <c r="B4051" t="s">
        <v>13527</v>
      </c>
      <c r="C4051" t="s">
        <v>387</v>
      </c>
      <c r="D4051" t="s">
        <v>4095</v>
      </c>
      <c r="E4051" t="s">
        <v>11024</v>
      </c>
      <c r="F4051" t="s">
        <v>11010</v>
      </c>
      <c r="G4051" t="s">
        <v>13528</v>
      </c>
      <c r="H4051" t="str">
        <f>HYPERLINK("https://baanknet.com/view-property/259593/CF5EB889E265F18EC4DEB010AED277069284BB5AD2074EE9F2334A7AA8DDEA9C", "https://baanknet.com/view-property/259593/CF5EB889E265F18EC4DEB010AED277069284BB5AD2074EE9F2334A7AA8DDEA9C")</f>
        <v>https://baanknet.com/view-property/259593/CF5EB889E265F18EC4DEB010AED277069284BB5AD2074EE9F2334A7AA8DDEA9C</v>
      </c>
      <c r="I4051" t="str">
        <f>HYPERLINK("https://baanknet.com/view-property/259593/CF5EB889E265F18EC4DEB010AED277069284BB5AD2074EE9F2334A7AA8DDEA9C", "Open")</f>
        <v>Open</v>
      </c>
      <c r="J4051" t="s">
        <v>3803</v>
      </c>
      <c r="L4051">
        <v>2995000</v>
      </c>
      <c r="M4051">
        <v>299500</v>
      </c>
    </row>
    <row r="4052" spans="1:13" x14ac:dyDescent="0.25">
      <c r="A4052" t="s">
        <v>13529</v>
      </c>
      <c r="B4052" t="s">
        <v>13530</v>
      </c>
      <c r="C4052" t="s">
        <v>387</v>
      </c>
      <c r="D4052" t="s">
        <v>4909</v>
      </c>
      <c r="E4052" t="s">
        <v>11024</v>
      </c>
      <c r="F4052" t="s">
        <v>11010</v>
      </c>
      <c r="G4052" t="s">
        <v>13531</v>
      </c>
      <c r="H4052" t="str">
        <f>HYPERLINK("https://baanknet.com/view-property/179645/4914B633A2C52C320B3874D1703CA3B8A602DDF8EAFE2B9B9343C3871882D615", "https://baanknet.com/view-property/179645/4914B633A2C52C320B3874D1703CA3B8A602DDF8EAFE2B9B9343C3871882D615")</f>
        <v>https://baanknet.com/view-property/179645/4914B633A2C52C320B3874D1703CA3B8A602DDF8EAFE2B9B9343C3871882D615</v>
      </c>
      <c r="I4052" t="str">
        <f>HYPERLINK("https://baanknet.com/view-property/179645/4914B633A2C52C320B3874D1703CA3B8A602DDF8EAFE2B9B9343C3871882D615", "Open")</f>
        <v>Open</v>
      </c>
      <c r="J4052" t="s">
        <v>3803</v>
      </c>
      <c r="L4052">
        <v>1142000</v>
      </c>
      <c r="M4052">
        <v>114200</v>
      </c>
    </row>
    <row r="4053" spans="1:13" x14ac:dyDescent="0.25">
      <c r="A4053" t="s">
        <v>13532</v>
      </c>
      <c r="B4053" t="s">
        <v>13533</v>
      </c>
      <c r="C4053" t="s">
        <v>387</v>
      </c>
      <c r="D4053" t="s">
        <v>13534</v>
      </c>
      <c r="E4053" t="s">
        <v>11024</v>
      </c>
      <c r="F4053" t="s">
        <v>11010</v>
      </c>
      <c r="G4053" t="s">
        <v>13535</v>
      </c>
      <c r="H4053" t="str">
        <f>HYPERLINK("https://baanknet.com/view-property/248066/CC62155B668D74552FED58CEC15B7CF4F8A79F043111E41AF0D2B1D6B37EBB4C", "https://baanknet.com/view-property/248066/CC62155B668D74552FED58CEC15B7CF4F8A79F043111E41AF0D2B1D6B37EBB4C")</f>
        <v>https://baanknet.com/view-property/248066/CC62155B668D74552FED58CEC15B7CF4F8A79F043111E41AF0D2B1D6B37EBB4C</v>
      </c>
      <c r="I4053" t="str">
        <f>HYPERLINK("https://baanknet.com/view-property/248066/CC62155B668D74552FED58CEC15B7CF4F8A79F043111E41AF0D2B1D6B37EBB4C", "Open")</f>
        <v>Open</v>
      </c>
      <c r="J4053" t="s">
        <v>3803</v>
      </c>
      <c r="L4053">
        <v>1125000</v>
      </c>
      <c r="M4053">
        <v>112500</v>
      </c>
    </row>
    <row r="4054" spans="1:13" x14ac:dyDescent="0.25">
      <c r="A4054" t="s">
        <v>13536</v>
      </c>
      <c r="B4054" t="s">
        <v>13537</v>
      </c>
      <c r="C4054" t="s">
        <v>15</v>
      </c>
      <c r="D4054" t="s">
        <v>3313</v>
      </c>
      <c r="E4054" t="s">
        <v>11981</v>
      </c>
      <c r="F4054" t="s">
        <v>11048</v>
      </c>
      <c r="G4054" t="s">
        <v>13538</v>
      </c>
      <c r="H4054" t="str">
        <f>HYPERLINK("https://baanknet.com/view-property/284792/5E351A4C460843075C584C74B60B5741EE8CD2D271DBBA9164C142F39EC546E1", "https://baanknet.com/view-property/284792/5E351A4C460843075C584C74B60B5741EE8CD2D271DBBA9164C142F39EC546E1")</f>
        <v>https://baanknet.com/view-property/284792/5E351A4C460843075C584C74B60B5741EE8CD2D271DBBA9164C142F39EC546E1</v>
      </c>
      <c r="I4054" t="str">
        <f>HYPERLINK("https://baanknet.com/view-property/284792/5E351A4C460843075C584C74B60B5741EE8CD2D271DBBA9164C142F39EC546E1", "Open")</f>
        <v>Open</v>
      </c>
      <c r="J4054" t="s">
        <v>3803</v>
      </c>
      <c r="L4054">
        <v>14200000</v>
      </c>
      <c r="M4054">
        <v>1420000</v>
      </c>
    </row>
    <row r="4055" spans="1:13" x14ac:dyDescent="0.25">
      <c r="A4055" t="s">
        <v>13539</v>
      </c>
      <c r="B4055" t="s">
        <v>13540</v>
      </c>
      <c r="C4055" t="s">
        <v>15</v>
      </c>
      <c r="D4055" t="s">
        <v>12547</v>
      </c>
      <c r="E4055" t="s">
        <v>11981</v>
      </c>
      <c r="F4055" t="s">
        <v>11048</v>
      </c>
      <c r="G4055" t="s">
        <v>13541</v>
      </c>
      <c r="H4055" t="str">
        <f>HYPERLINK("https://baanknet.com/view-property/285478/DB8A0E25B9DA3814EA87BC834D7B0067989515419EE257192B44EEEE07C8BB75", "https://baanknet.com/view-property/285478/DB8A0E25B9DA3814EA87BC834D7B0067989515419EE257192B44EEEE07C8BB75")</f>
        <v>https://baanknet.com/view-property/285478/DB8A0E25B9DA3814EA87BC834D7B0067989515419EE257192B44EEEE07C8BB75</v>
      </c>
      <c r="I4055" t="str">
        <f>HYPERLINK("https://baanknet.com/view-property/285478/DB8A0E25B9DA3814EA87BC834D7B0067989515419EE257192B44EEEE07C8BB75", "Open")</f>
        <v>Open</v>
      </c>
      <c r="J4055" t="s">
        <v>3803</v>
      </c>
      <c r="L4055">
        <v>3327000</v>
      </c>
      <c r="M4055">
        <v>332700</v>
      </c>
    </row>
    <row r="4056" spans="1:13" x14ac:dyDescent="0.25">
      <c r="A4056" t="s">
        <v>13542</v>
      </c>
      <c r="B4056" t="s">
        <v>13543</v>
      </c>
      <c r="C4056" t="s">
        <v>15</v>
      </c>
      <c r="D4056" t="s">
        <v>1807</v>
      </c>
      <c r="E4056" t="s">
        <v>11981</v>
      </c>
      <c r="F4056" t="s">
        <v>11048</v>
      </c>
      <c r="G4056" t="s">
        <v>13544</v>
      </c>
      <c r="H4056" t="str">
        <f>HYPERLINK("https://baanknet.com/view-property/285475/6BBE7A6B38833CF4F809F80F5D7E68C05C742E0A2248A05244961C32CA70D101", "https://baanknet.com/view-property/285475/6BBE7A6B38833CF4F809F80F5D7E68C05C742E0A2248A05244961C32CA70D101")</f>
        <v>https://baanknet.com/view-property/285475/6BBE7A6B38833CF4F809F80F5D7E68C05C742E0A2248A05244961C32CA70D101</v>
      </c>
      <c r="I4056" t="str">
        <f>HYPERLINK("https://baanknet.com/view-property/285475/6BBE7A6B38833CF4F809F80F5D7E68C05C742E0A2248A05244961C32CA70D101", "Open")</f>
        <v>Open</v>
      </c>
      <c r="J4056" t="s">
        <v>3803</v>
      </c>
      <c r="L4056">
        <v>2083000</v>
      </c>
      <c r="M4056">
        <v>208300</v>
      </c>
    </row>
    <row r="4057" spans="1:13" x14ac:dyDescent="0.25">
      <c r="A4057" t="s">
        <v>13545</v>
      </c>
      <c r="B4057" t="s">
        <v>13546</v>
      </c>
      <c r="C4057" t="s">
        <v>15</v>
      </c>
      <c r="D4057" t="s">
        <v>13547</v>
      </c>
      <c r="E4057" t="s">
        <v>11981</v>
      </c>
      <c r="F4057" t="s">
        <v>11048</v>
      </c>
      <c r="G4057" t="s">
        <v>13548</v>
      </c>
      <c r="H4057" t="str">
        <f>HYPERLINK("https://baanknet.com/view-property/285466/99C9C7358C6B17D8F32518E2DE72EDD5089CD6DB61179CAD93DA7020F2E64BD5", "https://baanknet.com/view-property/285466/99C9C7358C6B17D8F32518E2DE72EDD5089CD6DB61179CAD93DA7020F2E64BD5")</f>
        <v>https://baanknet.com/view-property/285466/99C9C7358C6B17D8F32518E2DE72EDD5089CD6DB61179CAD93DA7020F2E64BD5</v>
      </c>
      <c r="I4057" t="str">
        <f>HYPERLINK("https://baanknet.com/view-property/285466/99C9C7358C6B17D8F32518E2DE72EDD5089CD6DB61179CAD93DA7020F2E64BD5", "Open")</f>
        <v>Open</v>
      </c>
      <c r="J4057" t="s">
        <v>3803</v>
      </c>
      <c r="L4057">
        <v>2229000</v>
      </c>
      <c r="M4057">
        <v>222900</v>
      </c>
    </row>
    <row r="4058" spans="1:13" x14ac:dyDescent="0.25">
      <c r="A4058" t="s">
        <v>13549</v>
      </c>
      <c r="B4058" t="s">
        <v>13550</v>
      </c>
      <c r="C4058" t="s">
        <v>15</v>
      </c>
      <c r="D4058" t="s">
        <v>1807</v>
      </c>
      <c r="E4058" t="s">
        <v>11981</v>
      </c>
      <c r="F4058" t="s">
        <v>11048</v>
      </c>
      <c r="G4058" t="s">
        <v>13551</v>
      </c>
      <c r="H4058" t="str">
        <f>HYPERLINK("https://baanknet.com/view-property/285455/B8F5399CD65897F1FB1BD0AE5E4A2374B622AF3BA95DC93C12A2D60F25822B0C", "https://baanknet.com/view-property/285455/B8F5399CD65897F1FB1BD0AE5E4A2374B622AF3BA95DC93C12A2D60F25822B0C")</f>
        <v>https://baanknet.com/view-property/285455/B8F5399CD65897F1FB1BD0AE5E4A2374B622AF3BA95DC93C12A2D60F25822B0C</v>
      </c>
      <c r="I4058" t="str">
        <f>HYPERLINK("https://baanknet.com/view-property/285455/B8F5399CD65897F1FB1BD0AE5E4A2374B622AF3BA95DC93C12A2D60F25822B0C", "Open")</f>
        <v>Open</v>
      </c>
      <c r="J4058" t="s">
        <v>3803</v>
      </c>
      <c r="L4058">
        <v>2630000</v>
      </c>
      <c r="M4058">
        <v>263000</v>
      </c>
    </row>
    <row r="4059" spans="1:13" x14ac:dyDescent="0.25">
      <c r="A4059" t="s">
        <v>13552</v>
      </c>
      <c r="B4059" t="s">
        <v>13553</v>
      </c>
      <c r="C4059" t="s">
        <v>15</v>
      </c>
      <c r="D4059" t="s">
        <v>2742</v>
      </c>
      <c r="E4059" t="s">
        <v>11981</v>
      </c>
      <c r="F4059" t="s">
        <v>11048</v>
      </c>
      <c r="G4059" t="s">
        <v>13554</v>
      </c>
      <c r="H4059" t="str">
        <f>HYPERLINK("https://baanknet.com/view-property/285447/93D5902E0009895C36668DBEABCCCEAA177ADA4FC793B072781ECD1E7D14B94A", "https://baanknet.com/view-property/285447/93D5902E0009895C36668DBEABCCCEAA177ADA4FC793B072781ECD1E7D14B94A")</f>
        <v>https://baanknet.com/view-property/285447/93D5902E0009895C36668DBEABCCCEAA177ADA4FC793B072781ECD1E7D14B94A</v>
      </c>
      <c r="I4059" t="str">
        <f>HYPERLINK("https://baanknet.com/view-property/285447/93D5902E0009895C36668DBEABCCCEAA177ADA4FC793B072781ECD1E7D14B94A", "Open")</f>
        <v>Open</v>
      </c>
      <c r="J4059" t="s">
        <v>3803</v>
      </c>
      <c r="L4059">
        <v>1798000</v>
      </c>
      <c r="M4059">
        <v>179800</v>
      </c>
    </row>
    <row r="4060" spans="1:13" x14ac:dyDescent="0.25">
      <c r="A4060" t="s">
        <v>13555</v>
      </c>
      <c r="B4060" t="s">
        <v>13556</v>
      </c>
      <c r="C4060" t="s">
        <v>15</v>
      </c>
      <c r="D4060" t="s">
        <v>2742</v>
      </c>
      <c r="E4060" t="s">
        <v>11981</v>
      </c>
      <c r="F4060" t="s">
        <v>11048</v>
      </c>
      <c r="G4060" t="s">
        <v>13557</v>
      </c>
      <c r="H4060" t="str">
        <f>HYPERLINK("https://baanknet.com/view-property/285568/C6C64350A91DE7D0E1C358F4496E89E83AF57B382A989C45511CE2AA33A28CE7", "https://baanknet.com/view-property/285568/C6C64350A91DE7D0E1C358F4496E89E83AF57B382A989C45511CE2AA33A28CE7")</f>
        <v>https://baanknet.com/view-property/285568/C6C64350A91DE7D0E1C358F4496E89E83AF57B382A989C45511CE2AA33A28CE7</v>
      </c>
      <c r="I4060" t="str">
        <f>HYPERLINK("https://baanknet.com/view-property/285568/C6C64350A91DE7D0E1C358F4496E89E83AF57B382A989C45511CE2AA33A28CE7", "Open")</f>
        <v>Open</v>
      </c>
      <c r="J4060" t="s">
        <v>3803</v>
      </c>
      <c r="L4060">
        <v>884000</v>
      </c>
      <c r="M4060">
        <v>88400</v>
      </c>
    </row>
    <row r="4061" spans="1:13" x14ac:dyDescent="0.25">
      <c r="A4061" t="s">
        <v>13558</v>
      </c>
      <c r="B4061" t="s">
        <v>13559</v>
      </c>
      <c r="C4061" t="s">
        <v>15</v>
      </c>
      <c r="D4061" t="s">
        <v>13560</v>
      </c>
      <c r="E4061" t="s">
        <v>11981</v>
      </c>
      <c r="F4061" t="s">
        <v>11048</v>
      </c>
      <c r="G4061" t="s">
        <v>13561</v>
      </c>
      <c r="H4061" t="str">
        <f>HYPERLINK("https://baanknet.com/view-property/246062/1C3396A5F4B74C688746D72BAD07D58180899966D4AEC45A08F62D73FC572BEE", "https://baanknet.com/view-property/246062/1C3396A5F4B74C688746D72BAD07D58180899966D4AEC45A08F62D73FC572BEE")</f>
        <v>https://baanknet.com/view-property/246062/1C3396A5F4B74C688746D72BAD07D58180899966D4AEC45A08F62D73FC572BEE</v>
      </c>
      <c r="I4061" t="str">
        <f>HYPERLINK("https://baanknet.com/view-property/246062/1C3396A5F4B74C688746D72BAD07D58180899966D4AEC45A08F62D73FC572BEE", "Open")</f>
        <v>Open</v>
      </c>
      <c r="J4061" t="s">
        <v>3803</v>
      </c>
      <c r="L4061">
        <v>3300000</v>
      </c>
      <c r="M4061">
        <v>330000</v>
      </c>
    </row>
    <row r="4062" spans="1:13" x14ac:dyDescent="0.25">
      <c r="A4062" t="s">
        <v>13562</v>
      </c>
      <c r="B4062" t="s">
        <v>13563</v>
      </c>
      <c r="C4062" t="s">
        <v>15</v>
      </c>
      <c r="D4062" t="s">
        <v>3968</v>
      </c>
      <c r="E4062" t="s">
        <v>11981</v>
      </c>
      <c r="F4062" t="s">
        <v>11048</v>
      </c>
      <c r="G4062" t="s">
        <v>13564</v>
      </c>
      <c r="H4062" t="str">
        <f>HYPERLINK("https://baanknet.com/view-property/206690/BF7D684304B69E9019886FFAD1E9C8652D1AC0F9A30D8ACB9F5883FBB1013676", "https://baanknet.com/view-property/206690/BF7D684304B69E9019886FFAD1E9C8652D1AC0F9A30D8ACB9F5883FBB1013676")</f>
        <v>https://baanknet.com/view-property/206690/BF7D684304B69E9019886FFAD1E9C8652D1AC0F9A30D8ACB9F5883FBB1013676</v>
      </c>
      <c r="I4062" t="str">
        <f>HYPERLINK("https://baanknet.com/view-property/206690/BF7D684304B69E9019886FFAD1E9C8652D1AC0F9A30D8ACB9F5883FBB1013676", "Open")</f>
        <v>Open</v>
      </c>
      <c r="J4062" t="s">
        <v>3803</v>
      </c>
      <c r="L4062">
        <v>3700000</v>
      </c>
      <c r="M4062">
        <v>370000</v>
      </c>
    </row>
    <row r="4063" spans="1:13" x14ac:dyDescent="0.25">
      <c r="A4063" t="s">
        <v>13565</v>
      </c>
      <c r="B4063" t="s">
        <v>13566</v>
      </c>
      <c r="C4063" t="s">
        <v>15</v>
      </c>
      <c r="D4063" t="s">
        <v>5036</v>
      </c>
      <c r="E4063" t="s">
        <v>11981</v>
      </c>
      <c r="F4063" t="s">
        <v>11048</v>
      </c>
      <c r="G4063" t="s">
        <v>13567</v>
      </c>
      <c r="H4063" t="str">
        <f>HYPERLINK("https://baanknet.com/view-property/214004/408112B4F5591C873F6CE26103A0A40856D13C9C5DB1FC5EABB27643B92756E9", "https://baanknet.com/view-property/214004/408112B4F5591C873F6CE26103A0A40856D13C9C5DB1FC5EABB27643B92756E9")</f>
        <v>https://baanknet.com/view-property/214004/408112B4F5591C873F6CE26103A0A40856D13C9C5DB1FC5EABB27643B92756E9</v>
      </c>
      <c r="I4063" t="str">
        <f>HYPERLINK("https://baanknet.com/view-property/214004/408112B4F5591C873F6CE26103A0A40856D13C9C5DB1FC5EABB27643B92756E9", "Open")</f>
        <v>Open</v>
      </c>
      <c r="J4063" t="s">
        <v>3803</v>
      </c>
      <c r="L4063">
        <v>3100000</v>
      </c>
      <c r="M4063">
        <v>310000</v>
      </c>
    </row>
    <row r="4064" spans="1:13" x14ac:dyDescent="0.25">
      <c r="A4064" t="s">
        <v>13568</v>
      </c>
      <c r="B4064" t="s">
        <v>13569</v>
      </c>
      <c r="C4064" t="s">
        <v>15</v>
      </c>
      <c r="D4064" t="s">
        <v>3968</v>
      </c>
      <c r="E4064" t="s">
        <v>11981</v>
      </c>
      <c r="F4064" t="s">
        <v>11048</v>
      </c>
      <c r="G4064" t="s">
        <v>13570</v>
      </c>
      <c r="H4064" t="str">
        <f>HYPERLINK("https://baanknet.com/view-property/263983/DACCFA1CB3724A0129F5651BA1C512899AAC43BE9D872851323032C713A6C443", "https://baanknet.com/view-property/263983/DACCFA1CB3724A0129F5651BA1C512899AAC43BE9D872851323032C713A6C443")</f>
        <v>https://baanknet.com/view-property/263983/DACCFA1CB3724A0129F5651BA1C512899AAC43BE9D872851323032C713A6C443</v>
      </c>
      <c r="I4064" t="str">
        <f>HYPERLINK("https://baanknet.com/view-property/263983/DACCFA1CB3724A0129F5651BA1C512899AAC43BE9D872851323032C713A6C443", "Open")</f>
        <v>Open</v>
      </c>
      <c r="J4064" t="s">
        <v>3803</v>
      </c>
      <c r="L4064">
        <v>2100000</v>
      </c>
      <c r="M4064">
        <v>210000</v>
      </c>
    </row>
    <row r="4065" spans="1:13" x14ac:dyDescent="0.25">
      <c r="A4065" t="s">
        <v>13571</v>
      </c>
      <c r="B4065" t="s">
        <v>13572</v>
      </c>
      <c r="C4065" t="s">
        <v>15</v>
      </c>
      <c r="D4065" t="s">
        <v>5025</v>
      </c>
      <c r="E4065" t="s">
        <v>11981</v>
      </c>
      <c r="F4065" t="s">
        <v>11048</v>
      </c>
      <c r="G4065" t="s">
        <v>13573</v>
      </c>
      <c r="H4065" t="str">
        <f>HYPERLINK("https://baanknet.com/view-property/243800/E839DCD3281D781172A316D7CA330D6910976CB1674248D8A2E4EE70EEB7FD5A", "https://baanknet.com/view-property/243800/E839DCD3281D781172A316D7CA330D6910976CB1674248D8A2E4EE70EEB7FD5A")</f>
        <v>https://baanknet.com/view-property/243800/E839DCD3281D781172A316D7CA330D6910976CB1674248D8A2E4EE70EEB7FD5A</v>
      </c>
      <c r="I4065" t="str">
        <f>HYPERLINK("https://baanknet.com/view-property/243800/E839DCD3281D781172A316D7CA330D6910976CB1674248D8A2E4EE70EEB7FD5A", "Open")</f>
        <v>Open</v>
      </c>
      <c r="J4065" t="s">
        <v>3803</v>
      </c>
      <c r="L4065">
        <v>1000000</v>
      </c>
      <c r="M4065">
        <v>100000</v>
      </c>
    </row>
    <row r="4066" spans="1:13" x14ac:dyDescent="0.25">
      <c r="A4066" t="s">
        <v>13574</v>
      </c>
      <c r="B4066" t="s">
        <v>13575</v>
      </c>
      <c r="C4066" t="s">
        <v>15</v>
      </c>
      <c r="D4066" t="s">
        <v>3225</v>
      </c>
      <c r="E4066" t="s">
        <v>3516</v>
      </c>
      <c r="F4066" t="s">
        <v>17</v>
      </c>
      <c r="G4066" t="s">
        <v>13576</v>
      </c>
      <c r="H4066" t="str">
        <f>HYPERLINK("https://baanknet.com/view-property/252977/36EBC3586EC8573C2D8F6D2371E4B8720F3DD194743D41B8EC9F712C7ACF8DE1", "https://baanknet.com/view-property/252977/36EBC3586EC8573C2D8F6D2371E4B8720F3DD194743D41B8EC9F712C7ACF8DE1")</f>
        <v>https://baanknet.com/view-property/252977/36EBC3586EC8573C2D8F6D2371E4B8720F3DD194743D41B8EC9F712C7ACF8DE1</v>
      </c>
      <c r="I4066" t="str">
        <f>HYPERLINK("https://baanknet.com/view-property/252977/36EBC3586EC8573C2D8F6D2371E4B8720F3DD194743D41B8EC9F712C7ACF8DE1", "Open")</f>
        <v>Open</v>
      </c>
      <c r="J4066" t="s">
        <v>20</v>
      </c>
      <c r="K4066" t="s">
        <v>21</v>
      </c>
      <c r="L4066">
        <v>2700000</v>
      </c>
      <c r="M4066">
        <v>270000</v>
      </c>
    </row>
    <row r="4067" spans="1:13" x14ac:dyDescent="0.25">
      <c r="A4067" t="s">
        <v>13577</v>
      </c>
      <c r="B4067" t="s">
        <v>13578</v>
      </c>
      <c r="C4067" t="s">
        <v>15</v>
      </c>
      <c r="D4067" t="s">
        <v>8208</v>
      </c>
      <c r="E4067" t="s">
        <v>11981</v>
      </c>
      <c r="F4067" t="s">
        <v>11048</v>
      </c>
      <c r="G4067" t="s">
        <v>13579</v>
      </c>
      <c r="H4067" t="str">
        <f>HYPERLINK("https://baanknet.com/view-property/254054/10145227A5F459A8F9AE18A24F7FDE7D0060FF59C567DC15F199314E44D8F139", "https://baanknet.com/view-property/254054/10145227A5F459A8F9AE18A24F7FDE7D0060FF59C567DC15F199314E44D8F139")</f>
        <v>https://baanknet.com/view-property/254054/10145227A5F459A8F9AE18A24F7FDE7D0060FF59C567DC15F199314E44D8F139</v>
      </c>
      <c r="I4067" t="str">
        <f>HYPERLINK("https://baanknet.com/view-property/254054/10145227A5F459A8F9AE18A24F7FDE7D0060FF59C567DC15F199314E44D8F139", "Open")</f>
        <v>Open</v>
      </c>
      <c r="J4067" t="s">
        <v>3803</v>
      </c>
      <c r="L4067">
        <v>1300000</v>
      </c>
      <c r="M4067">
        <v>130000</v>
      </c>
    </row>
    <row r="4068" spans="1:13" x14ac:dyDescent="0.25">
      <c r="A4068" t="s">
        <v>13580</v>
      </c>
      <c r="B4068" t="s">
        <v>13581</v>
      </c>
      <c r="C4068" t="s">
        <v>15</v>
      </c>
      <c r="D4068" t="s">
        <v>13582</v>
      </c>
      <c r="E4068" t="s">
        <v>11981</v>
      </c>
      <c r="F4068" t="s">
        <v>11048</v>
      </c>
      <c r="G4068" t="s">
        <v>13583</v>
      </c>
      <c r="H4068" t="str">
        <f>HYPERLINK("https://baanknet.com/view-property/245610/9D3B491429630334AA7E8E8B7644639935D6F9D6A8B3AFBC32731E2E14A97923", "https://baanknet.com/view-property/245610/9D3B491429630334AA7E8E8B7644639935D6F9D6A8B3AFBC32731E2E14A97923")</f>
        <v>https://baanknet.com/view-property/245610/9D3B491429630334AA7E8E8B7644639935D6F9D6A8B3AFBC32731E2E14A97923</v>
      </c>
      <c r="I4068" t="str">
        <f>HYPERLINK("https://baanknet.com/view-property/245610/9D3B491429630334AA7E8E8B7644639935D6F9D6A8B3AFBC32731E2E14A97923", "Open")</f>
        <v>Open</v>
      </c>
      <c r="J4068" t="s">
        <v>3803</v>
      </c>
      <c r="L4068">
        <v>1300000</v>
      </c>
      <c r="M4068">
        <v>130000</v>
      </c>
    </row>
    <row r="4069" spans="1:13" x14ac:dyDescent="0.25">
      <c r="A4069" t="s">
        <v>13584</v>
      </c>
      <c r="B4069" t="s">
        <v>13585</v>
      </c>
      <c r="C4069" t="s">
        <v>15</v>
      </c>
      <c r="D4069" t="s">
        <v>13586</v>
      </c>
      <c r="E4069" t="s">
        <v>11981</v>
      </c>
      <c r="F4069" t="s">
        <v>11048</v>
      </c>
      <c r="G4069" t="s">
        <v>13587</v>
      </c>
      <c r="H4069" t="str">
        <f>HYPERLINK("https://baanknet.com/view-property/206567/6E4DAA6968974C3D27885E41F18AEF4D3F1DED65C6491C0798CD19A3E54522D7", "https://baanknet.com/view-property/206567/6E4DAA6968974C3D27885E41F18AEF4D3F1DED65C6491C0798CD19A3E54522D7")</f>
        <v>https://baanknet.com/view-property/206567/6E4DAA6968974C3D27885E41F18AEF4D3F1DED65C6491C0798CD19A3E54522D7</v>
      </c>
      <c r="I4069" t="str">
        <f>HYPERLINK("https://baanknet.com/view-property/206567/6E4DAA6968974C3D27885E41F18AEF4D3F1DED65C6491C0798CD19A3E54522D7", "Open")</f>
        <v>Open</v>
      </c>
      <c r="J4069" t="s">
        <v>3803</v>
      </c>
      <c r="L4069">
        <v>2100000</v>
      </c>
      <c r="M4069">
        <v>210000</v>
      </c>
    </row>
    <row r="4070" spans="1:13" x14ac:dyDescent="0.25">
      <c r="A4070" t="s">
        <v>13588</v>
      </c>
      <c r="B4070" t="s">
        <v>13589</v>
      </c>
      <c r="C4070" t="s">
        <v>15</v>
      </c>
      <c r="D4070" t="s">
        <v>13590</v>
      </c>
      <c r="E4070" t="s">
        <v>11981</v>
      </c>
      <c r="F4070" t="s">
        <v>11048</v>
      </c>
      <c r="G4070" t="s">
        <v>13591</v>
      </c>
      <c r="H4070" t="str">
        <f>HYPERLINK("https://baanknet.com/view-property/235177/7F58701F9C80FC63C1AB532E9F51DE9070A57B0096A66243615319F58968B962", "https://baanknet.com/view-property/235177/7F58701F9C80FC63C1AB532E9F51DE9070A57B0096A66243615319F58968B962")</f>
        <v>https://baanknet.com/view-property/235177/7F58701F9C80FC63C1AB532E9F51DE9070A57B0096A66243615319F58968B962</v>
      </c>
      <c r="I4070" t="str">
        <f>HYPERLINK("https://baanknet.com/view-property/235177/7F58701F9C80FC63C1AB532E9F51DE9070A57B0096A66243615319F58968B962", "Open")</f>
        <v>Open</v>
      </c>
      <c r="J4070" t="s">
        <v>3803</v>
      </c>
      <c r="L4070">
        <v>750000</v>
      </c>
      <c r="M4070">
        <v>75000</v>
      </c>
    </row>
    <row r="4071" spans="1:13" x14ac:dyDescent="0.25">
      <c r="A4071" t="s">
        <v>13592</v>
      </c>
      <c r="B4071" t="s">
        <v>13593</v>
      </c>
      <c r="C4071" t="s">
        <v>15</v>
      </c>
      <c r="D4071" t="s">
        <v>13586</v>
      </c>
      <c r="E4071" t="s">
        <v>11981</v>
      </c>
      <c r="F4071" t="s">
        <v>11048</v>
      </c>
      <c r="G4071" t="s">
        <v>13594</v>
      </c>
      <c r="H4071" t="str">
        <f>HYPERLINK("https://baanknet.com/view-property/201885/3ADABCC49C644227E8A982A37AD928BADCE8DBC2B299063440BF2E4307629387", "https://baanknet.com/view-property/201885/3ADABCC49C644227E8A982A37AD928BADCE8DBC2B299063440BF2E4307629387")</f>
        <v>https://baanknet.com/view-property/201885/3ADABCC49C644227E8A982A37AD928BADCE8DBC2B299063440BF2E4307629387</v>
      </c>
      <c r="I4071" t="str">
        <f>HYPERLINK("https://baanknet.com/view-property/201885/3ADABCC49C644227E8A982A37AD928BADCE8DBC2B299063440BF2E4307629387", "Open")</f>
        <v>Open</v>
      </c>
      <c r="J4071" t="s">
        <v>3803</v>
      </c>
      <c r="L4071">
        <v>1700000</v>
      </c>
      <c r="M4071">
        <v>170000</v>
      </c>
    </row>
    <row r="4072" spans="1:13" x14ac:dyDescent="0.25">
      <c r="A4072" t="s">
        <v>13595</v>
      </c>
      <c r="B4072" t="s">
        <v>13596</v>
      </c>
      <c r="C4072" t="s">
        <v>15</v>
      </c>
      <c r="D4072" t="s">
        <v>32</v>
      </c>
      <c r="E4072" t="s">
        <v>11981</v>
      </c>
      <c r="F4072" t="s">
        <v>11048</v>
      </c>
      <c r="G4072" t="s">
        <v>13597</v>
      </c>
      <c r="H4072" t="str">
        <f>HYPERLINK("https://baanknet.com/view-property/218390/4EEC873E01E33C0E8D2044207201CD17705F06DA41EFA2047D0ACC1CBBFCCA47", "https://baanknet.com/view-property/218390/4EEC873E01E33C0E8D2044207201CD17705F06DA41EFA2047D0ACC1CBBFCCA47")</f>
        <v>https://baanknet.com/view-property/218390/4EEC873E01E33C0E8D2044207201CD17705F06DA41EFA2047D0ACC1CBBFCCA47</v>
      </c>
      <c r="I4072" t="str">
        <f>HYPERLINK("https://baanknet.com/view-property/218390/4EEC873E01E33C0E8D2044207201CD17705F06DA41EFA2047D0ACC1CBBFCCA47", "Open")</f>
        <v>Open</v>
      </c>
      <c r="J4072" t="s">
        <v>3803</v>
      </c>
      <c r="L4072">
        <v>2242000</v>
      </c>
      <c r="M4072">
        <v>224200</v>
      </c>
    </row>
    <row r="4073" spans="1:13" x14ac:dyDescent="0.25">
      <c r="A4073" t="s">
        <v>13598</v>
      </c>
      <c r="B4073" t="s">
        <v>13599</v>
      </c>
      <c r="C4073" t="s">
        <v>15</v>
      </c>
      <c r="D4073" t="s">
        <v>8928</v>
      </c>
      <c r="E4073" t="s">
        <v>11981</v>
      </c>
      <c r="F4073" t="s">
        <v>11048</v>
      </c>
      <c r="G4073" t="s">
        <v>13600</v>
      </c>
      <c r="H4073" t="str">
        <f>HYPERLINK("https://baanknet.com/view-property/282474/A6CF2385D445564FA3C809643922D3BF01943CEE01E156AACE4ED28CDF72A3D8", "https://baanknet.com/view-property/282474/A6CF2385D445564FA3C809643922D3BF01943CEE01E156AACE4ED28CDF72A3D8")</f>
        <v>https://baanknet.com/view-property/282474/A6CF2385D445564FA3C809643922D3BF01943CEE01E156AACE4ED28CDF72A3D8</v>
      </c>
      <c r="I4073" t="str">
        <f>HYPERLINK("https://baanknet.com/view-property/282474/A6CF2385D445564FA3C809643922D3BF01943CEE01E156AACE4ED28CDF72A3D8", "Open")</f>
        <v>Open</v>
      </c>
      <c r="J4073" t="s">
        <v>3803</v>
      </c>
      <c r="L4073">
        <v>8550000</v>
      </c>
      <c r="M4073">
        <v>855000</v>
      </c>
    </row>
    <row r="4074" spans="1:13" x14ac:dyDescent="0.25">
      <c r="A4074" t="s">
        <v>13601</v>
      </c>
      <c r="B4074" t="s">
        <v>13602</v>
      </c>
      <c r="C4074" t="s">
        <v>15</v>
      </c>
      <c r="D4074" t="s">
        <v>3515</v>
      </c>
      <c r="E4074" t="s">
        <v>11981</v>
      </c>
      <c r="F4074" t="s">
        <v>11048</v>
      </c>
      <c r="G4074" t="s">
        <v>13603</v>
      </c>
      <c r="H4074" t="str">
        <f>HYPERLINK("https://baanknet.com/view-property/208505/81AB04FF73B8A7A72956209C966757DE1E65AEC999A6DD4362990A4FF4F927DD", "https://baanknet.com/view-property/208505/81AB04FF73B8A7A72956209C966757DE1E65AEC999A6DD4362990A4FF4F927DD")</f>
        <v>https://baanknet.com/view-property/208505/81AB04FF73B8A7A72956209C966757DE1E65AEC999A6DD4362990A4FF4F927DD</v>
      </c>
      <c r="I4074" t="str">
        <f>HYPERLINK("https://baanknet.com/view-property/208505/81AB04FF73B8A7A72956209C966757DE1E65AEC999A6DD4362990A4FF4F927DD", "Open")</f>
        <v>Open</v>
      </c>
      <c r="J4074" t="s">
        <v>3803</v>
      </c>
      <c r="L4074">
        <v>2800000</v>
      </c>
      <c r="M4074">
        <v>280000</v>
      </c>
    </row>
    <row r="4075" spans="1:13" x14ac:dyDescent="0.25">
      <c r="A4075" t="s">
        <v>13604</v>
      </c>
      <c r="B4075" t="s">
        <v>13605</v>
      </c>
      <c r="C4075" t="s">
        <v>15</v>
      </c>
      <c r="D4075" t="s">
        <v>5032</v>
      </c>
      <c r="E4075" t="s">
        <v>11981</v>
      </c>
      <c r="F4075" t="s">
        <v>11048</v>
      </c>
      <c r="G4075" t="s">
        <v>13606</v>
      </c>
      <c r="H4075" t="str">
        <f>HYPERLINK("https://baanknet.com/view-property/245914/8E64F7FC9B2B0407E03B2DF25E4A10F5A5AC81F3906C1CE2D94A81168CFB11D9", "https://baanknet.com/view-property/245914/8E64F7FC9B2B0407E03B2DF25E4A10F5A5AC81F3906C1CE2D94A81168CFB11D9")</f>
        <v>https://baanknet.com/view-property/245914/8E64F7FC9B2B0407E03B2DF25E4A10F5A5AC81F3906C1CE2D94A81168CFB11D9</v>
      </c>
      <c r="I4075" t="str">
        <f>HYPERLINK("https://baanknet.com/view-property/245914/8E64F7FC9B2B0407E03B2DF25E4A10F5A5AC81F3906C1CE2D94A81168CFB11D9", "Open")</f>
        <v>Open</v>
      </c>
      <c r="J4075" t="s">
        <v>3803</v>
      </c>
      <c r="L4075">
        <v>1300000</v>
      </c>
      <c r="M4075">
        <v>130000</v>
      </c>
    </row>
    <row r="4076" spans="1:13" x14ac:dyDescent="0.25">
      <c r="A4076" t="s">
        <v>13607</v>
      </c>
      <c r="B4076" t="s">
        <v>13608</v>
      </c>
      <c r="C4076" t="s">
        <v>15</v>
      </c>
      <c r="D4076" t="s">
        <v>5032</v>
      </c>
      <c r="E4076" t="s">
        <v>11981</v>
      </c>
      <c r="F4076" t="s">
        <v>11048</v>
      </c>
      <c r="G4076" t="s">
        <v>13609</v>
      </c>
      <c r="H4076" t="str">
        <f>HYPERLINK("https://baanknet.com/view-property/213348/F69066E29C923ADEDE31B3E58639185F792F6E85E232EBB397C135E0582A9FF4", "https://baanknet.com/view-property/213348/F69066E29C923ADEDE31B3E58639185F792F6E85E232EBB397C135E0582A9FF4")</f>
        <v>https://baanknet.com/view-property/213348/F69066E29C923ADEDE31B3E58639185F792F6E85E232EBB397C135E0582A9FF4</v>
      </c>
      <c r="I4076" t="str">
        <f>HYPERLINK("https://baanknet.com/view-property/213348/F69066E29C923ADEDE31B3E58639185F792F6E85E232EBB397C135E0582A9FF4", "Open")</f>
        <v>Open</v>
      </c>
      <c r="J4076" t="s">
        <v>3803</v>
      </c>
      <c r="L4076">
        <v>2200000</v>
      </c>
      <c r="M4076">
        <v>220000</v>
      </c>
    </row>
    <row r="4077" spans="1:13" x14ac:dyDescent="0.25">
      <c r="A4077" t="s">
        <v>13610</v>
      </c>
      <c r="B4077" t="s">
        <v>13611</v>
      </c>
      <c r="C4077" t="s">
        <v>15</v>
      </c>
      <c r="D4077" t="s">
        <v>5032</v>
      </c>
      <c r="E4077" t="s">
        <v>11981</v>
      </c>
      <c r="F4077" t="s">
        <v>11048</v>
      </c>
      <c r="G4077" t="s">
        <v>13612</v>
      </c>
      <c r="H4077" t="str">
        <f>HYPERLINK("https://baanknet.com/view-property/225445/E8DD3EC3251E74A2A0486754D1F8B477FEF2CEDC66798961C5163D43384D4F2A", "https://baanknet.com/view-property/225445/E8DD3EC3251E74A2A0486754D1F8B477FEF2CEDC66798961C5163D43384D4F2A")</f>
        <v>https://baanknet.com/view-property/225445/E8DD3EC3251E74A2A0486754D1F8B477FEF2CEDC66798961C5163D43384D4F2A</v>
      </c>
      <c r="I4077" t="str">
        <f>HYPERLINK("https://baanknet.com/view-property/225445/E8DD3EC3251E74A2A0486754D1F8B477FEF2CEDC66798961C5163D43384D4F2A", "Open")</f>
        <v>Open</v>
      </c>
      <c r="J4077" t="s">
        <v>3803</v>
      </c>
      <c r="L4077">
        <v>1130000</v>
      </c>
      <c r="M4077">
        <v>113000</v>
      </c>
    </row>
    <row r="4078" spans="1:13" x14ac:dyDescent="0.25">
      <c r="A4078" t="s">
        <v>13613</v>
      </c>
      <c r="B4078" t="s">
        <v>13614</v>
      </c>
      <c r="C4078" t="s">
        <v>15</v>
      </c>
      <c r="D4078" t="s">
        <v>1246</v>
      </c>
      <c r="E4078" t="s">
        <v>11981</v>
      </c>
      <c r="F4078" t="s">
        <v>11048</v>
      </c>
      <c r="G4078" t="s">
        <v>13615</v>
      </c>
      <c r="H4078" t="str">
        <f>HYPERLINK("https://baanknet.com/view-property/276977/B598D08AC2BC58026E6ED165B8AA3B904FDE9A5EB07F312CDA12CEA059532319", "https://baanknet.com/view-property/276977/B598D08AC2BC58026E6ED165B8AA3B904FDE9A5EB07F312CDA12CEA059532319")</f>
        <v>https://baanknet.com/view-property/276977/B598D08AC2BC58026E6ED165B8AA3B904FDE9A5EB07F312CDA12CEA059532319</v>
      </c>
      <c r="I4078" t="str">
        <f>HYPERLINK("https://baanknet.com/view-property/276977/B598D08AC2BC58026E6ED165B8AA3B904FDE9A5EB07F312CDA12CEA059532319", "Open")</f>
        <v>Open</v>
      </c>
      <c r="J4078" t="s">
        <v>3803</v>
      </c>
      <c r="L4078">
        <v>2997000</v>
      </c>
      <c r="M4078">
        <v>299700</v>
      </c>
    </row>
    <row r="4079" spans="1:13" x14ac:dyDescent="0.25">
      <c r="A4079" t="s">
        <v>13616</v>
      </c>
      <c r="B4079" t="s">
        <v>13617</v>
      </c>
      <c r="C4079" t="s">
        <v>15</v>
      </c>
      <c r="D4079" t="s">
        <v>24</v>
      </c>
      <c r="E4079" t="s">
        <v>11981</v>
      </c>
      <c r="F4079" t="s">
        <v>11048</v>
      </c>
      <c r="G4079" t="s">
        <v>13618</v>
      </c>
      <c r="H4079" t="str">
        <f>HYPERLINK("https://baanknet.com/view-property/283795/F07D3D592DBA7B52366636B7292A9C8E32AD715E53A2BABAEE2AD76B9D2D2C61", "https://baanknet.com/view-property/283795/F07D3D592DBA7B52366636B7292A9C8E32AD715E53A2BABAEE2AD76B9D2D2C61")</f>
        <v>https://baanknet.com/view-property/283795/F07D3D592DBA7B52366636B7292A9C8E32AD715E53A2BABAEE2AD76B9D2D2C61</v>
      </c>
      <c r="I4079" t="str">
        <f>HYPERLINK("https://baanknet.com/view-property/283795/F07D3D592DBA7B52366636B7292A9C8E32AD715E53A2BABAEE2AD76B9D2D2C61", "Open")</f>
        <v>Open</v>
      </c>
      <c r="J4079" t="s">
        <v>3803</v>
      </c>
      <c r="L4079">
        <v>851600</v>
      </c>
      <c r="M4079">
        <v>85160</v>
      </c>
    </row>
    <row r="4080" spans="1:13" x14ac:dyDescent="0.25">
      <c r="A4080" t="s">
        <v>13619</v>
      </c>
      <c r="B4080" t="s">
        <v>13620</v>
      </c>
      <c r="C4080" t="s">
        <v>15</v>
      </c>
      <c r="D4080" t="s">
        <v>13621</v>
      </c>
      <c r="E4080" t="s">
        <v>11981</v>
      </c>
      <c r="F4080" t="s">
        <v>11048</v>
      </c>
      <c r="G4080" t="s">
        <v>13622</v>
      </c>
      <c r="H4080" t="str">
        <f>HYPERLINK("https://baanknet.com/view-property/248096/E8B8DFD8E91C6E763FD41FB3DC486F390654D80ACFF29F7158A4AAC946DDC670", "https://baanknet.com/view-property/248096/E8B8DFD8E91C6E763FD41FB3DC486F390654D80ACFF29F7158A4AAC946DDC670")</f>
        <v>https://baanknet.com/view-property/248096/E8B8DFD8E91C6E763FD41FB3DC486F390654D80ACFF29F7158A4AAC946DDC670</v>
      </c>
      <c r="I4080" t="str">
        <f>HYPERLINK("https://baanknet.com/view-property/248096/E8B8DFD8E91C6E763FD41FB3DC486F390654D80ACFF29F7158A4AAC946DDC670", "Open")</f>
        <v>Open</v>
      </c>
      <c r="J4080" t="s">
        <v>3803</v>
      </c>
      <c r="L4080">
        <v>1112500</v>
      </c>
      <c r="M4080">
        <v>111250</v>
      </c>
    </row>
    <row r="4081" spans="1:13" x14ac:dyDescent="0.25">
      <c r="A4081" t="s">
        <v>13623</v>
      </c>
      <c r="B4081" t="s">
        <v>13624</v>
      </c>
      <c r="C4081" t="s">
        <v>15</v>
      </c>
      <c r="D4081" t="s">
        <v>13625</v>
      </c>
      <c r="E4081" t="s">
        <v>11981</v>
      </c>
      <c r="F4081" t="s">
        <v>11048</v>
      </c>
      <c r="G4081" t="s">
        <v>13626</v>
      </c>
      <c r="H4081" t="str">
        <f>HYPERLINK("https://baanknet.com/view-property/268714/B18BD267A173737397B7B815A394A07DA4F5703A150104DC552120B14EE91253", "https://baanknet.com/view-property/268714/B18BD267A173737397B7B815A394A07DA4F5703A150104DC552120B14EE91253")</f>
        <v>https://baanknet.com/view-property/268714/B18BD267A173737397B7B815A394A07DA4F5703A150104DC552120B14EE91253</v>
      </c>
      <c r="I4081" t="str">
        <f>HYPERLINK("https://baanknet.com/view-property/268714/B18BD267A173737397B7B815A394A07DA4F5703A150104DC552120B14EE91253", "Open")</f>
        <v>Open</v>
      </c>
      <c r="J4081" t="s">
        <v>3803</v>
      </c>
      <c r="L4081">
        <v>1276500</v>
      </c>
      <c r="M4081">
        <v>127650</v>
      </c>
    </row>
    <row r="4082" spans="1:13" x14ac:dyDescent="0.25">
      <c r="A4082" t="s">
        <v>13627</v>
      </c>
      <c r="B4082" t="s">
        <v>13628</v>
      </c>
      <c r="C4082" t="s">
        <v>15</v>
      </c>
      <c r="D4082" t="s">
        <v>1348</v>
      </c>
      <c r="E4082" t="s">
        <v>11981</v>
      </c>
      <c r="F4082" t="s">
        <v>11048</v>
      </c>
      <c r="G4082" t="s">
        <v>13629</v>
      </c>
      <c r="H4082" t="str">
        <f>HYPERLINK("https://baanknet.com/view-property/200489/E22E724FA6C75D23E8F5854206DDCE804D157C2770AE9646C32DABBE24BDD5FE", "https://baanknet.com/view-property/200489/E22E724FA6C75D23E8F5854206DDCE804D157C2770AE9646C32DABBE24BDD5FE")</f>
        <v>https://baanknet.com/view-property/200489/E22E724FA6C75D23E8F5854206DDCE804D157C2770AE9646C32DABBE24BDD5FE</v>
      </c>
      <c r="I4082" t="str">
        <f>HYPERLINK("https://baanknet.com/view-property/200489/E22E724FA6C75D23E8F5854206DDCE804D157C2770AE9646C32DABBE24BDD5FE", "Open")</f>
        <v>Open</v>
      </c>
      <c r="J4082" t="s">
        <v>3803</v>
      </c>
      <c r="L4082">
        <v>1833500</v>
      </c>
      <c r="M4082">
        <v>183350</v>
      </c>
    </row>
    <row r="4083" spans="1:13" x14ac:dyDescent="0.25">
      <c r="A4083" t="s">
        <v>13630</v>
      </c>
      <c r="B4083" t="s">
        <v>13631</v>
      </c>
      <c r="C4083" t="s">
        <v>15</v>
      </c>
      <c r="D4083" t="s">
        <v>13632</v>
      </c>
      <c r="E4083" t="s">
        <v>11981</v>
      </c>
      <c r="F4083" t="s">
        <v>11048</v>
      </c>
      <c r="G4083" t="s">
        <v>13633</v>
      </c>
      <c r="H4083" t="str">
        <f>HYPERLINK("https://baanknet.com/view-property/268725/52DF2D2E92CEDF89B2B55CE15A163C2254F9E514FC509B3FAAE53C840ACEDFD0", "https://baanknet.com/view-property/268725/52DF2D2E92CEDF89B2B55CE15A163C2254F9E514FC509B3FAAE53C840ACEDFD0")</f>
        <v>https://baanknet.com/view-property/268725/52DF2D2E92CEDF89B2B55CE15A163C2254F9E514FC509B3FAAE53C840ACEDFD0</v>
      </c>
      <c r="I4083" t="str">
        <f>HYPERLINK("https://baanknet.com/view-property/268725/52DF2D2E92CEDF89B2B55CE15A163C2254F9E514FC509B3FAAE53C840ACEDFD0", "Open")</f>
        <v>Open</v>
      </c>
      <c r="J4083" t="s">
        <v>3803</v>
      </c>
      <c r="L4083">
        <v>1531500</v>
      </c>
      <c r="M4083">
        <v>153150</v>
      </c>
    </row>
    <row r="4084" spans="1:13" x14ac:dyDescent="0.25">
      <c r="A4084" t="s">
        <v>13634</v>
      </c>
      <c r="B4084" t="s">
        <v>13635</v>
      </c>
      <c r="C4084" t="s">
        <v>15</v>
      </c>
      <c r="D4084" t="s">
        <v>13621</v>
      </c>
      <c r="E4084" t="s">
        <v>11981</v>
      </c>
      <c r="F4084" t="s">
        <v>11048</v>
      </c>
      <c r="G4084" t="s">
        <v>13636</v>
      </c>
      <c r="H4084" t="str">
        <f>HYPERLINK("https://baanknet.com/view-property/235487/737BA71EB9164C646E2D0802BF335266474D43C208CF02BFD4499E2614108944", "https://baanknet.com/view-property/235487/737BA71EB9164C646E2D0802BF335266474D43C208CF02BFD4499E2614108944")</f>
        <v>https://baanknet.com/view-property/235487/737BA71EB9164C646E2D0802BF335266474D43C208CF02BFD4499E2614108944</v>
      </c>
      <c r="I4084" t="str">
        <f>HYPERLINK("https://baanknet.com/view-property/235487/737BA71EB9164C646E2D0802BF335266474D43C208CF02BFD4499E2614108944", "Open")</f>
        <v>Open</v>
      </c>
      <c r="J4084" t="s">
        <v>3803</v>
      </c>
      <c r="L4084">
        <v>1667000</v>
      </c>
      <c r="M4084">
        <v>166700</v>
      </c>
    </row>
    <row r="4085" spans="1:13" x14ac:dyDescent="0.25">
      <c r="A4085" t="s">
        <v>13637</v>
      </c>
      <c r="B4085" t="s">
        <v>13638</v>
      </c>
      <c r="C4085" t="s">
        <v>15</v>
      </c>
      <c r="D4085" t="s">
        <v>1637</v>
      </c>
      <c r="E4085" t="s">
        <v>11981</v>
      </c>
      <c r="F4085" t="s">
        <v>11048</v>
      </c>
      <c r="G4085" t="s">
        <v>13639</v>
      </c>
      <c r="H4085" t="str">
        <f>HYPERLINK("https://baanknet.com/view-property/190253/BD0A25B0084B24CB625F02AC613D9DC9C3A30AC3818E7C02316ABD9D7AD29414", "https://baanknet.com/view-property/190253/BD0A25B0084B24CB625F02AC613D9DC9C3A30AC3818E7C02316ABD9D7AD29414")</f>
        <v>https://baanknet.com/view-property/190253/BD0A25B0084B24CB625F02AC613D9DC9C3A30AC3818E7C02316ABD9D7AD29414</v>
      </c>
      <c r="I4085" t="str">
        <f>HYPERLINK("https://baanknet.com/view-property/190253/BD0A25B0084B24CB625F02AC613D9DC9C3A30AC3818E7C02316ABD9D7AD29414", "Open")</f>
        <v>Open</v>
      </c>
      <c r="J4085" t="s">
        <v>3803</v>
      </c>
      <c r="L4085">
        <v>1164000</v>
      </c>
      <c r="M4085">
        <v>116400</v>
      </c>
    </row>
    <row r="4086" spans="1:13" x14ac:dyDescent="0.25">
      <c r="A4086" t="s">
        <v>13640</v>
      </c>
      <c r="B4086" t="s">
        <v>13641</v>
      </c>
      <c r="C4086" t="s">
        <v>15</v>
      </c>
      <c r="D4086" t="s">
        <v>1637</v>
      </c>
      <c r="E4086" t="s">
        <v>11981</v>
      </c>
      <c r="F4086" t="s">
        <v>11048</v>
      </c>
      <c r="G4086" t="s">
        <v>13642</v>
      </c>
      <c r="H4086" t="str">
        <f>HYPERLINK("https://baanknet.com/view-property/283798/3F194AC3A67589717F054A879DAD0E6EBCA75C3531B949B8E51FA2B6387A8516", "https://baanknet.com/view-property/283798/3F194AC3A67589717F054A879DAD0E6EBCA75C3531B949B8E51FA2B6387A8516")</f>
        <v>https://baanknet.com/view-property/283798/3F194AC3A67589717F054A879DAD0E6EBCA75C3531B949B8E51FA2B6387A8516</v>
      </c>
      <c r="I4086" t="str">
        <f>HYPERLINK("https://baanknet.com/view-property/283798/3F194AC3A67589717F054A879DAD0E6EBCA75C3531B949B8E51FA2B6387A8516", "Open")</f>
        <v>Open</v>
      </c>
      <c r="J4086" t="s">
        <v>3803</v>
      </c>
      <c r="L4086">
        <v>1346000</v>
      </c>
      <c r="M4086">
        <v>134600</v>
      </c>
    </row>
    <row r="4087" spans="1:13" x14ac:dyDescent="0.25">
      <c r="A4087" t="s">
        <v>13643</v>
      </c>
      <c r="B4087" t="s">
        <v>13644</v>
      </c>
      <c r="C4087" t="s">
        <v>15</v>
      </c>
      <c r="D4087" t="s">
        <v>7942</v>
      </c>
      <c r="E4087" t="s">
        <v>11981</v>
      </c>
      <c r="F4087" t="s">
        <v>11048</v>
      </c>
      <c r="G4087" t="s">
        <v>13645</v>
      </c>
      <c r="H4087" t="str">
        <f>HYPERLINK("https://baanknet.com/view-property/283000/93D132CC3053198FB5C7EF466549237685609DBB3B62B57B9FD787DE02614ACB", "https://baanknet.com/view-property/283000/93D132CC3053198FB5C7EF466549237685609DBB3B62B57B9FD787DE02614ACB")</f>
        <v>https://baanknet.com/view-property/283000/93D132CC3053198FB5C7EF466549237685609DBB3B62B57B9FD787DE02614ACB</v>
      </c>
      <c r="I4087" t="str">
        <f>HYPERLINK("https://baanknet.com/view-property/283000/93D132CC3053198FB5C7EF466549237685609DBB3B62B57B9FD787DE02614ACB", "Open")</f>
        <v>Open</v>
      </c>
      <c r="J4087" t="s">
        <v>3803</v>
      </c>
      <c r="L4087">
        <v>1639000</v>
      </c>
      <c r="M4087">
        <v>163900</v>
      </c>
    </row>
    <row r="4088" spans="1:13" x14ac:dyDescent="0.25">
      <c r="A4088" t="s">
        <v>13646</v>
      </c>
      <c r="B4088" t="s">
        <v>13647</v>
      </c>
      <c r="C4088" t="s">
        <v>15</v>
      </c>
      <c r="D4088" t="s">
        <v>4034</v>
      </c>
      <c r="E4088" t="s">
        <v>11981</v>
      </c>
      <c r="F4088" t="s">
        <v>11048</v>
      </c>
      <c r="G4088" t="s">
        <v>13648</v>
      </c>
      <c r="H4088" t="str">
        <f>HYPERLINK("https://baanknet.com/view-property/224009/5B3CF35497D42D3ECE65899A7E98C509271D91532E333FE0143E39B38C8F98AA", "https://baanknet.com/view-property/224009/5B3CF35497D42D3ECE65899A7E98C509271D91532E333FE0143E39B38C8F98AA")</f>
        <v>https://baanknet.com/view-property/224009/5B3CF35497D42D3ECE65899A7E98C509271D91532E333FE0143E39B38C8F98AA</v>
      </c>
      <c r="I4088" t="str">
        <f>HYPERLINK("https://baanknet.com/view-property/224009/5B3CF35497D42D3ECE65899A7E98C509271D91532E333FE0143E39B38C8F98AA", "Open")</f>
        <v>Open</v>
      </c>
      <c r="J4088" t="s">
        <v>3803</v>
      </c>
      <c r="L4088">
        <v>940000</v>
      </c>
      <c r="M4088">
        <v>94000</v>
      </c>
    </row>
    <row r="4089" spans="1:13" x14ac:dyDescent="0.25">
      <c r="A4089" t="s">
        <v>13649</v>
      </c>
      <c r="B4089" t="s">
        <v>13650</v>
      </c>
      <c r="C4089" t="s">
        <v>15</v>
      </c>
      <c r="D4089" t="s">
        <v>4034</v>
      </c>
      <c r="E4089" t="s">
        <v>11981</v>
      </c>
      <c r="F4089" t="s">
        <v>11048</v>
      </c>
      <c r="G4089" t="s">
        <v>13651</v>
      </c>
      <c r="H4089" t="str">
        <f>HYPERLINK("https://baanknet.com/view-property/183493/5DCF85BA8CFCEC2078127B1493643B3910E0A1518ED253B5077211D3E4CA840A", "https://baanknet.com/view-property/183493/5DCF85BA8CFCEC2078127B1493643B3910E0A1518ED253B5077211D3E4CA840A")</f>
        <v>https://baanknet.com/view-property/183493/5DCF85BA8CFCEC2078127B1493643B3910E0A1518ED253B5077211D3E4CA840A</v>
      </c>
      <c r="I4089" t="str">
        <f>HYPERLINK("https://baanknet.com/view-property/183493/5DCF85BA8CFCEC2078127B1493643B3910E0A1518ED253B5077211D3E4CA840A", "Open")</f>
        <v>Open</v>
      </c>
      <c r="J4089" t="s">
        <v>3803</v>
      </c>
      <c r="L4089">
        <v>1492000</v>
      </c>
      <c r="M4089">
        <v>149200</v>
      </c>
    </row>
    <row r="4090" spans="1:13" x14ac:dyDescent="0.25">
      <c r="A4090" t="s">
        <v>13652</v>
      </c>
      <c r="B4090" t="s">
        <v>13653</v>
      </c>
      <c r="C4090" t="s">
        <v>15</v>
      </c>
      <c r="D4090" t="s">
        <v>13654</v>
      </c>
      <c r="E4090" t="s">
        <v>11981</v>
      </c>
      <c r="F4090" t="s">
        <v>11048</v>
      </c>
      <c r="G4090" t="s">
        <v>13655</v>
      </c>
      <c r="H4090" t="str">
        <f>HYPERLINK("https://baanknet.com/view-property/248392/3A3D5831F37F04BD67F52007A9754E391393BC43FAFE1DDF0F603B17C20FC11E", "https://baanknet.com/view-property/248392/3A3D5831F37F04BD67F52007A9754E391393BC43FAFE1DDF0F603B17C20FC11E")</f>
        <v>https://baanknet.com/view-property/248392/3A3D5831F37F04BD67F52007A9754E391393BC43FAFE1DDF0F603B17C20FC11E</v>
      </c>
      <c r="I4090" t="str">
        <f>HYPERLINK("https://baanknet.com/view-property/248392/3A3D5831F37F04BD67F52007A9754E391393BC43FAFE1DDF0F603B17C20FC11E", "Open")</f>
        <v>Open</v>
      </c>
      <c r="J4090" t="s">
        <v>3803</v>
      </c>
      <c r="L4090">
        <v>1075000</v>
      </c>
      <c r="M4090">
        <v>107500</v>
      </c>
    </row>
    <row r="4091" spans="1:13" x14ac:dyDescent="0.25">
      <c r="A4091" t="s">
        <v>13656</v>
      </c>
      <c r="B4091" t="s">
        <v>13657</v>
      </c>
      <c r="C4091" t="s">
        <v>15</v>
      </c>
      <c r="D4091" t="s">
        <v>7942</v>
      </c>
      <c r="E4091" t="s">
        <v>11981</v>
      </c>
      <c r="F4091" t="s">
        <v>11048</v>
      </c>
      <c r="G4091" t="s">
        <v>13658</v>
      </c>
      <c r="H4091" t="str">
        <f>HYPERLINK("https://baanknet.com/view-property/214986/3F4FB320F2A083293BBEF51542709874589E33FEBA7C626B372F7422AAF88E28", "https://baanknet.com/view-property/214986/3F4FB320F2A083293BBEF51542709874589E33FEBA7C626B372F7422AAF88E28")</f>
        <v>https://baanknet.com/view-property/214986/3F4FB320F2A083293BBEF51542709874589E33FEBA7C626B372F7422AAF88E28</v>
      </c>
      <c r="I4091" t="str">
        <f>HYPERLINK("https://baanknet.com/view-property/214986/3F4FB320F2A083293BBEF51542709874589E33FEBA7C626B372F7422AAF88E28", "Open")</f>
        <v>Open</v>
      </c>
      <c r="J4091" t="s">
        <v>3803</v>
      </c>
      <c r="L4091">
        <v>1440000</v>
      </c>
      <c r="M4091">
        <v>144000</v>
      </c>
    </row>
    <row r="4092" spans="1:13" x14ac:dyDescent="0.25">
      <c r="A4092" t="s">
        <v>13659</v>
      </c>
      <c r="B4092" t="s">
        <v>13660</v>
      </c>
      <c r="C4092" t="s">
        <v>15</v>
      </c>
      <c r="D4092" t="s">
        <v>13654</v>
      </c>
      <c r="E4092" t="s">
        <v>11981</v>
      </c>
      <c r="F4092" t="s">
        <v>11048</v>
      </c>
      <c r="G4092" t="s">
        <v>13661</v>
      </c>
      <c r="H4092" t="str">
        <f>HYPERLINK("https://baanknet.com/view-property/192393/0DA4D1DAACB995AF8143829BB8D438A67BA9039DB905C5DC525CEF9A06FB2CD2", "https://baanknet.com/view-property/192393/0DA4D1DAACB995AF8143829BB8D438A67BA9039DB905C5DC525CEF9A06FB2CD2")</f>
        <v>https://baanknet.com/view-property/192393/0DA4D1DAACB995AF8143829BB8D438A67BA9039DB905C5DC525CEF9A06FB2CD2</v>
      </c>
      <c r="I4092" t="str">
        <f>HYPERLINK("https://baanknet.com/view-property/192393/0DA4D1DAACB995AF8143829BB8D438A67BA9039DB905C5DC525CEF9A06FB2CD2", "Open")</f>
        <v>Open</v>
      </c>
      <c r="J4092" t="s">
        <v>3803</v>
      </c>
      <c r="L4092">
        <v>682000</v>
      </c>
      <c r="M4092">
        <v>68200</v>
      </c>
    </row>
    <row r="4093" spans="1:13" x14ac:dyDescent="0.25">
      <c r="A4093" t="s">
        <v>13662</v>
      </c>
      <c r="B4093" t="s">
        <v>13663</v>
      </c>
      <c r="C4093" t="s">
        <v>15</v>
      </c>
      <c r="D4093" t="s">
        <v>13664</v>
      </c>
      <c r="E4093" t="s">
        <v>11981</v>
      </c>
      <c r="F4093" t="s">
        <v>11048</v>
      </c>
      <c r="G4093" t="s">
        <v>13665</v>
      </c>
      <c r="H4093" t="str">
        <f>HYPERLINK("https://baanknet.com/view-property/233077/6DC1B1710329A86A078AC5D7D66BBF3BFCBE0873D81F4FD43014D57E3FE9BBF5", "https://baanknet.com/view-property/233077/6DC1B1710329A86A078AC5D7D66BBF3BFCBE0873D81F4FD43014D57E3FE9BBF5")</f>
        <v>https://baanknet.com/view-property/233077/6DC1B1710329A86A078AC5D7D66BBF3BFCBE0873D81F4FD43014D57E3FE9BBF5</v>
      </c>
      <c r="I4093" t="str">
        <f>HYPERLINK("https://baanknet.com/view-property/233077/6DC1B1710329A86A078AC5D7D66BBF3BFCBE0873D81F4FD43014D57E3FE9BBF5", "Open")</f>
        <v>Open</v>
      </c>
      <c r="J4093" t="s">
        <v>3803</v>
      </c>
      <c r="L4093">
        <v>2079000</v>
      </c>
      <c r="M4093">
        <v>207900</v>
      </c>
    </row>
    <row r="4094" spans="1:13" x14ac:dyDescent="0.25">
      <c r="A4094" t="s">
        <v>13666</v>
      </c>
      <c r="B4094" t="s">
        <v>13667</v>
      </c>
      <c r="C4094" t="s">
        <v>15</v>
      </c>
      <c r="D4094" t="s">
        <v>1637</v>
      </c>
      <c r="E4094" t="s">
        <v>11981</v>
      </c>
      <c r="F4094" t="s">
        <v>11048</v>
      </c>
      <c r="G4094" t="s">
        <v>13668</v>
      </c>
      <c r="H4094" t="str">
        <f>HYPERLINK("https://baanknet.com/view-property/202256/1E79686249FD17D5F08DD7E86E8BF61B5EA40E248CB4FD02223FE62DCB963A18", "https://baanknet.com/view-property/202256/1E79686249FD17D5F08DD7E86E8BF61B5EA40E248CB4FD02223FE62DCB963A18")</f>
        <v>https://baanknet.com/view-property/202256/1E79686249FD17D5F08DD7E86E8BF61B5EA40E248CB4FD02223FE62DCB963A18</v>
      </c>
      <c r="I4094" t="str">
        <f>HYPERLINK("https://baanknet.com/view-property/202256/1E79686249FD17D5F08DD7E86E8BF61B5EA40E248CB4FD02223FE62DCB963A18", "Open")</f>
        <v>Open</v>
      </c>
      <c r="J4094" t="s">
        <v>3803</v>
      </c>
      <c r="L4094">
        <v>1191000</v>
      </c>
      <c r="M4094">
        <v>119100</v>
      </c>
    </row>
    <row r="4095" spans="1:13" x14ac:dyDescent="0.25">
      <c r="A4095" t="s">
        <v>13669</v>
      </c>
      <c r="B4095" t="s">
        <v>13670</v>
      </c>
      <c r="C4095" t="s">
        <v>15</v>
      </c>
      <c r="D4095" t="s">
        <v>1637</v>
      </c>
      <c r="E4095" t="s">
        <v>11981</v>
      </c>
      <c r="F4095" t="s">
        <v>11048</v>
      </c>
      <c r="G4095" t="s">
        <v>13671</v>
      </c>
      <c r="H4095" t="str">
        <f>HYPERLINK("https://baanknet.com/view-property/215887/77BF75A9981DCF71C5655D541EDC2AC3D28A55234498C0226AF71F53F03ED8B2", "https://baanknet.com/view-property/215887/77BF75A9981DCF71C5655D541EDC2AC3D28A55234498C0226AF71F53F03ED8B2")</f>
        <v>https://baanknet.com/view-property/215887/77BF75A9981DCF71C5655D541EDC2AC3D28A55234498C0226AF71F53F03ED8B2</v>
      </c>
      <c r="I4095" t="str">
        <f>HYPERLINK("https://baanknet.com/view-property/215887/77BF75A9981DCF71C5655D541EDC2AC3D28A55234498C0226AF71F53F03ED8B2", "Open")</f>
        <v>Open</v>
      </c>
      <c r="J4095" t="s">
        <v>3803</v>
      </c>
      <c r="L4095">
        <v>1621500</v>
      </c>
      <c r="M4095">
        <v>162150</v>
      </c>
    </row>
    <row r="4096" spans="1:13" x14ac:dyDescent="0.25">
      <c r="A4096" t="s">
        <v>13672</v>
      </c>
      <c r="B4096" t="s">
        <v>13673</v>
      </c>
      <c r="C4096" t="s">
        <v>15</v>
      </c>
      <c r="D4096" t="s">
        <v>1637</v>
      </c>
      <c r="E4096" t="s">
        <v>11981</v>
      </c>
      <c r="F4096" t="s">
        <v>11048</v>
      </c>
      <c r="G4096" t="s">
        <v>13674</v>
      </c>
      <c r="H4096" t="str">
        <f>HYPERLINK("https://baanknet.com/view-property/247179/3BD73179FC3BD24C59C3E8C834960CA9FF174A32C133E63ABF7D7A309F7EC874", "https://baanknet.com/view-property/247179/3BD73179FC3BD24C59C3E8C834960CA9FF174A32C133E63ABF7D7A309F7EC874")</f>
        <v>https://baanknet.com/view-property/247179/3BD73179FC3BD24C59C3E8C834960CA9FF174A32C133E63ABF7D7A309F7EC874</v>
      </c>
      <c r="I4096" t="str">
        <f>HYPERLINK("https://baanknet.com/view-property/247179/3BD73179FC3BD24C59C3E8C834960CA9FF174A32C133E63ABF7D7A309F7EC874", "Open")</f>
        <v>Open</v>
      </c>
      <c r="J4096" t="s">
        <v>3803</v>
      </c>
      <c r="L4096">
        <v>1219000</v>
      </c>
      <c r="M4096">
        <v>121900</v>
      </c>
    </row>
    <row r="4097" spans="1:13" x14ac:dyDescent="0.25">
      <c r="A4097" t="s">
        <v>13675</v>
      </c>
      <c r="B4097" t="s">
        <v>13676</v>
      </c>
      <c r="C4097" t="s">
        <v>15</v>
      </c>
      <c r="D4097" t="s">
        <v>13677</v>
      </c>
      <c r="E4097" t="s">
        <v>11981</v>
      </c>
      <c r="F4097" t="s">
        <v>11048</v>
      </c>
      <c r="G4097" t="s">
        <v>13678</v>
      </c>
      <c r="H4097" t="str">
        <f>HYPERLINK("https://baanknet.com/view-property/225350/587F25A53AD0A64747CEDC88D8BCED2E9C77E807E6A0446D14DC4A73B3EE59AF", "https://baanknet.com/view-property/225350/587F25A53AD0A64747CEDC88D8BCED2E9C77E807E6A0446D14DC4A73B3EE59AF")</f>
        <v>https://baanknet.com/view-property/225350/587F25A53AD0A64747CEDC88D8BCED2E9C77E807E6A0446D14DC4A73B3EE59AF</v>
      </c>
      <c r="I4097" t="str">
        <f>HYPERLINK("https://baanknet.com/view-property/225350/587F25A53AD0A64747CEDC88D8BCED2E9C77E807E6A0446D14DC4A73B3EE59AF", "Open")</f>
        <v>Open</v>
      </c>
      <c r="J4097" t="s">
        <v>3803</v>
      </c>
      <c r="L4097">
        <v>1016500</v>
      </c>
      <c r="M4097">
        <v>101650</v>
      </c>
    </row>
    <row r="4098" spans="1:13" x14ac:dyDescent="0.25">
      <c r="A4098" t="s">
        <v>13679</v>
      </c>
      <c r="B4098" t="s">
        <v>13680</v>
      </c>
      <c r="C4098" t="s">
        <v>15</v>
      </c>
      <c r="D4098" t="s">
        <v>13677</v>
      </c>
      <c r="E4098" t="s">
        <v>11981</v>
      </c>
      <c r="F4098" t="s">
        <v>11048</v>
      </c>
      <c r="G4098" t="s">
        <v>13681</v>
      </c>
      <c r="H4098" t="str">
        <f>HYPERLINK("https://baanknet.com/view-property/248030/5A361481A93EAE782563AA1F62DBD824ADD47DB855103E81C64B19485268B678", "https://baanknet.com/view-property/248030/5A361481A93EAE782563AA1F62DBD824ADD47DB855103E81C64B19485268B678")</f>
        <v>https://baanknet.com/view-property/248030/5A361481A93EAE782563AA1F62DBD824ADD47DB855103E81C64B19485268B678</v>
      </c>
      <c r="I4098" t="str">
        <f>HYPERLINK("https://baanknet.com/view-property/248030/5A361481A93EAE782563AA1F62DBD824ADD47DB855103E81C64B19485268B678", "Open")</f>
        <v>Open</v>
      </c>
      <c r="J4098" t="s">
        <v>3803</v>
      </c>
      <c r="L4098">
        <v>1499000</v>
      </c>
      <c r="M4098">
        <v>149900</v>
      </c>
    </row>
    <row r="4099" spans="1:13" x14ac:dyDescent="0.25">
      <c r="A4099" t="s">
        <v>13682</v>
      </c>
      <c r="B4099" t="s">
        <v>13683</v>
      </c>
      <c r="C4099" t="s">
        <v>15</v>
      </c>
      <c r="D4099" t="s">
        <v>1463</v>
      </c>
      <c r="E4099" t="s">
        <v>11981</v>
      </c>
      <c r="F4099" t="s">
        <v>11048</v>
      </c>
      <c r="G4099" t="s">
        <v>13684</v>
      </c>
      <c r="H4099" t="str">
        <f>HYPERLINK("https://baanknet.com/view-property/248130/7F101620E77501234A4465F64F193705A5F134417EBB025907D43ED46099191C", "https://baanknet.com/view-property/248130/7F101620E77501234A4465F64F193705A5F134417EBB025907D43ED46099191C")</f>
        <v>https://baanknet.com/view-property/248130/7F101620E77501234A4465F64F193705A5F134417EBB025907D43ED46099191C</v>
      </c>
      <c r="I4099" t="str">
        <f>HYPERLINK("https://baanknet.com/view-property/248130/7F101620E77501234A4465F64F193705A5F134417EBB025907D43ED46099191C", "Open")</f>
        <v>Open</v>
      </c>
      <c r="J4099" t="s">
        <v>3803</v>
      </c>
      <c r="L4099">
        <v>998000</v>
      </c>
      <c r="M4099">
        <v>99800</v>
      </c>
    </row>
    <row r="4100" spans="1:13" x14ac:dyDescent="0.25">
      <c r="A4100" t="s">
        <v>13685</v>
      </c>
      <c r="B4100" t="s">
        <v>13686</v>
      </c>
      <c r="C4100" t="s">
        <v>15</v>
      </c>
      <c r="D4100" t="s">
        <v>1629</v>
      </c>
      <c r="E4100" t="s">
        <v>11981</v>
      </c>
      <c r="F4100" t="s">
        <v>11048</v>
      </c>
      <c r="G4100" t="s">
        <v>13687</v>
      </c>
      <c r="H4100" t="str">
        <f>HYPERLINK("https://baanknet.com/view-property/222811/65C6CD362B477B5B324A94C0B533178BE7737DEF874B0B9174F1F09F058CBD9D", "https://baanknet.com/view-property/222811/65C6CD362B477B5B324A94C0B533178BE7737DEF874B0B9174F1F09F058CBD9D")</f>
        <v>https://baanknet.com/view-property/222811/65C6CD362B477B5B324A94C0B533178BE7737DEF874B0B9174F1F09F058CBD9D</v>
      </c>
      <c r="I4100" t="str">
        <f>HYPERLINK("https://baanknet.com/view-property/222811/65C6CD362B477B5B324A94C0B533178BE7737DEF874B0B9174F1F09F058CBD9D", "Open")</f>
        <v>Open</v>
      </c>
      <c r="J4100" t="s">
        <v>3803</v>
      </c>
      <c r="L4100">
        <v>1936500</v>
      </c>
      <c r="M4100">
        <v>193650</v>
      </c>
    </row>
    <row r="4101" spans="1:13" x14ac:dyDescent="0.25">
      <c r="A4101" t="s">
        <v>13688</v>
      </c>
      <c r="B4101" t="s">
        <v>13689</v>
      </c>
      <c r="C4101" t="s">
        <v>15</v>
      </c>
      <c r="D4101" t="s">
        <v>1463</v>
      </c>
      <c r="E4101" t="s">
        <v>11981</v>
      </c>
      <c r="F4101" t="s">
        <v>11048</v>
      </c>
      <c r="G4101" t="s">
        <v>13690</v>
      </c>
      <c r="H4101" t="str">
        <f>HYPERLINK("https://baanknet.com/view-property/205265/5FBAE3DB44307F940F2A633D7D2663B1296AFFF7DD6A15A1212D71852A6A082A", "https://baanknet.com/view-property/205265/5FBAE3DB44307F940F2A633D7D2663B1296AFFF7DD6A15A1212D71852A6A082A")</f>
        <v>https://baanknet.com/view-property/205265/5FBAE3DB44307F940F2A633D7D2663B1296AFFF7DD6A15A1212D71852A6A082A</v>
      </c>
      <c r="I4101" t="str">
        <f>HYPERLINK("https://baanknet.com/view-property/205265/5FBAE3DB44307F940F2A633D7D2663B1296AFFF7DD6A15A1212D71852A6A082A", "Open")</f>
        <v>Open</v>
      </c>
      <c r="J4101" t="s">
        <v>3803</v>
      </c>
      <c r="L4101">
        <v>1617000</v>
      </c>
      <c r="M4101">
        <v>161700</v>
      </c>
    </row>
    <row r="4102" spans="1:13" x14ac:dyDescent="0.25">
      <c r="A4102" t="s">
        <v>13691</v>
      </c>
      <c r="B4102" t="s">
        <v>13692</v>
      </c>
      <c r="C4102" t="s">
        <v>15</v>
      </c>
      <c r="D4102" t="s">
        <v>1463</v>
      </c>
      <c r="E4102" t="s">
        <v>11981</v>
      </c>
      <c r="F4102" t="s">
        <v>11048</v>
      </c>
      <c r="G4102" t="s">
        <v>13693</v>
      </c>
      <c r="H4102" t="str">
        <f>HYPERLINK("https://baanknet.com/view-property/247987/3367E03FF441164E586F2C6CB039DFF6461B8BE2BABA5EB9F6FC34146C75F1A3", "https://baanknet.com/view-property/247987/3367E03FF441164E586F2C6CB039DFF6461B8BE2BABA5EB9F6FC34146C75F1A3")</f>
        <v>https://baanknet.com/view-property/247987/3367E03FF441164E586F2C6CB039DFF6461B8BE2BABA5EB9F6FC34146C75F1A3</v>
      </c>
      <c r="I4102" t="str">
        <f>HYPERLINK("https://baanknet.com/view-property/247987/3367E03FF441164E586F2C6CB039DFF6461B8BE2BABA5EB9F6FC34146C75F1A3", "Open")</f>
        <v>Open</v>
      </c>
      <c r="J4102" t="s">
        <v>3803</v>
      </c>
      <c r="L4102">
        <v>1572000</v>
      </c>
      <c r="M4102">
        <v>157200</v>
      </c>
    </row>
    <row r="4103" spans="1:13" x14ac:dyDescent="0.25">
      <c r="A4103" t="s">
        <v>13694</v>
      </c>
      <c r="B4103" t="s">
        <v>13695</v>
      </c>
      <c r="C4103" t="s">
        <v>15</v>
      </c>
      <c r="D4103" t="s">
        <v>1633</v>
      </c>
      <c r="E4103" t="s">
        <v>11981</v>
      </c>
      <c r="F4103" t="s">
        <v>11048</v>
      </c>
      <c r="G4103" t="s">
        <v>13696</v>
      </c>
      <c r="H4103" t="str">
        <f>HYPERLINK("https://baanknet.com/view-property/202519/01C033877BF1A3EB76FBA16D795F2082C3767241856FBDEE79A9F821B180D990", "https://baanknet.com/view-property/202519/01C033877BF1A3EB76FBA16D795F2082C3767241856FBDEE79A9F821B180D990")</f>
        <v>https://baanknet.com/view-property/202519/01C033877BF1A3EB76FBA16D795F2082C3767241856FBDEE79A9F821B180D990</v>
      </c>
      <c r="I4103" t="str">
        <f>HYPERLINK("https://baanknet.com/view-property/202519/01C033877BF1A3EB76FBA16D795F2082C3767241856FBDEE79A9F821B180D990", "Open")</f>
        <v>Open</v>
      </c>
      <c r="J4103" t="s">
        <v>3803</v>
      </c>
      <c r="L4103">
        <v>1252000</v>
      </c>
      <c r="M4103">
        <v>125200</v>
      </c>
    </row>
    <row r="4104" spans="1:13" x14ac:dyDescent="0.25">
      <c r="A4104" t="s">
        <v>13697</v>
      </c>
      <c r="B4104" t="s">
        <v>13698</v>
      </c>
      <c r="C4104" t="s">
        <v>15</v>
      </c>
      <c r="D4104" t="s">
        <v>13699</v>
      </c>
      <c r="E4104" t="s">
        <v>11981</v>
      </c>
      <c r="F4104" t="s">
        <v>11048</v>
      </c>
      <c r="G4104" t="s">
        <v>13700</v>
      </c>
      <c r="H4104" t="str">
        <f>HYPERLINK("https://baanknet.com/view-property/271147/B9B55155A7156F2CF1BB98F2F3E9EF5D876D0982B121645A4023946B930212D4", "https://baanknet.com/view-property/271147/B9B55155A7156F2CF1BB98F2F3E9EF5D876D0982B121645A4023946B930212D4")</f>
        <v>https://baanknet.com/view-property/271147/B9B55155A7156F2CF1BB98F2F3E9EF5D876D0982B121645A4023946B930212D4</v>
      </c>
      <c r="I4104" t="str">
        <f>HYPERLINK("https://baanknet.com/view-property/271147/B9B55155A7156F2CF1BB98F2F3E9EF5D876D0982B121645A4023946B930212D4", "Open")</f>
        <v>Open</v>
      </c>
      <c r="J4104" t="s">
        <v>3803</v>
      </c>
      <c r="L4104">
        <v>676500</v>
      </c>
      <c r="M4104">
        <v>67650</v>
      </c>
    </row>
    <row r="4105" spans="1:13" x14ac:dyDescent="0.25">
      <c r="A4105" t="s">
        <v>13701</v>
      </c>
      <c r="B4105" t="s">
        <v>13702</v>
      </c>
      <c r="C4105" t="s">
        <v>15</v>
      </c>
      <c r="D4105" t="s">
        <v>13703</v>
      </c>
      <c r="E4105" t="s">
        <v>11981</v>
      </c>
      <c r="F4105" t="s">
        <v>11048</v>
      </c>
      <c r="G4105" t="s">
        <v>13704</v>
      </c>
      <c r="H4105" t="str">
        <f>HYPERLINK("https://baanknet.com/view-property/200510/27755B5D39E90BDA7B2623DB3573E92C6E0EF82343A6C91C2B32D09C3BE68183", "https://baanknet.com/view-property/200510/27755B5D39E90BDA7B2623DB3573E92C6E0EF82343A6C91C2B32D09C3BE68183")</f>
        <v>https://baanknet.com/view-property/200510/27755B5D39E90BDA7B2623DB3573E92C6E0EF82343A6C91C2B32D09C3BE68183</v>
      </c>
      <c r="I4105" t="str">
        <f>HYPERLINK("https://baanknet.com/view-property/200510/27755B5D39E90BDA7B2623DB3573E92C6E0EF82343A6C91C2B32D09C3BE68183", "Open")</f>
        <v>Open</v>
      </c>
      <c r="J4105" t="s">
        <v>3803</v>
      </c>
      <c r="L4105">
        <v>1410000</v>
      </c>
      <c r="M4105">
        <v>141000</v>
      </c>
    </row>
    <row r="4106" spans="1:13" x14ac:dyDescent="0.25">
      <c r="A4106" t="s">
        <v>13705</v>
      </c>
      <c r="B4106" t="s">
        <v>13706</v>
      </c>
      <c r="C4106" t="s">
        <v>15</v>
      </c>
      <c r="D4106" t="s">
        <v>13699</v>
      </c>
      <c r="E4106" t="s">
        <v>11981</v>
      </c>
      <c r="F4106" t="s">
        <v>11048</v>
      </c>
      <c r="G4106" t="s">
        <v>13707</v>
      </c>
      <c r="H4106" t="str">
        <f>HYPERLINK("https://baanknet.com/view-property/239773/812DC7F28BB528B961AD18B64D288909A0DFB87DA30FA80545761C735E9169EF", "https://baanknet.com/view-property/239773/812DC7F28BB528B961AD18B64D288909A0DFB87DA30FA80545761C735E9169EF")</f>
        <v>https://baanknet.com/view-property/239773/812DC7F28BB528B961AD18B64D288909A0DFB87DA30FA80545761C735E9169EF</v>
      </c>
      <c r="I4106" t="str">
        <f>HYPERLINK("https://baanknet.com/view-property/239773/812DC7F28BB528B961AD18B64D288909A0DFB87DA30FA80545761C735E9169EF", "Open")</f>
        <v>Open</v>
      </c>
      <c r="J4106" t="s">
        <v>3803</v>
      </c>
      <c r="L4106">
        <v>1291000</v>
      </c>
      <c r="M4106">
        <v>129100</v>
      </c>
    </row>
    <row r="4107" spans="1:13" x14ac:dyDescent="0.25">
      <c r="A4107" t="s">
        <v>13708</v>
      </c>
      <c r="B4107" t="s">
        <v>13709</v>
      </c>
      <c r="C4107" t="s">
        <v>15</v>
      </c>
      <c r="D4107" t="s">
        <v>13699</v>
      </c>
      <c r="E4107" t="s">
        <v>11981</v>
      </c>
      <c r="F4107" t="s">
        <v>11048</v>
      </c>
      <c r="G4107" t="s">
        <v>13710</v>
      </c>
      <c r="H4107" t="str">
        <f>HYPERLINK("https://baanknet.com/view-property/205719/E899C327551F427369FB2DC3AC370D445C1B2342F1EFAAAB0011E833833E332E", "https://baanknet.com/view-property/205719/E899C327551F427369FB2DC3AC370D445C1B2342F1EFAAAB0011E833833E332E")</f>
        <v>https://baanknet.com/view-property/205719/E899C327551F427369FB2DC3AC370D445C1B2342F1EFAAAB0011E833833E332E</v>
      </c>
      <c r="I4107" t="str">
        <f>HYPERLINK("https://baanknet.com/view-property/205719/E899C327551F427369FB2DC3AC370D445C1B2342F1EFAAAB0011E833833E332E", "Open")</f>
        <v>Open</v>
      </c>
      <c r="J4107" t="s">
        <v>3803</v>
      </c>
      <c r="L4107">
        <v>686000</v>
      </c>
      <c r="M4107">
        <v>68600</v>
      </c>
    </row>
    <row r="4108" spans="1:13" x14ac:dyDescent="0.25">
      <c r="A4108" t="s">
        <v>13711</v>
      </c>
      <c r="B4108" t="s">
        <v>13712</v>
      </c>
      <c r="C4108" t="s">
        <v>15</v>
      </c>
      <c r="D4108" t="s">
        <v>13713</v>
      </c>
      <c r="E4108" t="s">
        <v>11981</v>
      </c>
      <c r="F4108" t="s">
        <v>11048</v>
      </c>
      <c r="G4108" t="s">
        <v>13714</v>
      </c>
      <c r="H4108" t="str">
        <f>HYPERLINK("https://baanknet.com/view-property/243786/A1CC8A9017B8E24034BEA3C5FB97304240ABC3A6AEE0F16B5A38FFB32463AA7E", "https://baanknet.com/view-property/243786/A1CC8A9017B8E24034BEA3C5FB97304240ABC3A6AEE0F16B5A38FFB32463AA7E")</f>
        <v>https://baanknet.com/view-property/243786/A1CC8A9017B8E24034BEA3C5FB97304240ABC3A6AEE0F16B5A38FFB32463AA7E</v>
      </c>
      <c r="I4108" t="str">
        <f>HYPERLINK("https://baanknet.com/view-property/243786/A1CC8A9017B8E24034BEA3C5FB97304240ABC3A6AEE0F16B5A38FFB32463AA7E", "Open")</f>
        <v>Open</v>
      </c>
      <c r="J4108" t="s">
        <v>3803</v>
      </c>
      <c r="L4108">
        <v>1410000</v>
      </c>
      <c r="M4108">
        <v>141000</v>
      </c>
    </row>
    <row r="4109" spans="1:13" x14ac:dyDescent="0.25">
      <c r="A4109" t="s">
        <v>13715</v>
      </c>
      <c r="B4109" t="s">
        <v>13716</v>
      </c>
      <c r="C4109" t="s">
        <v>15</v>
      </c>
      <c r="D4109" t="s">
        <v>3289</v>
      </c>
      <c r="E4109" t="s">
        <v>11981</v>
      </c>
      <c r="F4109" t="s">
        <v>11048</v>
      </c>
      <c r="G4109" t="s">
        <v>13717</v>
      </c>
      <c r="H4109" t="str">
        <f>HYPERLINK("https://baanknet.com/view-property/191688/CBE618CDF5E3419C4634654E65FFA582014AA2BBF9C2FD4F62CCF8FD34333564", "https://baanknet.com/view-property/191688/CBE618CDF5E3419C4634654E65FFA582014AA2BBF9C2FD4F62CCF8FD34333564")</f>
        <v>https://baanknet.com/view-property/191688/CBE618CDF5E3419C4634654E65FFA582014AA2BBF9C2FD4F62CCF8FD34333564</v>
      </c>
      <c r="I4109" t="str">
        <f>HYPERLINK("https://baanknet.com/view-property/191688/CBE618CDF5E3419C4634654E65FFA582014AA2BBF9C2FD4F62CCF8FD34333564", "Open")</f>
        <v>Open</v>
      </c>
      <c r="J4109" t="s">
        <v>3803</v>
      </c>
      <c r="L4109">
        <v>6350000</v>
      </c>
      <c r="M4109">
        <v>635000</v>
      </c>
    </row>
    <row r="4110" spans="1:13" x14ac:dyDescent="0.25">
      <c r="A4110" t="s">
        <v>13718</v>
      </c>
      <c r="B4110" t="s">
        <v>13719</v>
      </c>
      <c r="C4110" t="s">
        <v>15</v>
      </c>
      <c r="D4110" t="s">
        <v>13720</v>
      </c>
      <c r="E4110" t="s">
        <v>11981</v>
      </c>
      <c r="F4110" t="s">
        <v>11048</v>
      </c>
      <c r="G4110" t="s">
        <v>13721</v>
      </c>
      <c r="H4110" t="str">
        <f>HYPERLINK("https://baanknet.com/view-property/201604/14EB211D773DF160BB7A9E27067FC9C374F1B6A0805B274DF6BAA5DA1A730E51", "https://baanknet.com/view-property/201604/14EB211D773DF160BB7A9E27067FC9C374F1B6A0805B274DF6BAA5DA1A730E51")</f>
        <v>https://baanknet.com/view-property/201604/14EB211D773DF160BB7A9E27067FC9C374F1B6A0805B274DF6BAA5DA1A730E51</v>
      </c>
      <c r="I4110" t="str">
        <f>HYPERLINK("https://baanknet.com/view-property/201604/14EB211D773DF160BB7A9E27067FC9C374F1B6A0805B274DF6BAA5DA1A730E51", "Open")</f>
        <v>Open</v>
      </c>
      <c r="J4110" t="s">
        <v>3803</v>
      </c>
      <c r="L4110">
        <v>7300000</v>
      </c>
      <c r="M4110">
        <v>730000</v>
      </c>
    </row>
    <row r="4111" spans="1:13" x14ac:dyDescent="0.25">
      <c r="A4111" t="s">
        <v>13722</v>
      </c>
      <c r="B4111" t="s">
        <v>13723</v>
      </c>
      <c r="C4111" t="s">
        <v>15</v>
      </c>
      <c r="D4111" t="s">
        <v>13724</v>
      </c>
      <c r="E4111" t="s">
        <v>11981</v>
      </c>
      <c r="F4111" t="s">
        <v>11048</v>
      </c>
      <c r="G4111" t="s">
        <v>13725</v>
      </c>
      <c r="H4111" t="str">
        <f>HYPERLINK("https://baanknet.com/view-property/223199/271894C6B602069583371B2D44168D5EF04E05435EE2EC7E876ECFF37C3AD2F5", "https://baanknet.com/view-property/223199/271894C6B602069583371B2D44168D5EF04E05435EE2EC7E876ECFF37C3AD2F5")</f>
        <v>https://baanknet.com/view-property/223199/271894C6B602069583371B2D44168D5EF04E05435EE2EC7E876ECFF37C3AD2F5</v>
      </c>
      <c r="I4111" t="str">
        <f>HYPERLINK("https://baanknet.com/view-property/223199/271894C6B602069583371B2D44168D5EF04E05435EE2EC7E876ECFF37C3AD2F5", "Open")</f>
        <v>Open</v>
      </c>
      <c r="J4111" t="s">
        <v>3803</v>
      </c>
      <c r="L4111">
        <v>1666000</v>
      </c>
      <c r="M4111">
        <v>166600</v>
      </c>
    </row>
    <row r="4112" spans="1:13" x14ac:dyDescent="0.25">
      <c r="A4112" t="s">
        <v>13726</v>
      </c>
      <c r="B4112" t="s">
        <v>13727</v>
      </c>
      <c r="C4112" t="s">
        <v>15</v>
      </c>
      <c r="D4112" t="s">
        <v>5040</v>
      </c>
      <c r="E4112" t="s">
        <v>11981</v>
      </c>
      <c r="F4112" t="s">
        <v>11048</v>
      </c>
      <c r="G4112" t="s">
        <v>13728</v>
      </c>
      <c r="H4112" t="str">
        <f>HYPERLINK("https://baanknet.com/view-property/244951/7F0D04D8A248418F7A89343BAF05F2A7653981D805EF5FD205529B615A3EE00F", "https://baanknet.com/view-property/244951/7F0D04D8A248418F7A89343BAF05F2A7653981D805EF5FD205529B615A3EE00F")</f>
        <v>https://baanknet.com/view-property/244951/7F0D04D8A248418F7A89343BAF05F2A7653981D805EF5FD205529B615A3EE00F</v>
      </c>
      <c r="I4112" t="str">
        <f>HYPERLINK("https://baanknet.com/view-property/244951/7F0D04D8A248418F7A89343BAF05F2A7653981D805EF5FD205529B615A3EE00F", "Open")</f>
        <v>Open</v>
      </c>
      <c r="J4112" t="s">
        <v>3803</v>
      </c>
      <c r="L4112">
        <v>1710000</v>
      </c>
      <c r="M4112">
        <v>171000</v>
      </c>
    </row>
    <row r="4113" spans="1:13" x14ac:dyDescent="0.25">
      <c r="A4113" t="s">
        <v>13729</v>
      </c>
      <c r="B4113" t="s">
        <v>13730</v>
      </c>
      <c r="C4113" t="s">
        <v>15</v>
      </c>
      <c r="D4113" t="s">
        <v>13720</v>
      </c>
      <c r="E4113" t="s">
        <v>11981</v>
      </c>
      <c r="F4113" t="s">
        <v>11048</v>
      </c>
      <c r="G4113" t="s">
        <v>13731</v>
      </c>
      <c r="H4113" t="str">
        <f>HYPERLINK("https://baanknet.com/view-property/249774/C6154472EC6B0129E0A2B5A2B0F20BF6C8F581AF2B3C646CC4F45D6DD56CA9F7", "https://baanknet.com/view-property/249774/C6154472EC6B0129E0A2B5A2B0F20BF6C8F581AF2B3C646CC4F45D6DD56CA9F7")</f>
        <v>https://baanknet.com/view-property/249774/C6154472EC6B0129E0A2B5A2B0F20BF6C8F581AF2B3C646CC4F45D6DD56CA9F7</v>
      </c>
      <c r="I4113" t="str">
        <f>HYPERLINK("https://baanknet.com/view-property/249774/C6154472EC6B0129E0A2B5A2B0F20BF6C8F581AF2B3C646CC4F45D6DD56CA9F7", "Open")</f>
        <v>Open</v>
      </c>
      <c r="J4113" t="s">
        <v>3803</v>
      </c>
      <c r="L4113">
        <v>2300000</v>
      </c>
      <c r="M4113">
        <v>230000</v>
      </c>
    </row>
    <row r="4114" spans="1:13" x14ac:dyDescent="0.25">
      <c r="A4114" t="s">
        <v>13732</v>
      </c>
      <c r="B4114" t="s">
        <v>13733</v>
      </c>
      <c r="C4114" t="s">
        <v>15</v>
      </c>
      <c r="D4114" t="s">
        <v>4892</v>
      </c>
      <c r="E4114" t="s">
        <v>11981</v>
      </c>
      <c r="F4114" t="s">
        <v>11048</v>
      </c>
      <c r="G4114" t="s">
        <v>13734</v>
      </c>
      <c r="H4114" t="str">
        <f>HYPERLINK("https://baanknet.com/view-property/243791/364BC8742BD37964CCEED0EFF91200BE558B69078243FDC46F6AEFDBF316D720", "https://baanknet.com/view-property/243791/364BC8742BD37964CCEED0EFF91200BE558B69078243FDC46F6AEFDBF316D720")</f>
        <v>https://baanknet.com/view-property/243791/364BC8742BD37964CCEED0EFF91200BE558B69078243FDC46F6AEFDBF316D720</v>
      </c>
      <c r="I4114" t="str">
        <f>HYPERLINK("https://baanknet.com/view-property/243791/364BC8742BD37964CCEED0EFF91200BE558B69078243FDC46F6AEFDBF316D720", "Open")</f>
        <v>Open</v>
      </c>
      <c r="J4114" t="s">
        <v>3803</v>
      </c>
      <c r="L4114">
        <v>582000</v>
      </c>
      <c r="M4114">
        <v>59000</v>
      </c>
    </row>
    <row r="4115" spans="1:13" x14ac:dyDescent="0.25">
      <c r="A4115" t="s">
        <v>13735</v>
      </c>
      <c r="B4115" t="s">
        <v>13736</v>
      </c>
      <c r="C4115" t="s">
        <v>15</v>
      </c>
      <c r="D4115" t="s">
        <v>7106</v>
      </c>
      <c r="E4115" t="s">
        <v>11981</v>
      </c>
      <c r="F4115" t="s">
        <v>11048</v>
      </c>
      <c r="G4115" t="s">
        <v>13737</v>
      </c>
      <c r="H4115" t="str">
        <f>HYPERLINK("https://baanknet.com/view-property/244823/1DFE3A1C086A347DF2C76EDBEFDF69AAFBF17D8E95B193D523D873DFDA46AB8C", "https://baanknet.com/view-property/244823/1DFE3A1C086A347DF2C76EDBEFDF69AAFBF17D8E95B193D523D873DFDA46AB8C")</f>
        <v>https://baanknet.com/view-property/244823/1DFE3A1C086A347DF2C76EDBEFDF69AAFBF17D8E95B193D523D873DFDA46AB8C</v>
      </c>
      <c r="I4115" t="str">
        <f>HYPERLINK("https://baanknet.com/view-property/244823/1DFE3A1C086A347DF2C76EDBEFDF69AAFBF17D8E95B193D523D873DFDA46AB8C", "Open")</f>
        <v>Open</v>
      </c>
      <c r="J4115" t="s">
        <v>3803</v>
      </c>
      <c r="L4115">
        <v>2095000</v>
      </c>
      <c r="M4115">
        <v>209500</v>
      </c>
    </row>
    <row r="4116" spans="1:13" x14ac:dyDescent="0.25">
      <c r="A4116" t="s">
        <v>13738</v>
      </c>
      <c r="B4116" t="s">
        <v>13739</v>
      </c>
      <c r="C4116" t="s">
        <v>15</v>
      </c>
      <c r="D4116" t="s">
        <v>10197</v>
      </c>
      <c r="E4116" t="s">
        <v>11981</v>
      </c>
      <c r="F4116" t="s">
        <v>11048</v>
      </c>
      <c r="G4116" t="s">
        <v>13740</v>
      </c>
      <c r="H4116" t="str">
        <f>HYPERLINK("https://baanknet.com/view-property/255567/E12EA743921D6C30EEBD00F03F584100FFE533B99190A6AF1CED91014BBA801A", "https://baanknet.com/view-property/255567/E12EA743921D6C30EEBD00F03F584100FFE533B99190A6AF1CED91014BBA801A")</f>
        <v>https://baanknet.com/view-property/255567/E12EA743921D6C30EEBD00F03F584100FFE533B99190A6AF1CED91014BBA801A</v>
      </c>
      <c r="I4116" t="str">
        <f>HYPERLINK("https://baanknet.com/view-property/255567/E12EA743921D6C30EEBD00F03F584100FFE533B99190A6AF1CED91014BBA801A", "Open")</f>
        <v>Open</v>
      </c>
      <c r="J4116" t="s">
        <v>3803</v>
      </c>
      <c r="L4116">
        <v>1821000</v>
      </c>
      <c r="M4116">
        <v>182100</v>
      </c>
    </row>
    <row r="4117" spans="1:13" x14ac:dyDescent="0.25">
      <c r="A4117" t="s">
        <v>13741</v>
      </c>
      <c r="B4117" t="s">
        <v>13742</v>
      </c>
      <c r="C4117" t="s">
        <v>15</v>
      </c>
      <c r="D4117" t="s">
        <v>7106</v>
      </c>
      <c r="E4117" t="s">
        <v>11981</v>
      </c>
      <c r="F4117" t="s">
        <v>11048</v>
      </c>
      <c r="G4117" t="s">
        <v>13743</v>
      </c>
      <c r="H4117" t="str">
        <f>HYPERLINK("https://baanknet.com/view-property/234178/AAF6B22B0C50FECC024055B747C8D6F09F66293BBF5FE81E3CC29693035FC206", "https://baanknet.com/view-property/234178/AAF6B22B0C50FECC024055B747C8D6F09F66293BBF5FE81E3CC29693035FC206")</f>
        <v>https://baanknet.com/view-property/234178/AAF6B22B0C50FECC024055B747C8D6F09F66293BBF5FE81E3CC29693035FC206</v>
      </c>
      <c r="I4117" t="str">
        <f>HYPERLINK("https://baanknet.com/view-property/234178/AAF6B22B0C50FECC024055B747C8D6F09F66293BBF5FE81E3CC29693035FC206", "Open")</f>
        <v>Open</v>
      </c>
      <c r="J4117" t="s">
        <v>3803</v>
      </c>
      <c r="L4117">
        <v>1211000</v>
      </c>
      <c r="M4117">
        <v>121100</v>
      </c>
    </row>
    <row r="4118" spans="1:13" x14ac:dyDescent="0.25">
      <c r="A4118" t="s">
        <v>13744</v>
      </c>
      <c r="B4118" t="s">
        <v>13745</v>
      </c>
      <c r="C4118" t="s">
        <v>15</v>
      </c>
      <c r="D4118" t="s">
        <v>7106</v>
      </c>
      <c r="E4118" t="s">
        <v>11981</v>
      </c>
      <c r="F4118" t="s">
        <v>11048</v>
      </c>
      <c r="G4118" t="s">
        <v>13746</v>
      </c>
      <c r="H4118" t="str">
        <f>HYPERLINK("https://baanknet.com/view-property/212426/533906B0C465878F6A89421AB07C74CFBB5FE1B98419589983F680B1DABD22E1", "https://baanknet.com/view-property/212426/533906B0C465878F6A89421AB07C74CFBB5FE1B98419589983F680B1DABD22E1")</f>
        <v>https://baanknet.com/view-property/212426/533906B0C465878F6A89421AB07C74CFBB5FE1B98419589983F680B1DABD22E1</v>
      </c>
      <c r="I4118" t="str">
        <f>HYPERLINK("https://baanknet.com/view-property/212426/533906B0C465878F6A89421AB07C74CFBB5FE1B98419589983F680B1DABD22E1", "Open")</f>
        <v>Open</v>
      </c>
      <c r="J4118" t="s">
        <v>3803</v>
      </c>
      <c r="L4118">
        <v>1460000</v>
      </c>
      <c r="M4118">
        <v>146000</v>
      </c>
    </row>
    <row r="4119" spans="1:13" x14ac:dyDescent="0.25">
      <c r="A4119" t="s">
        <v>13747</v>
      </c>
      <c r="B4119" t="s">
        <v>13748</v>
      </c>
      <c r="C4119" t="s">
        <v>15</v>
      </c>
      <c r="D4119" t="s">
        <v>7106</v>
      </c>
      <c r="E4119" t="s">
        <v>11981</v>
      </c>
      <c r="F4119" t="s">
        <v>11048</v>
      </c>
      <c r="G4119" t="s">
        <v>13749</v>
      </c>
      <c r="H4119" t="str">
        <f>HYPERLINK("https://baanknet.com/view-property/229676/B2A6879598AAC24ACBE319F8EC5BDDC4A073D61091A85204B56295F61C3A0B6D", "https://baanknet.com/view-property/229676/B2A6879598AAC24ACBE319F8EC5BDDC4A073D61091A85204B56295F61C3A0B6D")</f>
        <v>https://baanknet.com/view-property/229676/B2A6879598AAC24ACBE319F8EC5BDDC4A073D61091A85204B56295F61C3A0B6D</v>
      </c>
      <c r="I4119" t="str">
        <f>HYPERLINK("https://baanknet.com/view-property/229676/B2A6879598AAC24ACBE319F8EC5BDDC4A073D61091A85204B56295F61C3A0B6D", "Open")</f>
        <v>Open</v>
      </c>
      <c r="J4119" t="s">
        <v>3803</v>
      </c>
      <c r="L4119">
        <v>1153000</v>
      </c>
      <c r="M4119">
        <v>115300</v>
      </c>
    </row>
    <row r="4120" spans="1:13" x14ac:dyDescent="0.25">
      <c r="A4120" t="s">
        <v>13750</v>
      </c>
      <c r="B4120" t="s">
        <v>13751</v>
      </c>
      <c r="C4120" t="s">
        <v>15</v>
      </c>
      <c r="D4120" t="s">
        <v>7106</v>
      </c>
      <c r="E4120" t="s">
        <v>11981</v>
      </c>
      <c r="F4120" t="s">
        <v>11048</v>
      </c>
      <c r="G4120" t="s">
        <v>13752</v>
      </c>
      <c r="H4120" t="str">
        <f>HYPERLINK("https://baanknet.com/view-property/244810/8CBC9AEA4185FB056990545EF9C4BFE2ABB025F85FB978E38EC14908230986DF", "https://baanknet.com/view-property/244810/8CBC9AEA4185FB056990545EF9C4BFE2ABB025F85FB978E38EC14908230986DF")</f>
        <v>https://baanknet.com/view-property/244810/8CBC9AEA4185FB056990545EF9C4BFE2ABB025F85FB978E38EC14908230986DF</v>
      </c>
      <c r="I4120" t="str">
        <f>HYPERLINK("https://baanknet.com/view-property/244810/8CBC9AEA4185FB056990545EF9C4BFE2ABB025F85FB978E38EC14908230986DF", "Open")</f>
        <v>Open</v>
      </c>
      <c r="J4120" t="s">
        <v>3803</v>
      </c>
      <c r="L4120">
        <v>5998000</v>
      </c>
      <c r="M4120">
        <v>599800</v>
      </c>
    </row>
    <row r="4121" spans="1:13" x14ac:dyDescent="0.25">
      <c r="A4121" t="s">
        <v>13753</v>
      </c>
      <c r="B4121" t="s">
        <v>13754</v>
      </c>
      <c r="C4121" t="s">
        <v>15</v>
      </c>
      <c r="D4121" t="s">
        <v>7106</v>
      </c>
      <c r="E4121" t="s">
        <v>11981</v>
      </c>
      <c r="F4121" t="s">
        <v>11048</v>
      </c>
      <c r="G4121" t="s">
        <v>13755</v>
      </c>
      <c r="H4121" t="str">
        <f>HYPERLINK("https://baanknet.com/view-property/229677/15F3E2C54986D1937A5B8BBB78D646C62048F45687EA51106EC865D6C3ACCFCA", "https://baanknet.com/view-property/229677/15F3E2C54986D1937A5B8BBB78D646C62048F45687EA51106EC865D6C3ACCFCA")</f>
        <v>https://baanknet.com/view-property/229677/15F3E2C54986D1937A5B8BBB78D646C62048F45687EA51106EC865D6C3ACCFCA</v>
      </c>
      <c r="I4121" t="str">
        <f>HYPERLINK("https://baanknet.com/view-property/229677/15F3E2C54986D1937A5B8BBB78D646C62048F45687EA51106EC865D6C3ACCFCA", "Open")</f>
        <v>Open</v>
      </c>
      <c r="J4121" t="s">
        <v>3803</v>
      </c>
      <c r="L4121">
        <v>1833000</v>
      </c>
      <c r="M4121">
        <v>183300</v>
      </c>
    </row>
    <row r="4122" spans="1:13" x14ac:dyDescent="0.25">
      <c r="A4122" t="s">
        <v>13756</v>
      </c>
      <c r="B4122" t="s">
        <v>13757</v>
      </c>
      <c r="C4122" t="s">
        <v>15</v>
      </c>
      <c r="D4122" t="s">
        <v>13758</v>
      </c>
      <c r="E4122" t="s">
        <v>11981</v>
      </c>
      <c r="F4122" t="s">
        <v>11048</v>
      </c>
      <c r="G4122" t="s">
        <v>13759</v>
      </c>
      <c r="H4122" t="str">
        <f>HYPERLINK("https://baanknet.com/view-property/256460/5F0F163078AD9017C2B75D241869103E51D3414B6E64175C3D27A6A7713753C1", "https://baanknet.com/view-property/256460/5F0F163078AD9017C2B75D241869103E51D3414B6E64175C3D27A6A7713753C1")</f>
        <v>https://baanknet.com/view-property/256460/5F0F163078AD9017C2B75D241869103E51D3414B6E64175C3D27A6A7713753C1</v>
      </c>
      <c r="I4122" t="str">
        <f>HYPERLINK("https://baanknet.com/view-property/256460/5F0F163078AD9017C2B75D241869103E51D3414B6E64175C3D27A6A7713753C1", "Open")</f>
        <v>Open</v>
      </c>
      <c r="J4122" t="s">
        <v>3803</v>
      </c>
      <c r="L4122">
        <v>4800000</v>
      </c>
      <c r="M4122">
        <v>480000</v>
      </c>
    </row>
    <row r="4123" spans="1:13" x14ac:dyDescent="0.25">
      <c r="A4123" t="s">
        <v>13760</v>
      </c>
      <c r="B4123" t="s">
        <v>13761</v>
      </c>
      <c r="C4123" t="s">
        <v>15</v>
      </c>
      <c r="D4123" t="s">
        <v>13762</v>
      </c>
      <c r="E4123" t="s">
        <v>11981</v>
      </c>
      <c r="F4123" t="s">
        <v>11048</v>
      </c>
      <c r="G4123" t="s">
        <v>13763</v>
      </c>
      <c r="H4123" t="str">
        <f>HYPERLINK("https://baanknet.com/view-property/240109/4C4E6D63664EFFE3630966AD8FEFF212D262AE45A6C8FA6BEB26BEAF04B79198", "https://baanknet.com/view-property/240109/4C4E6D63664EFFE3630966AD8FEFF212D262AE45A6C8FA6BEB26BEAF04B79198")</f>
        <v>https://baanknet.com/view-property/240109/4C4E6D63664EFFE3630966AD8FEFF212D262AE45A6C8FA6BEB26BEAF04B79198</v>
      </c>
      <c r="I4123" t="str">
        <f>HYPERLINK("https://baanknet.com/view-property/240109/4C4E6D63664EFFE3630966AD8FEFF212D262AE45A6C8FA6BEB26BEAF04B79198", "Open")</f>
        <v>Open</v>
      </c>
      <c r="J4123" t="s">
        <v>3803</v>
      </c>
      <c r="L4123">
        <v>2650000</v>
      </c>
      <c r="M4123">
        <v>265000</v>
      </c>
    </row>
    <row r="4124" spans="1:13" x14ac:dyDescent="0.25">
      <c r="A4124" t="s">
        <v>13764</v>
      </c>
      <c r="B4124" t="s">
        <v>13765</v>
      </c>
      <c r="C4124" t="s">
        <v>15</v>
      </c>
      <c r="D4124" t="s">
        <v>13762</v>
      </c>
      <c r="E4124" t="s">
        <v>11981</v>
      </c>
      <c r="F4124" t="s">
        <v>11048</v>
      </c>
      <c r="G4124" t="s">
        <v>13766</v>
      </c>
      <c r="H4124" t="str">
        <f>HYPERLINK("https://baanknet.com/view-property/244755/A2E1B4AA8C6676154A61B0EFB1BA0D03DD1843A75924A777D934F134544F843E", "https://baanknet.com/view-property/244755/A2E1B4AA8C6676154A61B0EFB1BA0D03DD1843A75924A777D934F134544F843E")</f>
        <v>https://baanknet.com/view-property/244755/A2E1B4AA8C6676154A61B0EFB1BA0D03DD1843A75924A777D934F134544F843E</v>
      </c>
      <c r="I4124" t="str">
        <f>HYPERLINK("https://baanknet.com/view-property/244755/A2E1B4AA8C6676154A61B0EFB1BA0D03DD1843A75924A777D934F134544F843E", "Open")</f>
        <v>Open</v>
      </c>
      <c r="J4124" t="s">
        <v>3803</v>
      </c>
      <c r="L4124">
        <v>4500000</v>
      </c>
      <c r="M4124">
        <v>450000</v>
      </c>
    </row>
    <row r="4125" spans="1:13" x14ac:dyDescent="0.25">
      <c r="A4125" t="s">
        <v>13767</v>
      </c>
      <c r="B4125" t="s">
        <v>13768</v>
      </c>
      <c r="C4125" t="s">
        <v>15</v>
      </c>
      <c r="D4125" t="s">
        <v>13769</v>
      </c>
      <c r="E4125" t="s">
        <v>11981</v>
      </c>
      <c r="F4125" t="s">
        <v>11048</v>
      </c>
      <c r="G4125" t="s">
        <v>13770</v>
      </c>
      <c r="H4125" t="str">
        <f>HYPERLINK("https://baanknet.com/view-property/267953/09EE4FF7ABEA9E1EA978BD25EDAB3FD9D363AF0D98ED2EAE308B742EAF679D7F", "https://baanknet.com/view-property/267953/09EE4FF7ABEA9E1EA978BD25EDAB3FD9D363AF0D98ED2EAE308B742EAF679D7F")</f>
        <v>https://baanknet.com/view-property/267953/09EE4FF7ABEA9E1EA978BD25EDAB3FD9D363AF0D98ED2EAE308B742EAF679D7F</v>
      </c>
      <c r="I4125" t="str">
        <f>HYPERLINK("https://baanknet.com/view-property/267953/09EE4FF7ABEA9E1EA978BD25EDAB3FD9D363AF0D98ED2EAE308B742EAF679D7F", "Open")</f>
        <v>Open</v>
      </c>
      <c r="J4125" t="s">
        <v>3803</v>
      </c>
      <c r="L4125">
        <v>3040000</v>
      </c>
      <c r="M4125">
        <v>304000</v>
      </c>
    </row>
    <row r="4126" spans="1:13" x14ac:dyDescent="0.25">
      <c r="A4126" t="s">
        <v>13771</v>
      </c>
      <c r="B4126" t="s">
        <v>13772</v>
      </c>
      <c r="C4126" t="s">
        <v>15</v>
      </c>
      <c r="D4126" t="s">
        <v>13769</v>
      </c>
      <c r="E4126" t="s">
        <v>11981</v>
      </c>
      <c r="F4126" t="s">
        <v>11048</v>
      </c>
      <c r="G4126" t="s">
        <v>13773</v>
      </c>
      <c r="H4126" t="str">
        <f>HYPERLINK("https://baanknet.com/view-property/267950/4E7D8EC190B04ACFA43A869380CC5A5495B21BDB2ED293726AE8C6FBE96D991E", "https://baanknet.com/view-property/267950/4E7D8EC190B04ACFA43A869380CC5A5495B21BDB2ED293726AE8C6FBE96D991E")</f>
        <v>https://baanknet.com/view-property/267950/4E7D8EC190B04ACFA43A869380CC5A5495B21BDB2ED293726AE8C6FBE96D991E</v>
      </c>
      <c r="I4126" t="str">
        <f>HYPERLINK("https://baanknet.com/view-property/267950/4E7D8EC190B04ACFA43A869380CC5A5495B21BDB2ED293726AE8C6FBE96D991E", "Open")</f>
        <v>Open</v>
      </c>
      <c r="J4126" t="s">
        <v>3803</v>
      </c>
      <c r="L4126">
        <v>3240000</v>
      </c>
      <c r="M4126">
        <v>324000</v>
      </c>
    </row>
    <row r="4127" spans="1:13" x14ac:dyDescent="0.25">
      <c r="A4127" t="s">
        <v>13774</v>
      </c>
      <c r="B4127" t="s">
        <v>13775</v>
      </c>
      <c r="C4127" t="s">
        <v>15</v>
      </c>
      <c r="D4127" t="s">
        <v>13769</v>
      </c>
      <c r="E4127" t="s">
        <v>11981</v>
      </c>
      <c r="F4127" t="s">
        <v>11048</v>
      </c>
      <c r="G4127" t="s">
        <v>13776</v>
      </c>
      <c r="H4127" t="str">
        <f>HYPERLINK("https://baanknet.com/view-property/267956/1492CBE34A810E04987BF5A4708FA553AA53FB03382F205361F2F71623EB1E4C", "https://baanknet.com/view-property/267956/1492CBE34A810E04987BF5A4708FA553AA53FB03382F205361F2F71623EB1E4C")</f>
        <v>https://baanknet.com/view-property/267956/1492CBE34A810E04987BF5A4708FA553AA53FB03382F205361F2F71623EB1E4C</v>
      </c>
      <c r="I4127" t="str">
        <f>HYPERLINK("https://baanknet.com/view-property/267956/1492CBE34A810E04987BF5A4708FA553AA53FB03382F205361F2F71623EB1E4C", "Open")</f>
        <v>Open</v>
      </c>
      <c r="J4127" t="s">
        <v>3803</v>
      </c>
      <c r="L4127">
        <v>2880000</v>
      </c>
      <c r="M4127">
        <v>288000</v>
      </c>
    </row>
    <row r="4128" spans="1:13" x14ac:dyDescent="0.25">
      <c r="A4128" t="s">
        <v>13777</v>
      </c>
      <c r="B4128" t="s">
        <v>13778</v>
      </c>
      <c r="C4128" t="s">
        <v>15</v>
      </c>
      <c r="D4128" t="s">
        <v>13769</v>
      </c>
      <c r="E4128" t="s">
        <v>11981</v>
      </c>
      <c r="F4128" t="s">
        <v>11048</v>
      </c>
      <c r="G4128" t="s">
        <v>13779</v>
      </c>
      <c r="H4128" t="str">
        <f>HYPERLINK("https://baanknet.com/view-property/267961/E9E2A3EC032EDDDD703C4F15E095939F23E32237C0E9762671742F73ADC7BF35", "https://baanknet.com/view-property/267961/E9E2A3EC032EDDDD703C4F15E095939F23E32237C0E9762671742F73ADC7BF35")</f>
        <v>https://baanknet.com/view-property/267961/E9E2A3EC032EDDDD703C4F15E095939F23E32237C0E9762671742F73ADC7BF35</v>
      </c>
      <c r="I4128" t="str">
        <f>HYPERLINK("https://baanknet.com/view-property/267961/E9E2A3EC032EDDDD703C4F15E095939F23E32237C0E9762671742F73ADC7BF35", "Open")</f>
        <v>Open</v>
      </c>
      <c r="J4128" t="s">
        <v>3803</v>
      </c>
      <c r="L4128">
        <v>2570000</v>
      </c>
      <c r="M4128">
        <v>257000</v>
      </c>
    </row>
    <row r="4129" spans="1:13" x14ac:dyDescent="0.25">
      <c r="A4129" t="s">
        <v>13780</v>
      </c>
      <c r="B4129" t="s">
        <v>13781</v>
      </c>
      <c r="C4129" t="s">
        <v>332</v>
      </c>
      <c r="D4129" t="s">
        <v>1246</v>
      </c>
      <c r="E4129" t="s">
        <v>11981</v>
      </c>
      <c r="F4129" t="s">
        <v>11048</v>
      </c>
      <c r="G4129" t="s">
        <v>13782</v>
      </c>
      <c r="H4129" t="str">
        <f>HYPERLINK("https://baanknet.com/view-property/283081/5E07CB71D9CFF2D2F818F75D383F5BCAB421FEFB245D62354BEF963E33713D5B", "https://baanknet.com/view-property/283081/5E07CB71D9CFF2D2F818F75D383F5BCAB421FEFB245D62354BEF963E33713D5B")</f>
        <v>https://baanknet.com/view-property/283081/5E07CB71D9CFF2D2F818F75D383F5BCAB421FEFB245D62354BEF963E33713D5B</v>
      </c>
      <c r="I4129" t="str">
        <f>HYPERLINK("https://baanknet.com/view-property/283081/5E07CB71D9CFF2D2F818F75D383F5BCAB421FEFB245D62354BEF963E33713D5B", "Open")</f>
        <v>Open</v>
      </c>
      <c r="J4129" t="s">
        <v>3803</v>
      </c>
      <c r="L4129">
        <v>5837000</v>
      </c>
      <c r="M4129">
        <v>583700</v>
      </c>
    </row>
    <row r="4130" spans="1:13" x14ac:dyDescent="0.25">
      <c r="A4130" t="s">
        <v>13783</v>
      </c>
      <c r="B4130" t="s">
        <v>13784</v>
      </c>
      <c r="C4130" t="s">
        <v>332</v>
      </c>
      <c r="D4130" t="s">
        <v>1246</v>
      </c>
      <c r="E4130" t="s">
        <v>11981</v>
      </c>
      <c r="F4130" t="s">
        <v>11048</v>
      </c>
      <c r="G4130" t="s">
        <v>13785</v>
      </c>
      <c r="H4130" t="str">
        <f>HYPERLINK("https://baanknet.com/view-property/262527/A556520A70D0A3F4CA9139094384760FEB50C405E9692EEE3C355D8AF3025F97", "https://baanknet.com/view-property/262527/A556520A70D0A3F4CA9139094384760FEB50C405E9692EEE3C355D8AF3025F97")</f>
        <v>https://baanknet.com/view-property/262527/A556520A70D0A3F4CA9139094384760FEB50C405E9692EEE3C355D8AF3025F97</v>
      </c>
      <c r="I4130" t="str">
        <f>HYPERLINK("https://baanknet.com/view-property/262527/A556520A70D0A3F4CA9139094384760FEB50C405E9692EEE3C355D8AF3025F97", "Open")</f>
        <v>Open</v>
      </c>
      <c r="J4130" t="s">
        <v>3803</v>
      </c>
      <c r="L4130">
        <v>5200000</v>
      </c>
      <c r="M4130">
        <v>520000</v>
      </c>
    </row>
    <row r="4131" spans="1:13" x14ac:dyDescent="0.25">
      <c r="A4131" t="s">
        <v>13786</v>
      </c>
      <c r="B4131" t="s">
        <v>13787</v>
      </c>
      <c r="C4131" t="s">
        <v>15</v>
      </c>
      <c r="D4131" t="s">
        <v>13788</v>
      </c>
      <c r="E4131" t="s">
        <v>11981</v>
      </c>
      <c r="F4131" t="s">
        <v>11048</v>
      </c>
      <c r="G4131" t="s">
        <v>13789</v>
      </c>
      <c r="H4131" t="str">
        <f>HYPERLINK("https://baanknet.com/view-property/205832/E93C5239F892AA2968F8621A5DBAA6F2195E63FE9847C85BF05E02A9F1DC6AEC", "https://baanknet.com/view-property/205832/E93C5239F892AA2968F8621A5DBAA6F2195E63FE9847C85BF05E02A9F1DC6AEC")</f>
        <v>https://baanknet.com/view-property/205832/E93C5239F892AA2968F8621A5DBAA6F2195E63FE9847C85BF05E02A9F1DC6AEC</v>
      </c>
      <c r="I4131" t="str">
        <f>HYPERLINK("https://baanknet.com/view-property/205832/E93C5239F892AA2968F8621A5DBAA6F2195E63FE9847C85BF05E02A9F1DC6AEC", "Open")</f>
        <v>Open</v>
      </c>
      <c r="J4131" t="s">
        <v>3803</v>
      </c>
      <c r="L4131">
        <v>602000</v>
      </c>
      <c r="M4131">
        <v>60200</v>
      </c>
    </row>
    <row r="4132" spans="1:13" x14ac:dyDescent="0.25">
      <c r="A4132" t="s">
        <v>13790</v>
      </c>
      <c r="B4132" t="s">
        <v>13791</v>
      </c>
      <c r="C4132" t="s">
        <v>15</v>
      </c>
      <c r="D4132" t="s">
        <v>13792</v>
      </c>
      <c r="E4132" t="s">
        <v>11981</v>
      </c>
      <c r="F4132" t="s">
        <v>11048</v>
      </c>
      <c r="G4132" t="s">
        <v>13793</v>
      </c>
      <c r="H4132" t="str">
        <f>HYPERLINK("https://baanknet.com/view-property/279926/31BCDAFE87185171D4C740EBAA81504FFBF47083CF70A9575D87DA825EA8F6FC", "https://baanknet.com/view-property/279926/31BCDAFE87185171D4C740EBAA81504FFBF47083CF70A9575D87DA825EA8F6FC")</f>
        <v>https://baanknet.com/view-property/279926/31BCDAFE87185171D4C740EBAA81504FFBF47083CF70A9575D87DA825EA8F6FC</v>
      </c>
      <c r="I4132" t="str">
        <f>HYPERLINK("https://baanknet.com/view-property/279926/31BCDAFE87185171D4C740EBAA81504FFBF47083CF70A9575D87DA825EA8F6FC", "Open")</f>
        <v>Open</v>
      </c>
      <c r="J4132" t="s">
        <v>3803</v>
      </c>
      <c r="L4132">
        <v>1744000</v>
      </c>
      <c r="M4132">
        <v>174400</v>
      </c>
    </row>
    <row r="4133" spans="1:13" x14ac:dyDescent="0.25">
      <c r="A4133" t="s">
        <v>13794</v>
      </c>
      <c r="B4133" t="s">
        <v>13795</v>
      </c>
      <c r="C4133" t="s">
        <v>15</v>
      </c>
      <c r="D4133" t="s">
        <v>13796</v>
      </c>
      <c r="E4133" t="s">
        <v>11981</v>
      </c>
      <c r="F4133" t="s">
        <v>11048</v>
      </c>
      <c r="G4133" t="s">
        <v>13797</v>
      </c>
      <c r="H4133" t="str">
        <f>HYPERLINK("https://baanknet.com/view-property/234184/0F23190A0711A7322C3DA18C03CD4FF813268090180A2F62F5061945A715B2C4", "https://baanknet.com/view-property/234184/0F23190A0711A7322C3DA18C03CD4FF813268090180A2F62F5061945A715B2C4")</f>
        <v>https://baanknet.com/view-property/234184/0F23190A0711A7322C3DA18C03CD4FF813268090180A2F62F5061945A715B2C4</v>
      </c>
      <c r="I4133" t="str">
        <f>HYPERLINK("https://baanknet.com/view-property/234184/0F23190A0711A7322C3DA18C03CD4FF813268090180A2F62F5061945A715B2C4", "Open")</f>
        <v>Open</v>
      </c>
      <c r="J4133" t="s">
        <v>3803</v>
      </c>
      <c r="L4133">
        <v>4311000</v>
      </c>
      <c r="M4133">
        <v>431100</v>
      </c>
    </row>
    <row r="4134" spans="1:13" x14ac:dyDescent="0.25">
      <c r="A4134" t="s">
        <v>13798</v>
      </c>
      <c r="B4134" t="s">
        <v>13799</v>
      </c>
      <c r="C4134" t="s">
        <v>15</v>
      </c>
      <c r="D4134" t="s">
        <v>4980</v>
      </c>
      <c r="E4134" t="s">
        <v>11981</v>
      </c>
      <c r="F4134" t="s">
        <v>11048</v>
      </c>
      <c r="G4134" t="s">
        <v>13800</v>
      </c>
      <c r="H4134" t="str">
        <f>HYPERLINK("https://baanknet.com/view-property/260841/FAD6EF88987ACEAA98FEF23CCC06F8CDE7F05C422FD2033777F2401472C2C01A", "https://baanknet.com/view-property/260841/FAD6EF88987ACEAA98FEF23CCC06F8CDE7F05C422FD2033777F2401472C2C01A")</f>
        <v>https://baanknet.com/view-property/260841/FAD6EF88987ACEAA98FEF23CCC06F8CDE7F05C422FD2033777F2401472C2C01A</v>
      </c>
      <c r="I4134" t="str">
        <f>HYPERLINK("https://baanknet.com/view-property/260841/FAD6EF88987ACEAA98FEF23CCC06F8CDE7F05C422FD2033777F2401472C2C01A", "Open")</f>
        <v>Open</v>
      </c>
      <c r="J4134" t="s">
        <v>3803</v>
      </c>
      <c r="L4134">
        <v>2010000</v>
      </c>
      <c r="M4134">
        <v>201000</v>
      </c>
    </row>
    <row r="4135" spans="1:13" x14ac:dyDescent="0.25">
      <c r="A4135" t="s">
        <v>13801</v>
      </c>
      <c r="B4135" t="s">
        <v>13802</v>
      </c>
      <c r="C4135" t="s">
        <v>15</v>
      </c>
      <c r="D4135" t="s">
        <v>13792</v>
      </c>
      <c r="E4135" t="s">
        <v>11981</v>
      </c>
      <c r="F4135" t="s">
        <v>11048</v>
      </c>
      <c r="G4135" t="s">
        <v>13803</v>
      </c>
      <c r="H4135" t="str">
        <f>HYPERLINK("https://baanknet.com/view-property/267481/CA601E3668C83B7143B3C7467C6C1186402725D78D4342B0727844F2256D0F6E", "https://baanknet.com/view-property/267481/CA601E3668C83B7143B3C7467C6C1186402725D78D4342B0727844F2256D0F6E")</f>
        <v>https://baanknet.com/view-property/267481/CA601E3668C83B7143B3C7467C6C1186402725D78D4342B0727844F2256D0F6E</v>
      </c>
      <c r="I4135" t="str">
        <f>HYPERLINK("https://baanknet.com/view-property/267481/CA601E3668C83B7143B3C7467C6C1186402725D78D4342B0727844F2256D0F6E", "Open")</f>
        <v>Open</v>
      </c>
      <c r="J4135" t="s">
        <v>3803</v>
      </c>
      <c r="L4135">
        <v>594000</v>
      </c>
      <c r="M4135">
        <v>59400</v>
      </c>
    </row>
    <row r="4136" spans="1:13" x14ac:dyDescent="0.25">
      <c r="A4136" t="s">
        <v>13804</v>
      </c>
      <c r="B4136" t="s">
        <v>13805</v>
      </c>
      <c r="C4136" t="s">
        <v>15</v>
      </c>
      <c r="D4136" t="s">
        <v>7106</v>
      </c>
      <c r="E4136" t="s">
        <v>11981</v>
      </c>
      <c r="F4136" t="s">
        <v>11048</v>
      </c>
      <c r="G4136" t="s">
        <v>13806</v>
      </c>
      <c r="H4136" t="str">
        <f>HYPERLINK("https://baanknet.com/view-property/266822/F21AD63787CF7FA50D89518F7DC66A87F7B8FAA2B59B14C1EA918C62660A3CA8", "https://baanknet.com/view-property/266822/F21AD63787CF7FA50D89518F7DC66A87F7B8FAA2B59B14C1EA918C62660A3CA8")</f>
        <v>https://baanknet.com/view-property/266822/F21AD63787CF7FA50D89518F7DC66A87F7B8FAA2B59B14C1EA918C62660A3CA8</v>
      </c>
      <c r="I4136" t="str">
        <f>HYPERLINK("https://baanknet.com/view-property/266822/F21AD63787CF7FA50D89518F7DC66A87F7B8FAA2B59B14C1EA918C62660A3CA8", "Open")</f>
        <v>Open</v>
      </c>
      <c r="J4136" t="s">
        <v>3803</v>
      </c>
      <c r="L4136">
        <v>1671000</v>
      </c>
      <c r="M4136">
        <v>167100</v>
      </c>
    </row>
    <row r="4137" spans="1:13" x14ac:dyDescent="0.25">
      <c r="A4137" t="s">
        <v>13807</v>
      </c>
      <c r="B4137" t="s">
        <v>13808</v>
      </c>
      <c r="C4137" t="s">
        <v>15</v>
      </c>
      <c r="D4137" t="s">
        <v>3968</v>
      </c>
      <c r="E4137" t="s">
        <v>11981</v>
      </c>
      <c r="F4137" t="s">
        <v>11048</v>
      </c>
      <c r="G4137" t="s">
        <v>13809</v>
      </c>
      <c r="H4137" t="str">
        <f>HYPERLINK("https://baanknet.com/view-property/252866/7D5483E5202458B91F33A3B455EFC2FE673CF7F46F21C65D4373CD72F875A87C", "https://baanknet.com/view-property/252866/7D5483E5202458B91F33A3B455EFC2FE673CF7F46F21C65D4373CD72F875A87C")</f>
        <v>https://baanknet.com/view-property/252866/7D5483E5202458B91F33A3B455EFC2FE673CF7F46F21C65D4373CD72F875A87C</v>
      </c>
      <c r="I4137" t="str">
        <f>HYPERLINK("https://baanknet.com/view-property/252866/7D5483E5202458B91F33A3B455EFC2FE673CF7F46F21C65D4373CD72F875A87C", "Open")</f>
        <v>Open</v>
      </c>
      <c r="J4137" t="s">
        <v>3803</v>
      </c>
      <c r="L4137">
        <v>2050000</v>
      </c>
      <c r="M4137">
        <v>205000</v>
      </c>
    </row>
    <row r="4138" spans="1:13" x14ac:dyDescent="0.25">
      <c r="A4138" t="s">
        <v>13810</v>
      </c>
      <c r="B4138" t="s">
        <v>13811</v>
      </c>
      <c r="C4138" t="s">
        <v>15</v>
      </c>
      <c r="D4138" t="s">
        <v>13812</v>
      </c>
      <c r="E4138" t="s">
        <v>11981</v>
      </c>
      <c r="F4138" t="s">
        <v>11048</v>
      </c>
      <c r="G4138" t="s">
        <v>13813</v>
      </c>
      <c r="H4138" t="str">
        <f>HYPERLINK("https://baanknet.com/view-property/255062/62AD68F9575E97ACF391DD3491F971005A13236F00EEA32EF9BF239039E96070", "https://baanknet.com/view-property/255062/62AD68F9575E97ACF391DD3491F971005A13236F00EEA32EF9BF239039E96070")</f>
        <v>https://baanknet.com/view-property/255062/62AD68F9575E97ACF391DD3491F971005A13236F00EEA32EF9BF239039E96070</v>
      </c>
      <c r="I4138" t="str">
        <f>HYPERLINK("https://baanknet.com/view-property/255062/62AD68F9575E97ACF391DD3491F971005A13236F00EEA32EF9BF239039E96070", "Open")</f>
        <v>Open</v>
      </c>
      <c r="J4138" t="s">
        <v>3803</v>
      </c>
      <c r="L4138">
        <v>21000000</v>
      </c>
      <c r="M4138">
        <v>2100000</v>
      </c>
    </row>
    <row r="4139" spans="1:13" x14ac:dyDescent="0.25">
      <c r="A4139" t="s">
        <v>13814</v>
      </c>
      <c r="B4139" t="s">
        <v>13815</v>
      </c>
      <c r="C4139" t="s">
        <v>15</v>
      </c>
      <c r="D4139" t="s">
        <v>3968</v>
      </c>
      <c r="E4139" t="s">
        <v>11981</v>
      </c>
      <c r="F4139" t="s">
        <v>11048</v>
      </c>
      <c r="G4139" t="s">
        <v>13816</v>
      </c>
      <c r="H4139" t="str">
        <f>HYPERLINK("https://baanknet.com/view-property/251957/5F29C967F8EFF2C98E96A0AD4D09C173586EEAD9F25042CD91B7173EAECE638E", "https://baanknet.com/view-property/251957/5F29C967F8EFF2C98E96A0AD4D09C173586EEAD9F25042CD91B7173EAECE638E")</f>
        <v>https://baanknet.com/view-property/251957/5F29C967F8EFF2C98E96A0AD4D09C173586EEAD9F25042CD91B7173EAECE638E</v>
      </c>
      <c r="I4139" t="str">
        <f>HYPERLINK("https://baanknet.com/view-property/251957/5F29C967F8EFF2C98E96A0AD4D09C173586EEAD9F25042CD91B7173EAECE638E", "Open")</f>
        <v>Open</v>
      </c>
      <c r="J4139" t="s">
        <v>3803</v>
      </c>
      <c r="L4139">
        <v>6300000</v>
      </c>
      <c r="M4139">
        <v>630000</v>
      </c>
    </row>
    <row r="4140" spans="1:13" x14ac:dyDescent="0.25">
      <c r="A4140" t="s">
        <v>13817</v>
      </c>
      <c r="B4140" t="s">
        <v>13818</v>
      </c>
      <c r="C4140" t="s">
        <v>332</v>
      </c>
      <c r="D4140" t="s">
        <v>1246</v>
      </c>
      <c r="E4140" t="s">
        <v>11981</v>
      </c>
      <c r="F4140" t="s">
        <v>11048</v>
      </c>
      <c r="G4140" t="s">
        <v>13819</v>
      </c>
      <c r="H4140" t="str">
        <f>HYPERLINK("https://baanknet.com/view-property/233961/70F3AE861CBE22721623B0AB1DF88998057EF6FCC8F95409BEED0BB3F9B81C85", "https://baanknet.com/view-property/233961/70F3AE861CBE22721623B0AB1DF88998057EF6FCC8F95409BEED0BB3F9B81C85")</f>
        <v>https://baanknet.com/view-property/233961/70F3AE861CBE22721623B0AB1DF88998057EF6FCC8F95409BEED0BB3F9B81C85</v>
      </c>
      <c r="I4140" t="str">
        <f>HYPERLINK("https://baanknet.com/view-property/233961/70F3AE861CBE22721623B0AB1DF88998057EF6FCC8F95409BEED0BB3F9B81C85", "Open")</f>
        <v>Open</v>
      </c>
      <c r="J4140" t="s">
        <v>3803</v>
      </c>
      <c r="L4140">
        <v>4003920</v>
      </c>
      <c r="M4140">
        <v>400392</v>
      </c>
    </row>
    <row r="4141" spans="1:13" x14ac:dyDescent="0.25">
      <c r="A4141" t="s">
        <v>13820</v>
      </c>
      <c r="B4141" t="s">
        <v>13821</v>
      </c>
      <c r="C4141" t="s">
        <v>15</v>
      </c>
      <c r="D4141" t="s">
        <v>3709</v>
      </c>
      <c r="E4141" t="s">
        <v>11981</v>
      </c>
      <c r="F4141" t="s">
        <v>11048</v>
      </c>
      <c r="G4141" t="s">
        <v>13822</v>
      </c>
      <c r="H4141" t="str">
        <f>HYPERLINK("https://baanknet.com/view-property/254987/09C0B5E51C348362D3DB3B39B32C424A59C85D077378F72306848930E6CF3FD0", "https://baanknet.com/view-property/254987/09C0B5E51C348362D3DB3B39B32C424A59C85D077378F72306848930E6CF3FD0")</f>
        <v>https://baanknet.com/view-property/254987/09C0B5E51C348362D3DB3B39B32C424A59C85D077378F72306848930E6CF3FD0</v>
      </c>
      <c r="I4141" t="str">
        <f>HYPERLINK("https://baanknet.com/view-property/254987/09C0B5E51C348362D3DB3B39B32C424A59C85D077378F72306848930E6CF3FD0", "Open")</f>
        <v>Open</v>
      </c>
      <c r="J4141" t="s">
        <v>3803</v>
      </c>
      <c r="L4141">
        <v>2250000</v>
      </c>
      <c r="M4141">
        <v>225000</v>
      </c>
    </row>
    <row r="4142" spans="1:13" x14ac:dyDescent="0.25">
      <c r="A4142" t="s">
        <v>13823</v>
      </c>
      <c r="B4142" t="s">
        <v>13824</v>
      </c>
      <c r="C4142" t="s">
        <v>15</v>
      </c>
      <c r="D4142" t="s">
        <v>3968</v>
      </c>
      <c r="E4142" t="s">
        <v>11981</v>
      </c>
      <c r="F4142" t="s">
        <v>11048</v>
      </c>
      <c r="G4142" t="s">
        <v>13825</v>
      </c>
      <c r="H4142" t="str">
        <f>HYPERLINK("https://baanknet.com/view-property/275647/2094D0CF4358AF3A1CBB15413154FC9B9302E4CBE394563E6ED59FE0D82661A3", "https://baanknet.com/view-property/275647/2094D0CF4358AF3A1CBB15413154FC9B9302E4CBE394563E6ED59FE0D82661A3")</f>
        <v>https://baanknet.com/view-property/275647/2094D0CF4358AF3A1CBB15413154FC9B9302E4CBE394563E6ED59FE0D82661A3</v>
      </c>
      <c r="I4142" t="str">
        <f>HYPERLINK("https://baanknet.com/view-property/275647/2094D0CF4358AF3A1CBB15413154FC9B9302E4CBE394563E6ED59FE0D82661A3", "Open")</f>
        <v>Open</v>
      </c>
      <c r="J4142" t="s">
        <v>3803</v>
      </c>
      <c r="L4142">
        <v>9500000</v>
      </c>
      <c r="M4142">
        <v>950000</v>
      </c>
    </row>
    <row r="4143" spans="1:13" x14ac:dyDescent="0.25">
      <c r="A4143" t="s">
        <v>13826</v>
      </c>
      <c r="B4143" t="s">
        <v>13827</v>
      </c>
      <c r="C4143" t="s">
        <v>15</v>
      </c>
      <c r="D4143" t="s">
        <v>3968</v>
      </c>
      <c r="E4143" t="s">
        <v>11981</v>
      </c>
      <c r="F4143" t="s">
        <v>11048</v>
      </c>
      <c r="G4143" t="s">
        <v>13828</v>
      </c>
      <c r="H4143" t="str">
        <f>HYPERLINK("https://baanknet.com/view-property/243151/64D2C0D055718D58FAA50F64D309576A8A7D79FA10768C9F8F6BE0494A458EFF", "https://baanknet.com/view-property/243151/64D2C0D055718D58FAA50F64D309576A8A7D79FA10768C9F8F6BE0494A458EFF")</f>
        <v>https://baanknet.com/view-property/243151/64D2C0D055718D58FAA50F64D309576A8A7D79FA10768C9F8F6BE0494A458EFF</v>
      </c>
      <c r="I4143" t="str">
        <f>HYPERLINK("https://baanknet.com/view-property/243151/64D2C0D055718D58FAA50F64D309576A8A7D79FA10768C9F8F6BE0494A458EFF", "Open")</f>
        <v>Open</v>
      </c>
      <c r="J4143" t="s">
        <v>3803</v>
      </c>
      <c r="L4143">
        <v>3900000</v>
      </c>
      <c r="M4143">
        <v>390000</v>
      </c>
    </row>
    <row r="4144" spans="1:13" x14ac:dyDescent="0.25">
      <c r="A4144" t="s">
        <v>13829</v>
      </c>
      <c r="B4144" t="s">
        <v>13830</v>
      </c>
      <c r="C4144" t="s">
        <v>15</v>
      </c>
      <c r="D4144" t="s">
        <v>3968</v>
      </c>
      <c r="E4144" t="s">
        <v>11981</v>
      </c>
      <c r="F4144" t="s">
        <v>11048</v>
      </c>
      <c r="G4144" t="s">
        <v>13831</v>
      </c>
      <c r="H4144" t="str">
        <f>HYPERLINK("https://baanknet.com/view-property/246723/191002AEB5DCA59B4279856AA52070734227D378F4203F41F1497812FB8A6573", "https://baanknet.com/view-property/246723/191002AEB5DCA59B4279856AA52070734227D378F4203F41F1497812FB8A6573")</f>
        <v>https://baanknet.com/view-property/246723/191002AEB5DCA59B4279856AA52070734227D378F4203F41F1497812FB8A6573</v>
      </c>
      <c r="I4144" t="str">
        <f>HYPERLINK("https://baanknet.com/view-property/246723/191002AEB5DCA59B4279856AA52070734227D378F4203F41F1497812FB8A6573", "Open")</f>
        <v>Open</v>
      </c>
      <c r="J4144" t="s">
        <v>3803</v>
      </c>
      <c r="L4144">
        <v>9500000</v>
      </c>
      <c r="M4144">
        <v>950000</v>
      </c>
    </row>
    <row r="4145" spans="1:13" x14ac:dyDescent="0.25">
      <c r="A4145" t="s">
        <v>13832</v>
      </c>
      <c r="B4145" t="s">
        <v>13833</v>
      </c>
      <c r="C4145" t="s">
        <v>15</v>
      </c>
      <c r="D4145" t="s">
        <v>6974</v>
      </c>
      <c r="E4145" t="s">
        <v>11981</v>
      </c>
      <c r="F4145" t="s">
        <v>11048</v>
      </c>
      <c r="G4145" t="s">
        <v>13834</v>
      </c>
      <c r="H4145" t="str">
        <f>HYPERLINK("https://baanknet.com/view-property/243104/2213FC0220220D970F2F1A9E324340F869453A2E0FF600BAE5DD84F722ACAEEC", "https://baanknet.com/view-property/243104/2213FC0220220D970F2F1A9E324340F869453A2E0FF600BAE5DD84F722ACAEEC")</f>
        <v>https://baanknet.com/view-property/243104/2213FC0220220D970F2F1A9E324340F869453A2E0FF600BAE5DD84F722ACAEEC</v>
      </c>
      <c r="I4145" t="str">
        <f>HYPERLINK("https://baanknet.com/view-property/243104/2213FC0220220D970F2F1A9E324340F869453A2E0FF600BAE5DD84F722ACAEEC", "Open")</f>
        <v>Open</v>
      </c>
      <c r="J4145" t="s">
        <v>3803</v>
      </c>
      <c r="L4145">
        <v>4200000</v>
      </c>
      <c r="M4145">
        <v>420000</v>
      </c>
    </row>
    <row r="4146" spans="1:13" x14ac:dyDescent="0.25">
      <c r="A4146" t="s">
        <v>13835</v>
      </c>
      <c r="B4146" t="s">
        <v>13836</v>
      </c>
      <c r="C4146" t="s">
        <v>15</v>
      </c>
      <c r="D4146" t="s">
        <v>3968</v>
      </c>
      <c r="E4146" t="s">
        <v>11981</v>
      </c>
      <c r="F4146" t="s">
        <v>11048</v>
      </c>
      <c r="G4146" t="s">
        <v>13837</v>
      </c>
      <c r="H4146" t="str">
        <f>HYPERLINK("https://baanknet.com/view-property/275650/3F621C3278BE1456133438889153F813F03F7919ACF0BC938917010B7F173932", "https://baanknet.com/view-property/275650/3F621C3278BE1456133438889153F813F03F7919ACF0BC938917010B7F173932")</f>
        <v>https://baanknet.com/view-property/275650/3F621C3278BE1456133438889153F813F03F7919ACF0BC938917010B7F173932</v>
      </c>
      <c r="I4146" t="str">
        <f>HYPERLINK("https://baanknet.com/view-property/275650/3F621C3278BE1456133438889153F813F03F7919ACF0BC938917010B7F173932", "Open")</f>
        <v>Open</v>
      </c>
      <c r="J4146" t="s">
        <v>3803</v>
      </c>
      <c r="L4146">
        <v>5900000</v>
      </c>
      <c r="M4146">
        <v>590000</v>
      </c>
    </row>
    <row r="4147" spans="1:13" x14ac:dyDescent="0.25">
      <c r="A4147" t="s">
        <v>13838</v>
      </c>
      <c r="B4147" t="s">
        <v>13839</v>
      </c>
      <c r="C4147" t="s">
        <v>15</v>
      </c>
      <c r="D4147" t="s">
        <v>4884</v>
      </c>
      <c r="E4147" t="s">
        <v>11981</v>
      </c>
      <c r="F4147" t="s">
        <v>11048</v>
      </c>
      <c r="G4147" t="s">
        <v>13840</v>
      </c>
      <c r="H4147" t="str">
        <f>HYPERLINK("https://baanknet.com/view-property/282897/415E07316D1DB2B62CE279B757C69B62C96D7E13FAF99D4AAFF6BB98480DDC97", "https://baanknet.com/view-property/282897/415E07316D1DB2B62CE279B757C69B62C96D7E13FAF99D4AAFF6BB98480DDC97")</f>
        <v>https://baanknet.com/view-property/282897/415E07316D1DB2B62CE279B757C69B62C96D7E13FAF99D4AAFF6BB98480DDC97</v>
      </c>
      <c r="I4147" t="str">
        <f>HYPERLINK("https://baanknet.com/view-property/282897/415E07316D1DB2B62CE279B757C69B62C96D7E13FAF99D4AAFF6BB98480DDC97", "Open")</f>
        <v>Open</v>
      </c>
      <c r="J4147" t="s">
        <v>3803</v>
      </c>
      <c r="L4147">
        <v>8640000</v>
      </c>
      <c r="M4147">
        <v>864000</v>
      </c>
    </row>
    <row r="4148" spans="1:13" x14ac:dyDescent="0.25">
      <c r="A4148" t="s">
        <v>13841</v>
      </c>
      <c r="B4148" t="s">
        <v>13842</v>
      </c>
      <c r="C4148" t="s">
        <v>15</v>
      </c>
      <c r="D4148" t="s">
        <v>4884</v>
      </c>
      <c r="E4148" t="s">
        <v>11981</v>
      </c>
      <c r="F4148" t="s">
        <v>11048</v>
      </c>
      <c r="G4148" t="s">
        <v>13843</v>
      </c>
      <c r="H4148" t="str">
        <f>HYPERLINK("https://baanknet.com/view-property/282901/6AC59D9FC49C4BFD2C7CEF34F9A83EF10F13BEB46217CDB349A4726E8033A980", "https://baanknet.com/view-property/282901/6AC59D9FC49C4BFD2C7CEF34F9A83EF10F13BEB46217CDB349A4726E8033A980")</f>
        <v>https://baanknet.com/view-property/282901/6AC59D9FC49C4BFD2C7CEF34F9A83EF10F13BEB46217CDB349A4726E8033A980</v>
      </c>
      <c r="I4148" t="str">
        <f>HYPERLINK("https://baanknet.com/view-property/282901/6AC59D9FC49C4BFD2C7CEF34F9A83EF10F13BEB46217CDB349A4726E8033A980", "Open")</f>
        <v>Open</v>
      </c>
      <c r="J4148" t="s">
        <v>3803</v>
      </c>
      <c r="L4148">
        <v>17820000</v>
      </c>
      <c r="M4148">
        <v>1782000</v>
      </c>
    </row>
    <row r="4149" spans="1:13" x14ac:dyDescent="0.25">
      <c r="A4149" t="s">
        <v>13844</v>
      </c>
      <c r="B4149" t="s">
        <v>13845</v>
      </c>
      <c r="C4149" t="s">
        <v>15</v>
      </c>
      <c r="D4149" t="s">
        <v>4884</v>
      </c>
      <c r="E4149" t="s">
        <v>11981</v>
      </c>
      <c r="F4149" t="s">
        <v>11048</v>
      </c>
      <c r="G4149" t="s">
        <v>13846</v>
      </c>
      <c r="H4149" t="str">
        <f>HYPERLINK("https://baanknet.com/view-property/284805/3353ADA800553F5A76C496C2F075C7DF6BCDA935E7A4D1191E3741FD5AB5902A", "https://baanknet.com/view-property/284805/3353ADA800553F5A76C496C2F075C7DF6BCDA935E7A4D1191E3741FD5AB5902A")</f>
        <v>https://baanknet.com/view-property/284805/3353ADA800553F5A76C496C2F075C7DF6BCDA935E7A4D1191E3741FD5AB5902A</v>
      </c>
      <c r="I4149" t="str">
        <f>HYPERLINK("https://baanknet.com/view-property/284805/3353ADA800553F5A76C496C2F075C7DF6BCDA935E7A4D1191E3741FD5AB5902A", "Open")</f>
        <v>Open</v>
      </c>
      <c r="J4149" t="s">
        <v>3803</v>
      </c>
      <c r="L4149">
        <v>11400000</v>
      </c>
      <c r="M4149">
        <v>1140000</v>
      </c>
    </row>
    <row r="4150" spans="1:13" x14ac:dyDescent="0.25">
      <c r="A4150" t="s">
        <v>13847</v>
      </c>
      <c r="B4150" t="s">
        <v>13848</v>
      </c>
      <c r="C4150" t="s">
        <v>15</v>
      </c>
      <c r="D4150" t="s">
        <v>4679</v>
      </c>
      <c r="E4150" t="s">
        <v>11981</v>
      </c>
      <c r="F4150" t="s">
        <v>11048</v>
      </c>
      <c r="G4150" t="s">
        <v>13849</v>
      </c>
      <c r="H4150" t="str">
        <f>HYPERLINK("https://baanknet.com/view-property/197634/4FD3234737961114EBB0D1FDE2C9637B272D6CB9914D69611A25638D50DF423B", "https://baanknet.com/view-property/197634/4FD3234737961114EBB0D1FDE2C9637B272D6CB9914D69611A25638D50DF423B")</f>
        <v>https://baanknet.com/view-property/197634/4FD3234737961114EBB0D1FDE2C9637B272D6CB9914D69611A25638D50DF423B</v>
      </c>
      <c r="I4150" t="str">
        <f>HYPERLINK("https://baanknet.com/view-property/197634/4FD3234737961114EBB0D1FDE2C9637B272D6CB9914D69611A25638D50DF423B", "Open")</f>
        <v>Open</v>
      </c>
      <c r="J4150" t="s">
        <v>3803</v>
      </c>
      <c r="L4150">
        <v>4980000</v>
      </c>
      <c r="M4150">
        <v>498000</v>
      </c>
    </row>
    <row r="4151" spans="1:13" x14ac:dyDescent="0.25">
      <c r="A4151" t="s">
        <v>13850</v>
      </c>
      <c r="B4151" t="s">
        <v>13851</v>
      </c>
      <c r="C4151" t="s">
        <v>15</v>
      </c>
      <c r="D4151" t="s">
        <v>102</v>
      </c>
      <c r="E4151" t="s">
        <v>11981</v>
      </c>
      <c r="F4151" t="s">
        <v>11048</v>
      </c>
      <c r="G4151" t="s">
        <v>13852</v>
      </c>
      <c r="H4151" t="str">
        <f>HYPERLINK("https://baanknet.com/view-property/275766/DC3B5C1140D2C97EF14D5A0F7171E565E432719CF7759554FAD4B1D20E0EEC4A", "https://baanknet.com/view-property/275766/DC3B5C1140D2C97EF14D5A0F7171E565E432719CF7759554FAD4B1D20E0EEC4A")</f>
        <v>https://baanknet.com/view-property/275766/DC3B5C1140D2C97EF14D5A0F7171E565E432719CF7759554FAD4B1D20E0EEC4A</v>
      </c>
      <c r="I4151" t="str">
        <f>HYPERLINK("https://baanknet.com/view-property/275766/DC3B5C1140D2C97EF14D5A0F7171E565E432719CF7759554FAD4B1D20E0EEC4A", "Open")</f>
        <v>Open</v>
      </c>
      <c r="J4151" t="s">
        <v>3803</v>
      </c>
      <c r="L4151">
        <v>4275000</v>
      </c>
      <c r="M4151">
        <v>427500</v>
      </c>
    </row>
    <row r="4152" spans="1:13" x14ac:dyDescent="0.25">
      <c r="A4152" t="s">
        <v>13853</v>
      </c>
      <c r="B4152" t="s">
        <v>13854</v>
      </c>
      <c r="C4152" t="s">
        <v>15</v>
      </c>
      <c r="D4152" t="s">
        <v>13769</v>
      </c>
      <c r="E4152" t="s">
        <v>11981</v>
      </c>
      <c r="F4152" t="s">
        <v>11048</v>
      </c>
      <c r="G4152" t="s">
        <v>13855</v>
      </c>
      <c r="H4152" t="str">
        <f>HYPERLINK("https://baanknet.com/view-property/267964/9148FA8D65AE4F2D23EA2DD0D6F249F8906DED7CE916D179A4CE90DFC82C5AF7", "https://baanknet.com/view-property/267964/9148FA8D65AE4F2D23EA2DD0D6F249F8906DED7CE916D179A4CE90DFC82C5AF7")</f>
        <v>https://baanknet.com/view-property/267964/9148FA8D65AE4F2D23EA2DD0D6F249F8906DED7CE916D179A4CE90DFC82C5AF7</v>
      </c>
      <c r="I4152" t="str">
        <f>HYPERLINK("https://baanknet.com/view-property/267964/9148FA8D65AE4F2D23EA2DD0D6F249F8906DED7CE916D179A4CE90DFC82C5AF7", "Open")</f>
        <v>Open</v>
      </c>
      <c r="J4152" t="s">
        <v>3803</v>
      </c>
      <c r="L4152">
        <v>2880000</v>
      </c>
      <c r="M4152">
        <v>288000</v>
      </c>
    </row>
    <row r="4153" spans="1:13" x14ac:dyDescent="0.25">
      <c r="A4153" t="s">
        <v>13856</v>
      </c>
      <c r="B4153" t="s">
        <v>13857</v>
      </c>
      <c r="C4153" t="s">
        <v>332</v>
      </c>
      <c r="D4153" t="s">
        <v>4430</v>
      </c>
      <c r="E4153" t="s">
        <v>11981</v>
      </c>
      <c r="F4153" t="s">
        <v>11048</v>
      </c>
      <c r="G4153" t="s">
        <v>13858</v>
      </c>
      <c r="H4153" t="str">
        <f>HYPERLINK("https://baanknet.com/view-property/237224/5B9E10A80D44C523C1AA6236D2A6C6453C7CC1AD2847520C2BBC5DEDD79CEFA6", "https://baanknet.com/view-property/237224/5B9E10A80D44C523C1AA6236D2A6C6453C7CC1AD2847520C2BBC5DEDD79CEFA6")</f>
        <v>https://baanknet.com/view-property/237224/5B9E10A80D44C523C1AA6236D2A6C6453C7CC1AD2847520C2BBC5DEDD79CEFA6</v>
      </c>
      <c r="I4153" t="str">
        <f>HYPERLINK("https://baanknet.com/view-property/237224/5B9E10A80D44C523C1AA6236D2A6C6453C7CC1AD2847520C2BBC5DEDD79CEFA6", "Open")</f>
        <v>Open</v>
      </c>
      <c r="J4153" t="s">
        <v>3803</v>
      </c>
      <c r="L4153">
        <v>4582800</v>
      </c>
      <c r="M4153">
        <v>458280</v>
      </c>
    </row>
    <row r="4154" spans="1:13" x14ac:dyDescent="0.25">
      <c r="A4154" t="s">
        <v>13859</v>
      </c>
      <c r="B4154" t="s">
        <v>13860</v>
      </c>
      <c r="C4154" t="s">
        <v>15</v>
      </c>
      <c r="D4154" t="s">
        <v>5032</v>
      </c>
      <c r="E4154" t="s">
        <v>11981</v>
      </c>
      <c r="F4154" t="s">
        <v>11048</v>
      </c>
      <c r="G4154" t="s">
        <v>13861</v>
      </c>
      <c r="H4154" t="str">
        <f>HYPERLINK("https://baanknet.com/view-property/278236/0238701E9904D3C23280691DEF1C7C264EC03EFE8B45CEAE643D05D71A2661DA", "https://baanknet.com/view-property/278236/0238701E9904D3C23280691DEF1C7C264EC03EFE8B45CEAE643D05D71A2661DA")</f>
        <v>https://baanknet.com/view-property/278236/0238701E9904D3C23280691DEF1C7C264EC03EFE8B45CEAE643D05D71A2661DA</v>
      </c>
      <c r="I4154" t="str">
        <f>HYPERLINK("https://baanknet.com/view-property/278236/0238701E9904D3C23280691DEF1C7C264EC03EFE8B45CEAE643D05D71A2661DA", "Open")</f>
        <v>Open</v>
      </c>
      <c r="J4154" t="s">
        <v>3803</v>
      </c>
      <c r="L4154">
        <v>5600000</v>
      </c>
      <c r="M4154">
        <v>560000</v>
      </c>
    </row>
    <row r="4155" spans="1:13" x14ac:dyDescent="0.25">
      <c r="A4155" t="s">
        <v>13862</v>
      </c>
      <c r="B4155" t="s">
        <v>13863</v>
      </c>
      <c r="C4155" t="s">
        <v>15</v>
      </c>
      <c r="D4155" t="s">
        <v>5018</v>
      </c>
      <c r="E4155" t="s">
        <v>11981</v>
      </c>
      <c r="F4155" t="s">
        <v>11048</v>
      </c>
      <c r="G4155" t="s">
        <v>13864</v>
      </c>
      <c r="H4155" t="str">
        <f>HYPERLINK("https://baanknet.com/view-property/277273/B3B1C15619F2483A37C6F9E7791420D652E339A397917AD513D9CF95A0E7A80C", "https://baanknet.com/view-property/277273/B3B1C15619F2483A37C6F9E7791420D652E339A397917AD513D9CF95A0E7A80C")</f>
        <v>https://baanknet.com/view-property/277273/B3B1C15619F2483A37C6F9E7791420D652E339A397917AD513D9CF95A0E7A80C</v>
      </c>
      <c r="I4155" t="str">
        <f>HYPERLINK("https://baanknet.com/view-property/277273/B3B1C15619F2483A37C6F9E7791420D652E339A397917AD513D9CF95A0E7A80C", "Open")</f>
        <v>Open</v>
      </c>
      <c r="J4155" t="s">
        <v>3803</v>
      </c>
      <c r="L4155">
        <v>3585000</v>
      </c>
      <c r="M4155">
        <v>358500</v>
      </c>
    </row>
    <row r="4156" spans="1:13" x14ac:dyDescent="0.25">
      <c r="A4156" t="s">
        <v>13865</v>
      </c>
      <c r="B4156" t="s">
        <v>13866</v>
      </c>
      <c r="C4156" t="s">
        <v>15</v>
      </c>
      <c r="D4156" t="s">
        <v>13867</v>
      </c>
      <c r="E4156" t="s">
        <v>11981</v>
      </c>
      <c r="F4156" t="s">
        <v>11048</v>
      </c>
      <c r="G4156" t="s">
        <v>13868</v>
      </c>
      <c r="H4156" t="str">
        <f>HYPERLINK("https://baanknet.com/view-property/256402/369239E3992A5C2D1EE8B9A25F31D690731E4352D20C5035CF9983F632468520", "https://baanknet.com/view-property/256402/369239E3992A5C2D1EE8B9A25F31D690731E4352D20C5035CF9983F632468520")</f>
        <v>https://baanknet.com/view-property/256402/369239E3992A5C2D1EE8B9A25F31D690731E4352D20C5035CF9983F632468520</v>
      </c>
      <c r="I4156" t="str">
        <f>HYPERLINK("https://baanknet.com/view-property/256402/369239E3992A5C2D1EE8B9A25F31D690731E4352D20C5035CF9983F632468520", "Open")</f>
        <v>Open</v>
      </c>
      <c r="J4156" t="s">
        <v>3803</v>
      </c>
      <c r="L4156">
        <v>2551000</v>
      </c>
      <c r="M4156">
        <v>255100</v>
      </c>
    </row>
    <row r="4157" spans="1:13" x14ac:dyDescent="0.25">
      <c r="A4157" t="s">
        <v>13869</v>
      </c>
      <c r="B4157" t="s">
        <v>13870</v>
      </c>
      <c r="C4157" t="s">
        <v>15</v>
      </c>
      <c r="D4157" t="s">
        <v>13871</v>
      </c>
      <c r="E4157" t="s">
        <v>11981</v>
      </c>
      <c r="F4157" t="s">
        <v>11048</v>
      </c>
      <c r="G4157" t="s">
        <v>13872</v>
      </c>
      <c r="H4157" t="str">
        <f>HYPERLINK("https://baanknet.com/view-property/280664/BDBE32484BF9E75FCCC78EBBB053522BB0BC12EC29334093AB743967F2A5F97D", "https://baanknet.com/view-property/280664/BDBE32484BF9E75FCCC78EBBB053522BB0BC12EC29334093AB743967F2A5F97D")</f>
        <v>https://baanknet.com/view-property/280664/BDBE32484BF9E75FCCC78EBBB053522BB0BC12EC29334093AB743967F2A5F97D</v>
      </c>
      <c r="I4157" t="str">
        <f>HYPERLINK("https://baanknet.com/view-property/280664/BDBE32484BF9E75FCCC78EBBB053522BB0BC12EC29334093AB743967F2A5F97D", "Open")</f>
        <v>Open</v>
      </c>
      <c r="J4157" t="s">
        <v>3803</v>
      </c>
      <c r="L4157">
        <v>3750000</v>
      </c>
      <c r="M4157">
        <v>375000</v>
      </c>
    </row>
    <row r="4158" spans="1:13" x14ac:dyDescent="0.25">
      <c r="A4158" t="s">
        <v>13873</v>
      </c>
      <c r="B4158" t="s">
        <v>13874</v>
      </c>
      <c r="C4158" t="s">
        <v>15</v>
      </c>
      <c r="D4158" t="s">
        <v>8780</v>
      </c>
      <c r="E4158" t="s">
        <v>11981</v>
      </c>
      <c r="F4158" t="s">
        <v>11048</v>
      </c>
      <c r="G4158" t="s">
        <v>13875</v>
      </c>
      <c r="H4158" t="str">
        <f>HYPERLINK("https://baanknet.com/view-property/188131/774F6D6CDECBB94F98687C357485A3F7761B5B8CB541595312A190AD22B5AA5E", "https://baanknet.com/view-property/188131/774F6D6CDECBB94F98687C357485A3F7761B5B8CB541595312A190AD22B5AA5E")</f>
        <v>https://baanknet.com/view-property/188131/774F6D6CDECBB94F98687C357485A3F7761B5B8CB541595312A190AD22B5AA5E</v>
      </c>
      <c r="I4158" t="str">
        <f>HYPERLINK("https://baanknet.com/view-property/188131/774F6D6CDECBB94F98687C357485A3F7761B5B8CB541595312A190AD22B5AA5E", "Open")</f>
        <v>Open</v>
      </c>
      <c r="J4158" t="s">
        <v>3803</v>
      </c>
      <c r="L4158">
        <v>1940000</v>
      </c>
      <c r="M4158">
        <v>194000</v>
      </c>
    </row>
    <row r="4159" spans="1:13" x14ac:dyDescent="0.25">
      <c r="A4159" t="s">
        <v>13876</v>
      </c>
      <c r="B4159" t="s">
        <v>13877</v>
      </c>
      <c r="C4159" t="s">
        <v>15</v>
      </c>
      <c r="D4159" t="s">
        <v>277</v>
      </c>
      <c r="E4159" t="s">
        <v>11981</v>
      </c>
      <c r="F4159" t="s">
        <v>11048</v>
      </c>
      <c r="G4159" t="s">
        <v>13878</v>
      </c>
      <c r="H4159" t="str">
        <f>HYPERLINK("https://baanknet.com/view-property/182923/E94577D6BC7C27D9EFCCFE92453C3854827E7385AD9D87633DB69FC3C1F51ACD", "https://baanknet.com/view-property/182923/E94577D6BC7C27D9EFCCFE92453C3854827E7385AD9D87633DB69FC3C1F51ACD")</f>
        <v>https://baanknet.com/view-property/182923/E94577D6BC7C27D9EFCCFE92453C3854827E7385AD9D87633DB69FC3C1F51ACD</v>
      </c>
      <c r="I4159" t="str">
        <f>HYPERLINK("https://baanknet.com/view-property/182923/E94577D6BC7C27D9EFCCFE92453C3854827E7385AD9D87633DB69FC3C1F51ACD", "Open")</f>
        <v>Open</v>
      </c>
      <c r="J4159" t="s">
        <v>3803</v>
      </c>
      <c r="L4159">
        <v>2010000</v>
      </c>
      <c r="M4159">
        <v>201000</v>
      </c>
    </row>
    <row r="4160" spans="1:13" x14ac:dyDescent="0.25">
      <c r="A4160" t="s">
        <v>13879</v>
      </c>
      <c r="B4160" t="s">
        <v>13880</v>
      </c>
      <c r="C4160" t="s">
        <v>15</v>
      </c>
      <c r="D4160" t="s">
        <v>277</v>
      </c>
      <c r="E4160" t="s">
        <v>11981</v>
      </c>
      <c r="F4160" t="s">
        <v>11048</v>
      </c>
      <c r="G4160" t="s">
        <v>13881</v>
      </c>
      <c r="H4160" t="str">
        <f>HYPERLINK("https://baanknet.com/view-property/183133/0F413528052F4C591E73EAF7E7E9B7F880047007FDC46B253967910255E3A4BB", "https://baanknet.com/view-property/183133/0F413528052F4C591E73EAF7E7E9B7F880047007FDC46B253967910255E3A4BB")</f>
        <v>https://baanknet.com/view-property/183133/0F413528052F4C591E73EAF7E7E9B7F880047007FDC46B253967910255E3A4BB</v>
      </c>
      <c r="I4160" t="str">
        <f>HYPERLINK("https://baanknet.com/view-property/183133/0F413528052F4C591E73EAF7E7E9B7F880047007FDC46B253967910255E3A4BB", "Open")</f>
        <v>Open</v>
      </c>
      <c r="J4160" t="s">
        <v>3803</v>
      </c>
      <c r="L4160">
        <v>1135000</v>
      </c>
      <c r="M4160">
        <v>113500</v>
      </c>
    </row>
    <row r="4161" spans="1:13" x14ac:dyDescent="0.25">
      <c r="A4161" t="s">
        <v>13882</v>
      </c>
      <c r="B4161" t="s">
        <v>13883</v>
      </c>
      <c r="C4161" t="s">
        <v>15</v>
      </c>
      <c r="D4161" t="s">
        <v>13884</v>
      </c>
      <c r="E4161" t="s">
        <v>11981</v>
      </c>
      <c r="F4161" t="s">
        <v>11048</v>
      </c>
      <c r="G4161" t="s">
        <v>13885</v>
      </c>
      <c r="H4161" t="str">
        <f>HYPERLINK("https://baanknet.com/view-property/183111/D62E35D672CCB446BF70E59A030D3FF793D6DA8BD4A247B8ACF67BB984C9B7F4", "https://baanknet.com/view-property/183111/D62E35D672CCB446BF70E59A030D3FF793D6DA8BD4A247B8ACF67BB984C9B7F4")</f>
        <v>https://baanknet.com/view-property/183111/D62E35D672CCB446BF70E59A030D3FF793D6DA8BD4A247B8ACF67BB984C9B7F4</v>
      </c>
      <c r="I4161" t="str">
        <f>HYPERLINK("https://baanknet.com/view-property/183111/D62E35D672CCB446BF70E59A030D3FF793D6DA8BD4A247B8ACF67BB984C9B7F4", "Open")</f>
        <v>Open</v>
      </c>
      <c r="J4161" t="s">
        <v>3803</v>
      </c>
      <c r="L4161">
        <v>940000</v>
      </c>
      <c r="M4161">
        <v>94000</v>
      </c>
    </row>
    <row r="4162" spans="1:13" x14ac:dyDescent="0.25">
      <c r="A4162" t="s">
        <v>13886</v>
      </c>
      <c r="B4162" t="s">
        <v>13887</v>
      </c>
      <c r="C4162" t="s">
        <v>15</v>
      </c>
      <c r="D4162" t="s">
        <v>4976</v>
      </c>
      <c r="E4162" t="s">
        <v>11981</v>
      </c>
      <c r="F4162" t="s">
        <v>11048</v>
      </c>
      <c r="G4162" t="s">
        <v>13888</v>
      </c>
      <c r="H4162" t="str">
        <f>HYPERLINK("https://baanknet.com/view-property/233441/AB00534637CC0763D705971C4577701AAC6E6958DBF28F87B276C7FF394ED3D9", "https://baanknet.com/view-property/233441/AB00534637CC0763D705971C4577701AAC6E6958DBF28F87B276C7FF394ED3D9")</f>
        <v>https://baanknet.com/view-property/233441/AB00534637CC0763D705971C4577701AAC6E6958DBF28F87B276C7FF394ED3D9</v>
      </c>
      <c r="I4162" t="str">
        <f>HYPERLINK("https://baanknet.com/view-property/233441/AB00534637CC0763D705971C4577701AAC6E6958DBF28F87B276C7FF394ED3D9", "Open")</f>
        <v>Open</v>
      </c>
      <c r="J4162" t="s">
        <v>3803</v>
      </c>
      <c r="L4162">
        <v>1400000</v>
      </c>
      <c r="M4162">
        <v>140000</v>
      </c>
    </row>
    <row r="4163" spans="1:13" x14ac:dyDescent="0.25">
      <c r="A4163" t="s">
        <v>13889</v>
      </c>
      <c r="B4163" t="s">
        <v>13890</v>
      </c>
      <c r="C4163" t="s">
        <v>15</v>
      </c>
      <c r="D4163" t="s">
        <v>4976</v>
      </c>
      <c r="E4163" t="s">
        <v>11981</v>
      </c>
      <c r="F4163" t="s">
        <v>11048</v>
      </c>
      <c r="G4163" t="s">
        <v>13891</v>
      </c>
      <c r="H4163" t="str">
        <f>HYPERLINK("https://baanknet.com/view-property/250653/C56C5E6B0C4B825825C657B7C19873BB8D877766F7CC4460B45ADD6556A62883", "https://baanknet.com/view-property/250653/C56C5E6B0C4B825825C657B7C19873BB8D877766F7CC4460B45ADD6556A62883")</f>
        <v>https://baanknet.com/view-property/250653/C56C5E6B0C4B825825C657B7C19873BB8D877766F7CC4460B45ADD6556A62883</v>
      </c>
      <c r="I4163" t="str">
        <f>HYPERLINK("https://baanknet.com/view-property/250653/C56C5E6B0C4B825825C657B7C19873BB8D877766F7CC4460B45ADD6556A62883", "Open")</f>
        <v>Open</v>
      </c>
      <c r="J4163" t="s">
        <v>3803</v>
      </c>
      <c r="L4163">
        <v>6100000</v>
      </c>
      <c r="M4163">
        <v>610000</v>
      </c>
    </row>
    <row r="4164" spans="1:13" x14ac:dyDescent="0.25">
      <c r="A4164" t="s">
        <v>13892</v>
      </c>
      <c r="B4164" t="s">
        <v>13893</v>
      </c>
      <c r="C4164" t="s">
        <v>15</v>
      </c>
      <c r="D4164" t="s">
        <v>157</v>
      </c>
      <c r="E4164" t="s">
        <v>11981</v>
      </c>
      <c r="F4164" t="s">
        <v>13894</v>
      </c>
      <c r="G4164" t="s">
        <v>13895</v>
      </c>
      <c r="H4164" t="str">
        <f>HYPERLINK("https://baanknet.com/view-property/257100/4379CF8633C9F48761DEE98A374D9369ED58622EE3ED1E05FB8B6492935CD168", "https://baanknet.com/view-property/257100/4379CF8633C9F48761DEE98A374D9369ED58622EE3ED1E05FB8B6492935CD168")</f>
        <v>https://baanknet.com/view-property/257100/4379CF8633C9F48761DEE98A374D9369ED58622EE3ED1E05FB8B6492935CD168</v>
      </c>
      <c r="I4164" t="str">
        <f>HYPERLINK("https://baanknet.com/view-property/257100/4379CF8633C9F48761DEE98A374D9369ED58622EE3ED1E05FB8B6492935CD168", "Open")</f>
        <v>Open</v>
      </c>
      <c r="J4164" t="s">
        <v>3803</v>
      </c>
      <c r="L4164">
        <v>1600000</v>
      </c>
      <c r="M4164">
        <v>160000</v>
      </c>
    </row>
    <row r="4165" spans="1:13" x14ac:dyDescent="0.25">
      <c r="A4165" t="s">
        <v>13896</v>
      </c>
      <c r="B4165" t="s">
        <v>13897</v>
      </c>
      <c r="C4165" t="s">
        <v>15</v>
      </c>
      <c r="D4165" t="s">
        <v>1402</v>
      </c>
      <c r="E4165" t="s">
        <v>11981</v>
      </c>
      <c r="F4165" t="s">
        <v>13894</v>
      </c>
      <c r="G4165" t="s">
        <v>13898</v>
      </c>
      <c r="H4165" t="str">
        <f>HYPERLINK("https://baanknet.com/view-property/245367/198C12D268E8C2AA85ECAF1FB2C26BCAD6D604790ACB2AFDC393609DD16DA430", "https://baanknet.com/view-property/245367/198C12D268E8C2AA85ECAF1FB2C26BCAD6D604790ACB2AFDC393609DD16DA430")</f>
        <v>https://baanknet.com/view-property/245367/198C12D268E8C2AA85ECAF1FB2C26BCAD6D604790ACB2AFDC393609DD16DA430</v>
      </c>
      <c r="I4165" t="str">
        <f>HYPERLINK("https://baanknet.com/view-property/245367/198C12D268E8C2AA85ECAF1FB2C26BCAD6D604790ACB2AFDC393609DD16DA430", "Open")</f>
        <v>Open</v>
      </c>
      <c r="J4165" t="s">
        <v>3803</v>
      </c>
      <c r="L4165">
        <v>1150000</v>
      </c>
      <c r="M4165">
        <v>115000</v>
      </c>
    </row>
    <row r="4166" spans="1:13" x14ac:dyDescent="0.25">
      <c r="A4166" t="s">
        <v>13899</v>
      </c>
      <c r="B4166" t="s">
        <v>13900</v>
      </c>
      <c r="C4166" t="s">
        <v>15</v>
      </c>
      <c r="D4166" t="s">
        <v>13901</v>
      </c>
      <c r="E4166" t="s">
        <v>11981</v>
      </c>
      <c r="F4166" t="s">
        <v>13894</v>
      </c>
      <c r="G4166" t="s">
        <v>13902</v>
      </c>
      <c r="H4166" t="str">
        <f>HYPERLINK("https://baanknet.com/view-property/245013/2D85B96E7C8C95C9E07B75CA2712589AC53DD45673C77974D1732EA305F4C4EB", "https://baanknet.com/view-property/245013/2D85B96E7C8C95C9E07B75CA2712589AC53DD45673C77974D1732EA305F4C4EB")</f>
        <v>https://baanknet.com/view-property/245013/2D85B96E7C8C95C9E07B75CA2712589AC53DD45673C77974D1732EA305F4C4EB</v>
      </c>
      <c r="I4166" t="str">
        <f>HYPERLINK("https://baanknet.com/view-property/245013/2D85B96E7C8C95C9E07B75CA2712589AC53DD45673C77974D1732EA305F4C4EB", "Open")</f>
        <v>Open</v>
      </c>
      <c r="J4166" t="s">
        <v>3803</v>
      </c>
      <c r="L4166">
        <v>800000</v>
      </c>
      <c r="M4166">
        <v>80000</v>
      </c>
    </row>
    <row r="4167" spans="1:13" x14ac:dyDescent="0.25">
      <c r="A4167" t="s">
        <v>13903</v>
      </c>
      <c r="B4167" t="s">
        <v>13904</v>
      </c>
      <c r="C4167" t="s">
        <v>15</v>
      </c>
      <c r="D4167" t="s">
        <v>157</v>
      </c>
      <c r="E4167" t="s">
        <v>11981</v>
      </c>
      <c r="F4167" t="s">
        <v>13894</v>
      </c>
      <c r="G4167" t="s">
        <v>13905</v>
      </c>
      <c r="H4167" t="str">
        <f>HYPERLINK("https://baanknet.com/view-property/279959/05CB5A56DA7F81F319D87A1C19573EAE8DF855E324A1912564FA0170375D66C1", "https://baanknet.com/view-property/279959/05CB5A56DA7F81F319D87A1C19573EAE8DF855E324A1912564FA0170375D66C1")</f>
        <v>https://baanknet.com/view-property/279959/05CB5A56DA7F81F319D87A1C19573EAE8DF855E324A1912564FA0170375D66C1</v>
      </c>
      <c r="I4167" t="str">
        <f>HYPERLINK("https://baanknet.com/view-property/279959/05CB5A56DA7F81F319D87A1C19573EAE8DF855E324A1912564FA0170375D66C1", "Open")</f>
        <v>Open</v>
      </c>
      <c r="J4167" t="s">
        <v>3803</v>
      </c>
      <c r="L4167">
        <v>5075000</v>
      </c>
      <c r="M4167">
        <v>507500</v>
      </c>
    </row>
    <row r="4168" spans="1:13" x14ac:dyDescent="0.25">
      <c r="A4168" t="s">
        <v>13906</v>
      </c>
      <c r="B4168" t="s">
        <v>13907</v>
      </c>
      <c r="C4168" t="s">
        <v>15</v>
      </c>
      <c r="D4168" t="s">
        <v>157</v>
      </c>
      <c r="E4168" t="s">
        <v>11981</v>
      </c>
      <c r="F4168" t="s">
        <v>13894</v>
      </c>
      <c r="G4168" t="s">
        <v>13908</v>
      </c>
      <c r="H4168" t="str">
        <f>HYPERLINK("https://baanknet.com/view-property/280220/2D4E362F5AB4D2A1E4D61BDE1A467DD008265F8190581C954B8C07D20A80FAE8", "https://baanknet.com/view-property/280220/2D4E362F5AB4D2A1E4D61BDE1A467DD008265F8190581C954B8C07D20A80FAE8")</f>
        <v>https://baanknet.com/view-property/280220/2D4E362F5AB4D2A1E4D61BDE1A467DD008265F8190581C954B8C07D20A80FAE8</v>
      </c>
      <c r="I4168" t="str">
        <f>HYPERLINK("https://baanknet.com/view-property/280220/2D4E362F5AB4D2A1E4D61BDE1A467DD008265F8190581C954B8C07D20A80FAE8", "Open")</f>
        <v>Open</v>
      </c>
      <c r="J4168" t="s">
        <v>3803</v>
      </c>
      <c r="L4168">
        <v>8625000</v>
      </c>
      <c r="M4168">
        <v>862500</v>
      </c>
    </row>
    <row r="4169" spans="1:13" x14ac:dyDescent="0.25">
      <c r="A4169" t="s">
        <v>13909</v>
      </c>
      <c r="B4169" t="s">
        <v>13910</v>
      </c>
      <c r="C4169" t="s">
        <v>15</v>
      </c>
      <c r="D4169" t="s">
        <v>157</v>
      </c>
      <c r="E4169" t="s">
        <v>11981</v>
      </c>
      <c r="F4169" t="s">
        <v>13894</v>
      </c>
      <c r="G4169" t="s">
        <v>13911</v>
      </c>
      <c r="H4169" t="str">
        <f>HYPERLINK("https://baanknet.com/view-property/279951/99A76B16078484B730285EC6D1007D3FE152730E0ACCEA6CE33498776B1703A1", "https://baanknet.com/view-property/279951/99A76B16078484B730285EC6D1007D3FE152730E0ACCEA6CE33498776B1703A1")</f>
        <v>https://baanknet.com/view-property/279951/99A76B16078484B730285EC6D1007D3FE152730E0ACCEA6CE33498776B1703A1</v>
      </c>
      <c r="I4169" t="str">
        <f>HYPERLINK("https://baanknet.com/view-property/279951/99A76B16078484B730285EC6D1007D3FE152730E0ACCEA6CE33498776B1703A1", "Open")</f>
        <v>Open</v>
      </c>
      <c r="J4169" t="s">
        <v>3803</v>
      </c>
      <c r="L4169">
        <v>5900000</v>
      </c>
      <c r="M4169">
        <v>590000</v>
      </c>
    </row>
    <row r="4170" spans="1:13" x14ac:dyDescent="0.25">
      <c r="A4170" t="s">
        <v>13912</v>
      </c>
      <c r="B4170" t="s">
        <v>13913</v>
      </c>
      <c r="C4170" t="s">
        <v>15</v>
      </c>
      <c r="D4170" t="s">
        <v>13914</v>
      </c>
      <c r="E4170" t="s">
        <v>11981</v>
      </c>
      <c r="F4170" t="s">
        <v>13894</v>
      </c>
      <c r="G4170" t="s">
        <v>13915</v>
      </c>
      <c r="H4170" t="str">
        <f>HYPERLINK("https://baanknet.com/view-property/279470/9DF29CA0E9BABD81B3CB867B4DB411F46F1581D4DB6519B5FE4924B0CC3CB56F", "https://baanknet.com/view-property/279470/9DF29CA0E9BABD81B3CB867B4DB411F46F1581D4DB6519B5FE4924B0CC3CB56F")</f>
        <v>https://baanknet.com/view-property/279470/9DF29CA0E9BABD81B3CB867B4DB411F46F1581D4DB6519B5FE4924B0CC3CB56F</v>
      </c>
      <c r="I4170" t="str">
        <f>HYPERLINK("https://baanknet.com/view-property/279470/9DF29CA0E9BABD81B3CB867B4DB411F46F1581D4DB6519B5FE4924B0CC3CB56F", "Open")</f>
        <v>Open</v>
      </c>
      <c r="J4170" t="s">
        <v>3803</v>
      </c>
      <c r="L4170">
        <v>5850000</v>
      </c>
      <c r="M4170">
        <v>585000</v>
      </c>
    </row>
    <row r="4171" spans="1:13" x14ac:dyDescent="0.25">
      <c r="A4171" t="s">
        <v>13916</v>
      </c>
      <c r="B4171" t="s">
        <v>13917</v>
      </c>
      <c r="C4171" t="s">
        <v>15</v>
      </c>
      <c r="D4171" t="s">
        <v>2446</v>
      </c>
      <c r="E4171" t="s">
        <v>11981</v>
      </c>
      <c r="F4171" t="s">
        <v>13894</v>
      </c>
      <c r="G4171" t="s">
        <v>13918</v>
      </c>
      <c r="H4171" t="str">
        <f>HYPERLINK("https://baanknet.com/view-property/252949/A4CE03988AEBB6D5C9746364369F518F75F0AE6925F04D3FEA0D1CEEBF90C6F0", "https://baanknet.com/view-property/252949/A4CE03988AEBB6D5C9746364369F518F75F0AE6925F04D3FEA0D1CEEBF90C6F0")</f>
        <v>https://baanknet.com/view-property/252949/A4CE03988AEBB6D5C9746364369F518F75F0AE6925F04D3FEA0D1CEEBF90C6F0</v>
      </c>
      <c r="I4171" t="str">
        <f>HYPERLINK("https://baanknet.com/view-property/252949/A4CE03988AEBB6D5C9746364369F518F75F0AE6925F04D3FEA0D1CEEBF90C6F0", "Open")</f>
        <v>Open</v>
      </c>
      <c r="J4171" t="s">
        <v>3803</v>
      </c>
      <c r="L4171">
        <v>2150000</v>
      </c>
      <c r="M4171">
        <v>215000</v>
      </c>
    </row>
    <row r="4172" spans="1:13" x14ac:dyDescent="0.25">
      <c r="A4172" t="s">
        <v>13919</v>
      </c>
      <c r="B4172" t="s">
        <v>13920</v>
      </c>
      <c r="C4172" t="s">
        <v>15</v>
      </c>
      <c r="D4172" t="s">
        <v>157</v>
      </c>
      <c r="E4172" t="s">
        <v>11981</v>
      </c>
      <c r="F4172" t="s">
        <v>13894</v>
      </c>
      <c r="G4172" t="s">
        <v>13921</v>
      </c>
      <c r="H4172" t="str">
        <f>HYPERLINK("https://baanknet.com/view-property/223891/01BC170ECACBBA25B98C72B03BF64A75E2339FA735FAC21A56C4B62F465CFDDC", "https://baanknet.com/view-property/223891/01BC170ECACBBA25B98C72B03BF64A75E2339FA735FAC21A56C4B62F465CFDDC")</f>
        <v>https://baanknet.com/view-property/223891/01BC170ECACBBA25B98C72B03BF64A75E2339FA735FAC21A56C4B62F465CFDDC</v>
      </c>
      <c r="I4172" t="str">
        <f>HYPERLINK("https://baanknet.com/view-property/223891/01BC170ECACBBA25B98C72B03BF64A75E2339FA735FAC21A56C4B62F465CFDDC", "Open")</f>
        <v>Open</v>
      </c>
      <c r="J4172" t="s">
        <v>3803</v>
      </c>
      <c r="L4172">
        <v>1180000</v>
      </c>
      <c r="M4172">
        <v>118000</v>
      </c>
    </row>
    <row r="4173" spans="1:13" x14ac:dyDescent="0.25">
      <c r="A4173" t="s">
        <v>13922</v>
      </c>
      <c r="B4173" t="s">
        <v>13923</v>
      </c>
      <c r="C4173" t="s">
        <v>15</v>
      </c>
      <c r="D4173" t="s">
        <v>13796</v>
      </c>
      <c r="E4173" t="s">
        <v>11981</v>
      </c>
      <c r="F4173" t="s">
        <v>13894</v>
      </c>
      <c r="G4173" t="s">
        <v>13924</v>
      </c>
      <c r="H4173" t="str">
        <f>HYPERLINK("https://baanknet.com/view-property/279291/2DD706FE0FF60E9E362791CDFC605F3117B6010DA85FC3093E87BFC94317D271", "https://baanknet.com/view-property/279291/2DD706FE0FF60E9E362791CDFC605F3117B6010DA85FC3093E87BFC94317D271")</f>
        <v>https://baanknet.com/view-property/279291/2DD706FE0FF60E9E362791CDFC605F3117B6010DA85FC3093E87BFC94317D271</v>
      </c>
      <c r="I4173" t="str">
        <f>HYPERLINK("https://baanknet.com/view-property/279291/2DD706FE0FF60E9E362791CDFC605F3117B6010DA85FC3093E87BFC94317D271", "Open")</f>
        <v>Open</v>
      </c>
      <c r="J4173" t="s">
        <v>3803</v>
      </c>
      <c r="L4173">
        <v>2300000</v>
      </c>
      <c r="M4173">
        <v>230000</v>
      </c>
    </row>
    <row r="4174" spans="1:13" x14ac:dyDescent="0.25">
      <c r="A4174" t="s">
        <v>13925</v>
      </c>
      <c r="B4174" t="s">
        <v>13926</v>
      </c>
      <c r="C4174" t="s">
        <v>15</v>
      </c>
      <c r="D4174" t="s">
        <v>2234</v>
      </c>
      <c r="E4174" t="s">
        <v>11981</v>
      </c>
      <c r="F4174" t="s">
        <v>13894</v>
      </c>
      <c r="G4174" t="s">
        <v>13927</v>
      </c>
      <c r="H4174" t="str">
        <f>HYPERLINK("https://baanknet.com/view-property/259616/C2B9F66C0BED53AD039B44EC0547501529C2FDB8EB4DEBCE81A73274034F81DE", "https://baanknet.com/view-property/259616/C2B9F66C0BED53AD039B44EC0547501529C2FDB8EB4DEBCE81A73274034F81DE")</f>
        <v>https://baanknet.com/view-property/259616/C2B9F66C0BED53AD039B44EC0547501529C2FDB8EB4DEBCE81A73274034F81DE</v>
      </c>
      <c r="I4174" t="str">
        <f>HYPERLINK("https://baanknet.com/view-property/259616/C2B9F66C0BED53AD039B44EC0547501529C2FDB8EB4DEBCE81A73274034F81DE", "Open")</f>
        <v>Open</v>
      </c>
      <c r="J4174" t="s">
        <v>3803</v>
      </c>
      <c r="L4174">
        <v>1725000</v>
      </c>
      <c r="M4174">
        <v>172500</v>
      </c>
    </row>
    <row r="4175" spans="1:13" x14ac:dyDescent="0.25">
      <c r="A4175" t="s">
        <v>13928</v>
      </c>
      <c r="B4175" t="s">
        <v>13929</v>
      </c>
      <c r="C4175" t="s">
        <v>15</v>
      </c>
      <c r="D4175" t="s">
        <v>157</v>
      </c>
      <c r="E4175" t="s">
        <v>11981</v>
      </c>
      <c r="F4175" t="s">
        <v>13894</v>
      </c>
      <c r="G4175" t="s">
        <v>13930</v>
      </c>
      <c r="H4175" t="str">
        <f>HYPERLINK("https://baanknet.com/view-property/259623/A068F5359A79CD2EDA528A5AAF2AC20111D4357CB9F9576256AC49EA619C52DC", "https://baanknet.com/view-property/259623/A068F5359A79CD2EDA528A5AAF2AC20111D4357CB9F9576256AC49EA619C52DC")</f>
        <v>https://baanknet.com/view-property/259623/A068F5359A79CD2EDA528A5AAF2AC20111D4357CB9F9576256AC49EA619C52DC</v>
      </c>
      <c r="I4175" t="str">
        <f>HYPERLINK("https://baanknet.com/view-property/259623/A068F5359A79CD2EDA528A5AAF2AC20111D4357CB9F9576256AC49EA619C52DC", "Open")</f>
        <v>Open</v>
      </c>
      <c r="J4175" t="s">
        <v>3803</v>
      </c>
      <c r="L4175">
        <v>8355000</v>
      </c>
      <c r="M4175">
        <v>835500</v>
      </c>
    </row>
    <row r="4176" spans="1:13" x14ac:dyDescent="0.25">
      <c r="A4176" t="s">
        <v>13931</v>
      </c>
      <c r="B4176" t="s">
        <v>13932</v>
      </c>
      <c r="C4176" t="s">
        <v>15</v>
      </c>
      <c r="D4176" t="s">
        <v>157</v>
      </c>
      <c r="E4176" t="s">
        <v>11981</v>
      </c>
      <c r="F4176" t="s">
        <v>13894</v>
      </c>
      <c r="G4176" t="s">
        <v>13933</v>
      </c>
      <c r="H4176" t="str">
        <f>HYPERLINK("https://baanknet.com/view-property/259627/69DDE42F6CA25F5C5DCE0C21F7B0A2075882E01B33B0CE62FEF567529D07AC27", "https://baanknet.com/view-property/259627/69DDE42F6CA25F5C5DCE0C21F7B0A2075882E01B33B0CE62FEF567529D07AC27")</f>
        <v>https://baanknet.com/view-property/259627/69DDE42F6CA25F5C5DCE0C21F7B0A2075882E01B33B0CE62FEF567529D07AC27</v>
      </c>
      <c r="I4176" t="str">
        <f>HYPERLINK("https://baanknet.com/view-property/259627/69DDE42F6CA25F5C5DCE0C21F7B0A2075882E01B33B0CE62FEF567529D07AC27", "Open")</f>
        <v>Open</v>
      </c>
      <c r="J4176" t="s">
        <v>3803</v>
      </c>
      <c r="L4176">
        <v>8355000</v>
      </c>
      <c r="M4176">
        <v>835500</v>
      </c>
    </row>
    <row r="4177" spans="1:13" x14ac:dyDescent="0.25">
      <c r="A4177" t="s">
        <v>13934</v>
      </c>
      <c r="B4177" t="s">
        <v>13935</v>
      </c>
      <c r="C4177" t="s">
        <v>15</v>
      </c>
      <c r="D4177" t="s">
        <v>157</v>
      </c>
      <c r="E4177" t="s">
        <v>11981</v>
      </c>
      <c r="F4177" t="s">
        <v>13894</v>
      </c>
      <c r="G4177" t="s">
        <v>13936</v>
      </c>
      <c r="H4177" t="str">
        <f>HYPERLINK("https://baanknet.com/view-property/266315/87A71A162350B2AC43EEE1288D83E0D28D885F7881ABF59B36DF11B0A018870F", "https://baanknet.com/view-property/266315/87A71A162350B2AC43EEE1288D83E0D28D885F7881ABF59B36DF11B0A018870F")</f>
        <v>https://baanknet.com/view-property/266315/87A71A162350B2AC43EEE1288D83E0D28D885F7881ABF59B36DF11B0A018870F</v>
      </c>
      <c r="I4177" t="str">
        <f>HYPERLINK("https://baanknet.com/view-property/266315/87A71A162350B2AC43EEE1288D83E0D28D885F7881ABF59B36DF11B0A018870F", "Open")</f>
        <v>Open</v>
      </c>
      <c r="J4177" t="s">
        <v>3803</v>
      </c>
      <c r="L4177">
        <v>1758000</v>
      </c>
      <c r="M4177">
        <v>175800</v>
      </c>
    </row>
    <row r="4178" spans="1:13" x14ac:dyDescent="0.25">
      <c r="A4178" t="s">
        <v>13937</v>
      </c>
      <c r="B4178" t="s">
        <v>13938</v>
      </c>
      <c r="C4178" t="s">
        <v>15</v>
      </c>
      <c r="D4178" t="s">
        <v>157</v>
      </c>
      <c r="E4178" t="s">
        <v>11981</v>
      </c>
      <c r="F4178" t="s">
        <v>13894</v>
      </c>
      <c r="G4178" t="s">
        <v>13939</v>
      </c>
      <c r="H4178" t="str">
        <f>HYPERLINK("https://baanknet.com/view-property/247786/0F174B742940C5653B53EA076CAA1347A34757F3B178124620EC4B3A79B82434", "https://baanknet.com/view-property/247786/0F174B742940C5653B53EA076CAA1347A34757F3B178124620EC4B3A79B82434")</f>
        <v>https://baanknet.com/view-property/247786/0F174B742940C5653B53EA076CAA1347A34757F3B178124620EC4B3A79B82434</v>
      </c>
      <c r="I4178" t="str">
        <f>HYPERLINK("https://baanknet.com/view-property/247786/0F174B742940C5653B53EA076CAA1347A34757F3B178124620EC4B3A79B82434", "Open")</f>
        <v>Open</v>
      </c>
      <c r="J4178" t="s">
        <v>3803</v>
      </c>
      <c r="L4178">
        <v>3101000</v>
      </c>
      <c r="M4178">
        <v>310100</v>
      </c>
    </row>
    <row r="4179" spans="1:13" x14ac:dyDescent="0.25">
      <c r="A4179" t="s">
        <v>13940</v>
      </c>
      <c r="B4179" t="s">
        <v>13941</v>
      </c>
      <c r="C4179" t="s">
        <v>15</v>
      </c>
      <c r="D4179" t="s">
        <v>1218</v>
      </c>
      <c r="E4179" t="s">
        <v>11981</v>
      </c>
      <c r="F4179" t="s">
        <v>13894</v>
      </c>
      <c r="G4179" t="s">
        <v>13942</v>
      </c>
      <c r="H4179" t="str">
        <f>HYPERLINK("https://baanknet.com/view-property/251011/27ADF52097193A01AEF9FAC007578018B13FD28BF3F731D43575C3426C6F5B66", "https://baanknet.com/view-property/251011/27ADF52097193A01AEF9FAC007578018B13FD28BF3F731D43575C3426C6F5B66")</f>
        <v>https://baanknet.com/view-property/251011/27ADF52097193A01AEF9FAC007578018B13FD28BF3F731D43575C3426C6F5B66</v>
      </c>
      <c r="I4179" t="str">
        <f>HYPERLINK("https://baanknet.com/view-property/251011/27ADF52097193A01AEF9FAC007578018B13FD28BF3F731D43575C3426C6F5B66", "Open")</f>
        <v>Open</v>
      </c>
      <c r="J4179" t="s">
        <v>3803</v>
      </c>
      <c r="L4179">
        <v>1302000</v>
      </c>
      <c r="M4179">
        <v>130200</v>
      </c>
    </row>
    <row r="4180" spans="1:13" x14ac:dyDescent="0.25">
      <c r="A4180" t="s">
        <v>13943</v>
      </c>
      <c r="B4180" t="s">
        <v>13944</v>
      </c>
      <c r="C4180" t="s">
        <v>15</v>
      </c>
      <c r="D4180" t="s">
        <v>157</v>
      </c>
      <c r="E4180" t="s">
        <v>11981</v>
      </c>
      <c r="F4180" t="s">
        <v>13894</v>
      </c>
      <c r="G4180" t="s">
        <v>13945</v>
      </c>
      <c r="H4180" t="str">
        <f>HYPERLINK("https://baanknet.com/view-property/269426/BDCACA4676692F1DD7974E8DF9125CBCEEE27972D78976CBD6195BF73C3D6E82", "https://baanknet.com/view-property/269426/BDCACA4676692F1DD7974E8DF9125CBCEEE27972D78976CBD6195BF73C3D6E82")</f>
        <v>https://baanknet.com/view-property/269426/BDCACA4676692F1DD7974E8DF9125CBCEEE27972D78976CBD6195BF73C3D6E82</v>
      </c>
      <c r="I4180" t="str">
        <f>HYPERLINK("https://baanknet.com/view-property/269426/BDCACA4676692F1DD7974E8DF9125CBCEEE27972D78976CBD6195BF73C3D6E82", "Open")</f>
        <v>Open</v>
      </c>
      <c r="J4180" t="s">
        <v>3803</v>
      </c>
      <c r="L4180">
        <v>2000000</v>
      </c>
      <c r="M4180">
        <v>200000</v>
      </c>
    </row>
    <row r="4181" spans="1:13" x14ac:dyDescent="0.25">
      <c r="A4181" t="s">
        <v>13946</v>
      </c>
      <c r="B4181" t="s">
        <v>13947</v>
      </c>
      <c r="C4181" t="s">
        <v>15</v>
      </c>
      <c r="D4181" t="s">
        <v>157</v>
      </c>
      <c r="E4181" t="s">
        <v>11981</v>
      </c>
      <c r="F4181" t="s">
        <v>13894</v>
      </c>
      <c r="G4181" t="s">
        <v>13948</v>
      </c>
      <c r="H4181" t="str">
        <f>HYPERLINK("https://baanknet.com/view-property/274130/AE8A258C16539EAA66DB0AA3B6913488FBB031E1A5BE854E465FD4116DEA0211", "https://baanknet.com/view-property/274130/AE8A258C16539EAA66DB0AA3B6913488FBB031E1A5BE854E465FD4116DEA0211")</f>
        <v>https://baanknet.com/view-property/274130/AE8A258C16539EAA66DB0AA3B6913488FBB031E1A5BE854E465FD4116DEA0211</v>
      </c>
      <c r="I4181" t="str">
        <f>HYPERLINK("https://baanknet.com/view-property/274130/AE8A258C16539EAA66DB0AA3B6913488FBB031E1A5BE854E465FD4116DEA0211", "Open")</f>
        <v>Open</v>
      </c>
      <c r="J4181" t="s">
        <v>3803</v>
      </c>
      <c r="L4181">
        <v>16900000</v>
      </c>
      <c r="M4181">
        <v>1690000</v>
      </c>
    </row>
    <row r="4182" spans="1:13" x14ac:dyDescent="0.25">
      <c r="A4182" t="s">
        <v>13949</v>
      </c>
      <c r="B4182" t="s">
        <v>13950</v>
      </c>
      <c r="C4182" t="s">
        <v>15</v>
      </c>
      <c r="D4182" t="s">
        <v>1692</v>
      </c>
      <c r="E4182" t="s">
        <v>11981</v>
      </c>
      <c r="F4182" t="s">
        <v>13894</v>
      </c>
      <c r="G4182" t="s">
        <v>13951</v>
      </c>
      <c r="H4182" t="str">
        <f>HYPERLINK("https://baanknet.com/view-property/249089/8167F4BDB3EF834DD3FBDADA1B7A09E28BA85A78656C8B6A18F05C456015D650", "https://baanknet.com/view-property/249089/8167F4BDB3EF834DD3FBDADA1B7A09E28BA85A78656C8B6A18F05C456015D650")</f>
        <v>https://baanknet.com/view-property/249089/8167F4BDB3EF834DD3FBDADA1B7A09E28BA85A78656C8B6A18F05C456015D650</v>
      </c>
      <c r="I4182" t="str">
        <f>HYPERLINK("https://baanknet.com/view-property/249089/8167F4BDB3EF834DD3FBDADA1B7A09E28BA85A78656C8B6A18F05C456015D650", "Open")</f>
        <v>Open</v>
      </c>
      <c r="J4182" t="s">
        <v>3803</v>
      </c>
      <c r="L4182">
        <v>1530000</v>
      </c>
      <c r="M4182">
        <v>153000</v>
      </c>
    </row>
    <row r="4183" spans="1:13" x14ac:dyDescent="0.25">
      <c r="A4183" t="s">
        <v>13952</v>
      </c>
      <c r="B4183" t="s">
        <v>13953</v>
      </c>
      <c r="C4183" t="s">
        <v>15</v>
      </c>
      <c r="D4183" t="s">
        <v>157</v>
      </c>
      <c r="E4183" t="s">
        <v>11981</v>
      </c>
      <c r="F4183" t="s">
        <v>13894</v>
      </c>
      <c r="G4183" t="s">
        <v>13954</v>
      </c>
      <c r="H4183" t="str">
        <f>HYPERLINK("https://baanknet.com/view-property/198685/3AA5C3503D89B90BC37F06AD34BB6BA71FA18E509D95A145583AB15E9FB45FC7", "https://baanknet.com/view-property/198685/3AA5C3503D89B90BC37F06AD34BB6BA71FA18E509D95A145583AB15E9FB45FC7")</f>
        <v>https://baanknet.com/view-property/198685/3AA5C3503D89B90BC37F06AD34BB6BA71FA18E509D95A145583AB15E9FB45FC7</v>
      </c>
      <c r="I4183" t="str">
        <f>HYPERLINK("https://baanknet.com/view-property/198685/3AA5C3503D89B90BC37F06AD34BB6BA71FA18E509D95A145583AB15E9FB45FC7", "Open")</f>
        <v>Open</v>
      </c>
      <c r="J4183" t="s">
        <v>3803</v>
      </c>
      <c r="L4183">
        <v>2950000</v>
      </c>
      <c r="M4183">
        <v>295000</v>
      </c>
    </row>
    <row r="4184" spans="1:13" x14ac:dyDescent="0.25">
      <c r="A4184" t="s">
        <v>13955</v>
      </c>
      <c r="B4184" t="s">
        <v>13956</v>
      </c>
      <c r="C4184" t="s">
        <v>121</v>
      </c>
      <c r="D4184" t="s">
        <v>13957</v>
      </c>
      <c r="E4184" t="s">
        <v>11981</v>
      </c>
      <c r="F4184" t="s">
        <v>13958</v>
      </c>
      <c r="G4184" t="s">
        <v>13959</v>
      </c>
      <c r="H4184" t="str">
        <f>HYPERLINK("https://baanknet.com/view-property/185382/164E465C1A9E583B8FFC51C8ED9BD3B7A326887583DA70553F3CFC61E1B10E2F", "https://baanknet.com/view-property/185382/164E465C1A9E583B8FFC51C8ED9BD3B7A326887583DA70553F3CFC61E1B10E2F")</f>
        <v>https://baanknet.com/view-property/185382/164E465C1A9E583B8FFC51C8ED9BD3B7A326887583DA70553F3CFC61E1B10E2F</v>
      </c>
      <c r="I4184" t="str">
        <f>HYPERLINK("https://baanknet.com/view-property/185382/164E465C1A9E583B8FFC51C8ED9BD3B7A326887583DA70553F3CFC61E1B10E2F", "Open")</f>
        <v>Open</v>
      </c>
      <c r="J4184" t="s">
        <v>3803</v>
      </c>
      <c r="L4184">
        <v>1077000</v>
      </c>
      <c r="M4184">
        <v>107700</v>
      </c>
    </row>
    <row r="4185" spans="1:13" x14ac:dyDescent="0.25">
      <c r="A4185" t="s">
        <v>13960</v>
      </c>
      <c r="B4185" t="s">
        <v>13961</v>
      </c>
      <c r="C4185" t="s">
        <v>144</v>
      </c>
      <c r="D4185" t="s">
        <v>282</v>
      </c>
      <c r="E4185" t="s">
        <v>11981</v>
      </c>
      <c r="F4185" t="s">
        <v>13958</v>
      </c>
      <c r="G4185" t="s">
        <v>13962</v>
      </c>
      <c r="H4185" t="str">
        <f>HYPERLINK("https://baanknet.com/view-property/250272/33CD2DA5625CCA459526211D18B1881683452C3C9EBD38F87785D11E93135E6C", "https://baanknet.com/view-property/250272/33CD2DA5625CCA459526211D18B1881683452C3C9EBD38F87785D11E93135E6C")</f>
        <v>https://baanknet.com/view-property/250272/33CD2DA5625CCA459526211D18B1881683452C3C9EBD38F87785D11E93135E6C</v>
      </c>
      <c r="I4185" t="str">
        <f>HYPERLINK("https://baanknet.com/view-property/250272/33CD2DA5625CCA459526211D18B1881683452C3C9EBD38F87785D11E93135E6C", "Open")</f>
        <v>Open</v>
      </c>
      <c r="J4185" t="s">
        <v>3803</v>
      </c>
      <c r="L4185">
        <v>2862000</v>
      </c>
      <c r="M4185">
        <v>286200</v>
      </c>
    </row>
    <row r="4186" spans="1:13" x14ac:dyDescent="0.25">
      <c r="A4186" t="s">
        <v>13963</v>
      </c>
      <c r="B4186" t="s">
        <v>13964</v>
      </c>
      <c r="C4186" t="s">
        <v>144</v>
      </c>
      <c r="D4186" t="s">
        <v>282</v>
      </c>
      <c r="E4186" t="s">
        <v>11981</v>
      </c>
      <c r="F4186" t="s">
        <v>13958</v>
      </c>
      <c r="G4186" t="s">
        <v>13965</v>
      </c>
      <c r="H4186" t="str">
        <f>HYPERLINK("https://baanknet.com/view-property/275726/11BFC36FE1AB8874753B1DD4ED1930A77E95A8B3D854200A078E0D3DBE6FC27E", "https://baanknet.com/view-property/275726/11BFC36FE1AB8874753B1DD4ED1930A77E95A8B3D854200A078E0D3DBE6FC27E")</f>
        <v>https://baanknet.com/view-property/275726/11BFC36FE1AB8874753B1DD4ED1930A77E95A8B3D854200A078E0D3DBE6FC27E</v>
      </c>
      <c r="I4186" t="str">
        <f>HYPERLINK("https://baanknet.com/view-property/275726/11BFC36FE1AB8874753B1DD4ED1930A77E95A8B3D854200A078E0D3DBE6FC27E", "Open")</f>
        <v>Open</v>
      </c>
      <c r="J4186" t="s">
        <v>3803</v>
      </c>
      <c r="L4186">
        <v>1813000</v>
      </c>
      <c r="M4186">
        <v>181300</v>
      </c>
    </row>
    <row r="4187" spans="1:13" x14ac:dyDescent="0.25">
      <c r="A4187" t="s">
        <v>13966</v>
      </c>
      <c r="B4187" t="s">
        <v>13967</v>
      </c>
      <c r="C4187" t="s">
        <v>144</v>
      </c>
      <c r="D4187" t="s">
        <v>9101</v>
      </c>
      <c r="E4187" t="s">
        <v>11981</v>
      </c>
      <c r="F4187" t="s">
        <v>13958</v>
      </c>
      <c r="G4187" t="s">
        <v>13968</v>
      </c>
      <c r="H4187" t="str">
        <f>HYPERLINK("https://baanknet.com/view-property/199618/0DB123B8FE8A12FBDB42A72515ACC69677F2DE74DABA983678A9C91D0B63C296", "https://baanknet.com/view-property/199618/0DB123B8FE8A12FBDB42A72515ACC69677F2DE74DABA983678A9C91D0B63C296")</f>
        <v>https://baanknet.com/view-property/199618/0DB123B8FE8A12FBDB42A72515ACC69677F2DE74DABA983678A9C91D0B63C296</v>
      </c>
      <c r="I4187" t="str">
        <f>HYPERLINK("https://baanknet.com/view-property/199618/0DB123B8FE8A12FBDB42A72515ACC69677F2DE74DABA983678A9C91D0B63C296", "Open")</f>
        <v>Open</v>
      </c>
      <c r="J4187" t="s">
        <v>3803</v>
      </c>
      <c r="L4187">
        <v>630000</v>
      </c>
      <c r="M4187">
        <v>63000</v>
      </c>
    </row>
    <row r="4188" spans="1:13" x14ac:dyDescent="0.25">
      <c r="A4188" t="s">
        <v>13969</v>
      </c>
      <c r="B4188" t="s">
        <v>13970</v>
      </c>
      <c r="C4188" t="s">
        <v>144</v>
      </c>
      <c r="D4188" t="s">
        <v>9101</v>
      </c>
      <c r="E4188" t="s">
        <v>11981</v>
      </c>
      <c r="F4188" t="s">
        <v>13958</v>
      </c>
      <c r="G4188" t="s">
        <v>13971</v>
      </c>
      <c r="H4188" t="str">
        <f>HYPERLINK("https://baanknet.com/view-property/199632/F4255A549D8C723C49B298569B68C5323683B34A5FE356AE81E8FFFF69A37E92", "https://baanknet.com/view-property/199632/F4255A549D8C723C49B298569B68C5323683B34A5FE356AE81E8FFFF69A37E92")</f>
        <v>https://baanknet.com/view-property/199632/F4255A549D8C723C49B298569B68C5323683B34A5FE356AE81E8FFFF69A37E92</v>
      </c>
      <c r="I4188" t="str">
        <f>HYPERLINK("https://baanknet.com/view-property/199632/F4255A549D8C723C49B298569B68C5323683B34A5FE356AE81E8FFFF69A37E92", "Open")</f>
        <v>Open</v>
      </c>
      <c r="J4188" t="s">
        <v>3803</v>
      </c>
      <c r="L4188">
        <v>630000</v>
      </c>
      <c r="M4188">
        <v>63000</v>
      </c>
    </row>
    <row r="4189" spans="1:13" x14ac:dyDescent="0.25">
      <c r="A4189" t="s">
        <v>13972</v>
      </c>
      <c r="B4189" t="s">
        <v>13973</v>
      </c>
      <c r="C4189" t="s">
        <v>144</v>
      </c>
      <c r="D4189" t="s">
        <v>9101</v>
      </c>
      <c r="E4189" t="s">
        <v>11981</v>
      </c>
      <c r="F4189" t="s">
        <v>13958</v>
      </c>
      <c r="G4189" t="s">
        <v>13974</v>
      </c>
      <c r="H4189" t="str">
        <f>HYPERLINK("https://baanknet.com/view-property/199637/4E8D3C3BC96B85476792EE2CAD41F9C51539FF1ABFD48C6060E0CF3461D07583", "https://baanknet.com/view-property/199637/4E8D3C3BC96B85476792EE2CAD41F9C51539FF1ABFD48C6060E0CF3461D07583")</f>
        <v>https://baanknet.com/view-property/199637/4E8D3C3BC96B85476792EE2CAD41F9C51539FF1ABFD48C6060E0CF3461D07583</v>
      </c>
      <c r="I4189" t="str">
        <f>HYPERLINK("https://baanknet.com/view-property/199637/4E8D3C3BC96B85476792EE2CAD41F9C51539FF1ABFD48C6060E0CF3461D07583", "Open")</f>
        <v>Open</v>
      </c>
      <c r="J4189" t="s">
        <v>3803</v>
      </c>
      <c r="L4189">
        <v>630000</v>
      </c>
      <c r="M4189">
        <v>63000</v>
      </c>
    </row>
    <row r="4190" spans="1:13" x14ac:dyDescent="0.25">
      <c r="A4190" t="s">
        <v>13975</v>
      </c>
      <c r="B4190" t="s">
        <v>13976</v>
      </c>
      <c r="C4190" t="s">
        <v>144</v>
      </c>
      <c r="D4190" t="s">
        <v>9101</v>
      </c>
      <c r="E4190" t="s">
        <v>11981</v>
      </c>
      <c r="F4190" t="s">
        <v>13958</v>
      </c>
      <c r="G4190" t="s">
        <v>13977</v>
      </c>
      <c r="H4190" t="str">
        <f>HYPERLINK("https://baanknet.com/view-property/199641/4A2E84D9423337EC62AA3CFB4F92400760F5DA8F7B15607D115AEDCF4DE09E25", "https://baanknet.com/view-property/199641/4A2E84D9423337EC62AA3CFB4F92400760F5DA8F7B15607D115AEDCF4DE09E25")</f>
        <v>https://baanknet.com/view-property/199641/4A2E84D9423337EC62AA3CFB4F92400760F5DA8F7B15607D115AEDCF4DE09E25</v>
      </c>
      <c r="I4190" t="str">
        <f>HYPERLINK("https://baanknet.com/view-property/199641/4A2E84D9423337EC62AA3CFB4F92400760F5DA8F7B15607D115AEDCF4DE09E25", "Open")</f>
        <v>Open</v>
      </c>
      <c r="J4190" t="s">
        <v>3803</v>
      </c>
      <c r="L4190">
        <v>595800</v>
      </c>
      <c r="M4190">
        <v>59580</v>
      </c>
    </row>
    <row r="4191" spans="1:13" x14ac:dyDescent="0.25">
      <c r="A4191" t="s">
        <v>13978</v>
      </c>
      <c r="B4191" t="s">
        <v>13979</v>
      </c>
      <c r="C4191" t="s">
        <v>144</v>
      </c>
      <c r="D4191" t="s">
        <v>9101</v>
      </c>
      <c r="E4191" t="s">
        <v>11981</v>
      </c>
      <c r="F4191" t="s">
        <v>13958</v>
      </c>
      <c r="G4191" t="s">
        <v>13980</v>
      </c>
      <c r="H4191" t="str">
        <f>HYPERLINK("https://baanknet.com/view-property/199650/A58E5B50572A1D536DBB0DCD05DF9021C489C58FF4B1A69DEF6BFB710AB4FFB5", "https://baanknet.com/view-property/199650/A58E5B50572A1D536DBB0DCD05DF9021C489C58FF4B1A69DEF6BFB710AB4FFB5")</f>
        <v>https://baanknet.com/view-property/199650/A58E5B50572A1D536DBB0DCD05DF9021C489C58FF4B1A69DEF6BFB710AB4FFB5</v>
      </c>
      <c r="I4191" t="str">
        <f>HYPERLINK("https://baanknet.com/view-property/199650/A58E5B50572A1D536DBB0DCD05DF9021C489C58FF4B1A69DEF6BFB710AB4FFB5", "Open")</f>
        <v>Open</v>
      </c>
      <c r="J4191" t="s">
        <v>3803</v>
      </c>
      <c r="L4191">
        <v>791000</v>
      </c>
      <c r="M4191">
        <v>79100</v>
      </c>
    </row>
    <row r="4192" spans="1:13" x14ac:dyDescent="0.25">
      <c r="A4192" t="s">
        <v>13981</v>
      </c>
      <c r="B4192" t="s">
        <v>13982</v>
      </c>
      <c r="C4192" t="s">
        <v>121</v>
      </c>
      <c r="D4192" t="s">
        <v>1598</v>
      </c>
      <c r="E4192" t="s">
        <v>11981</v>
      </c>
      <c r="F4192" t="s">
        <v>13958</v>
      </c>
      <c r="G4192" t="s">
        <v>13983</v>
      </c>
      <c r="H4192" t="str">
        <f>HYPERLINK("https://baanknet.com/view-property/185396/9CF5A97B5E50C09A07705FA12CA44179357AA121C56762ECC7792CE4811EAF52", "https://baanknet.com/view-property/185396/9CF5A97B5E50C09A07705FA12CA44179357AA121C56762ECC7792CE4811EAF52")</f>
        <v>https://baanknet.com/view-property/185396/9CF5A97B5E50C09A07705FA12CA44179357AA121C56762ECC7792CE4811EAF52</v>
      </c>
      <c r="I4192" t="str">
        <f>HYPERLINK("https://baanknet.com/view-property/185396/9CF5A97B5E50C09A07705FA12CA44179357AA121C56762ECC7792CE4811EAF52", "Open")</f>
        <v>Open</v>
      </c>
      <c r="J4192" t="s">
        <v>3803</v>
      </c>
      <c r="L4192">
        <v>1888000</v>
      </c>
      <c r="M4192">
        <v>188800</v>
      </c>
    </row>
    <row r="4193" spans="1:13" x14ac:dyDescent="0.25">
      <c r="A4193" t="s">
        <v>13984</v>
      </c>
      <c r="B4193" t="s">
        <v>13985</v>
      </c>
      <c r="C4193" t="s">
        <v>121</v>
      </c>
      <c r="D4193" t="s">
        <v>1598</v>
      </c>
      <c r="E4193" t="s">
        <v>11981</v>
      </c>
      <c r="F4193" t="s">
        <v>13958</v>
      </c>
      <c r="G4193" t="s">
        <v>13986</v>
      </c>
      <c r="H4193" t="str">
        <f>HYPERLINK("https://baanknet.com/view-property/175433/F50AE1E648F993072F42B659ABFB57DB892708811156B6811385C982EAA160B8", "https://baanknet.com/view-property/175433/F50AE1E648F993072F42B659ABFB57DB892708811156B6811385C982EAA160B8")</f>
        <v>https://baanknet.com/view-property/175433/F50AE1E648F993072F42B659ABFB57DB892708811156B6811385C982EAA160B8</v>
      </c>
      <c r="I4193" t="str">
        <f>HYPERLINK("https://baanknet.com/view-property/175433/F50AE1E648F993072F42B659ABFB57DB892708811156B6811385C982EAA160B8", "Open")</f>
        <v>Open</v>
      </c>
      <c r="J4193" t="s">
        <v>3803</v>
      </c>
      <c r="L4193">
        <v>1025100</v>
      </c>
      <c r="M4193">
        <v>102510</v>
      </c>
    </row>
    <row r="4194" spans="1:13" x14ac:dyDescent="0.25">
      <c r="A4194" t="s">
        <v>13987</v>
      </c>
      <c r="B4194" t="s">
        <v>13988</v>
      </c>
      <c r="C4194" t="s">
        <v>144</v>
      </c>
      <c r="D4194" t="s">
        <v>282</v>
      </c>
      <c r="E4194" t="s">
        <v>11981</v>
      </c>
      <c r="F4194" t="s">
        <v>13958</v>
      </c>
      <c r="G4194" t="s">
        <v>13989</v>
      </c>
      <c r="H4194" t="str">
        <f>HYPERLINK("https://baanknet.com/view-property/259677/65294F487E749BB39BC2D444B951351431506359954C6F9D4FCDD5032121B1FB", "https://baanknet.com/view-property/259677/65294F487E749BB39BC2D444B951351431506359954C6F9D4FCDD5032121B1FB")</f>
        <v>https://baanknet.com/view-property/259677/65294F487E749BB39BC2D444B951351431506359954C6F9D4FCDD5032121B1FB</v>
      </c>
      <c r="I4194" t="str">
        <f>HYPERLINK("https://baanknet.com/view-property/259677/65294F487E749BB39BC2D444B951351431506359954C6F9D4FCDD5032121B1FB", "Open")</f>
        <v>Open</v>
      </c>
      <c r="J4194" t="s">
        <v>3803</v>
      </c>
      <c r="L4194">
        <v>4320000</v>
      </c>
      <c r="M4194">
        <v>432000</v>
      </c>
    </row>
    <row r="4195" spans="1:13" x14ac:dyDescent="0.25">
      <c r="A4195" t="s">
        <v>13990</v>
      </c>
      <c r="B4195" t="s">
        <v>13991</v>
      </c>
      <c r="C4195" t="s">
        <v>144</v>
      </c>
      <c r="D4195" t="s">
        <v>282</v>
      </c>
      <c r="E4195" t="s">
        <v>11981</v>
      </c>
      <c r="F4195" t="s">
        <v>13958</v>
      </c>
      <c r="G4195" t="s">
        <v>13992</v>
      </c>
      <c r="H4195" t="str">
        <f>HYPERLINK("https://baanknet.com/view-property/275746/226C89B3B90E48068B10075DC8E68EF8E6B126427B2860AB0853145BF2348B0C", "https://baanknet.com/view-property/275746/226C89B3B90E48068B10075DC8E68EF8E6B126427B2860AB0853145BF2348B0C")</f>
        <v>https://baanknet.com/view-property/275746/226C89B3B90E48068B10075DC8E68EF8E6B126427B2860AB0853145BF2348B0C</v>
      </c>
      <c r="I4195" t="str">
        <f>HYPERLINK("https://baanknet.com/view-property/275746/226C89B3B90E48068B10075DC8E68EF8E6B126427B2860AB0853145BF2348B0C", "Open")</f>
        <v>Open</v>
      </c>
      <c r="J4195" t="s">
        <v>3803</v>
      </c>
      <c r="L4195">
        <v>2550000</v>
      </c>
      <c r="M4195">
        <v>255000</v>
      </c>
    </row>
    <row r="4196" spans="1:13" x14ac:dyDescent="0.25">
      <c r="A4196" t="s">
        <v>13993</v>
      </c>
      <c r="B4196" t="s">
        <v>13994</v>
      </c>
      <c r="C4196" t="s">
        <v>144</v>
      </c>
      <c r="D4196" t="s">
        <v>282</v>
      </c>
      <c r="E4196" t="s">
        <v>11981</v>
      </c>
      <c r="F4196" t="s">
        <v>13958</v>
      </c>
      <c r="G4196" t="s">
        <v>13995</v>
      </c>
      <c r="H4196" t="str">
        <f>HYPERLINK("https://baanknet.com/view-property/275667/8D3689BCF9386BC3DED1A31CB2AD839A54B20A6913841E3E5BEBD152093C574B", "https://baanknet.com/view-property/275667/8D3689BCF9386BC3DED1A31CB2AD839A54B20A6913841E3E5BEBD152093C574B")</f>
        <v>https://baanknet.com/view-property/275667/8D3689BCF9386BC3DED1A31CB2AD839A54B20A6913841E3E5BEBD152093C574B</v>
      </c>
      <c r="I4196" t="str">
        <f>HYPERLINK("https://baanknet.com/view-property/275667/8D3689BCF9386BC3DED1A31CB2AD839A54B20A6913841E3E5BEBD152093C574B", "Open")</f>
        <v>Open</v>
      </c>
      <c r="J4196" t="s">
        <v>3803</v>
      </c>
      <c r="L4196">
        <v>1573000</v>
      </c>
      <c r="M4196">
        <v>157300</v>
      </c>
    </row>
    <row r="4197" spans="1:13" x14ac:dyDescent="0.25">
      <c r="A4197" t="s">
        <v>13996</v>
      </c>
      <c r="B4197" t="s">
        <v>13997</v>
      </c>
      <c r="C4197" t="s">
        <v>144</v>
      </c>
      <c r="D4197" t="s">
        <v>282</v>
      </c>
      <c r="E4197" t="s">
        <v>11981</v>
      </c>
      <c r="F4197" t="s">
        <v>13958</v>
      </c>
      <c r="G4197" t="s">
        <v>13998</v>
      </c>
      <c r="H4197" t="str">
        <f>HYPERLINK("https://baanknet.com/view-property/275665/A49BD8DCB61F364A6637623448C431529AA89F33697C8117F02B3B784ECD998E", "https://baanknet.com/view-property/275665/A49BD8DCB61F364A6637623448C431529AA89F33697C8117F02B3B784ECD998E")</f>
        <v>https://baanknet.com/view-property/275665/A49BD8DCB61F364A6637623448C431529AA89F33697C8117F02B3B784ECD998E</v>
      </c>
      <c r="I4197" t="str">
        <f>HYPERLINK("https://baanknet.com/view-property/275665/A49BD8DCB61F364A6637623448C431529AA89F33697C8117F02B3B784ECD998E", "Open")</f>
        <v>Open</v>
      </c>
      <c r="J4197" t="s">
        <v>3803</v>
      </c>
      <c r="L4197">
        <v>4900000</v>
      </c>
      <c r="M4197">
        <v>490000</v>
      </c>
    </row>
    <row r="4198" spans="1:13" x14ac:dyDescent="0.25">
      <c r="A4198" t="s">
        <v>13999</v>
      </c>
      <c r="B4198" t="s">
        <v>14000</v>
      </c>
      <c r="C4198" t="s">
        <v>15</v>
      </c>
      <c r="D4198" t="s">
        <v>1629</v>
      </c>
      <c r="E4198" t="s">
        <v>11981</v>
      </c>
      <c r="F4198" t="s">
        <v>14001</v>
      </c>
      <c r="G4198" t="s">
        <v>14002</v>
      </c>
      <c r="H4198" t="str">
        <f>HYPERLINK("https://baanknet.com/view-property/202232/1B3DCD4311466762A27D5985827146ADB290BBBFC23B50687A723426998BF799", "https://baanknet.com/view-property/202232/1B3DCD4311466762A27D5985827146ADB290BBBFC23B50687A723426998BF799")</f>
        <v>https://baanknet.com/view-property/202232/1B3DCD4311466762A27D5985827146ADB290BBBFC23B50687A723426998BF799</v>
      </c>
      <c r="I4198" t="str">
        <f>HYPERLINK("https://baanknet.com/view-property/202232/1B3DCD4311466762A27D5985827146ADB290BBBFC23B50687A723426998BF799", "Open")</f>
        <v>Open</v>
      </c>
      <c r="J4198" t="s">
        <v>3803</v>
      </c>
      <c r="L4198">
        <v>2210000</v>
      </c>
      <c r="M4198">
        <v>221000</v>
      </c>
    </row>
    <row r="4199" spans="1:13" x14ac:dyDescent="0.25">
      <c r="A4199" t="s">
        <v>14003</v>
      </c>
      <c r="B4199" t="s">
        <v>14004</v>
      </c>
      <c r="C4199" t="s">
        <v>15</v>
      </c>
      <c r="D4199" t="s">
        <v>9841</v>
      </c>
      <c r="E4199" t="s">
        <v>11032</v>
      </c>
      <c r="F4199" t="s">
        <v>12108</v>
      </c>
      <c r="G4199" t="s">
        <v>14005</v>
      </c>
      <c r="H4199" t="str">
        <f>HYPERLINK("https://baanknet.com/view-property/201381/A84E5F0DFDE240705C38EA4B9862C0678F8762C5C442FB8467DB8F060DD024AC", "https://baanknet.com/view-property/201381/A84E5F0DFDE240705C38EA4B9862C0678F8762C5C442FB8467DB8F060DD024AC")</f>
        <v>https://baanknet.com/view-property/201381/A84E5F0DFDE240705C38EA4B9862C0678F8762C5C442FB8467DB8F060DD024AC</v>
      </c>
      <c r="I4199" t="str">
        <f>HYPERLINK("https://baanknet.com/view-property/201381/A84E5F0DFDE240705C38EA4B9862C0678F8762C5C442FB8467DB8F060DD024AC", "Open")</f>
        <v>Open</v>
      </c>
      <c r="J4199" t="s">
        <v>3803</v>
      </c>
      <c r="L4199">
        <v>1750000</v>
      </c>
      <c r="M4199">
        <v>175000</v>
      </c>
    </row>
    <row r="4200" spans="1:13" x14ac:dyDescent="0.25">
      <c r="A4200" t="s">
        <v>14006</v>
      </c>
      <c r="B4200" t="s">
        <v>14007</v>
      </c>
      <c r="C4200" t="s">
        <v>144</v>
      </c>
      <c r="D4200" t="s">
        <v>14008</v>
      </c>
      <c r="E4200" t="s">
        <v>11032</v>
      </c>
      <c r="F4200" t="s">
        <v>12108</v>
      </c>
      <c r="G4200" t="s">
        <v>14009</v>
      </c>
      <c r="H4200" t="str">
        <f>HYPERLINK("https://baanknet.com/view-property/272846/154CEEACBBBF255CFF359670EBBB9A62AE77A7260FE1AAFE550E5543718BCA63", "https://baanknet.com/view-property/272846/154CEEACBBBF255CFF359670EBBB9A62AE77A7260FE1AAFE550E5543718BCA63")</f>
        <v>https://baanknet.com/view-property/272846/154CEEACBBBF255CFF359670EBBB9A62AE77A7260FE1AAFE550E5543718BCA63</v>
      </c>
      <c r="I4200" t="str">
        <f>HYPERLINK("https://baanknet.com/view-property/272846/154CEEACBBBF255CFF359670EBBB9A62AE77A7260FE1AAFE550E5543718BCA63", "Open")</f>
        <v>Open</v>
      </c>
      <c r="J4200" t="s">
        <v>3803</v>
      </c>
      <c r="L4200">
        <v>1675000</v>
      </c>
      <c r="M4200">
        <v>167500</v>
      </c>
    </row>
    <row r="4201" spans="1:13" x14ac:dyDescent="0.25">
      <c r="A4201" t="s">
        <v>14010</v>
      </c>
      <c r="B4201" t="s">
        <v>14011</v>
      </c>
      <c r="C4201" t="s">
        <v>15</v>
      </c>
      <c r="D4201" t="s">
        <v>14012</v>
      </c>
      <c r="E4201" t="s">
        <v>11032</v>
      </c>
      <c r="F4201" t="s">
        <v>12108</v>
      </c>
      <c r="G4201" t="s">
        <v>14013</v>
      </c>
      <c r="H4201" t="str">
        <f>HYPERLINK("https://baanknet.com/view-property/222793/8AF4F05A9732AC05560CC83E054B297BC084F8B18C85FE3BFA7AF8AD21570B38", "https://baanknet.com/view-property/222793/8AF4F05A9732AC05560CC83E054B297BC084F8B18C85FE3BFA7AF8AD21570B38")</f>
        <v>https://baanknet.com/view-property/222793/8AF4F05A9732AC05560CC83E054B297BC084F8B18C85FE3BFA7AF8AD21570B38</v>
      </c>
      <c r="I4201" t="str">
        <f>HYPERLINK("https://baanknet.com/view-property/222793/8AF4F05A9732AC05560CC83E054B297BC084F8B18C85FE3BFA7AF8AD21570B38", "Open")</f>
        <v>Open</v>
      </c>
      <c r="J4201" t="s">
        <v>3803</v>
      </c>
      <c r="L4201">
        <v>650000</v>
      </c>
      <c r="M4201">
        <v>65000</v>
      </c>
    </row>
    <row r="4202" spans="1:13" x14ac:dyDescent="0.25">
      <c r="A4202" t="s">
        <v>14014</v>
      </c>
      <c r="B4202" t="s">
        <v>14015</v>
      </c>
      <c r="C4202" t="s">
        <v>15</v>
      </c>
      <c r="D4202" t="s">
        <v>5545</v>
      </c>
      <c r="E4202" t="s">
        <v>11032</v>
      </c>
      <c r="F4202" t="s">
        <v>12108</v>
      </c>
      <c r="G4202" t="s">
        <v>14016</v>
      </c>
      <c r="H4202" t="str">
        <f>HYPERLINK("https://baanknet.com/view-property/248302/C9A3A97C184A7B1D095B7CF67807A530D52FBED7B9EC43742501D0E89702C943", "https://baanknet.com/view-property/248302/C9A3A97C184A7B1D095B7CF67807A530D52FBED7B9EC43742501D0E89702C943")</f>
        <v>https://baanknet.com/view-property/248302/C9A3A97C184A7B1D095B7CF67807A530D52FBED7B9EC43742501D0E89702C943</v>
      </c>
      <c r="I4202" t="str">
        <f>HYPERLINK("https://baanknet.com/view-property/248302/C9A3A97C184A7B1D095B7CF67807A530D52FBED7B9EC43742501D0E89702C943", "Open")</f>
        <v>Open</v>
      </c>
      <c r="J4202" t="s">
        <v>3803</v>
      </c>
      <c r="L4202">
        <v>1750000</v>
      </c>
      <c r="M4202">
        <v>175000</v>
      </c>
    </row>
    <row r="4203" spans="1:13" x14ac:dyDescent="0.25">
      <c r="A4203" t="s">
        <v>14017</v>
      </c>
      <c r="B4203" t="s">
        <v>14018</v>
      </c>
      <c r="C4203" t="s">
        <v>15</v>
      </c>
      <c r="D4203" t="s">
        <v>9841</v>
      </c>
      <c r="E4203" t="s">
        <v>11032</v>
      </c>
      <c r="F4203" t="s">
        <v>12108</v>
      </c>
      <c r="G4203" t="s">
        <v>14019</v>
      </c>
      <c r="H4203" t="str">
        <f>HYPERLINK("https://baanknet.com/view-property/191650/A9F29F08ED5396C540038590F4F0DAF8C34745586FE244DA6891787136997A83", "https://baanknet.com/view-property/191650/A9F29F08ED5396C540038590F4F0DAF8C34745586FE244DA6891787136997A83")</f>
        <v>https://baanknet.com/view-property/191650/A9F29F08ED5396C540038590F4F0DAF8C34745586FE244DA6891787136997A83</v>
      </c>
      <c r="I4203" t="str">
        <f>HYPERLINK("https://baanknet.com/view-property/191650/A9F29F08ED5396C540038590F4F0DAF8C34745586FE244DA6891787136997A83", "Open")</f>
        <v>Open</v>
      </c>
      <c r="J4203" t="s">
        <v>3803</v>
      </c>
      <c r="L4203">
        <v>1188000</v>
      </c>
      <c r="M4203">
        <v>118800</v>
      </c>
    </row>
    <row r="4204" spans="1:13" x14ac:dyDescent="0.25">
      <c r="A4204" t="s">
        <v>14020</v>
      </c>
      <c r="B4204" t="s">
        <v>14021</v>
      </c>
      <c r="C4204" t="s">
        <v>15</v>
      </c>
      <c r="D4204" t="s">
        <v>9841</v>
      </c>
      <c r="E4204" t="s">
        <v>11032</v>
      </c>
      <c r="F4204" t="s">
        <v>12108</v>
      </c>
      <c r="G4204" t="s">
        <v>14022</v>
      </c>
      <c r="H4204" t="str">
        <f>HYPERLINK("https://baanknet.com/view-property/191637/A2316A3C9E88B3CD19F412C2EF92E492BEADC6518636C655A5B3E182ACD48E57", "https://baanknet.com/view-property/191637/A2316A3C9E88B3CD19F412C2EF92E492BEADC6518636C655A5B3E182ACD48E57")</f>
        <v>https://baanknet.com/view-property/191637/A2316A3C9E88B3CD19F412C2EF92E492BEADC6518636C655A5B3E182ACD48E57</v>
      </c>
      <c r="I4204" t="str">
        <f>HYPERLINK("https://baanknet.com/view-property/191637/A2316A3C9E88B3CD19F412C2EF92E492BEADC6518636C655A5B3E182ACD48E57", "Open")</f>
        <v>Open</v>
      </c>
      <c r="J4204" t="s">
        <v>3803</v>
      </c>
      <c r="L4204">
        <v>152000</v>
      </c>
      <c r="M4204">
        <v>15200</v>
      </c>
    </row>
    <row r="4205" spans="1:13" x14ac:dyDescent="0.25">
      <c r="A4205" t="s">
        <v>14023</v>
      </c>
      <c r="B4205" t="s">
        <v>14024</v>
      </c>
      <c r="C4205" t="s">
        <v>15</v>
      </c>
      <c r="D4205" t="s">
        <v>9841</v>
      </c>
      <c r="E4205" t="s">
        <v>11032</v>
      </c>
      <c r="F4205" t="s">
        <v>12108</v>
      </c>
      <c r="G4205" t="s">
        <v>14025</v>
      </c>
      <c r="H4205" t="str">
        <f>HYPERLINK("https://baanknet.com/view-property/191662/C7B06263B2A0195B0E9990ABC03F7B31586D750FAC17517DDF652E6A550E950D", "https://baanknet.com/view-property/191662/C7B06263B2A0195B0E9990ABC03F7B31586D750FAC17517DDF652E6A550E950D")</f>
        <v>https://baanknet.com/view-property/191662/C7B06263B2A0195B0E9990ABC03F7B31586D750FAC17517DDF652E6A550E950D</v>
      </c>
      <c r="I4205" t="str">
        <f>HYPERLINK("https://baanknet.com/view-property/191662/C7B06263B2A0195B0E9990ABC03F7B31586D750FAC17517DDF652E6A550E950D", "Open")</f>
        <v>Open</v>
      </c>
      <c r="J4205" t="s">
        <v>3803</v>
      </c>
      <c r="L4205">
        <v>1060000</v>
      </c>
      <c r="M4205">
        <v>106000</v>
      </c>
    </row>
    <row r="4206" spans="1:13" x14ac:dyDescent="0.25">
      <c r="A4206" t="s">
        <v>14026</v>
      </c>
      <c r="B4206" t="s">
        <v>14027</v>
      </c>
      <c r="C4206" t="s">
        <v>15</v>
      </c>
      <c r="D4206" t="s">
        <v>9837</v>
      </c>
      <c r="E4206" t="s">
        <v>11032</v>
      </c>
      <c r="F4206" t="s">
        <v>12108</v>
      </c>
      <c r="G4206" t="s">
        <v>14028</v>
      </c>
      <c r="H4206" t="str">
        <f>HYPERLINK("https://baanknet.com/view-property/191402/F888274688C6B4C14CD24A9F5D4BCA13D1278E3A59E288B454C1640D3690390E", "https://baanknet.com/view-property/191402/F888274688C6B4C14CD24A9F5D4BCA13D1278E3A59E288B454C1640D3690390E")</f>
        <v>https://baanknet.com/view-property/191402/F888274688C6B4C14CD24A9F5D4BCA13D1278E3A59E288B454C1640D3690390E</v>
      </c>
      <c r="I4206" t="str">
        <f>HYPERLINK("https://baanknet.com/view-property/191402/F888274688C6B4C14CD24A9F5D4BCA13D1278E3A59E288B454C1640D3690390E", "Open")</f>
        <v>Open</v>
      </c>
      <c r="J4206" t="s">
        <v>3803</v>
      </c>
      <c r="L4206">
        <v>483000</v>
      </c>
      <c r="M4206">
        <v>48300</v>
      </c>
    </row>
    <row r="4207" spans="1:13" x14ac:dyDescent="0.25">
      <c r="A4207" t="s">
        <v>14029</v>
      </c>
      <c r="B4207" t="s">
        <v>14030</v>
      </c>
      <c r="C4207" t="s">
        <v>15</v>
      </c>
      <c r="D4207" t="s">
        <v>14031</v>
      </c>
      <c r="E4207" t="s">
        <v>11032</v>
      </c>
      <c r="F4207" t="s">
        <v>12108</v>
      </c>
      <c r="G4207" t="s">
        <v>14032</v>
      </c>
      <c r="H4207" t="str">
        <f>HYPERLINK("https://baanknet.com/view-property/248540/776A95C3939DC4160A37421CC454E0E852E593617D64F91573CD5B3B371EBFFB", "https://baanknet.com/view-property/248540/776A95C3939DC4160A37421CC454E0E852E593617D64F91573CD5B3B371EBFFB")</f>
        <v>https://baanknet.com/view-property/248540/776A95C3939DC4160A37421CC454E0E852E593617D64F91573CD5B3B371EBFFB</v>
      </c>
      <c r="I4207" t="str">
        <f>HYPERLINK("https://baanknet.com/view-property/248540/776A95C3939DC4160A37421CC454E0E852E593617D64F91573CD5B3B371EBFFB", "Open")</f>
        <v>Open</v>
      </c>
      <c r="J4207" t="s">
        <v>3803</v>
      </c>
      <c r="L4207">
        <v>920000</v>
      </c>
      <c r="M4207">
        <v>92000</v>
      </c>
    </row>
    <row r="4208" spans="1:13" x14ac:dyDescent="0.25">
      <c r="A4208" t="s">
        <v>14033</v>
      </c>
      <c r="B4208" t="s">
        <v>14034</v>
      </c>
      <c r="C4208" t="s">
        <v>15</v>
      </c>
      <c r="D4208" t="s">
        <v>14035</v>
      </c>
      <c r="E4208" t="s">
        <v>11032</v>
      </c>
      <c r="F4208" t="s">
        <v>12108</v>
      </c>
      <c r="G4208" t="s">
        <v>14036</v>
      </c>
      <c r="H4208" t="str">
        <f>HYPERLINK("https://baanknet.com/view-property/200887/194794FED3ECAE5A22965CDBDD86E804FD2FF318DE1B1A90DEE57E2198AED38C", "https://baanknet.com/view-property/200887/194794FED3ECAE5A22965CDBDD86E804FD2FF318DE1B1A90DEE57E2198AED38C")</f>
        <v>https://baanknet.com/view-property/200887/194794FED3ECAE5A22965CDBDD86E804FD2FF318DE1B1A90DEE57E2198AED38C</v>
      </c>
      <c r="I4208" t="str">
        <f>HYPERLINK("https://baanknet.com/view-property/200887/194794FED3ECAE5A22965CDBDD86E804FD2FF318DE1B1A90DEE57E2198AED38C", "Open")</f>
        <v>Open</v>
      </c>
      <c r="J4208" t="s">
        <v>3803</v>
      </c>
      <c r="L4208">
        <v>1625000</v>
      </c>
      <c r="M4208">
        <v>162500</v>
      </c>
    </row>
    <row r="4209" spans="1:13" x14ac:dyDescent="0.25">
      <c r="A4209" t="s">
        <v>14037</v>
      </c>
      <c r="B4209" t="s">
        <v>14038</v>
      </c>
      <c r="C4209" t="s">
        <v>15</v>
      </c>
      <c r="D4209" t="s">
        <v>14039</v>
      </c>
      <c r="E4209" t="s">
        <v>11032</v>
      </c>
      <c r="F4209" t="s">
        <v>12108</v>
      </c>
      <c r="G4209" t="s">
        <v>14040</v>
      </c>
      <c r="H4209" t="str">
        <f>HYPERLINK("https://baanknet.com/view-property/202959/49FB3DF1F3C1AE8CD80F58F6A0CCBE414D716D02DF0CDB58EA4A599B771102CE", "https://baanknet.com/view-property/202959/49FB3DF1F3C1AE8CD80F58F6A0CCBE414D716D02DF0CDB58EA4A599B771102CE")</f>
        <v>https://baanknet.com/view-property/202959/49FB3DF1F3C1AE8CD80F58F6A0CCBE414D716D02DF0CDB58EA4A599B771102CE</v>
      </c>
      <c r="I4209" t="str">
        <f>HYPERLINK("https://baanknet.com/view-property/202959/49FB3DF1F3C1AE8CD80F58F6A0CCBE414D716D02DF0CDB58EA4A599B771102CE", "Open")</f>
        <v>Open</v>
      </c>
      <c r="J4209" t="s">
        <v>3803</v>
      </c>
      <c r="L4209">
        <v>395000</v>
      </c>
      <c r="M4209">
        <v>39500</v>
      </c>
    </row>
    <row r="4210" spans="1:13" x14ac:dyDescent="0.25">
      <c r="A4210" t="s">
        <v>14041</v>
      </c>
      <c r="B4210" t="s">
        <v>14042</v>
      </c>
      <c r="C4210" t="s">
        <v>15</v>
      </c>
      <c r="D4210" t="s">
        <v>14043</v>
      </c>
      <c r="E4210" t="s">
        <v>11032</v>
      </c>
      <c r="F4210" t="s">
        <v>12108</v>
      </c>
      <c r="G4210" t="s">
        <v>14044</v>
      </c>
      <c r="H4210" t="str">
        <f>HYPERLINK("https://baanknet.com/view-property/282803/7EB3CE186567C36C767DC866A96D560DDFD511A8F0C54354F04CBFF3EB079DF5", "https://baanknet.com/view-property/282803/7EB3CE186567C36C767DC866A96D560DDFD511A8F0C54354F04CBFF3EB079DF5")</f>
        <v>https://baanknet.com/view-property/282803/7EB3CE186567C36C767DC866A96D560DDFD511A8F0C54354F04CBFF3EB079DF5</v>
      </c>
      <c r="I4210" t="str">
        <f>HYPERLINK("https://baanknet.com/view-property/282803/7EB3CE186567C36C767DC866A96D560DDFD511A8F0C54354F04CBFF3EB079DF5", "Open")</f>
        <v>Open</v>
      </c>
      <c r="J4210" t="s">
        <v>3803</v>
      </c>
      <c r="L4210">
        <v>3900000</v>
      </c>
      <c r="M4210">
        <v>390000</v>
      </c>
    </row>
    <row r="4211" spans="1:13" x14ac:dyDescent="0.25">
      <c r="A4211" t="s">
        <v>14045</v>
      </c>
      <c r="B4211" t="s">
        <v>14046</v>
      </c>
      <c r="C4211" t="s">
        <v>15</v>
      </c>
      <c r="D4211" t="s">
        <v>13412</v>
      </c>
      <c r="E4211" t="s">
        <v>11032</v>
      </c>
      <c r="F4211" t="s">
        <v>12108</v>
      </c>
      <c r="G4211" t="s">
        <v>14047</v>
      </c>
      <c r="H4211" t="str">
        <f>HYPERLINK("https://baanknet.com/view-property/248684/972C244F9A96B96E0DD8D00C456C447AF24174E39588996E06FAD69B11E65E3C", "https://baanknet.com/view-property/248684/972C244F9A96B96E0DD8D00C456C447AF24174E39588996E06FAD69B11E65E3C")</f>
        <v>https://baanknet.com/view-property/248684/972C244F9A96B96E0DD8D00C456C447AF24174E39588996E06FAD69B11E65E3C</v>
      </c>
      <c r="I4211" t="str">
        <f>HYPERLINK("https://baanknet.com/view-property/248684/972C244F9A96B96E0DD8D00C456C447AF24174E39588996E06FAD69B11E65E3C", "Open")</f>
        <v>Open</v>
      </c>
      <c r="J4211" t="s">
        <v>3803</v>
      </c>
      <c r="L4211">
        <v>875000</v>
      </c>
      <c r="M4211">
        <v>87500</v>
      </c>
    </row>
    <row r="4212" spans="1:13" x14ac:dyDescent="0.25">
      <c r="A4212" t="s">
        <v>14048</v>
      </c>
      <c r="B4212" t="s">
        <v>14049</v>
      </c>
      <c r="C4212" t="s">
        <v>15</v>
      </c>
      <c r="D4212" t="s">
        <v>14050</v>
      </c>
      <c r="E4212" t="s">
        <v>11032</v>
      </c>
      <c r="F4212" t="s">
        <v>12108</v>
      </c>
      <c r="G4212" t="s">
        <v>14051</v>
      </c>
      <c r="H4212" t="str">
        <f>HYPERLINK("https://baanknet.com/view-property/204591/B9B48608F66A446D0BF01AA1E641BE40CE0C98586B7C020BBE3FEF722E7C54D9", "https://baanknet.com/view-property/204591/B9B48608F66A446D0BF01AA1E641BE40CE0C98586B7C020BBE3FEF722E7C54D9")</f>
        <v>https://baanknet.com/view-property/204591/B9B48608F66A446D0BF01AA1E641BE40CE0C98586B7C020BBE3FEF722E7C54D9</v>
      </c>
      <c r="I4212" t="str">
        <f>HYPERLINK("https://baanknet.com/view-property/204591/B9B48608F66A446D0BF01AA1E641BE40CE0C98586B7C020BBE3FEF722E7C54D9", "Open")</f>
        <v>Open</v>
      </c>
      <c r="J4212" t="s">
        <v>3803</v>
      </c>
      <c r="L4212">
        <v>5900000</v>
      </c>
      <c r="M4212">
        <v>590000</v>
      </c>
    </row>
    <row r="4213" spans="1:13" x14ac:dyDescent="0.25">
      <c r="A4213" t="s">
        <v>14052</v>
      </c>
      <c r="B4213" t="s">
        <v>14053</v>
      </c>
      <c r="C4213" t="s">
        <v>15</v>
      </c>
      <c r="D4213" t="s">
        <v>5308</v>
      </c>
      <c r="E4213" t="s">
        <v>11032</v>
      </c>
      <c r="F4213" t="s">
        <v>12108</v>
      </c>
      <c r="G4213" t="s">
        <v>14054</v>
      </c>
      <c r="H4213" t="str">
        <f>HYPERLINK("https://baanknet.com/view-property/260492/62A2D59B8ED85D638F849FDD9AB734BE47D0D44D9F443FBB2FCC9D678B290CEB", "https://baanknet.com/view-property/260492/62A2D59B8ED85D638F849FDD9AB734BE47D0D44D9F443FBB2FCC9D678B290CEB")</f>
        <v>https://baanknet.com/view-property/260492/62A2D59B8ED85D638F849FDD9AB734BE47D0D44D9F443FBB2FCC9D678B290CEB</v>
      </c>
      <c r="I4213" t="str">
        <f>HYPERLINK("https://baanknet.com/view-property/260492/62A2D59B8ED85D638F849FDD9AB734BE47D0D44D9F443FBB2FCC9D678B290CEB", "Open")</f>
        <v>Open</v>
      </c>
      <c r="J4213" t="s">
        <v>3803</v>
      </c>
      <c r="L4213">
        <v>3230000</v>
      </c>
      <c r="M4213">
        <v>323000</v>
      </c>
    </row>
    <row r="4214" spans="1:13" x14ac:dyDescent="0.25">
      <c r="A4214" t="s">
        <v>14055</v>
      </c>
      <c r="B4214" t="s">
        <v>14056</v>
      </c>
      <c r="C4214" t="s">
        <v>332</v>
      </c>
      <c r="D4214" t="s">
        <v>14057</v>
      </c>
      <c r="E4214" t="s">
        <v>11032</v>
      </c>
      <c r="F4214" t="s">
        <v>11102</v>
      </c>
      <c r="G4214" t="s">
        <v>14058</v>
      </c>
      <c r="H4214" t="str">
        <f>HYPERLINK("https://baanknet.com/view-property/285571/93B0DE913140B7536C8716177DBFD6BC0B7229C44EC952A8D49CC1D1E5EC6D71", "https://baanknet.com/view-property/285571/93B0DE913140B7536C8716177DBFD6BC0B7229C44EC952A8D49CC1D1E5EC6D71")</f>
        <v>https://baanknet.com/view-property/285571/93B0DE913140B7536C8716177DBFD6BC0B7229C44EC952A8D49CC1D1E5EC6D71</v>
      </c>
      <c r="I4214" t="str">
        <f>HYPERLINK("https://baanknet.com/view-property/285571/93B0DE913140B7536C8716177DBFD6BC0B7229C44EC952A8D49CC1D1E5EC6D71", "Open")</f>
        <v>Open</v>
      </c>
      <c r="J4214" t="s">
        <v>3803</v>
      </c>
      <c r="L4214">
        <v>1445000</v>
      </c>
      <c r="M4214">
        <v>144500</v>
      </c>
    </row>
    <row r="4215" spans="1:13" x14ac:dyDescent="0.25">
      <c r="A4215" t="s">
        <v>14059</v>
      </c>
      <c r="B4215" t="s">
        <v>14060</v>
      </c>
      <c r="C4215" t="s">
        <v>332</v>
      </c>
      <c r="D4215" t="s">
        <v>14061</v>
      </c>
      <c r="E4215" t="s">
        <v>11032</v>
      </c>
      <c r="F4215" t="s">
        <v>11102</v>
      </c>
      <c r="G4215" t="s">
        <v>14062</v>
      </c>
      <c r="H4215" t="str">
        <f>HYPERLINK("https://baanknet.com/view-property/285558/FA1BB83D98F68264AC0FF74A2F7A5FBD88691F84C7679891B93A7F483765CBBC", "https://baanknet.com/view-property/285558/FA1BB83D98F68264AC0FF74A2F7A5FBD88691F84C7679891B93A7F483765CBBC")</f>
        <v>https://baanknet.com/view-property/285558/FA1BB83D98F68264AC0FF74A2F7A5FBD88691F84C7679891B93A7F483765CBBC</v>
      </c>
      <c r="I4215" t="str">
        <f>HYPERLINK("https://baanknet.com/view-property/285558/FA1BB83D98F68264AC0FF74A2F7A5FBD88691F84C7679891B93A7F483765CBBC", "Open")</f>
        <v>Open</v>
      </c>
      <c r="J4215" t="s">
        <v>3803</v>
      </c>
      <c r="L4215">
        <v>2533000</v>
      </c>
      <c r="M4215">
        <v>253300</v>
      </c>
    </row>
    <row r="4216" spans="1:13" x14ac:dyDescent="0.25">
      <c r="A4216" t="s">
        <v>14063</v>
      </c>
      <c r="B4216" t="s">
        <v>14064</v>
      </c>
      <c r="C4216" t="s">
        <v>525</v>
      </c>
      <c r="D4216" t="s">
        <v>3351</v>
      </c>
      <c r="E4216" t="s">
        <v>11032</v>
      </c>
      <c r="F4216" t="s">
        <v>11102</v>
      </c>
      <c r="G4216" t="s">
        <v>14065</v>
      </c>
      <c r="H4216" t="str">
        <f>HYPERLINK("https://baanknet.com/view-property/248881/54A1EF45B3B52F2FB05A20DE7D64045A8FAB545DC9729A8C74D55FF403FC9E30", "https://baanknet.com/view-property/248881/54A1EF45B3B52F2FB05A20DE7D64045A8FAB545DC9729A8C74D55FF403FC9E30")</f>
        <v>https://baanknet.com/view-property/248881/54A1EF45B3B52F2FB05A20DE7D64045A8FAB545DC9729A8C74D55FF403FC9E30</v>
      </c>
      <c r="I4216" t="str">
        <f>HYPERLINK("https://baanknet.com/view-property/248881/54A1EF45B3B52F2FB05A20DE7D64045A8FAB545DC9729A8C74D55FF403FC9E30", "Open")</f>
        <v>Open</v>
      </c>
      <c r="J4216" t="s">
        <v>3803</v>
      </c>
      <c r="L4216">
        <v>14310000</v>
      </c>
      <c r="M4216">
        <v>1431000</v>
      </c>
    </row>
    <row r="4217" spans="1:13" x14ac:dyDescent="0.25">
      <c r="A4217" t="s">
        <v>14066</v>
      </c>
      <c r="B4217" t="s">
        <v>14067</v>
      </c>
      <c r="C4217" t="s">
        <v>525</v>
      </c>
      <c r="D4217" t="s">
        <v>3351</v>
      </c>
      <c r="E4217" t="s">
        <v>11032</v>
      </c>
      <c r="F4217" t="s">
        <v>11102</v>
      </c>
      <c r="G4217" t="s">
        <v>14068</v>
      </c>
      <c r="H4217" t="str">
        <f>HYPERLINK("https://baanknet.com/view-property/245681/A24375FCDA867262E4D260019DC147214B59EBAE35BC4592D457B45BD6C44E76", "https://baanknet.com/view-property/245681/A24375FCDA867262E4D260019DC147214B59EBAE35BC4592D457B45BD6C44E76")</f>
        <v>https://baanknet.com/view-property/245681/A24375FCDA867262E4D260019DC147214B59EBAE35BC4592D457B45BD6C44E76</v>
      </c>
      <c r="I4217" t="str">
        <f>HYPERLINK("https://baanknet.com/view-property/245681/A24375FCDA867262E4D260019DC147214B59EBAE35BC4592D457B45BD6C44E76", "Open")</f>
        <v>Open</v>
      </c>
      <c r="J4217" t="s">
        <v>3803</v>
      </c>
      <c r="L4217">
        <v>4495000</v>
      </c>
      <c r="M4217">
        <v>449500</v>
      </c>
    </row>
    <row r="4218" spans="1:13" x14ac:dyDescent="0.25">
      <c r="A4218" t="s">
        <v>14069</v>
      </c>
      <c r="B4218" t="s">
        <v>14070</v>
      </c>
      <c r="C4218" t="s">
        <v>525</v>
      </c>
      <c r="D4218" t="s">
        <v>1066</v>
      </c>
      <c r="E4218" t="s">
        <v>11032</v>
      </c>
      <c r="F4218" t="s">
        <v>11102</v>
      </c>
      <c r="G4218" t="s">
        <v>14071</v>
      </c>
      <c r="H4218" t="str">
        <f>HYPERLINK("https://baanknet.com/view-property/286133/5C3FF5889E32B5C99B7937B1D180F25E9ABC2F1D7BCA507A53BEBC15A5A938D6", "https://baanknet.com/view-property/286133/5C3FF5889E32B5C99B7937B1D180F25E9ABC2F1D7BCA507A53BEBC15A5A938D6")</f>
        <v>https://baanknet.com/view-property/286133/5C3FF5889E32B5C99B7937B1D180F25E9ABC2F1D7BCA507A53BEBC15A5A938D6</v>
      </c>
      <c r="I4218" t="str">
        <f>HYPERLINK("https://baanknet.com/view-property/286133/5C3FF5889E32B5C99B7937B1D180F25E9ABC2F1D7BCA507A53BEBC15A5A938D6", "Open")</f>
        <v>Open</v>
      </c>
      <c r="J4218" t="s">
        <v>3803</v>
      </c>
      <c r="L4218">
        <v>935000</v>
      </c>
      <c r="M4218">
        <v>93500</v>
      </c>
    </row>
    <row r="4219" spans="1:13" x14ac:dyDescent="0.25">
      <c r="A4219" t="s">
        <v>14072</v>
      </c>
      <c r="B4219" t="s">
        <v>14073</v>
      </c>
      <c r="C4219" t="s">
        <v>525</v>
      </c>
      <c r="D4219" t="s">
        <v>1066</v>
      </c>
      <c r="E4219" t="s">
        <v>11032</v>
      </c>
      <c r="F4219" t="s">
        <v>11102</v>
      </c>
      <c r="G4219" t="s">
        <v>14074</v>
      </c>
      <c r="H4219" t="str">
        <f>HYPERLINK("https://baanknet.com/view-property/278306/F8DC75BCECC6A88216AB39FAA422FD945F1AC7B621329F0AF145C956021E3BE5", "https://baanknet.com/view-property/278306/F8DC75BCECC6A88216AB39FAA422FD945F1AC7B621329F0AF145C956021E3BE5")</f>
        <v>https://baanknet.com/view-property/278306/F8DC75BCECC6A88216AB39FAA422FD945F1AC7B621329F0AF145C956021E3BE5</v>
      </c>
      <c r="I4219" t="str">
        <f>HYPERLINK("https://baanknet.com/view-property/278306/F8DC75BCECC6A88216AB39FAA422FD945F1AC7B621329F0AF145C956021E3BE5", "Open")</f>
        <v>Open</v>
      </c>
      <c r="J4219" t="s">
        <v>3803</v>
      </c>
      <c r="L4219">
        <v>1545000</v>
      </c>
      <c r="M4219">
        <v>154500</v>
      </c>
    </row>
    <row r="4220" spans="1:13" x14ac:dyDescent="0.25">
      <c r="A4220" t="s">
        <v>14075</v>
      </c>
      <c r="B4220" t="s">
        <v>14076</v>
      </c>
      <c r="C4220" t="s">
        <v>15</v>
      </c>
      <c r="D4220" t="s">
        <v>14077</v>
      </c>
      <c r="E4220" t="s">
        <v>11032</v>
      </c>
      <c r="F4220" t="s">
        <v>11102</v>
      </c>
      <c r="G4220" t="s">
        <v>14078</v>
      </c>
      <c r="H4220" t="str">
        <f>HYPERLINK("https://baanknet.com/view-property/262469/A77DB15040D2BCEC34902943C30D97B79F2863C8BC00C3800FD80507E21A287B", "https://baanknet.com/view-property/262469/A77DB15040D2BCEC34902943C30D97B79F2863C8BC00C3800FD80507E21A287B")</f>
        <v>https://baanknet.com/view-property/262469/A77DB15040D2BCEC34902943C30D97B79F2863C8BC00C3800FD80507E21A287B</v>
      </c>
      <c r="I4220" t="str">
        <f>HYPERLINK("https://baanknet.com/view-property/262469/A77DB15040D2BCEC34902943C30D97B79F2863C8BC00C3800FD80507E21A287B", "Open")</f>
        <v>Open</v>
      </c>
      <c r="J4220" t="s">
        <v>3803</v>
      </c>
      <c r="L4220">
        <v>1700000</v>
      </c>
      <c r="M4220">
        <v>170000</v>
      </c>
    </row>
    <row r="4221" spans="1:13" x14ac:dyDescent="0.25">
      <c r="A4221" t="s">
        <v>14079</v>
      </c>
      <c r="B4221" t="s">
        <v>14080</v>
      </c>
      <c r="C4221" t="s">
        <v>15</v>
      </c>
      <c r="D4221" t="s">
        <v>14081</v>
      </c>
      <c r="E4221" t="s">
        <v>11032</v>
      </c>
      <c r="F4221" t="s">
        <v>11102</v>
      </c>
      <c r="G4221" t="s">
        <v>14082</v>
      </c>
      <c r="H4221" t="str">
        <f>HYPERLINK("https://baanknet.com/view-property/279568/EC682C7F4A1CBB757EE38A99C1B76F70C9404590F020B623CDF77BC918900E0D", "https://baanknet.com/view-property/279568/EC682C7F4A1CBB757EE38A99C1B76F70C9404590F020B623CDF77BC918900E0D")</f>
        <v>https://baanknet.com/view-property/279568/EC682C7F4A1CBB757EE38A99C1B76F70C9404590F020B623CDF77BC918900E0D</v>
      </c>
      <c r="I4221" t="str">
        <f>HYPERLINK("https://baanknet.com/view-property/279568/EC682C7F4A1CBB757EE38A99C1B76F70C9404590F020B623CDF77BC918900E0D", "Open")</f>
        <v>Open</v>
      </c>
      <c r="J4221" t="s">
        <v>3803</v>
      </c>
      <c r="L4221">
        <v>2700000</v>
      </c>
      <c r="M4221">
        <v>270000</v>
      </c>
    </row>
    <row r="4222" spans="1:13" x14ac:dyDescent="0.25">
      <c r="A4222" t="s">
        <v>14083</v>
      </c>
      <c r="B4222" t="s">
        <v>14084</v>
      </c>
      <c r="C4222" t="s">
        <v>15</v>
      </c>
      <c r="D4222" t="s">
        <v>14077</v>
      </c>
      <c r="E4222" t="s">
        <v>11032</v>
      </c>
      <c r="F4222" t="s">
        <v>11102</v>
      </c>
      <c r="G4222" t="s">
        <v>14085</v>
      </c>
      <c r="H4222" t="str">
        <f>HYPERLINK("https://baanknet.com/view-property/282702/136050D2F5E107E6B634B517777DFC691C3BA89B037DBB5D970E747C98027CB7", "https://baanknet.com/view-property/282702/136050D2F5E107E6B634B517777DFC691C3BA89B037DBB5D970E747C98027CB7")</f>
        <v>https://baanknet.com/view-property/282702/136050D2F5E107E6B634B517777DFC691C3BA89B037DBB5D970E747C98027CB7</v>
      </c>
      <c r="I4222" t="str">
        <f>HYPERLINK("https://baanknet.com/view-property/282702/136050D2F5E107E6B634B517777DFC691C3BA89B037DBB5D970E747C98027CB7", "Open")</f>
        <v>Open</v>
      </c>
      <c r="J4222" t="s">
        <v>3803</v>
      </c>
      <c r="L4222">
        <v>2100000</v>
      </c>
      <c r="M4222">
        <v>210000</v>
      </c>
    </row>
    <row r="4223" spans="1:13" x14ac:dyDescent="0.25">
      <c r="A4223" t="s">
        <v>14086</v>
      </c>
      <c r="B4223" t="s">
        <v>14087</v>
      </c>
      <c r="C4223" t="s">
        <v>15</v>
      </c>
      <c r="D4223" t="s">
        <v>11653</v>
      </c>
      <c r="E4223" t="s">
        <v>11032</v>
      </c>
      <c r="F4223" t="s">
        <v>11102</v>
      </c>
      <c r="G4223" t="s">
        <v>14088</v>
      </c>
      <c r="H4223" t="str">
        <f>HYPERLINK("https://baanknet.com/view-property/212051/C1FFA2BE30E2D2DA6056FE3A98F0722F84A456E7E03F288A65D0ADE0021A0902", "https://baanknet.com/view-property/212051/C1FFA2BE30E2D2DA6056FE3A98F0722F84A456E7E03F288A65D0ADE0021A0902")</f>
        <v>https://baanknet.com/view-property/212051/C1FFA2BE30E2D2DA6056FE3A98F0722F84A456E7E03F288A65D0ADE0021A0902</v>
      </c>
      <c r="I4223" t="str">
        <f>HYPERLINK("https://baanknet.com/view-property/212051/C1FFA2BE30E2D2DA6056FE3A98F0722F84A456E7E03F288A65D0ADE0021A0902", "Open")</f>
        <v>Open</v>
      </c>
      <c r="J4223" t="s">
        <v>3803</v>
      </c>
      <c r="L4223">
        <v>600000</v>
      </c>
      <c r="M4223">
        <v>60000</v>
      </c>
    </row>
    <row r="4224" spans="1:13" x14ac:dyDescent="0.25">
      <c r="A4224" t="s">
        <v>14089</v>
      </c>
      <c r="B4224" t="s">
        <v>14090</v>
      </c>
      <c r="C4224" t="s">
        <v>15</v>
      </c>
      <c r="D4224" t="s">
        <v>11639</v>
      </c>
      <c r="E4224" t="s">
        <v>11032</v>
      </c>
      <c r="F4224" t="s">
        <v>11102</v>
      </c>
      <c r="G4224" t="s">
        <v>14091</v>
      </c>
      <c r="H4224" t="str">
        <f>HYPERLINK("https://baanknet.com/view-property/170509/55C09269395AA4C7F4BBB27F767AE5F45D82F9A4CA96E3BF732D1CF1996C86C6", "https://baanknet.com/view-property/170509/55C09269395AA4C7F4BBB27F767AE5F45D82F9A4CA96E3BF732D1CF1996C86C6")</f>
        <v>https://baanknet.com/view-property/170509/55C09269395AA4C7F4BBB27F767AE5F45D82F9A4CA96E3BF732D1CF1996C86C6</v>
      </c>
      <c r="I4224" t="str">
        <f>HYPERLINK("https://baanknet.com/view-property/170509/55C09269395AA4C7F4BBB27F767AE5F45D82F9A4CA96E3BF732D1CF1996C86C6", "Open")</f>
        <v>Open</v>
      </c>
      <c r="J4224" t="s">
        <v>3803</v>
      </c>
      <c r="L4224">
        <v>2680000</v>
      </c>
      <c r="M4224">
        <v>268000</v>
      </c>
    </row>
    <row r="4225" spans="1:13" x14ac:dyDescent="0.25">
      <c r="A4225" t="s">
        <v>14092</v>
      </c>
      <c r="B4225" t="s">
        <v>14093</v>
      </c>
      <c r="C4225" t="s">
        <v>15</v>
      </c>
      <c r="D4225" t="s">
        <v>14094</v>
      </c>
      <c r="E4225" t="s">
        <v>11032</v>
      </c>
      <c r="F4225" t="s">
        <v>11102</v>
      </c>
      <c r="G4225" t="s">
        <v>14095</v>
      </c>
      <c r="H4225" t="str">
        <f>HYPERLINK("https://baanknet.com/view-property/191335/8D765AF11CA4C920C8EF0A464FCE5762B1157E146FDB6626BB60A15DE499C681", "https://baanknet.com/view-property/191335/8D765AF11CA4C920C8EF0A464FCE5762B1157E146FDB6626BB60A15DE499C681")</f>
        <v>https://baanknet.com/view-property/191335/8D765AF11CA4C920C8EF0A464FCE5762B1157E146FDB6626BB60A15DE499C681</v>
      </c>
      <c r="I4225" t="str">
        <f>HYPERLINK("https://baanknet.com/view-property/191335/8D765AF11CA4C920C8EF0A464FCE5762B1157E146FDB6626BB60A15DE499C681", "Open")</f>
        <v>Open</v>
      </c>
      <c r="J4225" t="s">
        <v>3803</v>
      </c>
      <c r="L4225">
        <v>2000000</v>
      </c>
      <c r="M4225">
        <v>200000</v>
      </c>
    </row>
    <row r="4226" spans="1:13" x14ac:dyDescent="0.25">
      <c r="A4226" t="s">
        <v>14096</v>
      </c>
      <c r="B4226" t="s">
        <v>14097</v>
      </c>
      <c r="C4226" t="s">
        <v>15</v>
      </c>
      <c r="D4226" t="s">
        <v>14098</v>
      </c>
      <c r="E4226" t="s">
        <v>11032</v>
      </c>
      <c r="F4226" t="s">
        <v>11102</v>
      </c>
      <c r="G4226" t="s">
        <v>14099</v>
      </c>
      <c r="H4226" t="str">
        <f>HYPERLINK("https://baanknet.com/view-property/212042/CBA3BA5482D9D9AD8949F031CBA7B7201C785498B41A3F9218A22E08D4F66504", "https://baanknet.com/view-property/212042/CBA3BA5482D9D9AD8949F031CBA7B7201C785498B41A3F9218A22E08D4F66504")</f>
        <v>https://baanknet.com/view-property/212042/CBA3BA5482D9D9AD8949F031CBA7B7201C785498B41A3F9218A22E08D4F66504</v>
      </c>
      <c r="I4226" t="str">
        <f>HYPERLINK("https://baanknet.com/view-property/212042/CBA3BA5482D9D9AD8949F031CBA7B7201C785498B41A3F9218A22E08D4F66504", "Open")</f>
        <v>Open</v>
      </c>
      <c r="J4226" t="s">
        <v>3803</v>
      </c>
      <c r="L4226">
        <v>1300000</v>
      </c>
      <c r="M4226">
        <v>130000</v>
      </c>
    </row>
    <row r="4227" spans="1:13" x14ac:dyDescent="0.25">
      <c r="A4227" t="s">
        <v>14100</v>
      </c>
      <c r="B4227" t="s">
        <v>14101</v>
      </c>
      <c r="C4227" t="s">
        <v>525</v>
      </c>
      <c r="D4227" t="s">
        <v>1380</v>
      </c>
      <c r="E4227" t="s">
        <v>11032</v>
      </c>
      <c r="F4227" t="s">
        <v>11102</v>
      </c>
      <c r="G4227" t="s">
        <v>14102</v>
      </c>
      <c r="H4227" t="str">
        <f>HYPERLINK("https://baanknet.com/view-property/181749/02186E699AD20A04BC93FCD10A3116DBF4C8462F028804EB18D785147B805A30", "https://baanknet.com/view-property/181749/02186E699AD20A04BC93FCD10A3116DBF4C8462F028804EB18D785147B805A30")</f>
        <v>https://baanknet.com/view-property/181749/02186E699AD20A04BC93FCD10A3116DBF4C8462F028804EB18D785147B805A30</v>
      </c>
      <c r="I4227" t="str">
        <f>HYPERLINK("https://baanknet.com/view-property/181749/02186E699AD20A04BC93FCD10A3116DBF4C8462F028804EB18D785147B805A30", "Open")</f>
        <v>Open</v>
      </c>
      <c r="J4227" t="s">
        <v>3803</v>
      </c>
      <c r="L4227">
        <v>2343000</v>
      </c>
      <c r="M4227">
        <v>234300</v>
      </c>
    </row>
    <row r="4228" spans="1:13" x14ac:dyDescent="0.25">
      <c r="A4228" t="s">
        <v>14103</v>
      </c>
      <c r="B4228" t="s">
        <v>14104</v>
      </c>
      <c r="C4228" t="s">
        <v>15</v>
      </c>
      <c r="D4228" t="s">
        <v>4876</v>
      </c>
      <c r="E4228" t="s">
        <v>11032</v>
      </c>
      <c r="F4228" t="s">
        <v>11102</v>
      </c>
      <c r="G4228" t="s">
        <v>14105</v>
      </c>
      <c r="H4228" t="str">
        <f>HYPERLINK("https://baanknet.com/view-property/262933/AF4B426A884038EF425FCEAA0C58DD9CD7ECBDEB9280B0DD39039CED52CC842A", "https://baanknet.com/view-property/262933/AF4B426A884038EF425FCEAA0C58DD9CD7ECBDEB9280B0DD39039CED52CC842A")</f>
        <v>https://baanknet.com/view-property/262933/AF4B426A884038EF425FCEAA0C58DD9CD7ECBDEB9280B0DD39039CED52CC842A</v>
      </c>
      <c r="I4228" t="str">
        <f>HYPERLINK("https://baanknet.com/view-property/262933/AF4B426A884038EF425FCEAA0C58DD9CD7ECBDEB9280B0DD39039CED52CC842A", "Open")</f>
        <v>Open</v>
      </c>
      <c r="J4228" t="s">
        <v>3803</v>
      </c>
      <c r="L4228">
        <v>2080000</v>
      </c>
      <c r="M4228">
        <v>208000</v>
      </c>
    </row>
    <row r="4229" spans="1:13" x14ac:dyDescent="0.25">
      <c r="A4229" t="s">
        <v>14106</v>
      </c>
      <c r="B4229" t="s">
        <v>14107</v>
      </c>
      <c r="C4229" t="s">
        <v>15</v>
      </c>
      <c r="D4229" t="s">
        <v>4876</v>
      </c>
      <c r="E4229" t="s">
        <v>11032</v>
      </c>
      <c r="F4229" t="s">
        <v>11102</v>
      </c>
      <c r="G4229" t="s">
        <v>14108</v>
      </c>
      <c r="H4229" t="str">
        <f>HYPERLINK("https://baanknet.com/view-property/262414/58249669C82E8A06ED6F6E662A142F7C68FD043B8F97B2F3A59A9F47C6B565C6", "https://baanknet.com/view-property/262414/58249669C82E8A06ED6F6E662A142F7C68FD043B8F97B2F3A59A9F47C6B565C6")</f>
        <v>https://baanknet.com/view-property/262414/58249669C82E8A06ED6F6E662A142F7C68FD043B8F97B2F3A59A9F47C6B565C6</v>
      </c>
      <c r="I4229" t="str">
        <f>HYPERLINK("https://baanknet.com/view-property/262414/58249669C82E8A06ED6F6E662A142F7C68FD043B8F97B2F3A59A9F47C6B565C6", "Open")</f>
        <v>Open</v>
      </c>
      <c r="J4229" t="s">
        <v>3803</v>
      </c>
      <c r="L4229">
        <v>2613000</v>
      </c>
      <c r="M4229">
        <v>261300</v>
      </c>
    </row>
    <row r="4230" spans="1:13" x14ac:dyDescent="0.25">
      <c r="A4230" t="s">
        <v>14109</v>
      </c>
      <c r="B4230" t="s">
        <v>14110</v>
      </c>
      <c r="C4230" t="s">
        <v>15</v>
      </c>
      <c r="D4230" t="s">
        <v>14111</v>
      </c>
      <c r="E4230" t="s">
        <v>11032</v>
      </c>
      <c r="F4230" t="s">
        <v>11102</v>
      </c>
      <c r="G4230" t="s">
        <v>14112</v>
      </c>
      <c r="H4230" t="str">
        <f>HYPERLINK("https://baanknet.com/view-property/262407/62B03FAE0C9328AE90FB632EF3CB4A366DBE22A4C5FD292FDCAB4D13F3C40212", "https://baanknet.com/view-property/262407/62B03FAE0C9328AE90FB632EF3CB4A366DBE22A4C5FD292FDCAB4D13F3C40212")</f>
        <v>https://baanknet.com/view-property/262407/62B03FAE0C9328AE90FB632EF3CB4A366DBE22A4C5FD292FDCAB4D13F3C40212</v>
      </c>
      <c r="I4230" t="str">
        <f>HYPERLINK("https://baanknet.com/view-property/262407/62B03FAE0C9328AE90FB632EF3CB4A366DBE22A4C5FD292FDCAB4D13F3C40212", "Open")</f>
        <v>Open</v>
      </c>
      <c r="J4230" t="s">
        <v>3803</v>
      </c>
      <c r="L4230">
        <v>1383000</v>
      </c>
      <c r="M4230">
        <v>138300</v>
      </c>
    </row>
    <row r="4231" spans="1:13" x14ac:dyDescent="0.25">
      <c r="A4231" t="s">
        <v>14113</v>
      </c>
      <c r="B4231" t="s">
        <v>14114</v>
      </c>
      <c r="C4231" t="s">
        <v>15</v>
      </c>
      <c r="D4231" t="s">
        <v>1871</v>
      </c>
      <c r="E4231" t="s">
        <v>11032</v>
      </c>
      <c r="F4231" t="s">
        <v>11102</v>
      </c>
      <c r="G4231" t="s">
        <v>14115</v>
      </c>
      <c r="H4231" t="str">
        <f>HYPERLINK("https://baanknet.com/view-property/280047/9DB9E462FA1921A668C66DEEA4ED42E218E573E5A8CA03AE75613B443E621FEE", "https://baanknet.com/view-property/280047/9DB9E462FA1921A668C66DEEA4ED42E218E573E5A8CA03AE75613B443E621FEE")</f>
        <v>https://baanknet.com/view-property/280047/9DB9E462FA1921A668C66DEEA4ED42E218E573E5A8CA03AE75613B443E621FEE</v>
      </c>
      <c r="I4231" t="str">
        <f>HYPERLINK("https://baanknet.com/view-property/280047/9DB9E462FA1921A668C66DEEA4ED42E218E573E5A8CA03AE75613B443E621FEE", "Open")</f>
        <v>Open</v>
      </c>
      <c r="J4231" t="s">
        <v>3803</v>
      </c>
      <c r="L4231">
        <v>1208000</v>
      </c>
      <c r="M4231">
        <v>120800</v>
      </c>
    </row>
    <row r="4232" spans="1:13" x14ac:dyDescent="0.25">
      <c r="A4232" t="s">
        <v>14116</v>
      </c>
      <c r="B4232" t="s">
        <v>14117</v>
      </c>
      <c r="C4232" t="s">
        <v>15</v>
      </c>
      <c r="D4232" t="s">
        <v>14118</v>
      </c>
      <c r="E4232" t="s">
        <v>11032</v>
      </c>
      <c r="F4232" t="s">
        <v>11102</v>
      </c>
      <c r="G4232" t="s">
        <v>14119</v>
      </c>
      <c r="H4232" t="str">
        <f>HYPERLINK("https://baanknet.com/view-property/267116/1E0A67E6A8AA14A67998782CCA8D29DE5FE53F99718B3FDB1752953C7530985D", "https://baanknet.com/view-property/267116/1E0A67E6A8AA14A67998782CCA8D29DE5FE53F99718B3FDB1752953C7530985D")</f>
        <v>https://baanknet.com/view-property/267116/1E0A67E6A8AA14A67998782CCA8D29DE5FE53F99718B3FDB1752953C7530985D</v>
      </c>
      <c r="I4232" t="str">
        <f>HYPERLINK("https://baanknet.com/view-property/267116/1E0A67E6A8AA14A67998782CCA8D29DE5FE53F99718B3FDB1752953C7530985D", "Open")</f>
        <v>Open</v>
      </c>
      <c r="J4232" t="s">
        <v>3803</v>
      </c>
      <c r="L4232">
        <v>3075000</v>
      </c>
      <c r="M4232">
        <v>307500</v>
      </c>
    </row>
    <row r="4233" spans="1:13" x14ac:dyDescent="0.25">
      <c r="A4233" t="s">
        <v>14120</v>
      </c>
      <c r="B4233" t="s">
        <v>14121</v>
      </c>
      <c r="C4233" t="s">
        <v>15</v>
      </c>
      <c r="D4233" t="s">
        <v>501</v>
      </c>
      <c r="E4233" t="s">
        <v>11032</v>
      </c>
      <c r="F4233" t="s">
        <v>11102</v>
      </c>
      <c r="G4233" t="s">
        <v>14122</v>
      </c>
      <c r="H4233" t="str">
        <f>HYPERLINK("https://baanknet.com/view-property/242098/C5ECC4BC4CCA36C139F41925EF7320EDF1B7E9FB7D4400E3A793530E0B8DC39D", "https://baanknet.com/view-property/242098/C5ECC4BC4CCA36C139F41925EF7320EDF1B7E9FB7D4400E3A793530E0B8DC39D")</f>
        <v>https://baanknet.com/view-property/242098/C5ECC4BC4CCA36C139F41925EF7320EDF1B7E9FB7D4400E3A793530E0B8DC39D</v>
      </c>
      <c r="I4233" t="str">
        <f>HYPERLINK("https://baanknet.com/view-property/242098/C5ECC4BC4CCA36C139F41925EF7320EDF1B7E9FB7D4400E3A793530E0B8DC39D", "Open")</f>
        <v>Open</v>
      </c>
      <c r="J4233" t="s">
        <v>3803</v>
      </c>
      <c r="L4233">
        <v>2383000</v>
      </c>
      <c r="M4233">
        <v>238300</v>
      </c>
    </row>
    <row r="4234" spans="1:13" x14ac:dyDescent="0.25">
      <c r="A4234" t="s">
        <v>14123</v>
      </c>
      <c r="B4234" t="s">
        <v>14124</v>
      </c>
      <c r="C4234" t="s">
        <v>15</v>
      </c>
      <c r="D4234" t="s">
        <v>14125</v>
      </c>
      <c r="E4234" t="s">
        <v>11032</v>
      </c>
      <c r="F4234" t="s">
        <v>11102</v>
      </c>
      <c r="G4234" t="s">
        <v>14126</v>
      </c>
      <c r="H4234" t="str">
        <f>HYPERLINK("https://baanknet.com/view-property/283113/14C0D18BB826C212D49E9E2F1A8D270201C920110424D6D9F47DAA8E60EDC7D7", "https://baanknet.com/view-property/283113/14C0D18BB826C212D49E9E2F1A8D270201C920110424D6D9F47DAA8E60EDC7D7")</f>
        <v>https://baanknet.com/view-property/283113/14C0D18BB826C212D49E9E2F1A8D270201C920110424D6D9F47DAA8E60EDC7D7</v>
      </c>
      <c r="I4234" t="str">
        <f>HYPERLINK("https://baanknet.com/view-property/283113/14C0D18BB826C212D49E9E2F1A8D270201C920110424D6D9F47DAA8E60EDC7D7", "Open")</f>
        <v>Open</v>
      </c>
      <c r="J4234" t="s">
        <v>3803</v>
      </c>
      <c r="L4234">
        <v>2682000</v>
      </c>
      <c r="M4234">
        <v>268200</v>
      </c>
    </row>
    <row r="4235" spans="1:13" x14ac:dyDescent="0.25">
      <c r="A4235" t="s">
        <v>14127</v>
      </c>
      <c r="B4235" t="s">
        <v>14128</v>
      </c>
      <c r="C4235" t="s">
        <v>15</v>
      </c>
      <c r="D4235" t="s">
        <v>4876</v>
      </c>
      <c r="E4235" t="s">
        <v>11032</v>
      </c>
      <c r="F4235" t="s">
        <v>11102</v>
      </c>
      <c r="G4235" t="s">
        <v>14129</v>
      </c>
      <c r="H4235" t="str">
        <f>HYPERLINK("https://baanknet.com/view-property/279405/11C22F7E15983C95CB4942903E64534765E93C43ABF4E3C61B19DD61E34FD31E", "https://baanknet.com/view-property/279405/11C22F7E15983C95CB4942903E64534765E93C43ABF4E3C61B19DD61E34FD31E")</f>
        <v>https://baanknet.com/view-property/279405/11C22F7E15983C95CB4942903E64534765E93C43ABF4E3C61B19DD61E34FD31E</v>
      </c>
      <c r="I4235" t="str">
        <f>HYPERLINK("https://baanknet.com/view-property/279405/11C22F7E15983C95CB4942903E64534765E93C43ABF4E3C61B19DD61E34FD31E", "Open")</f>
        <v>Open</v>
      </c>
      <c r="J4235" t="s">
        <v>3803</v>
      </c>
      <c r="L4235">
        <v>2070000</v>
      </c>
      <c r="M4235">
        <v>207000</v>
      </c>
    </row>
    <row r="4236" spans="1:13" x14ac:dyDescent="0.25">
      <c r="A4236" t="s">
        <v>14130</v>
      </c>
      <c r="B4236" t="s">
        <v>14131</v>
      </c>
      <c r="C4236" t="s">
        <v>15</v>
      </c>
      <c r="D4236" t="s">
        <v>1871</v>
      </c>
      <c r="E4236" t="s">
        <v>11032</v>
      </c>
      <c r="F4236" t="s">
        <v>11102</v>
      </c>
      <c r="G4236" t="s">
        <v>14132</v>
      </c>
      <c r="H4236" t="str">
        <f>HYPERLINK("https://baanknet.com/view-property/282498/A1859E6BF69B1A1A82864E7ACC502CC22944351E4723C327ECB286D93E21AE31", "https://baanknet.com/view-property/282498/A1859E6BF69B1A1A82864E7ACC502CC22944351E4723C327ECB286D93E21AE31")</f>
        <v>https://baanknet.com/view-property/282498/A1859E6BF69B1A1A82864E7ACC502CC22944351E4723C327ECB286D93E21AE31</v>
      </c>
      <c r="I4236" t="str">
        <f>HYPERLINK("https://baanknet.com/view-property/282498/A1859E6BF69B1A1A82864E7ACC502CC22944351E4723C327ECB286D93E21AE31", "Open")</f>
        <v>Open</v>
      </c>
      <c r="J4236" t="s">
        <v>3803</v>
      </c>
      <c r="L4236">
        <v>459000</v>
      </c>
      <c r="M4236">
        <v>45900</v>
      </c>
    </row>
    <row r="4237" spans="1:13" x14ac:dyDescent="0.25">
      <c r="A4237" t="s">
        <v>14133</v>
      </c>
      <c r="B4237" t="s">
        <v>14134</v>
      </c>
      <c r="C4237" t="s">
        <v>15</v>
      </c>
      <c r="D4237" t="s">
        <v>1871</v>
      </c>
      <c r="E4237" t="s">
        <v>11032</v>
      </c>
      <c r="F4237" t="s">
        <v>11102</v>
      </c>
      <c r="G4237" t="s">
        <v>14135</v>
      </c>
      <c r="H4237" t="str">
        <f>HYPERLINK("https://baanknet.com/view-property/279349/D4D167F47B8DFC8B161517B770090A4E6BD73D20AF7E5E5C8F12447550FE5290", "https://baanknet.com/view-property/279349/D4D167F47B8DFC8B161517B770090A4E6BD73D20AF7E5E5C8F12447550FE5290")</f>
        <v>https://baanknet.com/view-property/279349/D4D167F47B8DFC8B161517B770090A4E6BD73D20AF7E5E5C8F12447550FE5290</v>
      </c>
      <c r="I4237" t="str">
        <f>HYPERLINK("https://baanknet.com/view-property/279349/D4D167F47B8DFC8B161517B770090A4E6BD73D20AF7E5E5C8F12447550FE5290", "Open")</f>
        <v>Open</v>
      </c>
      <c r="J4237" t="s">
        <v>3803</v>
      </c>
      <c r="L4237">
        <v>1993000</v>
      </c>
      <c r="M4237">
        <v>199300</v>
      </c>
    </row>
    <row r="4238" spans="1:13" x14ac:dyDescent="0.25">
      <c r="A4238" t="s">
        <v>14136</v>
      </c>
      <c r="B4238" t="s">
        <v>14137</v>
      </c>
      <c r="C4238" t="s">
        <v>15</v>
      </c>
      <c r="D4238" t="s">
        <v>1871</v>
      </c>
      <c r="E4238" t="s">
        <v>11032</v>
      </c>
      <c r="F4238" t="s">
        <v>11102</v>
      </c>
      <c r="G4238" t="s">
        <v>14138</v>
      </c>
      <c r="H4238" t="str">
        <f>HYPERLINK("https://baanknet.com/view-property/282502/446BCDA9BE4B6F0A8DB2B1FBC4DF19E9245623A4D774F2D8FDAE95BEF63B01F6", "https://baanknet.com/view-property/282502/446BCDA9BE4B6F0A8DB2B1FBC4DF19E9245623A4D774F2D8FDAE95BEF63B01F6")</f>
        <v>https://baanknet.com/view-property/282502/446BCDA9BE4B6F0A8DB2B1FBC4DF19E9245623A4D774F2D8FDAE95BEF63B01F6</v>
      </c>
      <c r="I4238" t="str">
        <f>HYPERLINK("https://baanknet.com/view-property/282502/446BCDA9BE4B6F0A8DB2B1FBC4DF19E9245623A4D774F2D8FDAE95BEF63B01F6", "Open")</f>
        <v>Open</v>
      </c>
      <c r="J4238" t="s">
        <v>3803</v>
      </c>
      <c r="L4238">
        <v>1372000</v>
      </c>
      <c r="M4238">
        <v>137200</v>
      </c>
    </row>
    <row r="4239" spans="1:13" x14ac:dyDescent="0.25">
      <c r="A4239" t="s">
        <v>14139</v>
      </c>
      <c r="B4239" t="s">
        <v>14140</v>
      </c>
      <c r="C4239" t="s">
        <v>15</v>
      </c>
      <c r="D4239" t="s">
        <v>4876</v>
      </c>
      <c r="E4239" t="s">
        <v>11032</v>
      </c>
      <c r="F4239" t="s">
        <v>11102</v>
      </c>
      <c r="G4239" t="s">
        <v>14141</v>
      </c>
      <c r="H4239" t="str">
        <f>HYPERLINK("https://baanknet.com/view-property/266301/F85822A33A40067B37736A0FFBE2FFF4E29E0101117434B1A2D0D3F1F5672731", "https://baanknet.com/view-property/266301/F85822A33A40067B37736A0FFBE2FFF4E29E0101117434B1A2D0D3F1F5672731")</f>
        <v>https://baanknet.com/view-property/266301/F85822A33A40067B37736A0FFBE2FFF4E29E0101117434B1A2D0D3F1F5672731</v>
      </c>
      <c r="I4239" t="str">
        <f>HYPERLINK("https://baanknet.com/view-property/266301/F85822A33A40067B37736A0FFBE2FFF4E29E0101117434B1A2D0D3F1F5672731", "Open")</f>
        <v>Open</v>
      </c>
      <c r="J4239" t="s">
        <v>3803</v>
      </c>
      <c r="L4239">
        <v>3418000</v>
      </c>
      <c r="M4239">
        <v>341800</v>
      </c>
    </row>
    <row r="4240" spans="1:13" x14ac:dyDescent="0.25">
      <c r="A4240" t="s">
        <v>14142</v>
      </c>
      <c r="B4240" t="s">
        <v>14143</v>
      </c>
      <c r="C4240" t="s">
        <v>15</v>
      </c>
      <c r="D4240" t="s">
        <v>4876</v>
      </c>
      <c r="E4240" t="s">
        <v>11032</v>
      </c>
      <c r="F4240" t="s">
        <v>11102</v>
      </c>
      <c r="G4240" t="s">
        <v>14144</v>
      </c>
      <c r="H4240" t="str">
        <f>HYPERLINK("https://baanknet.com/view-property/266297/802D04B4971C2979775F3CB65458A60F0409B918EE9331BF0AFC5AD1B69BBBDC", "https://baanknet.com/view-property/266297/802D04B4971C2979775F3CB65458A60F0409B918EE9331BF0AFC5AD1B69BBBDC")</f>
        <v>https://baanknet.com/view-property/266297/802D04B4971C2979775F3CB65458A60F0409B918EE9331BF0AFC5AD1B69BBBDC</v>
      </c>
      <c r="I4240" t="str">
        <f>HYPERLINK("https://baanknet.com/view-property/266297/802D04B4971C2979775F3CB65458A60F0409B918EE9331BF0AFC5AD1B69BBBDC", "Open")</f>
        <v>Open</v>
      </c>
      <c r="J4240" t="s">
        <v>3803</v>
      </c>
      <c r="L4240">
        <v>3418000</v>
      </c>
      <c r="M4240">
        <v>341800</v>
      </c>
    </row>
    <row r="4241" spans="1:13" x14ac:dyDescent="0.25">
      <c r="A4241" t="s">
        <v>14145</v>
      </c>
      <c r="B4241" t="s">
        <v>14146</v>
      </c>
      <c r="C4241" t="s">
        <v>15</v>
      </c>
      <c r="D4241" t="s">
        <v>4876</v>
      </c>
      <c r="E4241" t="s">
        <v>11032</v>
      </c>
      <c r="F4241" t="s">
        <v>11102</v>
      </c>
      <c r="G4241" t="s">
        <v>14147</v>
      </c>
      <c r="H4241" t="str">
        <f>HYPERLINK("https://baanknet.com/view-property/266291/1D13CB888EC5B37448901832E983B130433218DF246A216395EB6B63D2D20F84", "https://baanknet.com/view-property/266291/1D13CB888EC5B37448901832E983B130433218DF246A216395EB6B63D2D20F84")</f>
        <v>https://baanknet.com/view-property/266291/1D13CB888EC5B37448901832E983B130433218DF246A216395EB6B63D2D20F84</v>
      </c>
      <c r="I4241" t="str">
        <f>HYPERLINK("https://baanknet.com/view-property/266291/1D13CB888EC5B37448901832E983B130433218DF246A216395EB6B63D2D20F84", "Open")</f>
        <v>Open</v>
      </c>
      <c r="J4241" t="s">
        <v>3803</v>
      </c>
      <c r="L4241">
        <v>3418000</v>
      </c>
      <c r="M4241">
        <v>341800</v>
      </c>
    </row>
    <row r="4242" spans="1:13" x14ac:dyDescent="0.25">
      <c r="A4242" t="s">
        <v>14148</v>
      </c>
      <c r="B4242" t="s">
        <v>14149</v>
      </c>
      <c r="C4242" t="s">
        <v>15</v>
      </c>
      <c r="D4242" t="s">
        <v>4876</v>
      </c>
      <c r="E4242" t="s">
        <v>11032</v>
      </c>
      <c r="F4242" t="s">
        <v>11102</v>
      </c>
      <c r="G4242" t="s">
        <v>14150</v>
      </c>
      <c r="H4242" t="str">
        <f>HYPERLINK("https://baanknet.com/view-property/265013/7013D7F4E19BBE453EBC87944957A58AF6553CBCF9D42749CB08A4CF1F000CF5", "https://baanknet.com/view-property/265013/7013D7F4E19BBE453EBC87944957A58AF6553CBCF9D42749CB08A4CF1F000CF5")</f>
        <v>https://baanknet.com/view-property/265013/7013D7F4E19BBE453EBC87944957A58AF6553CBCF9D42749CB08A4CF1F000CF5</v>
      </c>
      <c r="I4242" t="str">
        <f>HYPERLINK("https://baanknet.com/view-property/265013/7013D7F4E19BBE453EBC87944957A58AF6553CBCF9D42749CB08A4CF1F000CF5", "Open")</f>
        <v>Open</v>
      </c>
      <c r="J4242" t="s">
        <v>3803</v>
      </c>
      <c r="L4242">
        <v>3418000</v>
      </c>
      <c r="M4242">
        <v>341800</v>
      </c>
    </row>
    <row r="4243" spans="1:13" x14ac:dyDescent="0.25">
      <c r="A4243" t="s">
        <v>14151</v>
      </c>
      <c r="B4243" t="s">
        <v>14152</v>
      </c>
      <c r="C4243" t="s">
        <v>15</v>
      </c>
      <c r="D4243" t="s">
        <v>4876</v>
      </c>
      <c r="E4243" t="s">
        <v>11032</v>
      </c>
      <c r="F4243" t="s">
        <v>11102</v>
      </c>
      <c r="G4243" t="s">
        <v>14153</v>
      </c>
      <c r="H4243" t="str">
        <f>HYPERLINK("https://baanknet.com/view-property/264681/9EBF9B8652E51952B2FEEDD9650C0DCEAA2A5B70BE593F3ADE87755FED51E876", "https://baanknet.com/view-property/264681/9EBF9B8652E51952B2FEEDD9650C0DCEAA2A5B70BE593F3ADE87755FED51E876")</f>
        <v>https://baanknet.com/view-property/264681/9EBF9B8652E51952B2FEEDD9650C0DCEAA2A5B70BE593F3ADE87755FED51E876</v>
      </c>
      <c r="I4243" t="str">
        <f>HYPERLINK("https://baanknet.com/view-property/264681/9EBF9B8652E51952B2FEEDD9650C0DCEAA2A5B70BE593F3ADE87755FED51E876", "Open")</f>
        <v>Open</v>
      </c>
      <c r="J4243" t="s">
        <v>3803</v>
      </c>
      <c r="L4243">
        <v>3418000</v>
      </c>
      <c r="M4243">
        <v>341800</v>
      </c>
    </row>
    <row r="4244" spans="1:13" x14ac:dyDescent="0.25">
      <c r="A4244" t="s">
        <v>14154</v>
      </c>
      <c r="B4244" t="s">
        <v>14155</v>
      </c>
      <c r="C4244" t="s">
        <v>15</v>
      </c>
      <c r="D4244" t="s">
        <v>1871</v>
      </c>
      <c r="E4244" t="s">
        <v>11032</v>
      </c>
      <c r="F4244" t="s">
        <v>11102</v>
      </c>
      <c r="G4244" t="s">
        <v>14156</v>
      </c>
      <c r="H4244" t="str">
        <f>HYPERLINK("https://baanknet.com/view-property/280008/995A630C6BD541A148C928ED796E517D7D5E8B317E7F54C9A0C9CFE2FE631A31", "https://baanknet.com/view-property/280008/995A630C6BD541A148C928ED796E517D7D5E8B317E7F54C9A0C9CFE2FE631A31")</f>
        <v>https://baanknet.com/view-property/280008/995A630C6BD541A148C928ED796E517D7D5E8B317E7F54C9A0C9CFE2FE631A31</v>
      </c>
      <c r="I4244" t="str">
        <f>HYPERLINK("https://baanknet.com/view-property/280008/995A630C6BD541A148C928ED796E517D7D5E8B317E7F54C9A0C9CFE2FE631A31", "Open")</f>
        <v>Open</v>
      </c>
      <c r="J4244" t="s">
        <v>3803</v>
      </c>
      <c r="L4244">
        <v>2345000</v>
      </c>
      <c r="M4244">
        <v>234500</v>
      </c>
    </row>
    <row r="4245" spans="1:13" x14ac:dyDescent="0.25">
      <c r="A4245" t="s">
        <v>14157</v>
      </c>
      <c r="B4245" t="s">
        <v>14158</v>
      </c>
      <c r="C4245" t="s">
        <v>15</v>
      </c>
      <c r="D4245" t="s">
        <v>501</v>
      </c>
      <c r="E4245" t="s">
        <v>11032</v>
      </c>
      <c r="F4245" t="s">
        <v>11102</v>
      </c>
      <c r="G4245" t="s">
        <v>14159</v>
      </c>
      <c r="H4245" t="str">
        <f>HYPERLINK("https://baanknet.com/view-property/283581/D26B9D36DF4C73F394EB01310DE6956A05389D8666C0C185ADF7C69C436A22E1", "https://baanknet.com/view-property/283581/D26B9D36DF4C73F394EB01310DE6956A05389D8666C0C185ADF7C69C436A22E1")</f>
        <v>https://baanknet.com/view-property/283581/D26B9D36DF4C73F394EB01310DE6956A05389D8666C0C185ADF7C69C436A22E1</v>
      </c>
      <c r="I4245" t="str">
        <f>HYPERLINK("https://baanknet.com/view-property/283581/D26B9D36DF4C73F394EB01310DE6956A05389D8666C0C185ADF7C69C436A22E1", "Open")</f>
        <v>Open</v>
      </c>
      <c r="J4245" t="s">
        <v>3803</v>
      </c>
      <c r="L4245">
        <v>5528000</v>
      </c>
      <c r="M4245">
        <v>552800</v>
      </c>
    </row>
    <row r="4246" spans="1:13" x14ac:dyDescent="0.25">
      <c r="A4246" t="s">
        <v>14160</v>
      </c>
      <c r="B4246" t="s">
        <v>14161</v>
      </c>
      <c r="C4246" t="s">
        <v>15</v>
      </c>
      <c r="D4246" t="s">
        <v>4542</v>
      </c>
      <c r="E4246" t="s">
        <v>11032</v>
      </c>
      <c r="F4246" t="s">
        <v>11102</v>
      </c>
      <c r="G4246" t="s">
        <v>14162</v>
      </c>
      <c r="H4246" t="str">
        <f>HYPERLINK("https://baanknet.com/view-property/267119/13656D460206AB8216BAFD883B9F9B5896250DE61DFC1F3382C979046E81A744", "https://baanknet.com/view-property/267119/13656D460206AB8216BAFD883B9F9B5896250DE61DFC1F3382C979046E81A744")</f>
        <v>https://baanknet.com/view-property/267119/13656D460206AB8216BAFD883B9F9B5896250DE61DFC1F3382C979046E81A744</v>
      </c>
      <c r="I4246" t="str">
        <f>HYPERLINK("https://baanknet.com/view-property/267119/13656D460206AB8216BAFD883B9F9B5896250DE61DFC1F3382C979046E81A744", "Open")</f>
        <v>Open</v>
      </c>
      <c r="J4246" t="s">
        <v>3803</v>
      </c>
      <c r="L4246">
        <v>4072000</v>
      </c>
      <c r="M4246">
        <v>407200</v>
      </c>
    </row>
    <row r="4247" spans="1:13" x14ac:dyDescent="0.25">
      <c r="A4247" t="s">
        <v>14163</v>
      </c>
      <c r="B4247" t="s">
        <v>14164</v>
      </c>
      <c r="C4247" t="s">
        <v>525</v>
      </c>
      <c r="D4247" t="s">
        <v>14165</v>
      </c>
      <c r="E4247" t="s">
        <v>11032</v>
      </c>
      <c r="F4247" t="s">
        <v>11102</v>
      </c>
      <c r="G4247" t="s">
        <v>14166</v>
      </c>
      <c r="H4247" t="str">
        <f>HYPERLINK("https://baanknet.com/view-property/271432/4697C364647F1A2DC73DC355269D3006F843FC7ECD54FC4A3B470F7EA8DCABFB", "https://baanknet.com/view-property/271432/4697C364647F1A2DC73DC355269D3006F843FC7ECD54FC4A3B470F7EA8DCABFB")</f>
        <v>https://baanknet.com/view-property/271432/4697C364647F1A2DC73DC355269D3006F843FC7ECD54FC4A3B470F7EA8DCABFB</v>
      </c>
      <c r="I4247" t="str">
        <f>HYPERLINK("https://baanknet.com/view-property/271432/4697C364647F1A2DC73DC355269D3006F843FC7ECD54FC4A3B470F7EA8DCABFB", "Open")</f>
        <v>Open</v>
      </c>
      <c r="J4247" t="s">
        <v>3803</v>
      </c>
      <c r="L4247">
        <v>3765000</v>
      </c>
      <c r="M4247">
        <v>376500</v>
      </c>
    </row>
    <row r="4248" spans="1:13" x14ac:dyDescent="0.25">
      <c r="A4248" t="s">
        <v>14167</v>
      </c>
      <c r="B4248" t="s">
        <v>14168</v>
      </c>
      <c r="C4248" t="s">
        <v>525</v>
      </c>
      <c r="D4248" t="s">
        <v>157</v>
      </c>
      <c r="E4248" t="s">
        <v>11032</v>
      </c>
      <c r="F4248" t="s">
        <v>11102</v>
      </c>
      <c r="G4248" t="s">
        <v>14169</v>
      </c>
      <c r="H4248" t="str">
        <f>HYPERLINK("https://baanknet.com/view-property/280754/28CAAC4EFB4A23A7869A8502A514EA6EDD7921123EF82079B052068F1BD78468", "https://baanknet.com/view-property/280754/28CAAC4EFB4A23A7869A8502A514EA6EDD7921123EF82079B052068F1BD78468")</f>
        <v>https://baanknet.com/view-property/280754/28CAAC4EFB4A23A7869A8502A514EA6EDD7921123EF82079B052068F1BD78468</v>
      </c>
      <c r="I4248" t="str">
        <f>HYPERLINK("https://baanknet.com/view-property/280754/28CAAC4EFB4A23A7869A8502A514EA6EDD7921123EF82079B052068F1BD78468", "Open")</f>
        <v>Open</v>
      </c>
      <c r="J4248" t="s">
        <v>3803</v>
      </c>
      <c r="L4248">
        <v>5776000</v>
      </c>
      <c r="M4248">
        <v>577600</v>
      </c>
    </row>
    <row r="4249" spans="1:13" x14ac:dyDescent="0.25">
      <c r="A4249" t="s">
        <v>14170</v>
      </c>
      <c r="B4249" t="s">
        <v>14171</v>
      </c>
      <c r="C4249" t="s">
        <v>525</v>
      </c>
      <c r="D4249" t="s">
        <v>2117</v>
      </c>
      <c r="E4249" t="s">
        <v>11032</v>
      </c>
      <c r="F4249" t="s">
        <v>11102</v>
      </c>
      <c r="G4249" t="s">
        <v>14172</v>
      </c>
      <c r="H4249" t="str">
        <f>HYPERLINK("https://baanknet.com/view-property/280776/AD8927A88117181E5505BE7E878434B0584E8EA2D217CFB4A4404BDB95C64F46", "https://baanknet.com/view-property/280776/AD8927A88117181E5505BE7E878434B0584E8EA2D217CFB4A4404BDB95C64F46")</f>
        <v>https://baanknet.com/view-property/280776/AD8927A88117181E5505BE7E878434B0584E8EA2D217CFB4A4404BDB95C64F46</v>
      </c>
      <c r="I4249" t="str">
        <f>HYPERLINK("https://baanknet.com/view-property/280776/AD8927A88117181E5505BE7E878434B0584E8EA2D217CFB4A4404BDB95C64F46", "Open")</f>
        <v>Open</v>
      </c>
      <c r="J4249" t="s">
        <v>3803</v>
      </c>
      <c r="L4249">
        <v>1090000</v>
      </c>
      <c r="M4249">
        <v>109000</v>
      </c>
    </row>
    <row r="4250" spans="1:13" x14ac:dyDescent="0.25">
      <c r="A4250" t="s">
        <v>14173</v>
      </c>
      <c r="B4250" t="s">
        <v>14174</v>
      </c>
      <c r="C4250" t="s">
        <v>525</v>
      </c>
      <c r="D4250" t="s">
        <v>157</v>
      </c>
      <c r="E4250" t="s">
        <v>11032</v>
      </c>
      <c r="F4250" t="s">
        <v>11102</v>
      </c>
      <c r="G4250" t="s">
        <v>14175</v>
      </c>
      <c r="H4250" t="str">
        <f>HYPERLINK("https://baanknet.com/view-property/268175/557061C7C19C37BD17FBEC522BD847D1D9EDFFC5862FA04F39C577642133C386", "https://baanknet.com/view-property/268175/557061C7C19C37BD17FBEC522BD847D1D9EDFFC5862FA04F39C577642133C386")</f>
        <v>https://baanknet.com/view-property/268175/557061C7C19C37BD17FBEC522BD847D1D9EDFFC5862FA04F39C577642133C386</v>
      </c>
      <c r="I4250" t="str">
        <f>HYPERLINK("https://baanknet.com/view-property/268175/557061C7C19C37BD17FBEC522BD847D1D9EDFFC5862FA04F39C577642133C386", "Open")</f>
        <v>Open</v>
      </c>
      <c r="J4250" t="s">
        <v>3803</v>
      </c>
      <c r="L4250">
        <v>2560000</v>
      </c>
      <c r="M4250">
        <v>256000</v>
      </c>
    </row>
    <row r="4251" spans="1:13" x14ac:dyDescent="0.25">
      <c r="A4251" t="s">
        <v>14176</v>
      </c>
      <c r="B4251" t="s">
        <v>14177</v>
      </c>
      <c r="C4251" t="s">
        <v>525</v>
      </c>
      <c r="D4251" t="s">
        <v>14178</v>
      </c>
      <c r="E4251" t="s">
        <v>11032</v>
      </c>
      <c r="F4251" t="s">
        <v>11102</v>
      </c>
      <c r="G4251" t="s">
        <v>14179</v>
      </c>
      <c r="H4251" t="str">
        <f>HYPERLINK("https://baanknet.com/view-property/270420/E134F16AD8B738B51B4405CA87635B190C0D88970A65F2D37AC4E7BCA6489C2B", "https://baanknet.com/view-property/270420/E134F16AD8B738B51B4405CA87635B190C0D88970A65F2D37AC4E7BCA6489C2B")</f>
        <v>https://baanknet.com/view-property/270420/E134F16AD8B738B51B4405CA87635B190C0D88970A65F2D37AC4E7BCA6489C2B</v>
      </c>
      <c r="I4251" t="str">
        <f>HYPERLINK("https://baanknet.com/view-property/270420/E134F16AD8B738B51B4405CA87635B190C0D88970A65F2D37AC4E7BCA6489C2B", "Open")</f>
        <v>Open</v>
      </c>
      <c r="J4251" t="s">
        <v>3803</v>
      </c>
      <c r="L4251">
        <v>46100000</v>
      </c>
      <c r="M4251">
        <v>4610000</v>
      </c>
    </row>
    <row r="4252" spans="1:13" x14ac:dyDescent="0.25">
      <c r="A4252" t="s">
        <v>14180</v>
      </c>
      <c r="B4252" t="s">
        <v>14181</v>
      </c>
      <c r="C4252" t="s">
        <v>525</v>
      </c>
      <c r="D4252" t="s">
        <v>157</v>
      </c>
      <c r="E4252" t="s">
        <v>11032</v>
      </c>
      <c r="F4252" t="s">
        <v>11102</v>
      </c>
      <c r="G4252" t="s">
        <v>14182</v>
      </c>
      <c r="H4252" t="str">
        <f>HYPERLINK("https://baanknet.com/view-property/270378/B5F508399F138582DA80CCA6019D00ADA8C177DD12FC3DB8CE6C32F43EB9362B", "https://baanknet.com/view-property/270378/B5F508399F138582DA80CCA6019D00ADA8C177DD12FC3DB8CE6C32F43EB9362B")</f>
        <v>https://baanknet.com/view-property/270378/B5F508399F138582DA80CCA6019D00ADA8C177DD12FC3DB8CE6C32F43EB9362B</v>
      </c>
      <c r="I4252" t="str">
        <f>HYPERLINK("https://baanknet.com/view-property/270378/B5F508399F138582DA80CCA6019D00ADA8C177DD12FC3DB8CE6C32F43EB9362B", "Open")</f>
        <v>Open</v>
      </c>
      <c r="J4252" t="s">
        <v>3803</v>
      </c>
      <c r="L4252">
        <v>4100000</v>
      </c>
      <c r="M4252">
        <v>410000</v>
      </c>
    </row>
    <row r="4253" spans="1:13" x14ac:dyDescent="0.25">
      <c r="A4253" t="s">
        <v>14183</v>
      </c>
      <c r="B4253" t="s">
        <v>14184</v>
      </c>
      <c r="C4253" t="s">
        <v>525</v>
      </c>
      <c r="D4253" t="s">
        <v>157</v>
      </c>
      <c r="E4253" t="s">
        <v>11032</v>
      </c>
      <c r="F4253" t="s">
        <v>11102</v>
      </c>
      <c r="G4253" t="s">
        <v>14185</v>
      </c>
      <c r="H4253" t="str">
        <f>HYPERLINK("https://baanknet.com/view-property/270375/339F21823423C2B6295262FA5BC1F4669D2EA35505848AE53E203EF0E68B765A", "https://baanknet.com/view-property/270375/339F21823423C2B6295262FA5BC1F4669D2EA35505848AE53E203EF0E68B765A")</f>
        <v>https://baanknet.com/view-property/270375/339F21823423C2B6295262FA5BC1F4669D2EA35505848AE53E203EF0E68B765A</v>
      </c>
      <c r="I4253" t="str">
        <f>HYPERLINK("https://baanknet.com/view-property/270375/339F21823423C2B6295262FA5BC1F4669D2EA35505848AE53E203EF0E68B765A", "Open")</f>
        <v>Open</v>
      </c>
      <c r="J4253" t="s">
        <v>3803</v>
      </c>
      <c r="L4253">
        <v>3800000</v>
      </c>
      <c r="M4253">
        <v>380000</v>
      </c>
    </row>
    <row r="4254" spans="1:13" x14ac:dyDescent="0.25">
      <c r="A4254" t="s">
        <v>14186</v>
      </c>
      <c r="B4254" t="s">
        <v>14187</v>
      </c>
      <c r="C4254" t="s">
        <v>525</v>
      </c>
      <c r="D4254" t="s">
        <v>149</v>
      </c>
      <c r="E4254" t="s">
        <v>11032</v>
      </c>
      <c r="F4254" t="s">
        <v>11102</v>
      </c>
      <c r="G4254" t="s">
        <v>14188</v>
      </c>
      <c r="H4254" t="str">
        <f>HYPERLINK("https://baanknet.com/view-property/268405/8D2FFE099829C7001833B83F6C0B96BA249F600ADCBE06F63E0375E1D8871074", "https://baanknet.com/view-property/268405/8D2FFE099829C7001833B83F6C0B96BA249F600ADCBE06F63E0375E1D8871074")</f>
        <v>https://baanknet.com/view-property/268405/8D2FFE099829C7001833B83F6C0B96BA249F600ADCBE06F63E0375E1D8871074</v>
      </c>
      <c r="I4254" t="str">
        <f>HYPERLINK("https://baanknet.com/view-property/268405/8D2FFE099829C7001833B83F6C0B96BA249F600ADCBE06F63E0375E1D8871074", "Open")</f>
        <v>Open</v>
      </c>
      <c r="J4254" t="s">
        <v>3803</v>
      </c>
      <c r="L4254">
        <v>4600000</v>
      </c>
      <c r="M4254">
        <v>460000</v>
      </c>
    </row>
    <row r="4255" spans="1:13" x14ac:dyDescent="0.25">
      <c r="A4255" t="s">
        <v>14189</v>
      </c>
      <c r="B4255" t="s">
        <v>14190</v>
      </c>
      <c r="C4255" t="s">
        <v>525</v>
      </c>
      <c r="D4255" t="s">
        <v>157</v>
      </c>
      <c r="E4255" t="s">
        <v>11032</v>
      </c>
      <c r="F4255" t="s">
        <v>11102</v>
      </c>
      <c r="G4255" t="s">
        <v>14191</v>
      </c>
      <c r="H4255" t="str">
        <f>HYPERLINK("https://baanknet.com/view-property/208479/A4EA66E972AC14B5AEE317D12C0FA85D7862CCCB901AFF2E51F177DC7BDD41E4", "https://baanknet.com/view-property/208479/A4EA66E972AC14B5AEE317D12C0FA85D7862CCCB901AFF2E51F177DC7BDD41E4")</f>
        <v>https://baanknet.com/view-property/208479/A4EA66E972AC14B5AEE317D12C0FA85D7862CCCB901AFF2E51F177DC7BDD41E4</v>
      </c>
      <c r="I4255" t="str">
        <f>HYPERLINK("https://baanknet.com/view-property/208479/A4EA66E972AC14B5AEE317D12C0FA85D7862CCCB901AFF2E51F177DC7BDD41E4", "Open")</f>
        <v>Open</v>
      </c>
      <c r="J4255" t="s">
        <v>3803</v>
      </c>
      <c r="L4255">
        <v>6051000</v>
      </c>
      <c r="M4255">
        <v>605100</v>
      </c>
    </row>
    <row r="4256" spans="1:13" x14ac:dyDescent="0.25">
      <c r="A4256" t="s">
        <v>14192</v>
      </c>
      <c r="B4256" t="s">
        <v>14193</v>
      </c>
      <c r="C4256" t="s">
        <v>525</v>
      </c>
      <c r="D4256" t="s">
        <v>14194</v>
      </c>
      <c r="E4256" t="s">
        <v>11032</v>
      </c>
      <c r="F4256" t="s">
        <v>11102</v>
      </c>
      <c r="G4256" t="s">
        <v>14195</v>
      </c>
      <c r="H4256" t="str">
        <f>HYPERLINK("https://baanknet.com/view-property/282624/7E784E271A51F9B11EADF387E674D1D86E5ECECD8D1C47A1A9E624D4E30F8C6F", "https://baanknet.com/view-property/282624/7E784E271A51F9B11EADF387E674D1D86E5ECECD8D1C47A1A9E624D4E30F8C6F")</f>
        <v>https://baanknet.com/view-property/282624/7E784E271A51F9B11EADF387E674D1D86E5ECECD8D1C47A1A9E624D4E30F8C6F</v>
      </c>
      <c r="I4256" t="str">
        <f>HYPERLINK("https://baanknet.com/view-property/282624/7E784E271A51F9B11EADF387E674D1D86E5ECECD8D1C47A1A9E624D4E30F8C6F", "Open")</f>
        <v>Open</v>
      </c>
      <c r="J4256" t="s">
        <v>3803</v>
      </c>
      <c r="L4256">
        <v>510000</v>
      </c>
      <c r="M4256">
        <v>51000</v>
      </c>
    </row>
    <row r="4257" spans="1:13" x14ac:dyDescent="0.25">
      <c r="A4257" t="s">
        <v>14196</v>
      </c>
      <c r="B4257" t="s">
        <v>14197</v>
      </c>
      <c r="C4257" t="s">
        <v>15</v>
      </c>
      <c r="D4257" t="s">
        <v>14198</v>
      </c>
      <c r="E4257" t="s">
        <v>11032</v>
      </c>
      <c r="F4257" t="s">
        <v>11102</v>
      </c>
      <c r="G4257" t="s">
        <v>14199</v>
      </c>
      <c r="H4257" t="str">
        <f>HYPERLINK("https://baanknet.com/view-property/228893/2856C7148FA8C042E450EE43A110A93CF3A2C2FEE0DA41CC2291CFA69E224E10", "https://baanknet.com/view-property/228893/2856C7148FA8C042E450EE43A110A93CF3A2C2FEE0DA41CC2291CFA69E224E10")</f>
        <v>https://baanknet.com/view-property/228893/2856C7148FA8C042E450EE43A110A93CF3A2C2FEE0DA41CC2291CFA69E224E10</v>
      </c>
      <c r="I4257" t="str">
        <f>HYPERLINK("https://baanknet.com/view-property/228893/2856C7148FA8C042E450EE43A110A93CF3A2C2FEE0DA41CC2291CFA69E224E10", "Open")</f>
        <v>Open</v>
      </c>
      <c r="J4257" t="s">
        <v>3803</v>
      </c>
      <c r="L4257">
        <v>648000</v>
      </c>
      <c r="M4257">
        <v>64800</v>
      </c>
    </row>
    <row r="4258" spans="1:13" x14ac:dyDescent="0.25">
      <c r="A4258" t="s">
        <v>14200</v>
      </c>
      <c r="B4258" t="s">
        <v>14201</v>
      </c>
      <c r="C4258" t="s">
        <v>525</v>
      </c>
      <c r="D4258" t="s">
        <v>1581</v>
      </c>
      <c r="E4258" t="s">
        <v>11032</v>
      </c>
      <c r="F4258" t="s">
        <v>11102</v>
      </c>
      <c r="G4258" t="s">
        <v>14202</v>
      </c>
      <c r="H4258" t="str">
        <f>HYPERLINK("https://baanknet.com/view-property/278515/CC646392893C71CAAC0D7BC7913BD34A83A85141AF897C896E4CC99056EECA45", "https://baanknet.com/view-property/278515/CC646392893C71CAAC0D7BC7913BD34A83A85141AF897C896E4CC99056EECA45")</f>
        <v>https://baanknet.com/view-property/278515/CC646392893C71CAAC0D7BC7913BD34A83A85141AF897C896E4CC99056EECA45</v>
      </c>
      <c r="I4258" t="str">
        <f>HYPERLINK("https://baanknet.com/view-property/278515/CC646392893C71CAAC0D7BC7913BD34A83A85141AF897C896E4CC99056EECA45", "Open")</f>
        <v>Open</v>
      </c>
      <c r="J4258" t="s">
        <v>3803</v>
      </c>
      <c r="L4258">
        <v>1309000</v>
      </c>
      <c r="M4258">
        <v>130900</v>
      </c>
    </row>
    <row r="4259" spans="1:13" x14ac:dyDescent="0.25">
      <c r="A4259" t="s">
        <v>14203</v>
      </c>
      <c r="B4259" t="s">
        <v>14204</v>
      </c>
      <c r="C4259" t="s">
        <v>525</v>
      </c>
      <c r="D4259" t="s">
        <v>1936</v>
      </c>
      <c r="E4259" t="s">
        <v>11032</v>
      </c>
      <c r="F4259" t="s">
        <v>11102</v>
      </c>
      <c r="G4259" t="s">
        <v>14205</v>
      </c>
      <c r="H4259" t="str">
        <f>HYPERLINK("https://baanknet.com/view-property/288019/93402349E5D49F852BD1C317BF0F3127CC003134064CC49A31DF58562A70AB4C", "https://baanknet.com/view-property/288019/93402349E5D49F852BD1C317BF0F3127CC003134064CC49A31DF58562A70AB4C")</f>
        <v>https://baanknet.com/view-property/288019/93402349E5D49F852BD1C317BF0F3127CC003134064CC49A31DF58562A70AB4C</v>
      </c>
      <c r="I4259" t="str">
        <f>HYPERLINK("https://baanknet.com/view-property/288019/93402349E5D49F852BD1C317BF0F3127CC003134064CC49A31DF58562A70AB4C", "Open")</f>
        <v>Open</v>
      </c>
      <c r="J4259" t="s">
        <v>3803</v>
      </c>
      <c r="L4259">
        <v>3594000</v>
      </c>
      <c r="M4259">
        <v>359400</v>
      </c>
    </row>
    <row r="4260" spans="1:13" x14ac:dyDescent="0.25">
      <c r="A4260" t="s">
        <v>14206</v>
      </c>
      <c r="B4260" t="s">
        <v>14207</v>
      </c>
      <c r="C4260" t="s">
        <v>525</v>
      </c>
      <c r="D4260" t="s">
        <v>388</v>
      </c>
      <c r="E4260" t="s">
        <v>11032</v>
      </c>
      <c r="F4260" t="s">
        <v>11102</v>
      </c>
      <c r="G4260" t="s">
        <v>14208</v>
      </c>
      <c r="H4260" t="str">
        <f>HYPERLINK("https://baanknet.com/view-property/288040/45C9349847616F4EC9EAB09BDC2791EA128965983FA30512761A3238F8B278CD", "https://baanknet.com/view-property/288040/45C9349847616F4EC9EAB09BDC2791EA128965983FA30512761A3238F8B278CD")</f>
        <v>https://baanknet.com/view-property/288040/45C9349847616F4EC9EAB09BDC2791EA128965983FA30512761A3238F8B278CD</v>
      </c>
      <c r="I4260" t="str">
        <f>HYPERLINK("https://baanknet.com/view-property/288040/45C9349847616F4EC9EAB09BDC2791EA128965983FA30512761A3238F8B278CD", "Open")</f>
        <v>Open</v>
      </c>
      <c r="J4260" t="s">
        <v>3803</v>
      </c>
      <c r="L4260">
        <v>2052000</v>
      </c>
      <c r="M4260">
        <v>205200</v>
      </c>
    </row>
    <row r="4261" spans="1:13" x14ac:dyDescent="0.25">
      <c r="A4261" t="s">
        <v>14209</v>
      </c>
      <c r="B4261" t="s">
        <v>14210</v>
      </c>
      <c r="C4261" t="s">
        <v>525</v>
      </c>
      <c r="D4261" t="s">
        <v>1581</v>
      </c>
      <c r="E4261" t="s">
        <v>11032</v>
      </c>
      <c r="F4261" t="s">
        <v>11102</v>
      </c>
      <c r="G4261" t="s">
        <v>14211</v>
      </c>
      <c r="H4261" t="str">
        <f>HYPERLINK("https://baanknet.com/view-property/173484/463B522CFB3E6C0105C532FBD16DFF66C139B4B260B89D840995ED6964158758", "https://baanknet.com/view-property/173484/463B522CFB3E6C0105C532FBD16DFF66C139B4B260B89D840995ED6964158758")</f>
        <v>https://baanknet.com/view-property/173484/463B522CFB3E6C0105C532FBD16DFF66C139B4B260B89D840995ED6964158758</v>
      </c>
      <c r="I4261" t="str">
        <f>HYPERLINK("https://baanknet.com/view-property/173484/463B522CFB3E6C0105C532FBD16DFF66C139B4B260B89D840995ED6964158758", "Open")</f>
        <v>Open</v>
      </c>
      <c r="J4261" t="s">
        <v>3803</v>
      </c>
      <c r="L4261">
        <v>1378000</v>
      </c>
      <c r="M4261">
        <v>137800</v>
      </c>
    </row>
    <row r="4262" spans="1:13" x14ac:dyDescent="0.25">
      <c r="A4262" t="s">
        <v>14212</v>
      </c>
      <c r="B4262" t="s">
        <v>14213</v>
      </c>
      <c r="C4262" t="s">
        <v>387</v>
      </c>
      <c r="D4262" t="s">
        <v>1007</v>
      </c>
      <c r="E4262" t="s">
        <v>11032</v>
      </c>
      <c r="F4262" t="s">
        <v>11102</v>
      </c>
      <c r="G4262" t="s">
        <v>14214</v>
      </c>
      <c r="H4262" t="str">
        <f>HYPERLINK("https://baanknet.com/view-property/183648/71DF888016C49D5EE10F755A903E9E89F6B242D4D8EFCA7E9BB969F326D2B616", "https://baanknet.com/view-property/183648/71DF888016C49D5EE10F755A903E9E89F6B242D4D8EFCA7E9BB969F326D2B616")</f>
        <v>https://baanknet.com/view-property/183648/71DF888016C49D5EE10F755A903E9E89F6B242D4D8EFCA7E9BB969F326D2B616</v>
      </c>
      <c r="I4262" t="str">
        <f>HYPERLINK("https://baanknet.com/view-property/183648/71DF888016C49D5EE10F755A903E9E89F6B242D4D8EFCA7E9BB969F326D2B616", "Open")</f>
        <v>Open</v>
      </c>
      <c r="J4262" t="s">
        <v>3803</v>
      </c>
      <c r="L4262">
        <v>2653000</v>
      </c>
      <c r="M4262">
        <v>265300</v>
      </c>
    </row>
    <row r="4263" spans="1:13" x14ac:dyDescent="0.25">
      <c r="A4263" t="s">
        <v>14215</v>
      </c>
      <c r="B4263" t="s">
        <v>14216</v>
      </c>
      <c r="C4263" t="s">
        <v>525</v>
      </c>
      <c r="D4263" t="s">
        <v>1581</v>
      </c>
      <c r="E4263" t="s">
        <v>11032</v>
      </c>
      <c r="F4263" t="s">
        <v>11102</v>
      </c>
      <c r="G4263" t="s">
        <v>14217</v>
      </c>
      <c r="H4263" t="str">
        <f>HYPERLINK("https://baanknet.com/view-property/288014/2E700B78FF4FF677E824D043222D5C48CB877450279A43B20DAC0A697C99D602", "https://baanknet.com/view-property/288014/2E700B78FF4FF677E824D043222D5C48CB877450279A43B20DAC0A697C99D602")</f>
        <v>https://baanknet.com/view-property/288014/2E700B78FF4FF677E824D043222D5C48CB877450279A43B20DAC0A697C99D602</v>
      </c>
      <c r="I4263" t="str">
        <f>HYPERLINK("https://baanknet.com/view-property/288014/2E700B78FF4FF677E824D043222D5C48CB877450279A43B20DAC0A697C99D602", "Open")</f>
        <v>Open</v>
      </c>
      <c r="J4263" t="s">
        <v>3803</v>
      </c>
      <c r="L4263">
        <v>2269000</v>
      </c>
      <c r="M4263">
        <v>226900</v>
      </c>
    </row>
    <row r="4264" spans="1:13" x14ac:dyDescent="0.25">
      <c r="A4264" t="s">
        <v>14218</v>
      </c>
      <c r="B4264" t="s">
        <v>14219</v>
      </c>
      <c r="C4264" t="s">
        <v>525</v>
      </c>
      <c r="D4264" t="s">
        <v>14220</v>
      </c>
      <c r="E4264" t="s">
        <v>11032</v>
      </c>
      <c r="F4264" t="s">
        <v>11102</v>
      </c>
      <c r="G4264" t="s">
        <v>14221</v>
      </c>
      <c r="H4264" t="str">
        <f>HYPERLINK("https://baanknet.com/view-property/248969/79B04464A9F3435D9A3F3B108E7D4D2CE0C97DCBDB2541E87C75C3A782DE7274", "https://baanknet.com/view-property/248969/79B04464A9F3435D9A3F3B108E7D4D2CE0C97DCBDB2541E87C75C3A782DE7274")</f>
        <v>https://baanknet.com/view-property/248969/79B04464A9F3435D9A3F3B108E7D4D2CE0C97DCBDB2541E87C75C3A782DE7274</v>
      </c>
      <c r="I4264" t="str">
        <f>HYPERLINK("https://baanknet.com/view-property/248969/79B04464A9F3435D9A3F3B108E7D4D2CE0C97DCBDB2541E87C75C3A782DE7274", "Open")</f>
        <v>Open</v>
      </c>
      <c r="J4264" t="s">
        <v>3803</v>
      </c>
      <c r="L4264">
        <v>2703000</v>
      </c>
      <c r="M4264">
        <v>270300</v>
      </c>
    </row>
    <row r="4265" spans="1:13" x14ac:dyDescent="0.25">
      <c r="A4265" t="s">
        <v>14222</v>
      </c>
      <c r="B4265" t="s">
        <v>14223</v>
      </c>
      <c r="C4265" t="s">
        <v>525</v>
      </c>
      <c r="D4265" t="s">
        <v>1467</v>
      </c>
      <c r="E4265" t="s">
        <v>11032</v>
      </c>
      <c r="F4265" t="s">
        <v>11102</v>
      </c>
      <c r="G4265" t="s">
        <v>14224</v>
      </c>
      <c r="H4265" t="str">
        <f>HYPERLINK("https://baanknet.com/view-property/288036/7098AB92BE106FF86B544552E3A54D441B3E42DDC5B928A94A20ED8FDA62A738", "https://baanknet.com/view-property/288036/7098AB92BE106FF86B544552E3A54D441B3E42DDC5B928A94A20ED8FDA62A738")</f>
        <v>https://baanknet.com/view-property/288036/7098AB92BE106FF86B544552E3A54D441B3E42DDC5B928A94A20ED8FDA62A738</v>
      </c>
      <c r="I4265" t="str">
        <f>HYPERLINK("https://baanknet.com/view-property/288036/7098AB92BE106FF86B544552E3A54D441B3E42DDC5B928A94A20ED8FDA62A738", "Open")</f>
        <v>Open</v>
      </c>
      <c r="J4265" t="s">
        <v>3803</v>
      </c>
      <c r="L4265">
        <v>1258000</v>
      </c>
      <c r="M4265">
        <v>125800</v>
      </c>
    </row>
    <row r="4266" spans="1:13" x14ac:dyDescent="0.25">
      <c r="A4266" t="s">
        <v>14225</v>
      </c>
      <c r="B4266" t="s">
        <v>14226</v>
      </c>
      <c r="C4266" t="s">
        <v>525</v>
      </c>
      <c r="D4266" t="s">
        <v>157</v>
      </c>
      <c r="E4266" t="s">
        <v>11032</v>
      </c>
      <c r="F4266" t="s">
        <v>11102</v>
      </c>
      <c r="G4266" t="s">
        <v>14227</v>
      </c>
      <c r="H4266" t="str">
        <f>HYPERLINK("https://baanknet.com/view-property/271974/BE9BDC2AE753DB734792A08FDEF78CC5E043C88EEAD2F6486BB2E8026E7EBCA1", "https://baanknet.com/view-property/271974/BE9BDC2AE753DB734792A08FDEF78CC5E043C88EEAD2F6486BB2E8026E7EBCA1")</f>
        <v>https://baanknet.com/view-property/271974/BE9BDC2AE753DB734792A08FDEF78CC5E043C88EEAD2F6486BB2E8026E7EBCA1</v>
      </c>
      <c r="I4266" t="str">
        <f>HYPERLINK("https://baanknet.com/view-property/271974/BE9BDC2AE753DB734792A08FDEF78CC5E043C88EEAD2F6486BB2E8026E7EBCA1", "Open")</f>
        <v>Open</v>
      </c>
      <c r="J4266" t="s">
        <v>3803</v>
      </c>
      <c r="L4266">
        <v>4910000</v>
      </c>
      <c r="M4266">
        <v>491000</v>
      </c>
    </row>
    <row r="4267" spans="1:13" x14ac:dyDescent="0.25">
      <c r="A4267" t="s">
        <v>14228</v>
      </c>
      <c r="B4267" t="s">
        <v>14229</v>
      </c>
      <c r="C4267" t="s">
        <v>525</v>
      </c>
      <c r="D4267" t="s">
        <v>1936</v>
      </c>
      <c r="E4267" t="s">
        <v>11032</v>
      </c>
      <c r="F4267" t="s">
        <v>11102</v>
      </c>
      <c r="G4267" t="s">
        <v>14230</v>
      </c>
      <c r="H4267" t="str">
        <f>HYPERLINK("https://baanknet.com/view-property/288151/AC2F646BE4B1681FEBD109BD30396587CA9325FAD9EA54790EAF71671C599F79", "https://baanknet.com/view-property/288151/AC2F646BE4B1681FEBD109BD30396587CA9325FAD9EA54790EAF71671C599F79")</f>
        <v>https://baanknet.com/view-property/288151/AC2F646BE4B1681FEBD109BD30396587CA9325FAD9EA54790EAF71671C599F79</v>
      </c>
      <c r="I4267" t="str">
        <f>HYPERLINK("https://baanknet.com/view-property/288151/AC2F646BE4B1681FEBD109BD30396587CA9325FAD9EA54790EAF71671C599F79", "Open")</f>
        <v>Open</v>
      </c>
      <c r="J4267" t="s">
        <v>3803</v>
      </c>
      <c r="L4267">
        <v>4998000</v>
      </c>
      <c r="M4267">
        <v>499800</v>
      </c>
    </row>
    <row r="4268" spans="1:13" x14ac:dyDescent="0.25">
      <c r="A4268" t="s">
        <v>14231</v>
      </c>
      <c r="B4268" t="s">
        <v>14232</v>
      </c>
      <c r="C4268" t="s">
        <v>525</v>
      </c>
      <c r="D4268" t="s">
        <v>612</v>
      </c>
      <c r="E4268" t="s">
        <v>11032</v>
      </c>
      <c r="F4268" t="s">
        <v>12405</v>
      </c>
      <c r="G4268" t="s">
        <v>14233</v>
      </c>
      <c r="H4268" t="str">
        <f>HYPERLINK("https://baanknet.com/view-property/286512/33DDEC96D20A4C7FFE5286EABE1D14CD912360CEE2711C809C17021EA3F0E05B", "https://baanknet.com/view-property/286512/33DDEC96D20A4C7FFE5286EABE1D14CD912360CEE2711C809C17021EA3F0E05B")</f>
        <v>https://baanknet.com/view-property/286512/33DDEC96D20A4C7FFE5286EABE1D14CD912360CEE2711C809C17021EA3F0E05B</v>
      </c>
      <c r="I4268" t="str">
        <f>HYPERLINK("https://baanknet.com/view-property/286512/33DDEC96D20A4C7FFE5286EABE1D14CD912360CEE2711C809C17021EA3F0E05B", "Open")</f>
        <v>Open</v>
      </c>
      <c r="J4268" t="s">
        <v>3803</v>
      </c>
      <c r="L4268">
        <v>3337000</v>
      </c>
      <c r="M4268">
        <v>333700</v>
      </c>
    </row>
    <row r="4269" spans="1:13" x14ac:dyDescent="0.25">
      <c r="A4269" t="s">
        <v>14234</v>
      </c>
      <c r="B4269" t="s">
        <v>14235</v>
      </c>
      <c r="C4269" t="s">
        <v>332</v>
      </c>
      <c r="D4269" t="s">
        <v>14236</v>
      </c>
      <c r="E4269" t="s">
        <v>11032</v>
      </c>
      <c r="F4269" t="s">
        <v>12405</v>
      </c>
      <c r="G4269" t="s">
        <v>14237</v>
      </c>
      <c r="H4269" t="str">
        <f>HYPERLINK("https://baanknet.com/view-property/258020/567069DCC6EA823F00F224E5A672F131231BD2878878A4572B57A92EFFA4EAD8", "https://baanknet.com/view-property/258020/567069DCC6EA823F00F224E5A672F131231BD2878878A4572B57A92EFFA4EAD8")</f>
        <v>https://baanknet.com/view-property/258020/567069DCC6EA823F00F224E5A672F131231BD2878878A4572B57A92EFFA4EAD8</v>
      </c>
      <c r="I4269" t="str">
        <f>HYPERLINK("https://baanknet.com/view-property/258020/567069DCC6EA823F00F224E5A672F131231BD2878878A4572B57A92EFFA4EAD8", "Open")</f>
        <v>Open</v>
      </c>
      <c r="J4269" t="s">
        <v>3803</v>
      </c>
      <c r="L4269">
        <v>1410000</v>
      </c>
      <c r="M4269">
        <v>141000</v>
      </c>
    </row>
    <row r="4270" spans="1:13" x14ac:dyDescent="0.25">
      <c r="A4270" t="s">
        <v>14238</v>
      </c>
      <c r="B4270" t="s">
        <v>14239</v>
      </c>
      <c r="C4270" t="s">
        <v>525</v>
      </c>
      <c r="D4270" t="s">
        <v>612</v>
      </c>
      <c r="E4270" t="s">
        <v>11032</v>
      </c>
      <c r="F4270" t="s">
        <v>12405</v>
      </c>
      <c r="G4270" t="s">
        <v>14240</v>
      </c>
      <c r="H4270" t="str">
        <f>HYPERLINK("https://baanknet.com/view-property/286478/2567B9EF99269E6BAC6BD19A918CFF75ECCD8BEC764E25DCA8CEC86DE45ABB4D", "https://baanknet.com/view-property/286478/2567B9EF99269E6BAC6BD19A918CFF75ECCD8BEC764E25DCA8CEC86DE45ABB4D")</f>
        <v>https://baanknet.com/view-property/286478/2567B9EF99269E6BAC6BD19A918CFF75ECCD8BEC764E25DCA8CEC86DE45ABB4D</v>
      </c>
      <c r="I4270" t="str">
        <f>HYPERLINK("https://baanknet.com/view-property/286478/2567B9EF99269E6BAC6BD19A918CFF75ECCD8BEC764E25DCA8CEC86DE45ABB4D", "Open")</f>
        <v>Open</v>
      </c>
      <c r="J4270" t="s">
        <v>3803</v>
      </c>
      <c r="L4270">
        <v>7055000</v>
      </c>
      <c r="M4270">
        <v>705500</v>
      </c>
    </row>
    <row r="4271" spans="1:13" x14ac:dyDescent="0.25">
      <c r="A4271" t="s">
        <v>14241</v>
      </c>
      <c r="B4271" t="s">
        <v>14242</v>
      </c>
      <c r="C4271" t="s">
        <v>525</v>
      </c>
      <c r="D4271" t="s">
        <v>612</v>
      </c>
      <c r="E4271" t="s">
        <v>11032</v>
      </c>
      <c r="F4271" t="s">
        <v>12405</v>
      </c>
      <c r="G4271" t="s">
        <v>14243</v>
      </c>
      <c r="H4271" t="str">
        <f>HYPERLINK("https://baanknet.com/view-property/271459/5336EE3E5F28332A90F8C628C6981FA065E850BD6A61C6BAEE29DCAEAD742E19", "https://baanknet.com/view-property/271459/5336EE3E5F28332A90F8C628C6981FA065E850BD6A61C6BAEE29DCAEAD742E19")</f>
        <v>https://baanknet.com/view-property/271459/5336EE3E5F28332A90F8C628C6981FA065E850BD6A61C6BAEE29DCAEAD742E19</v>
      </c>
      <c r="I4271" t="str">
        <f>HYPERLINK("https://baanknet.com/view-property/271459/5336EE3E5F28332A90F8C628C6981FA065E850BD6A61C6BAEE29DCAEAD742E19", "Open")</f>
        <v>Open</v>
      </c>
      <c r="J4271" t="s">
        <v>3803</v>
      </c>
      <c r="L4271">
        <v>1576000</v>
      </c>
      <c r="M4271">
        <v>157600</v>
      </c>
    </row>
    <row r="4272" spans="1:13" x14ac:dyDescent="0.25">
      <c r="A4272" t="s">
        <v>14244</v>
      </c>
      <c r="B4272" t="s">
        <v>14245</v>
      </c>
      <c r="C4272" t="s">
        <v>525</v>
      </c>
      <c r="D4272" t="s">
        <v>8454</v>
      </c>
      <c r="E4272" t="s">
        <v>11032</v>
      </c>
      <c r="F4272" t="s">
        <v>12405</v>
      </c>
      <c r="G4272" t="s">
        <v>14246</v>
      </c>
      <c r="H4272" t="str">
        <f>HYPERLINK("https://baanknet.com/view-property/278815/C70C06985AFE4185F679DCB86A61DA2407F5024E9FD63597092CDC9E06DF3FE4", "https://baanknet.com/view-property/278815/C70C06985AFE4185F679DCB86A61DA2407F5024E9FD63597092CDC9E06DF3FE4")</f>
        <v>https://baanknet.com/view-property/278815/C70C06985AFE4185F679DCB86A61DA2407F5024E9FD63597092CDC9E06DF3FE4</v>
      </c>
      <c r="I4272" t="str">
        <f>HYPERLINK("https://baanknet.com/view-property/278815/C70C06985AFE4185F679DCB86A61DA2407F5024E9FD63597092CDC9E06DF3FE4", "Open")</f>
        <v>Open</v>
      </c>
      <c r="J4272" t="s">
        <v>3803</v>
      </c>
      <c r="L4272">
        <v>4813000</v>
      </c>
      <c r="M4272">
        <v>481300</v>
      </c>
    </row>
    <row r="4273" spans="1:13" x14ac:dyDescent="0.25">
      <c r="A4273" t="s">
        <v>14247</v>
      </c>
      <c r="B4273" t="s">
        <v>14248</v>
      </c>
      <c r="C4273" t="s">
        <v>387</v>
      </c>
      <c r="D4273" t="s">
        <v>14249</v>
      </c>
      <c r="E4273" t="s">
        <v>11032</v>
      </c>
      <c r="F4273" t="s">
        <v>12405</v>
      </c>
      <c r="G4273" t="s">
        <v>14250</v>
      </c>
      <c r="H4273" t="str">
        <f>HYPERLINK("https://baanknet.com/view-property/261621/559F43E9A0A5DB3E55D40A0D679460FF3EABF64B518AB8069055C0386BA10AC3", "https://baanknet.com/view-property/261621/559F43E9A0A5DB3E55D40A0D679460FF3EABF64B518AB8069055C0386BA10AC3")</f>
        <v>https://baanknet.com/view-property/261621/559F43E9A0A5DB3E55D40A0D679460FF3EABF64B518AB8069055C0386BA10AC3</v>
      </c>
      <c r="I4273" t="str">
        <f>HYPERLINK("https://baanknet.com/view-property/261621/559F43E9A0A5DB3E55D40A0D679460FF3EABF64B518AB8069055C0386BA10AC3", "Open")</f>
        <v>Open</v>
      </c>
      <c r="J4273" t="s">
        <v>3803</v>
      </c>
      <c r="L4273">
        <v>1678500</v>
      </c>
      <c r="M4273">
        <v>167850</v>
      </c>
    </row>
    <row r="4274" spans="1:13" x14ac:dyDescent="0.25">
      <c r="A4274" t="s">
        <v>14251</v>
      </c>
      <c r="B4274" t="s">
        <v>14252</v>
      </c>
      <c r="C4274" t="s">
        <v>387</v>
      </c>
      <c r="D4274" t="s">
        <v>14253</v>
      </c>
      <c r="E4274" t="s">
        <v>11032</v>
      </c>
      <c r="F4274" t="s">
        <v>12405</v>
      </c>
      <c r="G4274" t="s">
        <v>14254</v>
      </c>
      <c r="H4274" t="str">
        <f>HYPERLINK("https://baanknet.com/view-property/261645/A349C847C996CAA05F315218079F9966EB88F00805524C2015B1E035D9C7C619", "https://baanknet.com/view-property/261645/A349C847C996CAA05F315218079F9966EB88F00805524C2015B1E035D9C7C619")</f>
        <v>https://baanknet.com/view-property/261645/A349C847C996CAA05F315218079F9966EB88F00805524C2015B1E035D9C7C619</v>
      </c>
      <c r="I4274" t="str">
        <f>HYPERLINK("https://baanknet.com/view-property/261645/A349C847C996CAA05F315218079F9966EB88F00805524C2015B1E035D9C7C619", "Open")</f>
        <v>Open</v>
      </c>
      <c r="J4274" t="s">
        <v>3803</v>
      </c>
      <c r="L4274">
        <v>2937685</v>
      </c>
      <c r="M4274">
        <v>293800</v>
      </c>
    </row>
    <row r="4275" spans="1:13" x14ac:dyDescent="0.25">
      <c r="A4275" t="s">
        <v>14255</v>
      </c>
      <c r="B4275" t="s">
        <v>14256</v>
      </c>
      <c r="C4275" t="s">
        <v>387</v>
      </c>
      <c r="D4275" t="s">
        <v>14257</v>
      </c>
      <c r="E4275" t="s">
        <v>11032</v>
      </c>
      <c r="F4275" t="s">
        <v>12405</v>
      </c>
      <c r="G4275" t="s">
        <v>14258</v>
      </c>
      <c r="H4275" t="str">
        <f>HYPERLINK("https://baanknet.com/view-property/219362/09FFA262FD9B72CEF0E06D8A38F05CA03846E363C442B1549EE358FA6EB2EABC", "https://baanknet.com/view-property/219362/09FFA262FD9B72CEF0E06D8A38F05CA03846E363C442B1549EE358FA6EB2EABC")</f>
        <v>https://baanknet.com/view-property/219362/09FFA262FD9B72CEF0E06D8A38F05CA03846E363C442B1549EE358FA6EB2EABC</v>
      </c>
      <c r="I4275" t="str">
        <f>HYPERLINK("https://baanknet.com/view-property/219362/09FFA262FD9B72CEF0E06D8A38F05CA03846E363C442B1549EE358FA6EB2EABC", "Open")</f>
        <v>Open</v>
      </c>
      <c r="J4275" t="s">
        <v>3803</v>
      </c>
      <c r="L4275">
        <v>2147000</v>
      </c>
      <c r="M4275">
        <v>214700</v>
      </c>
    </row>
    <row r="4276" spans="1:13" x14ac:dyDescent="0.25">
      <c r="A4276" t="s">
        <v>14259</v>
      </c>
      <c r="B4276" t="s">
        <v>14260</v>
      </c>
      <c r="C4276" t="s">
        <v>387</v>
      </c>
      <c r="D4276" t="s">
        <v>14261</v>
      </c>
      <c r="E4276" t="s">
        <v>11032</v>
      </c>
      <c r="F4276" t="s">
        <v>12405</v>
      </c>
      <c r="G4276" t="s">
        <v>14262</v>
      </c>
      <c r="H4276" t="str">
        <f>HYPERLINK("https://baanknet.com/view-property/187801/BD03872CD672CE16AAF82C1A1BB2C4E79EB8E96721C109C275F1F4DF7AE8AA1C", "https://baanknet.com/view-property/187801/BD03872CD672CE16AAF82C1A1BB2C4E79EB8E96721C109C275F1F4DF7AE8AA1C")</f>
        <v>https://baanknet.com/view-property/187801/BD03872CD672CE16AAF82C1A1BB2C4E79EB8E96721C109C275F1F4DF7AE8AA1C</v>
      </c>
      <c r="I4276" t="str">
        <f>HYPERLINK("https://baanknet.com/view-property/187801/BD03872CD672CE16AAF82C1A1BB2C4E79EB8E96721C109C275F1F4DF7AE8AA1C", "Open")</f>
        <v>Open</v>
      </c>
      <c r="J4276" t="s">
        <v>3803</v>
      </c>
      <c r="L4276">
        <v>1932300</v>
      </c>
      <c r="M4276">
        <v>193230</v>
      </c>
    </row>
    <row r="4277" spans="1:13" x14ac:dyDescent="0.25">
      <c r="A4277" t="s">
        <v>14263</v>
      </c>
      <c r="B4277" t="s">
        <v>14264</v>
      </c>
      <c r="C4277" t="s">
        <v>387</v>
      </c>
      <c r="D4277" t="s">
        <v>14265</v>
      </c>
      <c r="E4277" t="s">
        <v>11032</v>
      </c>
      <c r="F4277" t="s">
        <v>12405</v>
      </c>
      <c r="G4277" t="s">
        <v>14266</v>
      </c>
      <c r="H4277" t="str">
        <f>HYPERLINK("https://baanknet.com/view-property/205191/02342F2A06FEA19E86E137BEE129CE2D2938A445D54CF8C6FEFB3491DCEF0DB5", "https://baanknet.com/view-property/205191/02342F2A06FEA19E86E137BEE129CE2D2938A445D54CF8C6FEFB3491DCEF0DB5")</f>
        <v>https://baanknet.com/view-property/205191/02342F2A06FEA19E86E137BEE129CE2D2938A445D54CF8C6FEFB3491DCEF0DB5</v>
      </c>
      <c r="I4277" t="str">
        <f>HYPERLINK("https://baanknet.com/view-property/205191/02342F2A06FEA19E86E137BEE129CE2D2938A445D54CF8C6FEFB3491DCEF0DB5", "Open")</f>
        <v>Open</v>
      </c>
      <c r="J4277" t="s">
        <v>3803</v>
      </c>
      <c r="L4277">
        <v>1049000</v>
      </c>
      <c r="M4277">
        <v>104900</v>
      </c>
    </row>
    <row r="4278" spans="1:13" x14ac:dyDescent="0.25">
      <c r="A4278" t="s">
        <v>14267</v>
      </c>
      <c r="B4278" t="s">
        <v>14268</v>
      </c>
      <c r="C4278" t="s">
        <v>387</v>
      </c>
      <c r="D4278" t="s">
        <v>14265</v>
      </c>
      <c r="E4278" t="s">
        <v>11032</v>
      </c>
      <c r="F4278" t="s">
        <v>12405</v>
      </c>
      <c r="G4278" t="s">
        <v>14269</v>
      </c>
      <c r="H4278" t="str">
        <f>HYPERLINK("https://baanknet.com/view-property/205189/9AD3E368E2C1962932D5AB019DB3A33497BFF773915F6FC612A3E70345D64AC5", "https://baanknet.com/view-property/205189/9AD3E368E2C1962932D5AB019DB3A33497BFF773915F6FC612A3E70345D64AC5")</f>
        <v>https://baanknet.com/view-property/205189/9AD3E368E2C1962932D5AB019DB3A33497BFF773915F6FC612A3E70345D64AC5</v>
      </c>
      <c r="I4278" t="str">
        <f>HYPERLINK("https://baanknet.com/view-property/205189/9AD3E368E2C1962932D5AB019DB3A33497BFF773915F6FC612A3E70345D64AC5", "Open")</f>
        <v>Open</v>
      </c>
      <c r="J4278" t="s">
        <v>3803</v>
      </c>
      <c r="L4278">
        <v>1933500</v>
      </c>
      <c r="M4278">
        <v>193500</v>
      </c>
    </row>
    <row r="4279" spans="1:13" x14ac:dyDescent="0.25">
      <c r="A4279" t="s">
        <v>14270</v>
      </c>
      <c r="B4279" t="s">
        <v>14271</v>
      </c>
      <c r="C4279" t="s">
        <v>387</v>
      </c>
      <c r="D4279" t="s">
        <v>1520</v>
      </c>
      <c r="E4279" t="s">
        <v>11032</v>
      </c>
      <c r="F4279" t="s">
        <v>11004</v>
      </c>
      <c r="G4279" t="s">
        <v>14272</v>
      </c>
      <c r="H4279" t="str">
        <f>HYPERLINK("https://baanknet.com/view-property/214688/BD21CF499DA4ECC0ECBF342581FBF49DA4CD97693EC1CFF0782FC44438436E5B", "https://baanknet.com/view-property/214688/BD21CF499DA4ECC0ECBF342581FBF49DA4CD97693EC1CFF0782FC44438436E5B")</f>
        <v>https://baanknet.com/view-property/214688/BD21CF499DA4ECC0ECBF342581FBF49DA4CD97693EC1CFF0782FC44438436E5B</v>
      </c>
      <c r="I4279" t="str">
        <f>HYPERLINK("https://baanknet.com/view-property/214688/BD21CF499DA4ECC0ECBF342581FBF49DA4CD97693EC1CFF0782FC44438436E5B", "Open")</f>
        <v>Open</v>
      </c>
      <c r="J4279" t="s">
        <v>3803</v>
      </c>
      <c r="L4279">
        <v>8242000</v>
      </c>
      <c r="M4279">
        <v>824200</v>
      </c>
    </row>
    <row r="4280" spans="1:13" x14ac:dyDescent="0.25">
      <c r="A4280" t="s">
        <v>14273</v>
      </c>
      <c r="B4280" t="s">
        <v>14274</v>
      </c>
      <c r="C4280" t="s">
        <v>387</v>
      </c>
      <c r="D4280" t="s">
        <v>1520</v>
      </c>
      <c r="E4280" t="s">
        <v>11032</v>
      </c>
      <c r="F4280" t="s">
        <v>11004</v>
      </c>
      <c r="G4280" t="s">
        <v>14275</v>
      </c>
      <c r="H4280" t="str">
        <f>HYPERLINK("https://baanknet.com/view-property/270839/18299CEC89812DCCC05BBDC34C2469A09D665E23328E0DD3DFFDE1963971C4E2", "https://baanknet.com/view-property/270839/18299CEC89812DCCC05BBDC34C2469A09D665E23328E0DD3DFFDE1963971C4E2")</f>
        <v>https://baanknet.com/view-property/270839/18299CEC89812DCCC05BBDC34C2469A09D665E23328E0DD3DFFDE1963971C4E2</v>
      </c>
      <c r="I4280" t="str">
        <f>HYPERLINK("https://baanknet.com/view-property/270839/18299CEC89812DCCC05BBDC34C2469A09D665E23328E0DD3DFFDE1963971C4E2", "Open")</f>
        <v>Open</v>
      </c>
      <c r="J4280" t="s">
        <v>3803</v>
      </c>
      <c r="L4280">
        <v>3100000</v>
      </c>
      <c r="M4280">
        <v>310000</v>
      </c>
    </row>
    <row r="4281" spans="1:13" x14ac:dyDescent="0.25">
      <c r="A4281" t="s">
        <v>14276</v>
      </c>
      <c r="B4281" t="s">
        <v>14277</v>
      </c>
      <c r="C4281" t="s">
        <v>387</v>
      </c>
      <c r="D4281" t="s">
        <v>526</v>
      </c>
      <c r="E4281" t="s">
        <v>11032</v>
      </c>
      <c r="F4281" t="s">
        <v>11004</v>
      </c>
      <c r="G4281" t="s">
        <v>14278</v>
      </c>
      <c r="H4281" t="str">
        <f>HYPERLINK("https://baanknet.com/view-property/274249/708354EC365A6233CBC0A28012A216DEDEBC3B94029DCD00B53AB111703BC0FC", "https://baanknet.com/view-property/274249/708354EC365A6233CBC0A28012A216DEDEBC3B94029DCD00B53AB111703BC0FC")</f>
        <v>https://baanknet.com/view-property/274249/708354EC365A6233CBC0A28012A216DEDEBC3B94029DCD00B53AB111703BC0FC</v>
      </c>
      <c r="I4281" t="str">
        <f>HYPERLINK("https://baanknet.com/view-property/274249/708354EC365A6233CBC0A28012A216DEDEBC3B94029DCD00B53AB111703BC0FC", "Open")</f>
        <v>Open</v>
      </c>
      <c r="J4281" t="s">
        <v>3803</v>
      </c>
      <c r="L4281">
        <v>1342000</v>
      </c>
      <c r="M4281">
        <v>134200</v>
      </c>
    </row>
    <row r="4282" spans="1:13" x14ac:dyDescent="0.25">
      <c r="A4282" t="s">
        <v>14279</v>
      </c>
      <c r="B4282" t="s">
        <v>14280</v>
      </c>
      <c r="C4282" t="s">
        <v>332</v>
      </c>
      <c r="D4282" t="s">
        <v>357</v>
      </c>
      <c r="E4282" t="s">
        <v>11032</v>
      </c>
      <c r="F4282" t="s">
        <v>11004</v>
      </c>
      <c r="G4282" t="s">
        <v>14281</v>
      </c>
      <c r="H4282" t="str">
        <f>HYPERLINK("https://baanknet.com/view-property/270464/39FD6D6F97B3D888E463DC3CB1C3810D6947E2EC631E36F738279D1991F0BB66", "https://baanknet.com/view-property/270464/39FD6D6F97B3D888E463DC3CB1C3810D6947E2EC631E36F738279D1991F0BB66")</f>
        <v>https://baanknet.com/view-property/270464/39FD6D6F97B3D888E463DC3CB1C3810D6947E2EC631E36F738279D1991F0BB66</v>
      </c>
      <c r="I4282" t="str">
        <f>HYPERLINK("https://baanknet.com/view-property/270464/39FD6D6F97B3D888E463DC3CB1C3810D6947E2EC631E36F738279D1991F0BB66", "Open")</f>
        <v>Open</v>
      </c>
      <c r="J4282" t="s">
        <v>3803</v>
      </c>
      <c r="L4282">
        <v>5500000</v>
      </c>
      <c r="M4282">
        <v>550000</v>
      </c>
    </row>
    <row r="4283" spans="1:13" x14ac:dyDescent="0.25">
      <c r="A4283" t="s">
        <v>14282</v>
      </c>
      <c r="B4283" t="s">
        <v>14283</v>
      </c>
      <c r="C4283" t="s">
        <v>332</v>
      </c>
      <c r="D4283" t="s">
        <v>357</v>
      </c>
      <c r="E4283" t="s">
        <v>11032</v>
      </c>
      <c r="F4283" t="s">
        <v>11004</v>
      </c>
      <c r="G4283" t="s">
        <v>14284</v>
      </c>
      <c r="H4283" t="str">
        <f>HYPERLINK("https://baanknet.com/view-property/270921/A08C169A1E5C3709224A629800F4DBB0FD58A4976AD8FAA6CF0AED26694DF3C4", "https://baanknet.com/view-property/270921/A08C169A1E5C3709224A629800F4DBB0FD58A4976AD8FAA6CF0AED26694DF3C4")</f>
        <v>https://baanknet.com/view-property/270921/A08C169A1E5C3709224A629800F4DBB0FD58A4976AD8FAA6CF0AED26694DF3C4</v>
      </c>
      <c r="I4283" t="str">
        <f>HYPERLINK("https://baanknet.com/view-property/270921/A08C169A1E5C3709224A629800F4DBB0FD58A4976AD8FAA6CF0AED26694DF3C4", "Open")</f>
        <v>Open</v>
      </c>
      <c r="J4283" t="s">
        <v>3803</v>
      </c>
      <c r="L4283">
        <v>5400000</v>
      </c>
      <c r="M4283">
        <v>540000</v>
      </c>
    </row>
    <row r="4284" spans="1:13" x14ac:dyDescent="0.25">
      <c r="A4284" t="s">
        <v>14285</v>
      </c>
      <c r="B4284" t="s">
        <v>14286</v>
      </c>
      <c r="C4284" t="s">
        <v>332</v>
      </c>
      <c r="D4284" t="s">
        <v>853</v>
      </c>
      <c r="E4284" t="s">
        <v>11032</v>
      </c>
      <c r="F4284" t="s">
        <v>11004</v>
      </c>
      <c r="G4284" t="s">
        <v>14287</v>
      </c>
      <c r="H4284" t="str">
        <f>HYPERLINK("https://baanknet.com/view-property/253723/779EA0AD5AB7436F12025AD28DC56630E471BD35A600B2077F2F8FAB7912B61A", "https://baanknet.com/view-property/253723/779EA0AD5AB7436F12025AD28DC56630E471BD35A600B2077F2F8FAB7912B61A")</f>
        <v>https://baanknet.com/view-property/253723/779EA0AD5AB7436F12025AD28DC56630E471BD35A600B2077F2F8FAB7912B61A</v>
      </c>
      <c r="I4284" t="str">
        <f>HYPERLINK("https://baanknet.com/view-property/253723/779EA0AD5AB7436F12025AD28DC56630E471BD35A600B2077F2F8FAB7912B61A", "Open")</f>
        <v>Open</v>
      </c>
      <c r="J4284" t="s">
        <v>3803</v>
      </c>
      <c r="L4284">
        <v>2858490</v>
      </c>
      <c r="M4284">
        <v>285849</v>
      </c>
    </row>
    <row r="4285" spans="1:13" x14ac:dyDescent="0.25">
      <c r="A4285" t="s">
        <v>14288</v>
      </c>
      <c r="B4285" t="s">
        <v>14289</v>
      </c>
      <c r="C4285" t="s">
        <v>387</v>
      </c>
      <c r="D4285" t="s">
        <v>14290</v>
      </c>
      <c r="E4285" t="s">
        <v>11032</v>
      </c>
      <c r="F4285" t="s">
        <v>11004</v>
      </c>
      <c r="G4285" t="s">
        <v>14291</v>
      </c>
      <c r="H4285" t="str">
        <f>HYPERLINK("https://baanknet.com/view-property/223110/9095806F5C6380CC99E6C99EBCF56B48FE2E69178DC89C97386DBA760BD4ED91", "https://baanknet.com/view-property/223110/9095806F5C6380CC99E6C99EBCF56B48FE2E69178DC89C97386DBA760BD4ED91")</f>
        <v>https://baanknet.com/view-property/223110/9095806F5C6380CC99E6C99EBCF56B48FE2E69178DC89C97386DBA760BD4ED91</v>
      </c>
      <c r="I4285" t="str">
        <f>HYPERLINK("https://baanknet.com/view-property/223110/9095806F5C6380CC99E6C99EBCF56B48FE2E69178DC89C97386DBA760BD4ED91", "Open")</f>
        <v>Open</v>
      </c>
      <c r="J4285" t="s">
        <v>3803</v>
      </c>
      <c r="L4285">
        <v>657000</v>
      </c>
      <c r="M4285">
        <v>65700</v>
      </c>
    </row>
    <row r="4286" spans="1:13" x14ac:dyDescent="0.25">
      <c r="A4286" t="s">
        <v>14292</v>
      </c>
      <c r="B4286" t="s">
        <v>14293</v>
      </c>
      <c r="C4286" t="s">
        <v>387</v>
      </c>
      <c r="D4286" t="s">
        <v>14294</v>
      </c>
      <c r="E4286" t="s">
        <v>11032</v>
      </c>
      <c r="F4286" t="s">
        <v>11004</v>
      </c>
      <c r="G4286" t="s">
        <v>14295</v>
      </c>
      <c r="H4286" t="str">
        <f>HYPERLINK("https://baanknet.com/view-property/268527/290A4735E7E8199C94BFF78268E87F5A435E75ADE334DA5D29D3AD1BB02E91C1", "https://baanknet.com/view-property/268527/290A4735E7E8199C94BFF78268E87F5A435E75ADE334DA5D29D3AD1BB02E91C1")</f>
        <v>https://baanknet.com/view-property/268527/290A4735E7E8199C94BFF78268E87F5A435E75ADE334DA5D29D3AD1BB02E91C1</v>
      </c>
      <c r="I4286" t="str">
        <f>HYPERLINK("https://baanknet.com/view-property/268527/290A4735E7E8199C94BFF78268E87F5A435E75ADE334DA5D29D3AD1BB02E91C1", "Open")</f>
        <v>Open</v>
      </c>
      <c r="J4286" t="s">
        <v>3803</v>
      </c>
      <c r="L4286">
        <v>1600000</v>
      </c>
      <c r="M4286">
        <v>160000</v>
      </c>
    </row>
    <row r="4287" spans="1:13" x14ac:dyDescent="0.25">
      <c r="A4287" t="s">
        <v>14296</v>
      </c>
      <c r="B4287" t="s">
        <v>14297</v>
      </c>
      <c r="C4287" t="s">
        <v>387</v>
      </c>
      <c r="D4287" t="s">
        <v>1023</v>
      </c>
      <c r="E4287" t="s">
        <v>11032</v>
      </c>
      <c r="F4287" t="s">
        <v>11004</v>
      </c>
      <c r="G4287" t="s">
        <v>14298</v>
      </c>
      <c r="H4287" t="str">
        <f>HYPERLINK("https://baanknet.com/view-property/9772/EF7EE5986219CCF863BBD940857F4CF9090E235B5278656E90A25AC09C0AE99A", "https://baanknet.com/view-property/9772/EF7EE5986219CCF863BBD940857F4CF9090E235B5278656E90A25AC09C0AE99A")</f>
        <v>https://baanknet.com/view-property/9772/EF7EE5986219CCF863BBD940857F4CF9090E235B5278656E90A25AC09C0AE99A</v>
      </c>
      <c r="I4287" t="str">
        <f>HYPERLINK("https://baanknet.com/view-property/9772/EF7EE5986219CCF863BBD940857F4CF9090E235B5278656E90A25AC09C0AE99A", "Open")</f>
        <v>Open</v>
      </c>
      <c r="J4287" t="s">
        <v>3803</v>
      </c>
      <c r="L4287">
        <v>990000</v>
      </c>
      <c r="M4287">
        <v>99000</v>
      </c>
    </row>
    <row r="4288" spans="1:13" x14ac:dyDescent="0.25">
      <c r="A4288" t="s">
        <v>14299</v>
      </c>
      <c r="B4288" t="s">
        <v>14300</v>
      </c>
      <c r="C4288" t="s">
        <v>387</v>
      </c>
      <c r="D4288" t="s">
        <v>14301</v>
      </c>
      <c r="E4288" t="s">
        <v>11032</v>
      </c>
      <c r="F4288" t="s">
        <v>11004</v>
      </c>
      <c r="G4288" t="s">
        <v>14302</v>
      </c>
      <c r="H4288" t="str">
        <f>HYPERLINK("https://baanknet.com/view-property/29259/81D996138B70C797DDDC5F5DA478E49CCC4076CECFE21371D345D587D3C3C9D3", "https://baanknet.com/view-property/29259/81D996138B70C797DDDC5F5DA478E49CCC4076CECFE21371D345D587D3C3C9D3")</f>
        <v>https://baanknet.com/view-property/29259/81D996138B70C797DDDC5F5DA478E49CCC4076CECFE21371D345D587D3C3C9D3</v>
      </c>
      <c r="I4288" t="str">
        <f>HYPERLINK("https://baanknet.com/view-property/29259/81D996138B70C797DDDC5F5DA478E49CCC4076CECFE21371D345D587D3C3C9D3", "Open")</f>
        <v>Open</v>
      </c>
      <c r="J4288" t="s">
        <v>3803</v>
      </c>
      <c r="L4288">
        <v>1800000</v>
      </c>
      <c r="M4288">
        <v>180000</v>
      </c>
    </row>
    <row r="4289" spans="1:13" x14ac:dyDescent="0.25">
      <c r="A4289" t="s">
        <v>14303</v>
      </c>
      <c r="B4289" t="s">
        <v>14304</v>
      </c>
      <c r="C4289" t="s">
        <v>332</v>
      </c>
      <c r="D4289" t="s">
        <v>1481</v>
      </c>
      <c r="E4289" t="s">
        <v>11032</v>
      </c>
      <c r="F4289" t="s">
        <v>11004</v>
      </c>
      <c r="G4289" t="s">
        <v>14305</v>
      </c>
      <c r="H4289" t="str">
        <f>HYPERLINK("https://baanknet.com/view-property/244800/9D678AA5C124A895F0A9E7BFD74C776CF0FE07A81B1D63C1C0AFAF791D853D59", "https://baanknet.com/view-property/244800/9D678AA5C124A895F0A9E7BFD74C776CF0FE07A81B1D63C1C0AFAF791D853D59")</f>
        <v>https://baanknet.com/view-property/244800/9D678AA5C124A895F0A9E7BFD74C776CF0FE07A81B1D63C1C0AFAF791D853D59</v>
      </c>
      <c r="I4289" t="str">
        <f>HYPERLINK("https://baanknet.com/view-property/244800/9D678AA5C124A895F0A9E7BFD74C776CF0FE07A81B1D63C1C0AFAF791D853D59", "Open")</f>
        <v>Open</v>
      </c>
      <c r="J4289" t="s">
        <v>3803</v>
      </c>
      <c r="L4289">
        <v>10700000</v>
      </c>
      <c r="M4289">
        <v>1070000</v>
      </c>
    </row>
    <row r="4290" spans="1:13" x14ac:dyDescent="0.25">
      <c r="A4290" t="s">
        <v>14306</v>
      </c>
      <c r="B4290" t="s">
        <v>14307</v>
      </c>
      <c r="C4290" t="s">
        <v>332</v>
      </c>
      <c r="D4290" t="s">
        <v>1481</v>
      </c>
      <c r="E4290" t="s">
        <v>11032</v>
      </c>
      <c r="F4290" t="s">
        <v>11004</v>
      </c>
      <c r="G4290" t="s">
        <v>14308</v>
      </c>
      <c r="H4290" t="str">
        <f>HYPERLINK("https://baanknet.com/view-property/259349/007ED7EF98EE381BC23A9F7B58D8C3D7BC68E82A887F47FA3C67721B68E90DFD", "https://baanknet.com/view-property/259349/007ED7EF98EE381BC23A9F7B58D8C3D7BC68E82A887F47FA3C67721B68E90DFD")</f>
        <v>https://baanknet.com/view-property/259349/007ED7EF98EE381BC23A9F7B58D8C3D7BC68E82A887F47FA3C67721B68E90DFD</v>
      </c>
      <c r="I4290" t="str">
        <f>HYPERLINK("https://baanknet.com/view-property/259349/007ED7EF98EE381BC23A9F7B58D8C3D7BC68E82A887F47FA3C67721B68E90DFD", "Open")</f>
        <v>Open</v>
      </c>
      <c r="J4290" t="s">
        <v>3803</v>
      </c>
      <c r="L4290">
        <v>9932000</v>
      </c>
      <c r="M4290">
        <v>993200</v>
      </c>
    </row>
    <row r="4291" spans="1:13" x14ac:dyDescent="0.25">
      <c r="A4291" t="s">
        <v>14309</v>
      </c>
      <c r="B4291" t="s">
        <v>14310</v>
      </c>
      <c r="C4291" t="s">
        <v>332</v>
      </c>
      <c r="D4291" t="s">
        <v>2163</v>
      </c>
      <c r="E4291" t="s">
        <v>11032</v>
      </c>
      <c r="F4291" t="s">
        <v>11004</v>
      </c>
      <c r="G4291" t="s">
        <v>14311</v>
      </c>
      <c r="H4291" t="str">
        <f>HYPERLINK("https://baanknet.com/view-property/275648/8756B863010A105C53603B9540DBA84A6E9EFECF0AA74816D679780FFDCD441D", "https://baanknet.com/view-property/275648/8756B863010A105C53603B9540DBA84A6E9EFECF0AA74816D679780FFDCD441D")</f>
        <v>https://baanknet.com/view-property/275648/8756B863010A105C53603B9540DBA84A6E9EFECF0AA74816D679780FFDCD441D</v>
      </c>
      <c r="I4291" t="str">
        <f>HYPERLINK("https://baanknet.com/view-property/275648/8756B863010A105C53603B9540DBA84A6E9EFECF0AA74816D679780FFDCD441D", "Open")</f>
        <v>Open</v>
      </c>
      <c r="J4291" t="s">
        <v>3803</v>
      </c>
      <c r="L4291">
        <v>6772000</v>
      </c>
      <c r="M4291">
        <v>677200</v>
      </c>
    </row>
    <row r="4292" spans="1:13" x14ac:dyDescent="0.25">
      <c r="A4292" t="s">
        <v>14312</v>
      </c>
      <c r="B4292" t="s">
        <v>14313</v>
      </c>
      <c r="C4292" t="s">
        <v>387</v>
      </c>
      <c r="D4292" t="s">
        <v>533</v>
      </c>
      <c r="E4292" t="s">
        <v>11032</v>
      </c>
      <c r="F4292" t="s">
        <v>11004</v>
      </c>
      <c r="G4292" t="s">
        <v>14314</v>
      </c>
      <c r="H4292" t="str">
        <f>HYPERLINK("https://baanknet.com/view-property/257805/45C30201147029041FF30ECBAC12F71B1B69F6FAB9BDE432679574BF4483B348", "https://baanknet.com/view-property/257805/45C30201147029041FF30ECBAC12F71B1B69F6FAB9BDE432679574BF4483B348")</f>
        <v>https://baanknet.com/view-property/257805/45C30201147029041FF30ECBAC12F71B1B69F6FAB9BDE432679574BF4483B348</v>
      </c>
      <c r="I4292" t="str">
        <f>HYPERLINK("https://baanknet.com/view-property/257805/45C30201147029041FF30ECBAC12F71B1B69F6FAB9BDE432679574BF4483B348", "Open")</f>
        <v>Open</v>
      </c>
      <c r="J4292" t="s">
        <v>3803</v>
      </c>
      <c r="L4292">
        <v>1440000</v>
      </c>
      <c r="M4292">
        <v>144000</v>
      </c>
    </row>
    <row r="4293" spans="1:13" x14ac:dyDescent="0.25">
      <c r="A4293" t="s">
        <v>14315</v>
      </c>
      <c r="B4293" t="s">
        <v>14316</v>
      </c>
      <c r="C4293" t="s">
        <v>387</v>
      </c>
      <c r="D4293" t="s">
        <v>533</v>
      </c>
      <c r="E4293" t="s">
        <v>11032</v>
      </c>
      <c r="F4293" t="s">
        <v>11004</v>
      </c>
      <c r="G4293" t="s">
        <v>14317</v>
      </c>
      <c r="H4293" t="str">
        <f>HYPERLINK("https://baanknet.com/view-property/247477/1EF7473E7A047843D50940A154617207EBA9D1503C8D912431B9D3509B496A51", "https://baanknet.com/view-property/247477/1EF7473E7A047843D50940A154617207EBA9D1503C8D912431B9D3509B496A51")</f>
        <v>https://baanknet.com/view-property/247477/1EF7473E7A047843D50940A154617207EBA9D1503C8D912431B9D3509B496A51</v>
      </c>
      <c r="I4293" t="str">
        <f>HYPERLINK("https://baanknet.com/view-property/247477/1EF7473E7A047843D50940A154617207EBA9D1503C8D912431B9D3509B496A51", "Open")</f>
        <v>Open</v>
      </c>
      <c r="J4293" t="s">
        <v>3803</v>
      </c>
      <c r="L4293">
        <v>2070000</v>
      </c>
      <c r="M4293">
        <v>207000</v>
      </c>
    </row>
    <row r="4294" spans="1:13" x14ac:dyDescent="0.25">
      <c r="A4294" t="s">
        <v>14318</v>
      </c>
      <c r="B4294" t="s">
        <v>14319</v>
      </c>
      <c r="C4294" t="s">
        <v>387</v>
      </c>
      <c r="D4294" t="s">
        <v>533</v>
      </c>
      <c r="E4294" t="s">
        <v>11032</v>
      </c>
      <c r="F4294" t="s">
        <v>11004</v>
      </c>
      <c r="G4294" t="s">
        <v>14320</v>
      </c>
      <c r="H4294" t="str">
        <f>HYPERLINK("https://baanknet.com/view-property/242465/BBF562D6AFD87D72A871BBFC41263D2727B315639D3AEDE7D00BCD361645B75C", "https://baanknet.com/view-property/242465/BBF562D6AFD87D72A871BBFC41263D2727B315639D3AEDE7D00BCD361645B75C")</f>
        <v>https://baanknet.com/view-property/242465/BBF562D6AFD87D72A871BBFC41263D2727B315639D3AEDE7D00BCD361645B75C</v>
      </c>
      <c r="I4294" t="str">
        <f>HYPERLINK("https://baanknet.com/view-property/242465/BBF562D6AFD87D72A871BBFC41263D2727B315639D3AEDE7D00BCD361645B75C", "Open")</f>
        <v>Open</v>
      </c>
      <c r="J4294" t="s">
        <v>3803</v>
      </c>
      <c r="L4294">
        <v>1800000</v>
      </c>
      <c r="M4294">
        <v>180000</v>
      </c>
    </row>
    <row r="4295" spans="1:13" x14ac:dyDescent="0.25">
      <c r="A4295" t="s">
        <v>14321</v>
      </c>
      <c r="B4295" t="s">
        <v>14322</v>
      </c>
      <c r="C4295" t="s">
        <v>387</v>
      </c>
      <c r="D4295" t="s">
        <v>526</v>
      </c>
      <c r="E4295" t="s">
        <v>11032</v>
      </c>
      <c r="F4295" t="s">
        <v>11004</v>
      </c>
      <c r="G4295" t="s">
        <v>14323</v>
      </c>
      <c r="H4295" t="str">
        <f>HYPERLINK("https://baanknet.com/view-property/231047/9A33E4D541BC4048C50BEA29F914DB0FED1CBD7311C13E38F9E485C11AE05703", "https://baanknet.com/view-property/231047/9A33E4D541BC4048C50BEA29F914DB0FED1CBD7311C13E38F9E485C11AE05703")</f>
        <v>https://baanknet.com/view-property/231047/9A33E4D541BC4048C50BEA29F914DB0FED1CBD7311C13E38F9E485C11AE05703</v>
      </c>
      <c r="I4295" t="str">
        <f>HYPERLINK("https://baanknet.com/view-property/231047/9A33E4D541BC4048C50BEA29F914DB0FED1CBD7311C13E38F9E485C11AE05703", "Open")</f>
        <v>Open</v>
      </c>
      <c r="J4295" t="s">
        <v>3803</v>
      </c>
      <c r="L4295">
        <v>690000</v>
      </c>
      <c r="M4295">
        <v>69000</v>
      </c>
    </row>
    <row r="4296" spans="1:13" x14ac:dyDescent="0.25">
      <c r="A4296" t="s">
        <v>14324</v>
      </c>
      <c r="B4296" t="s">
        <v>14325</v>
      </c>
      <c r="C4296" t="s">
        <v>387</v>
      </c>
      <c r="D4296" t="s">
        <v>526</v>
      </c>
      <c r="E4296" t="s">
        <v>11032</v>
      </c>
      <c r="F4296" t="s">
        <v>11004</v>
      </c>
      <c r="G4296" t="s">
        <v>14326</v>
      </c>
      <c r="H4296" t="str">
        <f>HYPERLINK("https://baanknet.com/view-property/231058/579D7981C29925B1C5A7EEAADB5B47AA5FBB72611283EB5F19D4A6BF7A0F535C", "https://baanknet.com/view-property/231058/579D7981C29925B1C5A7EEAADB5B47AA5FBB72611283EB5F19D4A6BF7A0F535C")</f>
        <v>https://baanknet.com/view-property/231058/579D7981C29925B1C5A7EEAADB5B47AA5FBB72611283EB5F19D4A6BF7A0F535C</v>
      </c>
      <c r="I4296" t="str">
        <f>HYPERLINK("https://baanknet.com/view-property/231058/579D7981C29925B1C5A7EEAADB5B47AA5FBB72611283EB5F19D4A6BF7A0F535C", "Open")</f>
        <v>Open</v>
      </c>
      <c r="J4296" t="s">
        <v>3803</v>
      </c>
      <c r="L4296">
        <v>880000</v>
      </c>
      <c r="M4296">
        <v>88000</v>
      </c>
    </row>
    <row r="4297" spans="1:13" x14ac:dyDescent="0.25">
      <c r="A4297" t="s">
        <v>14327</v>
      </c>
      <c r="B4297" t="s">
        <v>14328</v>
      </c>
      <c r="C4297" t="s">
        <v>387</v>
      </c>
      <c r="D4297" t="s">
        <v>533</v>
      </c>
      <c r="E4297" t="s">
        <v>11032</v>
      </c>
      <c r="F4297" t="s">
        <v>11004</v>
      </c>
      <c r="G4297" t="s">
        <v>14329</v>
      </c>
      <c r="H4297" t="str">
        <f>HYPERLINK("https://baanknet.com/view-property/268172/F8DFFE48495E381289E1860078C7B97FBAFE8A1CE4D5159143D16E48BD9D55B4", "https://baanknet.com/view-property/268172/F8DFFE48495E381289E1860078C7B97FBAFE8A1CE4D5159143D16E48BD9D55B4")</f>
        <v>https://baanknet.com/view-property/268172/F8DFFE48495E381289E1860078C7B97FBAFE8A1CE4D5159143D16E48BD9D55B4</v>
      </c>
      <c r="I4297" t="str">
        <f>HYPERLINK("https://baanknet.com/view-property/268172/F8DFFE48495E381289E1860078C7B97FBAFE8A1CE4D5159143D16E48BD9D55B4", "Open")</f>
        <v>Open</v>
      </c>
      <c r="J4297" t="s">
        <v>3803</v>
      </c>
      <c r="L4297">
        <v>1800000</v>
      </c>
      <c r="M4297">
        <v>180000</v>
      </c>
    </row>
    <row r="4298" spans="1:13" x14ac:dyDescent="0.25">
      <c r="A4298" t="s">
        <v>14330</v>
      </c>
      <c r="B4298" t="s">
        <v>14331</v>
      </c>
      <c r="C4298" t="s">
        <v>387</v>
      </c>
      <c r="D4298" t="s">
        <v>1267</v>
      </c>
      <c r="E4298" t="s">
        <v>11032</v>
      </c>
      <c r="F4298" t="s">
        <v>11004</v>
      </c>
      <c r="G4298" t="s">
        <v>14332</v>
      </c>
      <c r="H4298" t="str">
        <f>HYPERLINK("https://baanknet.com/view-property/207294/C9F088BB8F67047C1FFD68D1BB090D1F753FAA2F8FCDB0C59230D312FD49103E", "https://baanknet.com/view-property/207294/C9F088BB8F67047C1FFD68D1BB090D1F753FAA2F8FCDB0C59230D312FD49103E")</f>
        <v>https://baanknet.com/view-property/207294/C9F088BB8F67047C1FFD68D1BB090D1F753FAA2F8FCDB0C59230D312FD49103E</v>
      </c>
      <c r="I4298" t="str">
        <f>HYPERLINK("https://baanknet.com/view-property/207294/C9F088BB8F67047C1FFD68D1BB090D1F753FAA2F8FCDB0C59230D312FD49103E", "Open")</f>
        <v>Open</v>
      </c>
      <c r="J4298" t="s">
        <v>3803</v>
      </c>
      <c r="L4298">
        <v>880000</v>
      </c>
      <c r="M4298">
        <v>88000</v>
      </c>
    </row>
    <row r="4299" spans="1:13" x14ac:dyDescent="0.25">
      <c r="A4299" t="s">
        <v>14333</v>
      </c>
      <c r="B4299" t="s">
        <v>14334</v>
      </c>
      <c r="C4299" t="s">
        <v>387</v>
      </c>
      <c r="D4299" t="s">
        <v>533</v>
      </c>
      <c r="E4299" t="s">
        <v>11032</v>
      </c>
      <c r="F4299" t="s">
        <v>11004</v>
      </c>
      <c r="G4299" t="s">
        <v>14335</v>
      </c>
      <c r="H4299" t="str">
        <f>HYPERLINK("https://baanknet.com/view-property/233385/16D4221F6B752D762D18BC8E90C51F96C6C8F6B5DF512245557739C83FBBBCB6", "https://baanknet.com/view-property/233385/16D4221F6B752D762D18BC8E90C51F96C6C8F6B5DF512245557739C83FBBBCB6")</f>
        <v>https://baanknet.com/view-property/233385/16D4221F6B752D762D18BC8E90C51F96C6C8F6B5DF512245557739C83FBBBCB6</v>
      </c>
      <c r="I4299" t="str">
        <f>HYPERLINK("https://baanknet.com/view-property/233385/16D4221F6B752D762D18BC8E90C51F96C6C8F6B5DF512245557739C83FBBBCB6", "Open")</f>
        <v>Open</v>
      </c>
      <c r="J4299" t="s">
        <v>3803</v>
      </c>
      <c r="L4299">
        <v>2040000</v>
      </c>
      <c r="M4299">
        <v>204000</v>
      </c>
    </row>
    <row r="4300" spans="1:13" x14ac:dyDescent="0.25">
      <c r="A4300" t="s">
        <v>14336</v>
      </c>
      <c r="B4300" t="s">
        <v>14337</v>
      </c>
      <c r="C4300" t="s">
        <v>387</v>
      </c>
      <c r="D4300" t="s">
        <v>1267</v>
      </c>
      <c r="E4300" t="s">
        <v>11032</v>
      </c>
      <c r="F4300" t="s">
        <v>11004</v>
      </c>
      <c r="G4300" t="s">
        <v>14338</v>
      </c>
      <c r="H4300" t="str">
        <f>HYPERLINK("https://baanknet.com/view-property/207303/5A99615FACA8D58B9B1E7CD82EBC95311543E7B23538AA2436CE6EAB7F440067", "https://baanknet.com/view-property/207303/5A99615FACA8D58B9B1E7CD82EBC95311543E7B23538AA2436CE6EAB7F440067")</f>
        <v>https://baanknet.com/view-property/207303/5A99615FACA8D58B9B1E7CD82EBC95311543E7B23538AA2436CE6EAB7F440067</v>
      </c>
      <c r="I4300" t="str">
        <f>HYPERLINK("https://baanknet.com/view-property/207303/5A99615FACA8D58B9B1E7CD82EBC95311543E7B23538AA2436CE6EAB7F440067", "Open")</f>
        <v>Open</v>
      </c>
      <c r="J4300" t="s">
        <v>3803</v>
      </c>
      <c r="L4300">
        <v>1660000</v>
      </c>
      <c r="M4300">
        <v>166000</v>
      </c>
    </row>
    <row r="4301" spans="1:13" x14ac:dyDescent="0.25">
      <c r="A4301" t="s">
        <v>14339</v>
      </c>
      <c r="B4301" t="s">
        <v>14340</v>
      </c>
      <c r="C4301" t="s">
        <v>387</v>
      </c>
      <c r="D4301" t="s">
        <v>533</v>
      </c>
      <c r="E4301" t="s">
        <v>11032</v>
      </c>
      <c r="F4301" t="s">
        <v>11004</v>
      </c>
      <c r="G4301" t="s">
        <v>14341</v>
      </c>
      <c r="H4301" t="str">
        <f>HYPERLINK("https://baanknet.com/view-property/189863/C21FA40C1EF4DE743E21299A361350D0E269356C57095980294068115D8CF446", "https://baanknet.com/view-property/189863/C21FA40C1EF4DE743E21299A361350D0E269356C57095980294068115D8CF446")</f>
        <v>https://baanknet.com/view-property/189863/C21FA40C1EF4DE743E21299A361350D0E269356C57095980294068115D8CF446</v>
      </c>
      <c r="I4301" t="str">
        <f>HYPERLINK("https://baanknet.com/view-property/189863/C21FA40C1EF4DE743E21299A361350D0E269356C57095980294068115D8CF446", "Open")</f>
        <v>Open</v>
      </c>
      <c r="J4301" t="s">
        <v>3803</v>
      </c>
      <c r="L4301">
        <v>1850000</v>
      </c>
      <c r="M4301">
        <v>185000</v>
      </c>
    </row>
    <row r="4302" spans="1:13" x14ac:dyDescent="0.25">
      <c r="A4302" t="s">
        <v>14342</v>
      </c>
      <c r="B4302" t="s">
        <v>14343</v>
      </c>
      <c r="C4302" t="s">
        <v>387</v>
      </c>
      <c r="D4302" t="s">
        <v>1267</v>
      </c>
      <c r="E4302" t="s">
        <v>11032</v>
      </c>
      <c r="F4302" t="s">
        <v>11004</v>
      </c>
      <c r="G4302" t="s">
        <v>14344</v>
      </c>
      <c r="H4302" t="str">
        <f>HYPERLINK("https://baanknet.com/view-property/207355/F64144605D352D2C70101CB7F7DBFC424DEAD3A2E934450C5C608FD3FFAF473C", "https://baanknet.com/view-property/207355/F64144605D352D2C70101CB7F7DBFC424DEAD3A2E934450C5C608FD3FFAF473C")</f>
        <v>https://baanknet.com/view-property/207355/F64144605D352D2C70101CB7F7DBFC424DEAD3A2E934450C5C608FD3FFAF473C</v>
      </c>
      <c r="I4302" t="str">
        <f>HYPERLINK("https://baanknet.com/view-property/207355/F64144605D352D2C70101CB7F7DBFC424DEAD3A2E934450C5C608FD3FFAF473C", "Open")</f>
        <v>Open</v>
      </c>
      <c r="J4302" t="s">
        <v>3803</v>
      </c>
      <c r="L4302">
        <v>760000</v>
      </c>
      <c r="M4302">
        <v>76000</v>
      </c>
    </row>
    <row r="4303" spans="1:13" x14ac:dyDescent="0.25">
      <c r="A4303" t="s">
        <v>14345</v>
      </c>
      <c r="B4303" t="s">
        <v>14346</v>
      </c>
      <c r="C4303" t="s">
        <v>387</v>
      </c>
      <c r="D4303" t="s">
        <v>533</v>
      </c>
      <c r="E4303" t="s">
        <v>11032</v>
      </c>
      <c r="F4303" t="s">
        <v>11004</v>
      </c>
      <c r="G4303" t="s">
        <v>14347</v>
      </c>
      <c r="H4303" t="str">
        <f>HYPERLINK("https://baanknet.com/view-property/203341/0D5DC2AE2305762DC30F950F5079C8E58049654AB928E8595996F36A50325C92", "https://baanknet.com/view-property/203341/0D5DC2AE2305762DC30F950F5079C8E58049654AB928E8595996F36A50325C92")</f>
        <v>https://baanknet.com/view-property/203341/0D5DC2AE2305762DC30F950F5079C8E58049654AB928E8595996F36A50325C92</v>
      </c>
      <c r="I4303" t="str">
        <f>HYPERLINK("https://baanknet.com/view-property/203341/0D5DC2AE2305762DC30F950F5079C8E58049654AB928E8595996F36A50325C92", "Open")</f>
        <v>Open</v>
      </c>
      <c r="J4303" t="s">
        <v>3803</v>
      </c>
      <c r="L4303">
        <v>2150000</v>
      </c>
      <c r="M4303">
        <v>215000</v>
      </c>
    </row>
    <row r="4304" spans="1:13" x14ac:dyDescent="0.25">
      <c r="A4304" t="s">
        <v>14348</v>
      </c>
      <c r="B4304" t="s">
        <v>14349</v>
      </c>
      <c r="C4304" t="s">
        <v>387</v>
      </c>
      <c r="D4304" t="s">
        <v>533</v>
      </c>
      <c r="E4304" t="s">
        <v>11032</v>
      </c>
      <c r="F4304" t="s">
        <v>11004</v>
      </c>
      <c r="G4304" t="s">
        <v>14350</v>
      </c>
      <c r="H4304" t="str">
        <f>HYPERLINK("https://baanknet.com/view-property/246092/FD2D4BCFA30CE8F2CCF85B977387E6B998D2F7BF5293C701B2B043FA31086980", "https://baanknet.com/view-property/246092/FD2D4BCFA30CE8F2CCF85B977387E6B998D2F7BF5293C701B2B043FA31086980")</f>
        <v>https://baanknet.com/view-property/246092/FD2D4BCFA30CE8F2CCF85B977387E6B998D2F7BF5293C701B2B043FA31086980</v>
      </c>
      <c r="I4304" t="str">
        <f>HYPERLINK("https://baanknet.com/view-property/246092/FD2D4BCFA30CE8F2CCF85B977387E6B998D2F7BF5293C701B2B043FA31086980", "Open")</f>
        <v>Open</v>
      </c>
      <c r="J4304" t="s">
        <v>3803</v>
      </c>
      <c r="L4304">
        <v>14200000</v>
      </c>
      <c r="M4304">
        <v>1420000</v>
      </c>
    </row>
    <row r="4305" spans="1:13" x14ac:dyDescent="0.25">
      <c r="A4305" t="s">
        <v>14351</v>
      </c>
      <c r="B4305" t="s">
        <v>14352</v>
      </c>
      <c r="C4305" t="s">
        <v>387</v>
      </c>
      <c r="D4305" t="s">
        <v>526</v>
      </c>
      <c r="E4305" t="s">
        <v>11032</v>
      </c>
      <c r="F4305" t="s">
        <v>11004</v>
      </c>
      <c r="G4305" t="s">
        <v>14353</v>
      </c>
      <c r="H4305" t="str">
        <f>HYPERLINK("https://baanknet.com/view-property/189846/15B6C49802C92D5F3CBAD4C157BA42CB6722021A5F7C8EFE00CF49F75790D9D3", "https://baanknet.com/view-property/189846/15B6C49802C92D5F3CBAD4C157BA42CB6722021A5F7C8EFE00CF49F75790D9D3")</f>
        <v>https://baanknet.com/view-property/189846/15B6C49802C92D5F3CBAD4C157BA42CB6722021A5F7C8EFE00CF49F75790D9D3</v>
      </c>
      <c r="I4305" t="str">
        <f>HYPERLINK("https://baanknet.com/view-property/189846/15B6C49802C92D5F3CBAD4C157BA42CB6722021A5F7C8EFE00CF49F75790D9D3", "Open")</f>
        <v>Open</v>
      </c>
      <c r="J4305" t="s">
        <v>3803</v>
      </c>
      <c r="L4305">
        <v>1386000</v>
      </c>
      <c r="M4305">
        <v>138600</v>
      </c>
    </row>
    <row r="4306" spans="1:13" x14ac:dyDescent="0.25">
      <c r="A4306" t="s">
        <v>14354</v>
      </c>
      <c r="B4306" t="s">
        <v>14355</v>
      </c>
      <c r="C4306" t="s">
        <v>387</v>
      </c>
      <c r="D4306" t="s">
        <v>526</v>
      </c>
      <c r="E4306" t="s">
        <v>11032</v>
      </c>
      <c r="F4306" t="s">
        <v>11004</v>
      </c>
      <c r="G4306" t="s">
        <v>14356</v>
      </c>
      <c r="H4306" t="str">
        <f>HYPERLINK("https://baanknet.com/view-property/207311/EE76793866FAB8F014F27F1DFC2729C342A38A1BD0323F918848E326CE5C4E37", "https://baanknet.com/view-property/207311/EE76793866FAB8F014F27F1DFC2729C342A38A1BD0323F918848E326CE5C4E37")</f>
        <v>https://baanknet.com/view-property/207311/EE76793866FAB8F014F27F1DFC2729C342A38A1BD0323F918848E326CE5C4E37</v>
      </c>
      <c r="I4306" t="str">
        <f>HYPERLINK("https://baanknet.com/view-property/207311/EE76793866FAB8F014F27F1DFC2729C342A38A1BD0323F918848E326CE5C4E37", "Open")</f>
        <v>Open</v>
      </c>
      <c r="J4306" t="s">
        <v>3803</v>
      </c>
      <c r="L4306">
        <v>1456000</v>
      </c>
      <c r="M4306">
        <v>145600</v>
      </c>
    </row>
    <row r="4307" spans="1:13" x14ac:dyDescent="0.25">
      <c r="A4307" t="s">
        <v>14357</v>
      </c>
      <c r="B4307" t="s">
        <v>14358</v>
      </c>
      <c r="C4307" t="s">
        <v>387</v>
      </c>
      <c r="D4307" t="s">
        <v>533</v>
      </c>
      <c r="E4307" t="s">
        <v>11032</v>
      </c>
      <c r="F4307" t="s">
        <v>11004</v>
      </c>
      <c r="G4307" t="s">
        <v>14359</v>
      </c>
      <c r="H4307" t="str">
        <f>HYPERLINK("https://baanknet.com/view-property/213740/A428BDD919F05FF510E1A53F28952A7E9D645CD852F9488FCA20BB12E046FA91", "https://baanknet.com/view-property/213740/A428BDD919F05FF510E1A53F28952A7E9D645CD852F9488FCA20BB12E046FA91")</f>
        <v>https://baanknet.com/view-property/213740/A428BDD919F05FF510E1A53F28952A7E9D645CD852F9488FCA20BB12E046FA91</v>
      </c>
      <c r="I4307" t="str">
        <f>HYPERLINK("https://baanknet.com/view-property/213740/A428BDD919F05FF510E1A53F28952A7E9D645CD852F9488FCA20BB12E046FA91", "Open")</f>
        <v>Open</v>
      </c>
      <c r="J4307" t="s">
        <v>3803</v>
      </c>
      <c r="L4307">
        <v>7900000</v>
      </c>
      <c r="M4307">
        <v>790000</v>
      </c>
    </row>
    <row r="4308" spans="1:13" x14ac:dyDescent="0.25">
      <c r="A4308" t="s">
        <v>14360</v>
      </c>
      <c r="B4308" t="s">
        <v>14361</v>
      </c>
      <c r="C4308" t="s">
        <v>387</v>
      </c>
      <c r="D4308" t="s">
        <v>1267</v>
      </c>
      <c r="E4308" t="s">
        <v>11032</v>
      </c>
      <c r="F4308" t="s">
        <v>11004</v>
      </c>
      <c r="G4308" t="s">
        <v>14362</v>
      </c>
      <c r="H4308" t="str">
        <f>HYPERLINK("https://baanknet.com/view-property/274209/25812EA7E19368470083BACCDEF253827A69291125DF0B199AD72845086B2DC8", "https://baanknet.com/view-property/274209/25812EA7E19368470083BACCDEF253827A69291125DF0B199AD72845086B2DC8")</f>
        <v>https://baanknet.com/view-property/274209/25812EA7E19368470083BACCDEF253827A69291125DF0B199AD72845086B2DC8</v>
      </c>
      <c r="I4308" t="str">
        <f>HYPERLINK("https://baanknet.com/view-property/274209/25812EA7E19368470083BACCDEF253827A69291125DF0B199AD72845086B2DC8", "Open")</f>
        <v>Open</v>
      </c>
      <c r="J4308" t="s">
        <v>3803</v>
      </c>
      <c r="L4308">
        <v>2160000</v>
      </c>
      <c r="M4308">
        <v>216000</v>
      </c>
    </row>
    <row r="4309" spans="1:13" x14ac:dyDescent="0.25">
      <c r="A4309" t="s">
        <v>14363</v>
      </c>
      <c r="B4309" t="s">
        <v>14364</v>
      </c>
      <c r="C4309" t="s">
        <v>387</v>
      </c>
      <c r="D4309" t="s">
        <v>526</v>
      </c>
      <c r="E4309" t="s">
        <v>11032</v>
      </c>
      <c r="F4309" t="s">
        <v>11004</v>
      </c>
      <c r="G4309" t="s">
        <v>14365</v>
      </c>
      <c r="H4309" t="str">
        <f>HYPERLINK("https://baanknet.com/view-property/274228/733C14694D4FDF22CE62C2C731A8883605DE63587E1A9460763276A0155F7403", "https://baanknet.com/view-property/274228/733C14694D4FDF22CE62C2C731A8883605DE63587E1A9460763276A0155F7403")</f>
        <v>https://baanknet.com/view-property/274228/733C14694D4FDF22CE62C2C731A8883605DE63587E1A9460763276A0155F7403</v>
      </c>
      <c r="I4309" t="str">
        <f>HYPERLINK("https://baanknet.com/view-property/274228/733C14694D4FDF22CE62C2C731A8883605DE63587E1A9460763276A0155F7403", "Open")</f>
        <v>Open</v>
      </c>
      <c r="J4309" t="s">
        <v>3803</v>
      </c>
      <c r="L4309">
        <v>2034000</v>
      </c>
      <c r="M4309">
        <v>203400</v>
      </c>
    </row>
    <row r="4310" spans="1:13" x14ac:dyDescent="0.25">
      <c r="A4310" t="s">
        <v>14366</v>
      </c>
      <c r="B4310" t="s">
        <v>14367</v>
      </c>
      <c r="C4310" t="s">
        <v>387</v>
      </c>
      <c r="D4310" t="s">
        <v>533</v>
      </c>
      <c r="E4310" t="s">
        <v>11032</v>
      </c>
      <c r="F4310" t="s">
        <v>11004</v>
      </c>
      <c r="G4310" t="s">
        <v>14368</v>
      </c>
      <c r="H4310" t="str">
        <f>HYPERLINK("https://baanknet.com/view-property/246091/E659D399B9E5C147B6181A24651021A9C048B171CE97D2BB2346B1E909D2D236", "https://baanknet.com/view-property/246091/E659D399B9E5C147B6181A24651021A9C048B171CE97D2BB2346B1E909D2D236")</f>
        <v>https://baanknet.com/view-property/246091/E659D399B9E5C147B6181A24651021A9C048B171CE97D2BB2346B1E909D2D236</v>
      </c>
      <c r="I4310" t="str">
        <f>HYPERLINK("https://baanknet.com/view-property/246091/E659D399B9E5C147B6181A24651021A9C048B171CE97D2BB2346B1E909D2D236", "Open")</f>
        <v>Open</v>
      </c>
      <c r="J4310" t="s">
        <v>3803</v>
      </c>
      <c r="L4310">
        <v>3240000</v>
      </c>
      <c r="M4310">
        <v>324000</v>
      </c>
    </row>
    <row r="4311" spans="1:13" x14ac:dyDescent="0.25">
      <c r="A4311" t="s">
        <v>14369</v>
      </c>
      <c r="B4311" t="s">
        <v>14370</v>
      </c>
      <c r="C4311" t="s">
        <v>387</v>
      </c>
      <c r="D4311" t="s">
        <v>526</v>
      </c>
      <c r="E4311" t="s">
        <v>11032</v>
      </c>
      <c r="F4311" t="s">
        <v>11004</v>
      </c>
      <c r="G4311" t="s">
        <v>14371</v>
      </c>
      <c r="H4311" t="str">
        <f>HYPERLINK("https://baanknet.com/view-property/249103/4AC4D13B6BDE7A5A0FFC7423717BEE121E66A963BD54D8040F9AB9EA53B601D7", "https://baanknet.com/view-property/249103/4AC4D13B6BDE7A5A0FFC7423717BEE121E66A963BD54D8040F9AB9EA53B601D7")</f>
        <v>https://baanknet.com/view-property/249103/4AC4D13B6BDE7A5A0FFC7423717BEE121E66A963BD54D8040F9AB9EA53B601D7</v>
      </c>
      <c r="I4311" t="str">
        <f>HYPERLINK("https://baanknet.com/view-property/249103/4AC4D13B6BDE7A5A0FFC7423717BEE121E66A963BD54D8040F9AB9EA53B601D7", "Open")</f>
        <v>Open</v>
      </c>
      <c r="J4311" t="s">
        <v>3803</v>
      </c>
      <c r="L4311">
        <v>1800000</v>
      </c>
      <c r="M4311">
        <v>180000</v>
      </c>
    </row>
    <row r="4312" spans="1:13" x14ac:dyDescent="0.25">
      <c r="A4312" t="s">
        <v>14372</v>
      </c>
      <c r="B4312" t="s">
        <v>14373</v>
      </c>
      <c r="C4312" t="s">
        <v>387</v>
      </c>
      <c r="D4312" t="s">
        <v>526</v>
      </c>
      <c r="E4312" t="s">
        <v>11032</v>
      </c>
      <c r="F4312" t="s">
        <v>11004</v>
      </c>
      <c r="G4312" t="s">
        <v>14374</v>
      </c>
      <c r="H4312" t="str">
        <f>HYPERLINK("https://baanknet.com/view-property/274260/077AAF86886E37F9D8A29AD57D08F7663AAD6980E4E0B8E1C409D3C1DF4B967C", "https://baanknet.com/view-property/274260/077AAF86886E37F9D8A29AD57D08F7663AAD6980E4E0B8E1C409D3C1DF4B967C")</f>
        <v>https://baanknet.com/view-property/274260/077AAF86886E37F9D8A29AD57D08F7663AAD6980E4E0B8E1C409D3C1DF4B967C</v>
      </c>
      <c r="I4312" t="str">
        <f>HYPERLINK("https://baanknet.com/view-property/274260/077AAF86886E37F9D8A29AD57D08F7663AAD6980E4E0B8E1C409D3C1DF4B967C", "Open")</f>
        <v>Open</v>
      </c>
      <c r="J4312" t="s">
        <v>3803</v>
      </c>
      <c r="L4312">
        <v>1100000</v>
      </c>
      <c r="M4312">
        <v>110000</v>
      </c>
    </row>
    <row r="4313" spans="1:13" x14ac:dyDescent="0.25">
      <c r="A4313" t="s">
        <v>14375</v>
      </c>
      <c r="B4313" t="s">
        <v>14376</v>
      </c>
      <c r="C4313" t="s">
        <v>387</v>
      </c>
      <c r="D4313" t="s">
        <v>533</v>
      </c>
      <c r="E4313" t="s">
        <v>11032</v>
      </c>
      <c r="F4313" t="s">
        <v>11004</v>
      </c>
      <c r="G4313" t="s">
        <v>14377</v>
      </c>
      <c r="H4313" t="str">
        <f>HYPERLINK("https://baanknet.com/view-property/274262/2E5DA43129539524686E67437364CEF1B928E9635D79BFD2025A35892AE19606", "https://baanknet.com/view-property/274262/2E5DA43129539524686E67437364CEF1B928E9635D79BFD2025A35892AE19606")</f>
        <v>https://baanknet.com/view-property/274262/2E5DA43129539524686E67437364CEF1B928E9635D79BFD2025A35892AE19606</v>
      </c>
      <c r="I4313" t="str">
        <f>HYPERLINK("https://baanknet.com/view-property/274262/2E5DA43129539524686E67437364CEF1B928E9635D79BFD2025A35892AE19606", "Open")</f>
        <v>Open</v>
      </c>
      <c r="J4313" t="s">
        <v>3803</v>
      </c>
      <c r="L4313">
        <v>4070000</v>
      </c>
      <c r="M4313">
        <v>407000</v>
      </c>
    </row>
    <row r="4314" spans="1:13" x14ac:dyDescent="0.25">
      <c r="A4314" t="s">
        <v>14378</v>
      </c>
      <c r="B4314" t="s">
        <v>14379</v>
      </c>
      <c r="C4314" t="s">
        <v>387</v>
      </c>
      <c r="D4314" t="s">
        <v>533</v>
      </c>
      <c r="E4314" t="s">
        <v>11032</v>
      </c>
      <c r="F4314" t="s">
        <v>11004</v>
      </c>
      <c r="G4314" t="s">
        <v>14380</v>
      </c>
      <c r="H4314" t="str">
        <f>HYPERLINK("https://baanknet.com/view-property/268398/610EBCAA4FFF9662BA30A444EAEA7DA0C719147CF6D1C6E9E3D9DA72B76FCD4C", "https://baanknet.com/view-property/268398/610EBCAA4FFF9662BA30A444EAEA7DA0C719147CF6D1C6E9E3D9DA72B76FCD4C")</f>
        <v>https://baanknet.com/view-property/268398/610EBCAA4FFF9662BA30A444EAEA7DA0C719147CF6D1C6E9E3D9DA72B76FCD4C</v>
      </c>
      <c r="I4314" t="str">
        <f>HYPERLINK("https://baanknet.com/view-property/268398/610EBCAA4FFF9662BA30A444EAEA7DA0C719147CF6D1C6E9E3D9DA72B76FCD4C", "Open")</f>
        <v>Open</v>
      </c>
      <c r="J4314" t="s">
        <v>3803</v>
      </c>
      <c r="L4314">
        <v>2100000</v>
      </c>
      <c r="M4314">
        <v>210000</v>
      </c>
    </row>
    <row r="4315" spans="1:13" x14ac:dyDescent="0.25">
      <c r="A4315" t="s">
        <v>14381</v>
      </c>
      <c r="B4315" t="s">
        <v>14382</v>
      </c>
      <c r="C4315" t="s">
        <v>387</v>
      </c>
      <c r="D4315" t="s">
        <v>533</v>
      </c>
      <c r="E4315" t="s">
        <v>11032</v>
      </c>
      <c r="F4315" t="s">
        <v>11004</v>
      </c>
      <c r="G4315" t="s">
        <v>14383</v>
      </c>
      <c r="H4315" t="str">
        <f>HYPERLINK("https://baanknet.com/view-property/233389/A5FFD7C73759B11419079B1467790A0DD5EDBA30BCBA9855F33DB1BDF120C29E", "https://baanknet.com/view-property/233389/A5FFD7C73759B11419079B1467790A0DD5EDBA30BCBA9855F33DB1BDF120C29E")</f>
        <v>https://baanknet.com/view-property/233389/A5FFD7C73759B11419079B1467790A0DD5EDBA30BCBA9855F33DB1BDF120C29E</v>
      </c>
      <c r="I4315" t="str">
        <f>HYPERLINK("https://baanknet.com/view-property/233389/A5FFD7C73759B11419079B1467790A0DD5EDBA30BCBA9855F33DB1BDF120C29E", "Open")</f>
        <v>Open</v>
      </c>
      <c r="J4315" t="s">
        <v>3803</v>
      </c>
      <c r="L4315">
        <v>1600000</v>
      </c>
      <c r="M4315">
        <v>160000</v>
      </c>
    </row>
    <row r="4316" spans="1:13" x14ac:dyDescent="0.25">
      <c r="A4316" t="s">
        <v>14384</v>
      </c>
      <c r="B4316" t="s">
        <v>14385</v>
      </c>
      <c r="C4316" t="s">
        <v>387</v>
      </c>
      <c r="D4316" t="s">
        <v>526</v>
      </c>
      <c r="E4316" t="s">
        <v>11032</v>
      </c>
      <c r="F4316" t="s">
        <v>11004</v>
      </c>
      <c r="G4316" t="s">
        <v>14386</v>
      </c>
      <c r="H4316" t="str">
        <f>HYPERLINK("https://baanknet.com/view-property/268469/894F73E095E76D777A9ED34F56665ECF1BE88FB1FE82E100A1F5173B014254D1", "https://baanknet.com/view-property/268469/894F73E095E76D777A9ED34F56665ECF1BE88FB1FE82E100A1F5173B014254D1")</f>
        <v>https://baanknet.com/view-property/268469/894F73E095E76D777A9ED34F56665ECF1BE88FB1FE82E100A1F5173B014254D1</v>
      </c>
      <c r="I4316" t="str">
        <f>HYPERLINK("https://baanknet.com/view-property/268469/894F73E095E76D777A9ED34F56665ECF1BE88FB1FE82E100A1F5173B014254D1", "Open")</f>
        <v>Open</v>
      </c>
      <c r="J4316" t="s">
        <v>3803</v>
      </c>
      <c r="L4316">
        <v>1800000</v>
      </c>
      <c r="M4316">
        <v>180000</v>
      </c>
    </row>
    <row r="4317" spans="1:13" x14ac:dyDescent="0.25">
      <c r="A4317" t="s">
        <v>14387</v>
      </c>
      <c r="B4317" t="s">
        <v>14388</v>
      </c>
      <c r="C4317" t="s">
        <v>387</v>
      </c>
      <c r="D4317" t="s">
        <v>526</v>
      </c>
      <c r="E4317" t="s">
        <v>11032</v>
      </c>
      <c r="F4317" t="s">
        <v>11004</v>
      </c>
      <c r="G4317" t="s">
        <v>14389</v>
      </c>
      <c r="H4317" t="str">
        <f>HYPERLINK("https://baanknet.com/view-property/268464/982111526E41C6CF2D7795102325D70E3E41D0DACCC46123B4B185AA50741705", "https://baanknet.com/view-property/268464/982111526E41C6CF2D7795102325D70E3E41D0DACCC46123B4B185AA50741705")</f>
        <v>https://baanknet.com/view-property/268464/982111526E41C6CF2D7795102325D70E3E41D0DACCC46123B4B185AA50741705</v>
      </c>
      <c r="I4317" t="str">
        <f>HYPERLINK("https://baanknet.com/view-property/268464/982111526E41C6CF2D7795102325D70E3E41D0DACCC46123B4B185AA50741705", "Open")</f>
        <v>Open</v>
      </c>
      <c r="J4317" t="s">
        <v>3803</v>
      </c>
      <c r="L4317">
        <v>1900000</v>
      </c>
      <c r="M4317">
        <v>190000</v>
      </c>
    </row>
    <row r="4318" spans="1:13" x14ac:dyDescent="0.25">
      <c r="A4318" t="s">
        <v>14390</v>
      </c>
      <c r="B4318" t="s">
        <v>14391</v>
      </c>
      <c r="C4318" t="s">
        <v>387</v>
      </c>
      <c r="D4318" t="s">
        <v>526</v>
      </c>
      <c r="E4318" t="s">
        <v>11032</v>
      </c>
      <c r="F4318" t="s">
        <v>11004</v>
      </c>
      <c r="G4318" t="s">
        <v>14392</v>
      </c>
      <c r="H4318" t="str">
        <f>HYPERLINK("https://baanknet.com/view-property/268483/BF84F775CDEC89321A39A6D1ED9F3ADE6F88C05B6FFBE39177D7F7D432839AA8", "https://baanknet.com/view-property/268483/BF84F775CDEC89321A39A6D1ED9F3ADE6F88C05B6FFBE39177D7F7D432839AA8")</f>
        <v>https://baanknet.com/view-property/268483/BF84F775CDEC89321A39A6D1ED9F3ADE6F88C05B6FFBE39177D7F7D432839AA8</v>
      </c>
      <c r="I4318" t="str">
        <f>HYPERLINK("https://baanknet.com/view-property/268483/BF84F775CDEC89321A39A6D1ED9F3ADE6F88C05B6FFBE39177D7F7D432839AA8", "Open")</f>
        <v>Open</v>
      </c>
      <c r="J4318" t="s">
        <v>3803</v>
      </c>
      <c r="L4318">
        <v>1160000</v>
      </c>
      <c r="M4318">
        <v>116000</v>
      </c>
    </row>
    <row r="4319" spans="1:13" x14ac:dyDescent="0.25">
      <c r="A4319" t="s">
        <v>14393</v>
      </c>
      <c r="B4319" t="s">
        <v>14394</v>
      </c>
      <c r="C4319" t="s">
        <v>387</v>
      </c>
      <c r="D4319" t="s">
        <v>533</v>
      </c>
      <c r="E4319" t="s">
        <v>11032</v>
      </c>
      <c r="F4319" t="s">
        <v>11004</v>
      </c>
      <c r="G4319" t="s">
        <v>14395</v>
      </c>
      <c r="H4319" t="str">
        <f>HYPERLINK("https://baanknet.com/view-property/268486/6CC107A42E54AAECD00ABA141844223DD1BF4A69842F1B5BACC81F6613740534", "https://baanknet.com/view-property/268486/6CC107A42E54AAECD00ABA141844223DD1BF4A69842F1B5BACC81F6613740534")</f>
        <v>https://baanknet.com/view-property/268486/6CC107A42E54AAECD00ABA141844223DD1BF4A69842F1B5BACC81F6613740534</v>
      </c>
      <c r="I4319" t="str">
        <f>HYPERLINK("https://baanknet.com/view-property/268486/6CC107A42E54AAECD00ABA141844223DD1BF4A69842F1B5BACC81F6613740534", "Open")</f>
        <v>Open</v>
      </c>
      <c r="J4319" t="s">
        <v>3803</v>
      </c>
      <c r="L4319">
        <v>1152000</v>
      </c>
      <c r="M4319">
        <v>115200</v>
      </c>
    </row>
    <row r="4320" spans="1:13" x14ac:dyDescent="0.25">
      <c r="A4320" t="s">
        <v>14396</v>
      </c>
      <c r="B4320" t="s">
        <v>14397</v>
      </c>
      <c r="C4320" t="s">
        <v>387</v>
      </c>
      <c r="D4320" t="s">
        <v>526</v>
      </c>
      <c r="E4320" t="s">
        <v>11032</v>
      </c>
      <c r="F4320" t="s">
        <v>11004</v>
      </c>
      <c r="G4320" t="s">
        <v>14398</v>
      </c>
      <c r="H4320" t="str">
        <f>HYPERLINK("https://baanknet.com/view-property/249023/644686BBD0BC92BAA946903C4253CD36346147053D4314786FD7563901FDDDE0", "https://baanknet.com/view-property/249023/644686BBD0BC92BAA946903C4253CD36346147053D4314786FD7563901FDDDE0")</f>
        <v>https://baanknet.com/view-property/249023/644686BBD0BC92BAA946903C4253CD36346147053D4314786FD7563901FDDDE0</v>
      </c>
      <c r="I4320" t="str">
        <f>HYPERLINK("https://baanknet.com/view-property/249023/644686BBD0BC92BAA946903C4253CD36346147053D4314786FD7563901FDDDE0", "Open")</f>
        <v>Open</v>
      </c>
      <c r="J4320" t="s">
        <v>3803</v>
      </c>
      <c r="L4320">
        <v>1600000</v>
      </c>
      <c r="M4320">
        <v>160000</v>
      </c>
    </row>
    <row r="4321" spans="1:13" x14ac:dyDescent="0.25">
      <c r="A4321" t="s">
        <v>14399</v>
      </c>
      <c r="B4321" t="s">
        <v>14400</v>
      </c>
      <c r="C4321" t="s">
        <v>387</v>
      </c>
      <c r="D4321" t="s">
        <v>14401</v>
      </c>
      <c r="E4321" t="s">
        <v>11032</v>
      </c>
      <c r="F4321" t="s">
        <v>11004</v>
      </c>
      <c r="G4321" t="s">
        <v>14402</v>
      </c>
      <c r="H4321" t="str">
        <f>HYPERLINK("https://baanknet.com/view-property/207318/C92FDECE5ACCF48AD0DB2621A4D6A6E5D5F237A0B1706E268E9EA6D84E63F25F", "https://baanknet.com/view-property/207318/C92FDECE5ACCF48AD0DB2621A4D6A6E5D5F237A0B1706E268E9EA6D84E63F25F")</f>
        <v>https://baanknet.com/view-property/207318/C92FDECE5ACCF48AD0DB2621A4D6A6E5D5F237A0B1706E268E9EA6D84E63F25F</v>
      </c>
      <c r="I4321" t="str">
        <f>HYPERLINK("https://baanknet.com/view-property/207318/C92FDECE5ACCF48AD0DB2621A4D6A6E5D5F237A0B1706E268E9EA6D84E63F25F", "Open")</f>
        <v>Open</v>
      </c>
      <c r="J4321" t="s">
        <v>3803</v>
      </c>
      <c r="L4321">
        <v>1730000</v>
      </c>
      <c r="M4321">
        <v>173000</v>
      </c>
    </row>
    <row r="4322" spans="1:13" x14ac:dyDescent="0.25">
      <c r="A4322" t="s">
        <v>14403</v>
      </c>
      <c r="B4322" t="s">
        <v>14404</v>
      </c>
      <c r="C4322" t="s">
        <v>387</v>
      </c>
      <c r="D4322" t="s">
        <v>14401</v>
      </c>
      <c r="E4322" t="s">
        <v>11032</v>
      </c>
      <c r="F4322" t="s">
        <v>11004</v>
      </c>
      <c r="G4322" t="s">
        <v>14405</v>
      </c>
      <c r="H4322" t="str">
        <f>HYPERLINK("https://baanknet.com/view-property/207315/2EAE3BE2559EA48BF1F0DAE72629673A5403AE8F9C71436804999F568BD33DD4", "https://baanknet.com/view-property/207315/2EAE3BE2559EA48BF1F0DAE72629673A5403AE8F9C71436804999F568BD33DD4")</f>
        <v>https://baanknet.com/view-property/207315/2EAE3BE2559EA48BF1F0DAE72629673A5403AE8F9C71436804999F568BD33DD4</v>
      </c>
      <c r="I4322" t="str">
        <f>HYPERLINK("https://baanknet.com/view-property/207315/2EAE3BE2559EA48BF1F0DAE72629673A5403AE8F9C71436804999F568BD33DD4", "Open")</f>
        <v>Open</v>
      </c>
      <c r="J4322" t="s">
        <v>3803</v>
      </c>
      <c r="L4322">
        <v>1600000</v>
      </c>
      <c r="M4322">
        <v>160000</v>
      </c>
    </row>
    <row r="4323" spans="1:13" x14ac:dyDescent="0.25">
      <c r="A4323" t="s">
        <v>14406</v>
      </c>
      <c r="B4323" t="s">
        <v>14407</v>
      </c>
      <c r="C4323" t="s">
        <v>387</v>
      </c>
      <c r="D4323" t="s">
        <v>518</v>
      </c>
      <c r="E4323" t="s">
        <v>11032</v>
      </c>
      <c r="F4323" t="s">
        <v>11004</v>
      </c>
      <c r="G4323" t="s">
        <v>14408</v>
      </c>
      <c r="H4323" t="str">
        <f>HYPERLINK("https://baanknet.com/view-property/272611/0C797EFFDA20B35F753ECB2A5FC9D4B0CDA6C70C15D84B4E459C13539CDE38AC", "https://baanknet.com/view-property/272611/0C797EFFDA20B35F753ECB2A5FC9D4B0CDA6C70C15D84B4E459C13539CDE38AC")</f>
        <v>https://baanknet.com/view-property/272611/0C797EFFDA20B35F753ECB2A5FC9D4B0CDA6C70C15D84B4E459C13539CDE38AC</v>
      </c>
      <c r="I4323" t="str">
        <f>HYPERLINK("https://baanknet.com/view-property/272611/0C797EFFDA20B35F753ECB2A5FC9D4B0CDA6C70C15D84B4E459C13539CDE38AC", "Open")</f>
        <v>Open</v>
      </c>
      <c r="J4323" t="s">
        <v>3803</v>
      </c>
      <c r="L4323">
        <v>1390000</v>
      </c>
      <c r="M4323">
        <v>139000</v>
      </c>
    </row>
    <row r="4324" spans="1:13" x14ac:dyDescent="0.25">
      <c r="A4324" t="s">
        <v>14409</v>
      </c>
      <c r="B4324" t="s">
        <v>14410</v>
      </c>
      <c r="C4324" t="s">
        <v>387</v>
      </c>
      <c r="D4324" t="s">
        <v>518</v>
      </c>
      <c r="E4324" t="s">
        <v>11032</v>
      </c>
      <c r="F4324" t="s">
        <v>11004</v>
      </c>
      <c r="G4324" t="s">
        <v>14411</v>
      </c>
      <c r="H4324" t="str">
        <f>HYPERLINK("https://baanknet.com/view-property/249334/FD4B823179404B232D58092F6A6010EA33E1721F7634CECE2753550A08CB3685", "https://baanknet.com/view-property/249334/FD4B823179404B232D58092F6A6010EA33E1721F7634CECE2753550A08CB3685")</f>
        <v>https://baanknet.com/view-property/249334/FD4B823179404B232D58092F6A6010EA33E1721F7634CECE2753550A08CB3685</v>
      </c>
      <c r="I4324" t="str">
        <f>HYPERLINK("https://baanknet.com/view-property/249334/FD4B823179404B232D58092F6A6010EA33E1721F7634CECE2753550A08CB3685", "Open")</f>
        <v>Open</v>
      </c>
      <c r="J4324" t="s">
        <v>3803</v>
      </c>
      <c r="L4324">
        <v>764000</v>
      </c>
      <c r="M4324">
        <v>76400</v>
      </c>
    </row>
    <row r="4325" spans="1:13" x14ac:dyDescent="0.25">
      <c r="A4325" t="s">
        <v>14412</v>
      </c>
      <c r="B4325" t="s">
        <v>14413</v>
      </c>
      <c r="C4325" t="s">
        <v>387</v>
      </c>
      <c r="D4325" t="s">
        <v>4085</v>
      </c>
      <c r="E4325" t="s">
        <v>11032</v>
      </c>
      <c r="F4325" t="s">
        <v>11004</v>
      </c>
      <c r="G4325" t="s">
        <v>14414</v>
      </c>
      <c r="H4325" t="str">
        <f>HYPERLINK("https://baanknet.com/view-property/216305/FF1221D701EA8AEC77D613944E803E16AF6D5B2C9C4F34F847C4AAB44E9657CC", "https://baanknet.com/view-property/216305/FF1221D701EA8AEC77D613944E803E16AF6D5B2C9C4F34F847C4AAB44E9657CC")</f>
        <v>https://baanknet.com/view-property/216305/FF1221D701EA8AEC77D613944E803E16AF6D5B2C9C4F34F847C4AAB44E9657CC</v>
      </c>
      <c r="I4325" t="str">
        <f>HYPERLINK("https://baanknet.com/view-property/216305/FF1221D701EA8AEC77D613944E803E16AF6D5B2C9C4F34F847C4AAB44E9657CC", "Open")</f>
        <v>Open</v>
      </c>
      <c r="J4325" t="s">
        <v>3803</v>
      </c>
      <c r="L4325">
        <v>631000</v>
      </c>
      <c r="M4325">
        <v>63100</v>
      </c>
    </row>
    <row r="4326" spans="1:13" x14ac:dyDescent="0.25">
      <c r="A4326" t="s">
        <v>14415</v>
      </c>
      <c r="B4326" t="s">
        <v>14416</v>
      </c>
      <c r="C4326" t="s">
        <v>387</v>
      </c>
      <c r="D4326" t="s">
        <v>4085</v>
      </c>
      <c r="E4326" t="s">
        <v>11032</v>
      </c>
      <c r="F4326" t="s">
        <v>11004</v>
      </c>
      <c r="G4326" t="s">
        <v>14417</v>
      </c>
      <c r="H4326" t="str">
        <f>HYPERLINK("https://baanknet.com/view-property/254702/DDF44D339F38010A5F318932679F42458959A06821849E3BD601E242338EB436", "https://baanknet.com/view-property/254702/DDF44D339F38010A5F318932679F42458959A06821849E3BD601E242338EB436")</f>
        <v>https://baanknet.com/view-property/254702/DDF44D339F38010A5F318932679F42458959A06821849E3BD601E242338EB436</v>
      </c>
      <c r="I4326" t="str">
        <f>HYPERLINK("https://baanknet.com/view-property/254702/DDF44D339F38010A5F318932679F42458959A06821849E3BD601E242338EB436", "Open")</f>
        <v>Open</v>
      </c>
      <c r="J4326" t="s">
        <v>3803</v>
      </c>
      <c r="L4326">
        <v>750000</v>
      </c>
      <c r="M4326">
        <v>75000</v>
      </c>
    </row>
    <row r="4327" spans="1:13" x14ac:dyDescent="0.25">
      <c r="A4327" t="s">
        <v>14418</v>
      </c>
      <c r="B4327" t="s">
        <v>14419</v>
      </c>
      <c r="C4327" t="s">
        <v>387</v>
      </c>
      <c r="D4327" t="s">
        <v>733</v>
      </c>
      <c r="E4327" t="s">
        <v>11032</v>
      </c>
      <c r="F4327" t="s">
        <v>11004</v>
      </c>
      <c r="G4327" t="s">
        <v>14420</v>
      </c>
      <c r="H4327" t="str">
        <f>HYPERLINK("https://baanknet.com/view-property/270065/1BBA7A0B4CD1E285F9C2C442C90D31BB775A22BAE78BF12EF6E73E8422B1E866", "https://baanknet.com/view-property/270065/1BBA7A0B4CD1E285F9C2C442C90D31BB775A22BAE78BF12EF6E73E8422B1E866")</f>
        <v>https://baanknet.com/view-property/270065/1BBA7A0B4CD1E285F9C2C442C90D31BB775A22BAE78BF12EF6E73E8422B1E866</v>
      </c>
      <c r="I4327" t="str">
        <f>HYPERLINK("https://baanknet.com/view-property/270065/1BBA7A0B4CD1E285F9C2C442C90D31BB775A22BAE78BF12EF6E73E8422B1E866", "Open")</f>
        <v>Open</v>
      </c>
      <c r="J4327" t="s">
        <v>3803</v>
      </c>
      <c r="L4327">
        <v>1190000</v>
      </c>
      <c r="M4327">
        <v>119000</v>
      </c>
    </row>
    <row r="4328" spans="1:13" x14ac:dyDescent="0.25">
      <c r="A4328" t="s">
        <v>14421</v>
      </c>
      <c r="B4328" t="s">
        <v>14422</v>
      </c>
      <c r="C4328" t="s">
        <v>387</v>
      </c>
      <c r="D4328" t="s">
        <v>518</v>
      </c>
      <c r="E4328" t="s">
        <v>11032</v>
      </c>
      <c r="F4328" t="s">
        <v>11004</v>
      </c>
      <c r="G4328" t="s">
        <v>14423</v>
      </c>
      <c r="H4328" t="str">
        <f>HYPERLINK("https://baanknet.com/view-property/270107/A599C1B4033191E7DD9C187EBA3C2046DF060C5C48C3CACBEAAB8534E6B39A31", "https://baanknet.com/view-property/270107/A599C1B4033191E7DD9C187EBA3C2046DF060C5C48C3CACBEAAB8534E6B39A31")</f>
        <v>https://baanknet.com/view-property/270107/A599C1B4033191E7DD9C187EBA3C2046DF060C5C48C3CACBEAAB8534E6B39A31</v>
      </c>
      <c r="I4328" t="str">
        <f>HYPERLINK("https://baanknet.com/view-property/270107/A599C1B4033191E7DD9C187EBA3C2046DF060C5C48C3CACBEAAB8534E6B39A31", "Open")</f>
        <v>Open</v>
      </c>
      <c r="J4328" t="s">
        <v>3803</v>
      </c>
      <c r="L4328">
        <v>2250000</v>
      </c>
      <c r="M4328">
        <v>225000</v>
      </c>
    </row>
    <row r="4329" spans="1:13" x14ac:dyDescent="0.25">
      <c r="A4329" t="s">
        <v>14424</v>
      </c>
      <c r="B4329" t="s">
        <v>14425</v>
      </c>
      <c r="C4329" t="s">
        <v>387</v>
      </c>
      <c r="D4329" t="s">
        <v>14426</v>
      </c>
      <c r="E4329" t="s">
        <v>11032</v>
      </c>
      <c r="F4329" t="s">
        <v>11004</v>
      </c>
      <c r="G4329" t="s">
        <v>14427</v>
      </c>
      <c r="H4329" t="str">
        <f>HYPERLINK("https://baanknet.com/view-property/254925/097D56D9132E9F0A90945988F0ED5264B9D01F372D6A7C8548CC7EA7888DF7DB", "https://baanknet.com/view-property/254925/097D56D9132E9F0A90945988F0ED5264B9D01F372D6A7C8548CC7EA7888DF7DB")</f>
        <v>https://baanknet.com/view-property/254925/097D56D9132E9F0A90945988F0ED5264B9D01F372D6A7C8548CC7EA7888DF7DB</v>
      </c>
      <c r="I4329" t="str">
        <f>HYPERLINK("https://baanknet.com/view-property/254925/097D56D9132E9F0A90945988F0ED5264B9D01F372D6A7C8548CC7EA7888DF7DB", "Open")</f>
        <v>Open</v>
      </c>
      <c r="J4329" t="s">
        <v>3803</v>
      </c>
      <c r="L4329">
        <v>1155000</v>
      </c>
      <c r="M4329">
        <v>115500</v>
      </c>
    </row>
    <row r="4330" spans="1:13" x14ac:dyDescent="0.25">
      <c r="A4330" t="s">
        <v>14428</v>
      </c>
      <c r="B4330" t="s">
        <v>14429</v>
      </c>
      <c r="C4330" t="s">
        <v>387</v>
      </c>
      <c r="D4330" t="s">
        <v>14426</v>
      </c>
      <c r="E4330" t="s">
        <v>11032</v>
      </c>
      <c r="F4330" t="s">
        <v>11004</v>
      </c>
      <c r="G4330" t="s">
        <v>14430</v>
      </c>
      <c r="H4330" t="str">
        <f>HYPERLINK("https://baanknet.com/view-property/254927/78B4A7F84EAD1F2EA3A8A2C3C32219321C01F0A6DA298FA84DC35673A9BDB3C6", "https://baanknet.com/view-property/254927/78B4A7F84EAD1F2EA3A8A2C3C32219321C01F0A6DA298FA84DC35673A9BDB3C6")</f>
        <v>https://baanknet.com/view-property/254927/78B4A7F84EAD1F2EA3A8A2C3C32219321C01F0A6DA298FA84DC35673A9BDB3C6</v>
      </c>
      <c r="I4330" t="str">
        <f>HYPERLINK("https://baanknet.com/view-property/254927/78B4A7F84EAD1F2EA3A8A2C3C32219321C01F0A6DA298FA84DC35673A9BDB3C6", "Open")</f>
        <v>Open</v>
      </c>
      <c r="J4330" t="s">
        <v>3803</v>
      </c>
      <c r="L4330">
        <v>1300000</v>
      </c>
      <c r="M4330">
        <v>130000</v>
      </c>
    </row>
    <row r="4331" spans="1:13" x14ac:dyDescent="0.25">
      <c r="A4331" t="s">
        <v>14431</v>
      </c>
      <c r="B4331" t="s">
        <v>14432</v>
      </c>
      <c r="C4331" t="s">
        <v>387</v>
      </c>
      <c r="D4331" t="s">
        <v>14426</v>
      </c>
      <c r="E4331" t="s">
        <v>11032</v>
      </c>
      <c r="F4331" t="s">
        <v>11004</v>
      </c>
      <c r="G4331" t="s">
        <v>14433</v>
      </c>
      <c r="H4331" t="str">
        <f>HYPERLINK("https://baanknet.com/view-property/254930/5070B6916F9C4B3F57CBDBB16E121F2A785728B33686A6649B9217DC86616644", "https://baanknet.com/view-property/254930/5070B6916F9C4B3F57CBDBB16E121F2A785728B33686A6649B9217DC86616644")</f>
        <v>https://baanknet.com/view-property/254930/5070B6916F9C4B3F57CBDBB16E121F2A785728B33686A6649B9217DC86616644</v>
      </c>
      <c r="I4331" t="str">
        <f>HYPERLINK("https://baanknet.com/view-property/254930/5070B6916F9C4B3F57CBDBB16E121F2A785728B33686A6649B9217DC86616644", "Open")</f>
        <v>Open</v>
      </c>
      <c r="J4331" t="s">
        <v>3803</v>
      </c>
      <c r="L4331">
        <v>1425000</v>
      </c>
      <c r="M4331">
        <v>142500</v>
      </c>
    </row>
    <row r="4332" spans="1:13" x14ac:dyDescent="0.25">
      <c r="A4332" t="s">
        <v>14434</v>
      </c>
      <c r="B4332" t="s">
        <v>14435</v>
      </c>
      <c r="C4332" t="s">
        <v>387</v>
      </c>
      <c r="D4332" t="s">
        <v>14426</v>
      </c>
      <c r="E4332" t="s">
        <v>11032</v>
      </c>
      <c r="F4332" t="s">
        <v>11004</v>
      </c>
      <c r="G4332" t="s">
        <v>14436</v>
      </c>
      <c r="H4332" t="str">
        <f>HYPERLINK("https://baanknet.com/view-property/254932/2E4C4AB2EC1138E0172C057DA070FFF33A1773F7E8D9B1BF8947E6C20B3A2A08", "https://baanknet.com/view-property/254932/2E4C4AB2EC1138E0172C057DA070FFF33A1773F7E8D9B1BF8947E6C20B3A2A08")</f>
        <v>https://baanknet.com/view-property/254932/2E4C4AB2EC1138E0172C057DA070FFF33A1773F7E8D9B1BF8947E6C20B3A2A08</v>
      </c>
      <c r="I4332" t="str">
        <f>HYPERLINK("https://baanknet.com/view-property/254932/2E4C4AB2EC1138E0172C057DA070FFF33A1773F7E8D9B1BF8947E6C20B3A2A08", "Open")</f>
        <v>Open</v>
      </c>
      <c r="J4332" t="s">
        <v>3803</v>
      </c>
      <c r="L4332">
        <v>1245000</v>
      </c>
      <c r="M4332">
        <v>124500</v>
      </c>
    </row>
    <row r="4333" spans="1:13" x14ac:dyDescent="0.25">
      <c r="A4333" t="s">
        <v>14437</v>
      </c>
      <c r="B4333" t="s">
        <v>14438</v>
      </c>
      <c r="C4333" t="s">
        <v>387</v>
      </c>
      <c r="D4333" t="s">
        <v>14439</v>
      </c>
      <c r="E4333" t="s">
        <v>11032</v>
      </c>
      <c r="F4333" t="s">
        <v>11004</v>
      </c>
      <c r="G4333" t="s">
        <v>14440</v>
      </c>
      <c r="H4333" t="str">
        <f>HYPERLINK("https://baanknet.com/view-property/219636/CE9804E7081F6DAD27318DAD8D1E3A8C2A850CB87AEEA0D19B84A0B7B0B89428", "https://baanknet.com/view-property/219636/CE9804E7081F6DAD27318DAD8D1E3A8C2A850CB87AEEA0D19B84A0B7B0B89428")</f>
        <v>https://baanknet.com/view-property/219636/CE9804E7081F6DAD27318DAD8D1E3A8C2A850CB87AEEA0D19B84A0B7B0B89428</v>
      </c>
      <c r="I4333" t="str">
        <f>HYPERLINK("https://baanknet.com/view-property/219636/CE9804E7081F6DAD27318DAD8D1E3A8C2A850CB87AEEA0D19B84A0B7B0B89428", "Open")</f>
        <v>Open</v>
      </c>
      <c r="J4333" t="s">
        <v>3803</v>
      </c>
      <c r="L4333">
        <v>1236000</v>
      </c>
      <c r="M4333">
        <v>123600</v>
      </c>
    </row>
    <row r="4334" spans="1:13" x14ac:dyDescent="0.25">
      <c r="A4334" t="s">
        <v>14441</v>
      </c>
      <c r="B4334" t="s">
        <v>14442</v>
      </c>
      <c r="C4334" t="s">
        <v>387</v>
      </c>
      <c r="D4334" t="s">
        <v>518</v>
      </c>
      <c r="E4334" t="s">
        <v>11032</v>
      </c>
      <c r="F4334" t="s">
        <v>11004</v>
      </c>
      <c r="G4334" t="s">
        <v>14443</v>
      </c>
      <c r="H4334" t="str">
        <f>HYPERLINK("https://baanknet.com/view-property/263472/91EFEA37DABAF4AA3629A13DCBBF057EFB1DD5DAA3208E52A0997E5FF0D51288", "https://baanknet.com/view-property/263472/91EFEA37DABAF4AA3629A13DCBBF057EFB1DD5DAA3208E52A0997E5FF0D51288")</f>
        <v>https://baanknet.com/view-property/263472/91EFEA37DABAF4AA3629A13DCBBF057EFB1DD5DAA3208E52A0997E5FF0D51288</v>
      </c>
      <c r="I4334" t="str">
        <f>HYPERLINK("https://baanknet.com/view-property/263472/91EFEA37DABAF4AA3629A13DCBBF057EFB1DD5DAA3208E52A0997E5FF0D51288", "Open")</f>
        <v>Open</v>
      </c>
      <c r="J4334" t="s">
        <v>3803</v>
      </c>
      <c r="L4334">
        <v>990000</v>
      </c>
      <c r="M4334">
        <v>99000</v>
      </c>
    </row>
    <row r="4335" spans="1:13" x14ac:dyDescent="0.25">
      <c r="A4335" t="s">
        <v>14444</v>
      </c>
      <c r="B4335" t="s">
        <v>14445</v>
      </c>
      <c r="C4335" t="s">
        <v>387</v>
      </c>
      <c r="D4335" t="s">
        <v>572</v>
      </c>
      <c r="E4335" t="s">
        <v>11032</v>
      </c>
      <c r="F4335" t="s">
        <v>11004</v>
      </c>
      <c r="G4335" t="s">
        <v>14446</v>
      </c>
      <c r="H4335" t="str">
        <f>HYPERLINK("https://baanknet.com/view-property/280049/3C4C001451B495A83DE6783CE1A04D4FED49498EF286CAC86F18A6ADE46C7528", "https://baanknet.com/view-property/280049/3C4C001451B495A83DE6783CE1A04D4FED49498EF286CAC86F18A6ADE46C7528")</f>
        <v>https://baanknet.com/view-property/280049/3C4C001451B495A83DE6783CE1A04D4FED49498EF286CAC86F18A6ADE46C7528</v>
      </c>
      <c r="I4335" t="str">
        <f>HYPERLINK("https://baanknet.com/view-property/280049/3C4C001451B495A83DE6783CE1A04D4FED49498EF286CAC86F18A6ADE46C7528", "Open")</f>
        <v>Open</v>
      </c>
      <c r="J4335" t="s">
        <v>3803</v>
      </c>
      <c r="L4335">
        <v>1290000</v>
      </c>
      <c r="M4335">
        <v>129000</v>
      </c>
    </row>
    <row r="4336" spans="1:13" x14ac:dyDescent="0.25">
      <c r="A4336" t="s">
        <v>14447</v>
      </c>
      <c r="B4336" t="s">
        <v>14448</v>
      </c>
      <c r="C4336" t="s">
        <v>387</v>
      </c>
      <c r="D4336" t="s">
        <v>518</v>
      </c>
      <c r="E4336" t="s">
        <v>11032</v>
      </c>
      <c r="F4336" t="s">
        <v>11004</v>
      </c>
      <c r="G4336" t="s">
        <v>14449</v>
      </c>
      <c r="H4336" t="str">
        <f>HYPERLINK("https://baanknet.com/view-property/243745/E1EC4AA7DD5233A09A96CC0B6E4A329B23F99A08FC9BD0487652B6445385DA17", "https://baanknet.com/view-property/243745/E1EC4AA7DD5233A09A96CC0B6E4A329B23F99A08FC9BD0487652B6445385DA17")</f>
        <v>https://baanknet.com/view-property/243745/E1EC4AA7DD5233A09A96CC0B6E4A329B23F99A08FC9BD0487652B6445385DA17</v>
      </c>
      <c r="I4336" t="str">
        <f>HYPERLINK("https://baanknet.com/view-property/243745/E1EC4AA7DD5233A09A96CC0B6E4A329B23F99A08FC9BD0487652B6445385DA17", "Open")</f>
        <v>Open</v>
      </c>
      <c r="J4336" t="s">
        <v>3803</v>
      </c>
      <c r="L4336">
        <v>934000</v>
      </c>
      <c r="M4336">
        <v>93400</v>
      </c>
    </row>
    <row r="4337" spans="1:13" x14ac:dyDescent="0.25">
      <c r="A4337" t="s">
        <v>14450</v>
      </c>
      <c r="B4337" t="s">
        <v>14451</v>
      </c>
      <c r="C4337" t="s">
        <v>387</v>
      </c>
      <c r="D4337" t="s">
        <v>572</v>
      </c>
      <c r="E4337" t="s">
        <v>11032</v>
      </c>
      <c r="F4337" t="s">
        <v>11004</v>
      </c>
      <c r="G4337" t="s">
        <v>14452</v>
      </c>
      <c r="H4337" t="str">
        <f>HYPERLINK("https://baanknet.com/view-property/243749/86071BA6260C578A12CB64120F72298A6B612F296736D724C83D6A8BD13CAE14", "https://baanknet.com/view-property/243749/86071BA6260C578A12CB64120F72298A6B612F296736D724C83D6A8BD13CAE14")</f>
        <v>https://baanknet.com/view-property/243749/86071BA6260C578A12CB64120F72298A6B612F296736D724C83D6A8BD13CAE14</v>
      </c>
      <c r="I4337" t="str">
        <f>HYPERLINK("https://baanknet.com/view-property/243749/86071BA6260C578A12CB64120F72298A6B612F296736D724C83D6A8BD13CAE14", "Open")</f>
        <v>Open</v>
      </c>
      <c r="J4337" t="s">
        <v>3803</v>
      </c>
      <c r="L4337">
        <v>1022000</v>
      </c>
      <c r="M4337">
        <v>102200</v>
      </c>
    </row>
    <row r="4338" spans="1:13" x14ac:dyDescent="0.25">
      <c r="A4338" t="s">
        <v>14453</v>
      </c>
      <c r="B4338" t="s">
        <v>14454</v>
      </c>
      <c r="C4338" t="s">
        <v>387</v>
      </c>
      <c r="D4338" t="s">
        <v>518</v>
      </c>
      <c r="E4338" t="s">
        <v>11032</v>
      </c>
      <c r="F4338" t="s">
        <v>11004</v>
      </c>
      <c r="G4338" t="s">
        <v>14455</v>
      </c>
      <c r="H4338" t="str">
        <f>HYPERLINK("https://baanknet.com/view-property/243751/E34991BA4905D8E9E279CA1D170E0FDBD67D5E1FB152CBC07CC034769774F358", "https://baanknet.com/view-property/243751/E34991BA4905D8E9E279CA1D170E0FDBD67D5E1FB152CBC07CC034769774F358")</f>
        <v>https://baanknet.com/view-property/243751/E34991BA4905D8E9E279CA1D170E0FDBD67D5E1FB152CBC07CC034769774F358</v>
      </c>
      <c r="I4338" t="str">
        <f>HYPERLINK("https://baanknet.com/view-property/243751/E34991BA4905D8E9E279CA1D170E0FDBD67D5E1FB152CBC07CC034769774F358", "Open")</f>
        <v>Open</v>
      </c>
      <c r="J4338" t="s">
        <v>3803</v>
      </c>
      <c r="L4338">
        <v>906000</v>
      </c>
      <c r="M4338">
        <v>90600</v>
      </c>
    </row>
    <row r="4339" spans="1:13" x14ac:dyDescent="0.25">
      <c r="A4339" t="s">
        <v>14456</v>
      </c>
      <c r="B4339" t="s">
        <v>14457</v>
      </c>
      <c r="C4339" t="s">
        <v>387</v>
      </c>
      <c r="D4339" t="s">
        <v>5627</v>
      </c>
      <c r="E4339" t="s">
        <v>11032</v>
      </c>
      <c r="F4339" t="s">
        <v>11004</v>
      </c>
      <c r="G4339" t="s">
        <v>14458</v>
      </c>
      <c r="H4339" t="str">
        <f>HYPERLINK("https://baanknet.com/view-property/219651/B087CE33753AE47B0E2319C802A0D1AF2FA20035B9DFF0B01B5D4C437308A043", "https://baanknet.com/view-property/219651/B087CE33753AE47B0E2319C802A0D1AF2FA20035B9DFF0B01B5D4C437308A043")</f>
        <v>https://baanknet.com/view-property/219651/B087CE33753AE47B0E2319C802A0D1AF2FA20035B9DFF0B01B5D4C437308A043</v>
      </c>
      <c r="I4339" t="str">
        <f>HYPERLINK("https://baanknet.com/view-property/219651/B087CE33753AE47B0E2319C802A0D1AF2FA20035B9DFF0B01B5D4C437308A043", "Open")</f>
        <v>Open</v>
      </c>
      <c r="J4339" t="s">
        <v>3803</v>
      </c>
      <c r="L4339">
        <v>868000</v>
      </c>
      <c r="M4339">
        <v>86800</v>
      </c>
    </row>
    <row r="4340" spans="1:13" x14ac:dyDescent="0.25">
      <c r="A4340" t="s">
        <v>14459</v>
      </c>
      <c r="B4340" t="s">
        <v>14460</v>
      </c>
      <c r="C4340" t="s">
        <v>387</v>
      </c>
      <c r="D4340" t="s">
        <v>1083</v>
      </c>
      <c r="E4340" t="s">
        <v>11032</v>
      </c>
      <c r="F4340" t="s">
        <v>11004</v>
      </c>
      <c r="G4340" t="s">
        <v>14461</v>
      </c>
      <c r="H4340" t="str">
        <f>HYPERLINK("https://baanknet.com/view-property/254677/1448526232AF83BE35B5067C0301790CD0E0AC07147338D62812B64189AC570B", "https://baanknet.com/view-property/254677/1448526232AF83BE35B5067C0301790CD0E0AC07147338D62812B64189AC570B")</f>
        <v>https://baanknet.com/view-property/254677/1448526232AF83BE35B5067C0301790CD0E0AC07147338D62812B64189AC570B</v>
      </c>
      <c r="I4340" t="str">
        <f>HYPERLINK("https://baanknet.com/view-property/254677/1448526232AF83BE35B5067C0301790CD0E0AC07147338D62812B64189AC570B", "Open")</f>
        <v>Open</v>
      </c>
      <c r="J4340" t="s">
        <v>3803</v>
      </c>
      <c r="L4340">
        <v>800000</v>
      </c>
      <c r="M4340">
        <v>80000</v>
      </c>
    </row>
    <row r="4341" spans="1:13" x14ac:dyDescent="0.25">
      <c r="A4341" t="s">
        <v>14462</v>
      </c>
      <c r="B4341" t="s">
        <v>14463</v>
      </c>
      <c r="C4341" t="s">
        <v>387</v>
      </c>
      <c r="D4341" t="s">
        <v>518</v>
      </c>
      <c r="E4341" t="s">
        <v>11032</v>
      </c>
      <c r="F4341" t="s">
        <v>11004</v>
      </c>
      <c r="G4341" t="s">
        <v>14464</v>
      </c>
      <c r="H4341" t="str">
        <f>HYPERLINK("https://baanknet.com/view-property/263384/3543365AB5CD164496176EFA25DB154050CE9FB4F9284CB0BEC15CBEC8FDDD52", "https://baanknet.com/view-property/263384/3543365AB5CD164496176EFA25DB154050CE9FB4F9284CB0BEC15CBEC8FDDD52")</f>
        <v>https://baanknet.com/view-property/263384/3543365AB5CD164496176EFA25DB154050CE9FB4F9284CB0BEC15CBEC8FDDD52</v>
      </c>
      <c r="I4341" t="str">
        <f>HYPERLINK("https://baanknet.com/view-property/263384/3543365AB5CD164496176EFA25DB154050CE9FB4F9284CB0BEC15CBEC8FDDD52", "Open")</f>
        <v>Open</v>
      </c>
      <c r="J4341" t="s">
        <v>3803</v>
      </c>
      <c r="L4341">
        <v>1350000</v>
      </c>
      <c r="M4341">
        <v>135000</v>
      </c>
    </row>
    <row r="4342" spans="1:13" x14ac:dyDescent="0.25">
      <c r="A4342" t="s">
        <v>14465</v>
      </c>
      <c r="B4342" t="s">
        <v>14466</v>
      </c>
      <c r="C4342" t="s">
        <v>387</v>
      </c>
      <c r="D4342" t="s">
        <v>5627</v>
      </c>
      <c r="E4342" t="s">
        <v>11032</v>
      </c>
      <c r="F4342" t="s">
        <v>11004</v>
      </c>
      <c r="G4342" t="s">
        <v>14467</v>
      </c>
      <c r="H4342" t="str">
        <f>HYPERLINK("https://baanknet.com/view-property/254686/DF4DE59D9983A324B17C298BA4AA402842254CA49F207A72F8BDC0FE4EB60EEB", "https://baanknet.com/view-property/254686/DF4DE59D9983A324B17C298BA4AA402842254CA49F207A72F8BDC0FE4EB60EEB")</f>
        <v>https://baanknet.com/view-property/254686/DF4DE59D9983A324B17C298BA4AA402842254CA49F207A72F8BDC0FE4EB60EEB</v>
      </c>
      <c r="I4342" t="str">
        <f>HYPERLINK("https://baanknet.com/view-property/254686/DF4DE59D9983A324B17C298BA4AA402842254CA49F207A72F8BDC0FE4EB60EEB", "Open")</f>
        <v>Open</v>
      </c>
      <c r="J4342" t="s">
        <v>3803</v>
      </c>
      <c r="L4342">
        <v>704000</v>
      </c>
      <c r="M4342">
        <v>70400</v>
      </c>
    </row>
    <row r="4343" spans="1:13" x14ac:dyDescent="0.25">
      <c r="A4343" t="s">
        <v>14468</v>
      </c>
      <c r="B4343" t="s">
        <v>14469</v>
      </c>
      <c r="C4343" t="s">
        <v>387</v>
      </c>
      <c r="D4343" t="s">
        <v>6068</v>
      </c>
      <c r="E4343" t="s">
        <v>11032</v>
      </c>
      <c r="F4343" t="s">
        <v>11004</v>
      </c>
      <c r="G4343" t="s">
        <v>14470</v>
      </c>
      <c r="H4343" t="str">
        <f>HYPERLINK("https://baanknet.com/view-property/246828/5140AFBB8D52983E5FABCE01086FEC13C4A4F5A51C9133E0D236EFAF308E4604", "https://baanknet.com/view-property/246828/5140AFBB8D52983E5FABCE01086FEC13C4A4F5A51C9133E0D236EFAF308E4604")</f>
        <v>https://baanknet.com/view-property/246828/5140AFBB8D52983E5FABCE01086FEC13C4A4F5A51C9133E0D236EFAF308E4604</v>
      </c>
      <c r="I4343" t="str">
        <f>HYPERLINK("https://baanknet.com/view-property/246828/5140AFBB8D52983E5FABCE01086FEC13C4A4F5A51C9133E0D236EFAF308E4604", "Open")</f>
        <v>Open</v>
      </c>
      <c r="J4343" t="s">
        <v>3803</v>
      </c>
      <c r="L4343">
        <v>1158000</v>
      </c>
      <c r="M4343">
        <v>115800</v>
      </c>
    </row>
    <row r="4344" spans="1:13" x14ac:dyDescent="0.25">
      <c r="A4344" t="s">
        <v>14471</v>
      </c>
      <c r="B4344" t="s">
        <v>14472</v>
      </c>
      <c r="C4344" t="s">
        <v>387</v>
      </c>
      <c r="D4344" t="s">
        <v>518</v>
      </c>
      <c r="E4344" t="s">
        <v>11032</v>
      </c>
      <c r="F4344" t="s">
        <v>11004</v>
      </c>
      <c r="G4344" t="s">
        <v>14473</v>
      </c>
      <c r="H4344" t="str">
        <f>HYPERLINK("https://baanknet.com/view-property/190568/B0E347780C9C8751E6A0EA052E56025EACC410B7DCF2E5BC127469CD114112BE", "https://baanknet.com/view-property/190568/B0E347780C9C8751E6A0EA052E56025EACC410B7DCF2E5BC127469CD114112BE")</f>
        <v>https://baanknet.com/view-property/190568/B0E347780C9C8751E6A0EA052E56025EACC410B7DCF2E5BC127469CD114112BE</v>
      </c>
      <c r="I4344" t="str">
        <f>HYPERLINK("https://baanknet.com/view-property/190568/B0E347780C9C8751E6A0EA052E56025EACC410B7DCF2E5BC127469CD114112BE", "Open")</f>
        <v>Open</v>
      </c>
      <c r="J4344" t="s">
        <v>3803</v>
      </c>
      <c r="L4344">
        <v>792000</v>
      </c>
      <c r="M4344">
        <v>79200</v>
      </c>
    </row>
    <row r="4345" spans="1:13" x14ac:dyDescent="0.25">
      <c r="A4345" t="s">
        <v>14474</v>
      </c>
      <c r="B4345" t="s">
        <v>14475</v>
      </c>
      <c r="C4345" t="s">
        <v>387</v>
      </c>
      <c r="D4345" t="s">
        <v>518</v>
      </c>
      <c r="E4345" t="s">
        <v>11032</v>
      </c>
      <c r="F4345" t="s">
        <v>11004</v>
      </c>
      <c r="G4345" t="s">
        <v>14476</v>
      </c>
      <c r="H4345" t="str">
        <f>HYPERLINK("https://baanknet.com/view-property/190574/CC0B8CEFAB5FBB49E29791A02716826EA517BEC20B96CB49482CBA157801707F", "https://baanknet.com/view-property/190574/CC0B8CEFAB5FBB49E29791A02716826EA517BEC20B96CB49482CBA157801707F")</f>
        <v>https://baanknet.com/view-property/190574/CC0B8CEFAB5FBB49E29791A02716826EA517BEC20B96CB49482CBA157801707F</v>
      </c>
      <c r="I4345" t="str">
        <f>HYPERLINK("https://baanknet.com/view-property/190574/CC0B8CEFAB5FBB49E29791A02716826EA517BEC20B96CB49482CBA157801707F", "Open")</f>
        <v>Open</v>
      </c>
      <c r="J4345" t="s">
        <v>3803</v>
      </c>
      <c r="L4345">
        <v>532000</v>
      </c>
      <c r="M4345">
        <v>53200</v>
      </c>
    </row>
    <row r="4346" spans="1:13" x14ac:dyDescent="0.25">
      <c r="A4346" t="s">
        <v>14477</v>
      </c>
      <c r="B4346" t="s">
        <v>14478</v>
      </c>
      <c r="C4346" t="s">
        <v>387</v>
      </c>
      <c r="D4346" t="s">
        <v>518</v>
      </c>
      <c r="E4346" t="s">
        <v>11032</v>
      </c>
      <c r="F4346" t="s">
        <v>11004</v>
      </c>
      <c r="G4346" t="s">
        <v>14479</v>
      </c>
      <c r="H4346" t="str">
        <f>HYPERLINK("https://baanknet.com/view-property/190571/ADAD33B02214F5190B806DB35DECED9B4BDBA52B1A817CFE1C0ED8015128564F", "https://baanknet.com/view-property/190571/ADAD33B02214F5190B806DB35DECED9B4BDBA52B1A817CFE1C0ED8015128564F")</f>
        <v>https://baanknet.com/view-property/190571/ADAD33B02214F5190B806DB35DECED9B4BDBA52B1A817CFE1C0ED8015128564F</v>
      </c>
      <c r="I4346" t="str">
        <f>HYPERLINK("https://baanknet.com/view-property/190571/ADAD33B02214F5190B806DB35DECED9B4BDBA52B1A817CFE1C0ED8015128564F", "Open")</f>
        <v>Open</v>
      </c>
      <c r="J4346" t="s">
        <v>3803</v>
      </c>
      <c r="L4346">
        <v>724000</v>
      </c>
      <c r="M4346">
        <v>72400</v>
      </c>
    </row>
    <row r="4347" spans="1:13" x14ac:dyDescent="0.25">
      <c r="A4347" t="s">
        <v>14480</v>
      </c>
      <c r="B4347" t="s">
        <v>14481</v>
      </c>
      <c r="C4347" t="s">
        <v>387</v>
      </c>
      <c r="D4347" t="s">
        <v>518</v>
      </c>
      <c r="E4347" t="s">
        <v>11032</v>
      </c>
      <c r="F4347" t="s">
        <v>11004</v>
      </c>
      <c r="G4347" t="s">
        <v>14482</v>
      </c>
      <c r="H4347" t="str">
        <f>HYPERLINK("https://baanknet.com/view-property/190569/A9A7CED8507B8A457CCFAC18527731DCF857274CEBEF81F32DA940CE3985ADDF", "https://baanknet.com/view-property/190569/A9A7CED8507B8A457CCFAC18527731DCF857274CEBEF81F32DA940CE3985ADDF")</f>
        <v>https://baanknet.com/view-property/190569/A9A7CED8507B8A457CCFAC18527731DCF857274CEBEF81F32DA940CE3985ADDF</v>
      </c>
      <c r="I4347" t="str">
        <f>HYPERLINK("https://baanknet.com/view-property/190569/A9A7CED8507B8A457CCFAC18527731DCF857274CEBEF81F32DA940CE3985ADDF", "Open")</f>
        <v>Open</v>
      </c>
      <c r="J4347" t="s">
        <v>3803</v>
      </c>
      <c r="L4347">
        <v>532000</v>
      </c>
      <c r="M4347">
        <v>53200</v>
      </c>
    </row>
    <row r="4348" spans="1:13" x14ac:dyDescent="0.25">
      <c r="A4348" t="s">
        <v>14483</v>
      </c>
      <c r="B4348" t="s">
        <v>14484</v>
      </c>
      <c r="C4348" t="s">
        <v>387</v>
      </c>
      <c r="D4348" t="s">
        <v>518</v>
      </c>
      <c r="E4348" t="s">
        <v>11032</v>
      </c>
      <c r="F4348" t="s">
        <v>11004</v>
      </c>
      <c r="G4348" t="s">
        <v>14485</v>
      </c>
      <c r="H4348" t="str">
        <f>HYPERLINK("https://baanknet.com/view-property/190566/D89015495477A766EA4C364000915456CC40FF196AAE01816C90AA9FB16F4C84", "https://baanknet.com/view-property/190566/D89015495477A766EA4C364000915456CC40FF196AAE01816C90AA9FB16F4C84")</f>
        <v>https://baanknet.com/view-property/190566/D89015495477A766EA4C364000915456CC40FF196AAE01816C90AA9FB16F4C84</v>
      </c>
      <c r="I4348" t="str">
        <f>HYPERLINK("https://baanknet.com/view-property/190566/D89015495477A766EA4C364000915456CC40FF196AAE01816C90AA9FB16F4C84", "Open")</f>
        <v>Open</v>
      </c>
      <c r="J4348" t="s">
        <v>3803</v>
      </c>
      <c r="L4348">
        <v>725000</v>
      </c>
      <c r="M4348">
        <v>72500</v>
      </c>
    </row>
    <row r="4349" spans="1:13" x14ac:dyDescent="0.25">
      <c r="A4349" t="s">
        <v>14486</v>
      </c>
      <c r="B4349" t="s">
        <v>14487</v>
      </c>
      <c r="C4349" t="s">
        <v>387</v>
      </c>
      <c r="D4349" t="s">
        <v>518</v>
      </c>
      <c r="E4349" t="s">
        <v>11032</v>
      </c>
      <c r="F4349" t="s">
        <v>11004</v>
      </c>
      <c r="G4349" t="s">
        <v>14488</v>
      </c>
      <c r="H4349" t="str">
        <f>HYPERLINK("https://baanknet.com/view-property/187373/6A1E84192F0F9DD90B854711C09B7E589C2E0618376A3FD211869ECFA0BEFB3C", "https://baanknet.com/view-property/187373/6A1E84192F0F9DD90B854711C09B7E589C2E0618376A3FD211869ECFA0BEFB3C")</f>
        <v>https://baanknet.com/view-property/187373/6A1E84192F0F9DD90B854711C09B7E589C2E0618376A3FD211869ECFA0BEFB3C</v>
      </c>
      <c r="I4349" t="str">
        <f>HYPERLINK("https://baanknet.com/view-property/187373/6A1E84192F0F9DD90B854711C09B7E589C2E0618376A3FD211869ECFA0BEFB3C", "Open")</f>
        <v>Open</v>
      </c>
      <c r="J4349" t="s">
        <v>3803</v>
      </c>
      <c r="L4349">
        <v>792000</v>
      </c>
      <c r="M4349">
        <v>79200</v>
      </c>
    </row>
    <row r="4350" spans="1:13" x14ac:dyDescent="0.25">
      <c r="A4350" t="s">
        <v>14489</v>
      </c>
      <c r="B4350" t="s">
        <v>14490</v>
      </c>
      <c r="C4350" t="s">
        <v>387</v>
      </c>
      <c r="D4350" t="s">
        <v>1083</v>
      </c>
      <c r="E4350" t="s">
        <v>11032</v>
      </c>
      <c r="F4350" t="s">
        <v>11004</v>
      </c>
      <c r="G4350" t="s">
        <v>14491</v>
      </c>
      <c r="H4350" t="str">
        <f>HYPERLINK("https://baanknet.com/view-property/216498/335E011C2A429CEDB4AA7E26B311BB073A0C74ED6A7767D8913B39C460DBEB53", "https://baanknet.com/view-property/216498/335E011C2A429CEDB4AA7E26B311BB073A0C74ED6A7767D8913B39C460DBEB53")</f>
        <v>https://baanknet.com/view-property/216498/335E011C2A429CEDB4AA7E26B311BB073A0C74ED6A7767D8913B39C460DBEB53</v>
      </c>
      <c r="I4350" t="str">
        <f>HYPERLINK("https://baanknet.com/view-property/216498/335E011C2A429CEDB4AA7E26B311BB073A0C74ED6A7767D8913B39C460DBEB53", "Open")</f>
        <v>Open</v>
      </c>
      <c r="J4350" t="s">
        <v>3803</v>
      </c>
      <c r="L4350">
        <v>1155000</v>
      </c>
      <c r="M4350">
        <v>115500</v>
      </c>
    </row>
    <row r="4351" spans="1:13" x14ac:dyDescent="0.25">
      <c r="A4351" t="s">
        <v>14492</v>
      </c>
      <c r="B4351" t="s">
        <v>14493</v>
      </c>
      <c r="C4351" t="s">
        <v>387</v>
      </c>
      <c r="D4351" t="s">
        <v>518</v>
      </c>
      <c r="E4351" t="s">
        <v>11032</v>
      </c>
      <c r="F4351" t="s">
        <v>11004</v>
      </c>
      <c r="G4351" t="s">
        <v>14494</v>
      </c>
      <c r="H4351" t="str">
        <f>HYPERLINK("https://baanknet.com/view-property/187364/C13C96FA92683CF4B0D5556F1523A40CB4FF242375FDDC76851222DA55749C45", "https://baanknet.com/view-property/187364/C13C96FA92683CF4B0D5556F1523A40CB4FF242375FDDC76851222DA55749C45")</f>
        <v>https://baanknet.com/view-property/187364/C13C96FA92683CF4B0D5556F1523A40CB4FF242375FDDC76851222DA55749C45</v>
      </c>
      <c r="I4351" t="str">
        <f>HYPERLINK("https://baanknet.com/view-property/187364/C13C96FA92683CF4B0D5556F1523A40CB4FF242375FDDC76851222DA55749C45", "Open")</f>
        <v>Open</v>
      </c>
      <c r="J4351" t="s">
        <v>3803</v>
      </c>
      <c r="L4351">
        <v>1020000</v>
      </c>
      <c r="M4351">
        <v>102000</v>
      </c>
    </row>
    <row r="4352" spans="1:13" x14ac:dyDescent="0.25">
      <c r="A4352" t="s">
        <v>14495</v>
      </c>
      <c r="B4352" t="s">
        <v>14496</v>
      </c>
      <c r="C4352" t="s">
        <v>387</v>
      </c>
      <c r="D4352" t="s">
        <v>572</v>
      </c>
      <c r="E4352" t="s">
        <v>11032</v>
      </c>
      <c r="F4352" t="s">
        <v>11004</v>
      </c>
      <c r="G4352" t="s">
        <v>14497</v>
      </c>
      <c r="H4352" t="str">
        <f>HYPERLINK("https://baanknet.com/view-property/263414/9D6C21491BB3DDD62717C1B4DE290092DF1794535FF472693BA993D24B3FD6B0", "https://baanknet.com/view-property/263414/9D6C21491BB3DDD62717C1B4DE290092DF1794535FF472693BA993D24B3FD6B0")</f>
        <v>https://baanknet.com/view-property/263414/9D6C21491BB3DDD62717C1B4DE290092DF1794535FF472693BA993D24B3FD6B0</v>
      </c>
      <c r="I4352" t="str">
        <f>HYPERLINK("https://baanknet.com/view-property/263414/9D6C21491BB3DDD62717C1B4DE290092DF1794535FF472693BA993D24B3FD6B0", "Open")</f>
        <v>Open</v>
      </c>
      <c r="J4352" t="s">
        <v>3803</v>
      </c>
      <c r="L4352">
        <v>841000</v>
      </c>
      <c r="M4352">
        <v>84100</v>
      </c>
    </row>
    <row r="4353" spans="1:13" x14ac:dyDescent="0.25">
      <c r="A4353" t="s">
        <v>14498</v>
      </c>
      <c r="B4353" t="s">
        <v>14499</v>
      </c>
      <c r="C4353" t="s">
        <v>387</v>
      </c>
      <c r="D4353" t="s">
        <v>5627</v>
      </c>
      <c r="E4353" t="s">
        <v>11032</v>
      </c>
      <c r="F4353" t="s">
        <v>11004</v>
      </c>
      <c r="G4353" t="s">
        <v>14500</v>
      </c>
      <c r="H4353" t="str">
        <f>HYPERLINK("https://baanknet.com/view-property/276688/BD9A478783E7C349767FC7A434C1AE26863AA2F3D2A5E4E117AE3860D955295E", "https://baanknet.com/view-property/276688/BD9A478783E7C349767FC7A434C1AE26863AA2F3D2A5E4E117AE3860D955295E")</f>
        <v>https://baanknet.com/view-property/276688/BD9A478783E7C349767FC7A434C1AE26863AA2F3D2A5E4E117AE3860D955295E</v>
      </c>
      <c r="I4353" t="str">
        <f>HYPERLINK("https://baanknet.com/view-property/276688/BD9A478783E7C349767FC7A434C1AE26863AA2F3D2A5E4E117AE3860D955295E", "Open")</f>
        <v>Open</v>
      </c>
      <c r="J4353" t="s">
        <v>3803</v>
      </c>
      <c r="L4353">
        <v>900000</v>
      </c>
      <c r="M4353">
        <v>90000</v>
      </c>
    </row>
    <row r="4354" spans="1:13" x14ac:dyDescent="0.25">
      <c r="A4354" t="s">
        <v>14501</v>
      </c>
      <c r="B4354" t="s">
        <v>14502</v>
      </c>
      <c r="C4354" t="s">
        <v>387</v>
      </c>
      <c r="D4354" t="s">
        <v>572</v>
      </c>
      <c r="E4354" t="s">
        <v>11032</v>
      </c>
      <c r="F4354" t="s">
        <v>11004</v>
      </c>
      <c r="G4354" t="s">
        <v>14503</v>
      </c>
      <c r="H4354" t="str">
        <f>HYPERLINK("https://baanknet.com/view-property/254912/BB661D8D753EF600E8916DFE725997AA74A651F79A0213B72CFAA2C6155D6727", "https://baanknet.com/view-property/254912/BB661D8D753EF600E8916DFE725997AA74A651F79A0213B72CFAA2C6155D6727")</f>
        <v>https://baanknet.com/view-property/254912/BB661D8D753EF600E8916DFE725997AA74A651F79A0213B72CFAA2C6155D6727</v>
      </c>
      <c r="I4354" t="str">
        <f>HYPERLINK("https://baanknet.com/view-property/254912/BB661D8D753EF600E8916DFE725997AA74A651F79A0213B72CFAA2C6155D6727", "Open")</f>
        <v>Open</v>
      </c>
      <c r="J4354" t="s">
        <v>3803</v>
      </c>
      <c r="L4354">
        <v>1065000</v>
      </c>
      <c r="M4354">
        <v>106500</v>
      </c>
    </row>
    <row r="4355" spans="1:13" x14ac:dyDescent="0.25">
      <c r="A4355" t="s">
        <v>14504</v>
      </c>
      <c r="B4355" t="s">
        <v>14505</v>
      </c>
      <c r="C4355" t="s">
        <v>387</v>
      </c>
      <c r="D4355" t="s">
        <v>5627</v>
      </c>
      <c r="E4355" t="s">
        <v>11032</v>
      </c>
      <c r="F4355" t="s">
        <v>11004</v>
      </c>
      <c r="G4355" t="s">
        <v>14506</v>
      </c>
      <c r="H4355" t="str">
        <f>HYPERLINK("https://baanknet.com/view-property/270111/38FBB4FE2C842D4D85E26F2F947E5E0DA8B20DAB3AA40CCC0DE6EA6A8F021F06", "https://baanknet.com/view-property/270111/38FBB4FE2C842D4D85E26F2F947E5E0DA8B20DAB3AA40CCC0DE6EA6A8F021F06")</f>
        <v>https://baanknet.com/view-property/270111/38FBB4FE2C842D4D85E26F2F947E5E0DA8B20DAB3AA40CCC0DE6EA6A8F021F06</v>
      </c>
      <c r="I4355" t="str">
        <f>HYPERLINK("https://baanknet.com/view-property/270111/38FBB4FE2C842D4D85E26F2F947E5E0DA8B20DAB3AA40CCC0DE6EA6A8F021F06", "Open")</f>
        <v>Open</v>
      </c>
      <c r="J4355" t="s">
        <v>3803</v>
      </c>
      <c r="L4355">
        <v>918000</v>
      </c>
      <c r="M4355">
        <v>91800</v>
      </c>
    </row>
    <row r="4356" spans="1:13" x14ac:dyDescent="0.25">
      <c r="A4356" t="s">
        <v>14507</v>
      </c>
      <c r="B4356" t="s">
        <v>14508</v>
      </c>
      <c r="C4356" t="s">
        <v>387</v>
      </c>
      <c r="D4356" t="s">
        <v>518</v>
      </c>
      <c r="E4356" t="s">
        <v>11032</v>
      </c>
      <c r="F4356" t="s">
        <v>11004</v>
      </c>
      <c r="G4356" t="s">
        <v>14509</v>
      </c>
      <c r="H4356" t="str">
        <f>HYPERLINK("https://baanknet.com/view-property/254715/6B52213B507365BBF60461FEDE2D8F4F2A5BDB6DFAA1F44FC3FB54B1D4187326", "https://baanknet.com/view-property/254715/6B52213B507365BBF60461FEDE2D8F4F2A5BDB6DFAA1F44FC3FB54B1D4187326")</f>
        <v>https://baanknet.com/view-property/254715/6B52213B507365BBF60461FEDE2D8F4F2A5BDB6DFAA1F44FC3FB54B1D4187326</v>
      </c>
      <c r="I4356" t="str">
        <f>HYPERLINK("https://baanknet.com/view-property/254715/6B52213B507365BBF60461FEDE2D8F4F2A5BDB6DFAA1F44FC3FB54B1D4187326", "Open")</f>
        <v>Open</v>
      </c>
      <c r="J4356" t="s">
        <v>3803</v>
      </c>
      <c r="L4356">
        <v>887000</v>
      </c>
      <c r="M4356">
        <v>88700</v>
      </c>
    </row>
    <row r="4357" spans="1:13" x14ac:dyDescent="0.25">
      <c r="A4357" t="s">
        <v>14510</v>
      </c>
      <c r="B4357" t="s">
        <v>14511</v>
      </c>
      <c r="C4357" t="s">
        <v>387</v>
      </c>
      <c r="D4357" t="s">
        <v>1083</v>
      </c>
      <c r="E4357" t="s">
        <v>11032</v>
      </c>
      <c r="F4357" t="s">
        <v>11004</v>
      </c>
      <c r="G4357" t="s">
        <v>14512</v>
      </c>
      <c r="H4357" t="str">
        <f>HYPERLINK("https://baanknet.com/view-property/214851/130C215A77EA21D79A086A1D651A2AFB6E22482F4E28A6816FBA43F572202BB3", "https://baanknet.com/view-property/214851/130C215A77EA21D79A086A1D651A2AFB6E22482F4E28A6816FBA43F572202BB3")</f>
        <v>https://baanknet.com/view-property/214851/130C215A77EA21D79A086A1D651A2AFB6E22482F4E28A6816FBA43F572202BB3</v>
      </c>
      <c r="I4357" t="str">
        <f>HYPERLINK("https://baanknet.com/view-property/214851/130C215A77EA21D79A086A1D651A2AFB6E22482F4E28A6816FBA43F572202BB3", "Open")</f>
        <v>Open</v>
      </c>
      <c r="J4357" t="s">
        <v>3803</v>
      </c>
      <c r="L4357">
        <v>640000</v>
      </c>
      <c r="M4357">
        <v>64000</v>
      </c>
    </row>
    <row r="4358" spans="1:13" x14ac:dyDescent="0.25">
      <c r="A4358" t="s">
        <v>14513</v>
      </c>
      <c r="B4358" t="s">
        <v>14514</v>
      </c>
      <c r="C4358" t="s">
        <v>387</v>
      </c>
      <c r="D4358" t="s">
        <v>5627</v>
      </c>
      <c r="E4358" t="s">
        <v>11032</v>
      </c>
      <c r="F4358" t="s">
        <v>11004</v>
      </c>
      <c r="G4358" t="s">
        <v>14515</v>
      </c>
      <c r="H4358" t="str">
        <f>HYPERLINK("https://baanknet.com/view-property/214858/302E59BA27AB57737C7AD87821AA644942096A4E669981B80828939EC4E765F5", "https://baanknet.com/view-property/214858/302E59BA27AB57737C7AD87821AA644942096A4E669981B80828939EC4E765F5")</f>
        <v>https://baanknet.com/view-property/214858/302E59BA27AB57737C7AD87821AA644942096A4E669981B80828939EC4E765F5</v>
      </c>
      <c r="I4358" t="str">
        <f>HYPERLINK("https://baanknet.com/view-property/214858/302E59BA27AB57737C7AD87821AA644942096A4E669981B80828939EC4E765F5", "Open")</f>
        <v>Open</v>
      </c>
      <c r="J4358" t="s">
        <v>3803</v>
      </c>
      <c r="L4358">
        <v>719000</v>
      </c>
      <c r="M4358">
        <v>71900</v>
      </c>
    </row>
    <row r="4359" spans="1:13" x14ac:dyDescent="0.25">
      <c r="A4359" t="s">
        <v>14516</v>
      </c>
      <c r="B4359" t="s">
        <v>14517</v>
      </c>
      <c r="C4359" t="s">
        <v>387</v>
      </c>
      <c r="D4359" t="s">
        <v>1083</v>
      </c>
      <c r="E4359" t="s">
        <v>11032</v>
      </c>
      <c r="F4359" t="s">
        <v>11004</v>
      </c>
      <c r="G4359" t="s">
        <v>14518</v>
      </c>
      <c r="H4359" t="str">
        <f>HYPERLINK("https://baanknet.com/view-property/216475/CA75ACBDE40BB03E77DA85A009CA42FB163F9351EF735896D7E47111955B2187", "https://baanknet.com/view-property/216475/CA75ACBDE40BB03E77DA85A009CA42FB163F9351EF735896D7E47111955B2187")</f>
        <v>https://baanknet.com/view-property/216475/CA75ACBDE40BB03E77DA85A009CA42FB163F9351EF735896D7E47111955B2187</v>
      </c>
      <c r="I4359" t="str">
        <f>HYPERLINK("https://baanknet.com/view-property/216475/CA75ACBDE40BB03E77DA85A009CA42FB163F9351EF735896D7E47111955B2187", "Open")</f>
        <v>Open</v>
      </c>
      <c r="J4359" t="s">
        <v>3803</v>
      </c>
      <c r="L4359">
        <v>1118000</v>
      </c>
      <c r="M4359">
        <v>111800</v>
      </c>
    </row>
    <row r="4360" spans="1:13" x14ac:dyDescent="0.25">
      <c r="A4360" t="s">
        <v>14519</v>
      </c>
      <c r="B4360" t="s">
        <v>14520</v>
      </c>
      <c r="C4360" t="s">
        <v>387</v>
      </c>
      <c r="D4360" t="s">
        <v>518</v>
      </c>
      <c r="E4360" t="s">
        <v>11032</v>
      </c>
      <c r="F4360" t="s">
        <v>11004</v>
      </c>
      <c r="G4360" t="s">
        <v>14521</v>
      </c>
      <c r="H4360" t="str">
        <f>HYPERLINK("https://baanknet.com/view-property/279970/0C75344469CA6AFADEEF59754DFC4B910D1DC191C9B8E61E7C8E298C96CE58C7", "https://baanknet.com/view-property/279970/0C75344469CA6AFADEEF59754DFC4B910D1DC191C9B8E61E7C8E298C96CE58C7")</f>
        <v>https://baanknet.com/view-property/279970/0C75344469CA6AFADEEF59754DFC4B910D1DC191C9B8E61E7C8E298C96CE58C7</v>
      </c>
      <c r="I4360" t="str">
        <f>HYPERLINK("https://baanknet.com/view-property/279970/0C75344469CA6AFADEEF59754DFC4B910D1DC191C9B8E61E7C8E298C96CE58C7", "Open")</f>
        <v>Open</v>
      </c>
      <c r="J4360" t="s">
        <v>3803</v>
      </c>
      <c r="L4360">
        <v>1838000</v>
      </c>
      <c r="M4360">
        <v>183800</v>
      </c>
    </row>
    <row r="4361" spans="1:13" x14ac:dyDescent="0.25">
      <c r="A4361" t="s">
        <v>14522</v>
      </c>
      <c r="B4361" t="s">
        <v>14523</v>
      </c>
      <c r="C4361" t="s">
        <v>387</v>
      </c>
      <c r="D4361" t="s">
        <v>5627</v>
      </c>
      <c r="E4361" t="s">
        <v>11032</v>
      </c>
      <c r="F4361" t="s">
        <v>11004</v>
      </c>
      <c r="G4361" t="s">
        <v>14524</v>
      </c>
      <c r="H4361" t="str">
        <f>HYPERLINK("https://baanknet.com/view-property/280021/9113CC7F834575E5EE0D0D8BCC5CC0C99E764C331119284BF3675E62D888FAFA", "https://baanknet.com/view-property/280021/9113CC7F834575E5EE0D0D8BCC5CC0C99E764C331119284BF3675E62D888FAFA")</f>
        <v>https://baanknet.com/view-property/280021/9113CC7F834575E5EE0D0D8BCC5CC0C99E764C331119284BF3675E62D888FAFA</v>
      </c>
      <c r="I4361" t="str">
        <f>HYPERLINK("https://baanknet.com/view-property/280021/9113CC7F834575E5EE0D0D8BCC5CC0C99E764C331119284BF3675E62D888FAFA", "Open")</f>
        <v>Open</v>
      </c>
      <c r="J4361" t="s">
        <v>3803</v>
      </c>
      <c r="L4361">
        <v>856000</v>
      </c>
      <c r="M4361">
        <v>85600</v>
      </c>
    </row>
    <row r="4362" spans="1:13" x14ac:dyDescent="0.25">
      <c r="A4362" t="s">
        <v>14525</v>
      </c>
      <c r="B4362" t="s">
        <v>14526</v>
      </c>
      <c r="C4362" t="s">
        <v>387</v>
      </c>
      <c r="D4362" t="s">
        <v>518</v>
      </c>
      <c r="E4362" t="s">
        <v>11032</v>
      </c>
      <c r="F4362" t="s">
        <v>11004</v>
      </c>
      <c r="G4362" t="s">
        <v>14527</v>
      </c>
      <c r="H4362" t="str">
        <f>HYPERLINK("https://baanknet.com/view-property/171735/F74ED4906928DF602AB08928B0D02977FE40EA0FE9125A6D2FC6D25311796E84", "https://baanknet.com/view-property/171735/F74ED4906928DF602AB08928B0D02977FE40EA0FE9125A6D2FC6D25311796E84")</f>
        <v>https://baanknet.com/view-property/171735/F74ED4906928DF602AB08928B0D02977FE40EA0FE9125A6D2FC6D25311796E84</v>
      </c>
      <c r="I4362" t="str">
        <f>HYPERLINK("https://baanknet.com/view-property/171735/F74ED4906928DF602AB08928B0D02977FE40EA0FE9125A6D2FC6D25311796E84", "Open")</f>
        <v>Open</v>
      </c>
      <c r="J4362" t="s">
        <v>3803</v>
      </c>
      <c r="L4362">
        <v>1150000</v>
      </c>
      <c r="M4362">
        <v>115000</v>
      </c>
    </row>
    <row r="4363" spans="1:13" x14ac:dyDescent="0.25">
      <c r="A4363" t="s">
        <v>14528</v>
      </c>
      <c r="B4363" t="s">
        <v>14529</v>
      </c>
      <c r="C4363" t="s">
        <v>387</v>
      </c>
      <c r="D4363" t="s">
        <v>5627</v>
      </c>
      <c r="E4363" t="s">
        <v>11032</v>
      </c>
      <c r="F4363" t="s">
        <v>11004</v>
      </c>
      <c r="G4363" t="s">
        <v>14530</v>
      </c>
      <c r="H4363" t="str">
        <f>HYPERLINK("https://baanknet.com/view-property/208036/080FDE812E0F9334AC370651EFA203BD2FCD6044860E6F330C29AB94B6C5D059", "https://baanknet.com/view-property/208036/080FDE812E0F9334AC370651EFA203BD2FCD6044860E6F330C29AB94B6C5D059")</f>
        <v>https://baanknet.com/view-property/208036/080FDE812E0F9334AC370651EFA203BD2FCD6044860E6F330C29AB94B6C5D059</v>
      </c>
      <c r="I4363" t="str">
        <f>HYPERLINK("https://baanknet.com/view-property/208036/080FDE812E0F9334AC370651EFA203BD2FCD6044860E6F330C29AB94B6C5D059", "Open")</f>
        <v>Open</v>
      </c>
      <c r="J4363" t="s">
        <v>3803</v>
      </c>
      <c r="L4363">
        <v>917000</v>
      </c>
      <c r="M4363">
        <v>91700</v>
      </c>
    </row>
    <row r="4364" spans="1:13" x14ac:dyDescent="0.25">
      <c r="A4364" t="s">
        <v>14531</v>
      </c>
      <c r="B4364" t="s">
        <v>14532</v>
      </c>
      <c r="C4364" t="s">
        <v>387</v>
      </c>
      <c r="D4364" t="s">
        <v>518</v>
      </c>
      <c r="E4364" t="s">
        <v>11032</v>
      </c>
      <c r="F4364" t="s">
        <v>11004</v>
      </c>
      <c r="G4364" t="s">
        <v>14533</v>
      </c>
      <c r="H4364" t="str">
        <f>HYPERLINK("https://baanknet.com/view-property/254357/2254C89DB18472166FA3A9D07703205F000572DB7C7133D4FCAB8D935B26498B", "https://baanknet.com/view-property/254357/2254C89DB18472166FA3A9D07703205F000572DB7C7133D4FCAB8D935B26498B")</f>
        <v>https://baanknet.com/view-property/254357/2254C89DB18472166FA3A9D07703205F000572DB7C7133D4FCAB8D935B26498B</v>
      </c>
      <c r="I4364" t="str">
        <f>HYPERLINK("https://baanknet.com/view-property/254357/2254C89DB18472166FA3A9D07703205F000572DB7C7133D4FCAB8D935B26498B", "Open")</f>
        <v>Open</v>
      </c>
      <c r="J4364" t="s">
        <v>3803</v>
      </c>
      <c r="L4364">
        <v>1004000</v>
      </c>
      <c r="M4364">
        <v>100400</v>
      </c>
    </row>
    <row r="4365" spans="1:13" x14ac:dyDescent="0.25">
      <c r="A4365" t="s">
        <v>14534</v>
      </c>
      <c r="B4365" t="s">
        <v>14535</v>
      </c>
      <c r="C4365" t="s">
        <v>387</v>
      </c>
      <c r="D4365" t="s">
        <v>5627</v>
      </c>
      <c r="E4365" t="s">
        <v>11032</v>
      </c>
      <c r="F4365" t="s">
        <v>11004</v>
      </c>
      <c r="G4365" t="s">
        <v>14536</v>
      </c>
      <c r="H4365" t="str">
        <f>HYPERLINK("https://baanknet.com/view-property/243761/31BA535FC5F654D3022D04727FB474B80F2DF092716DF900503BFBCF71C5BA50", "https://baanknet.com/view-property/243761/31BA535FC5F654D3022D04727FB474B80F2DF092716DF900503BFBCF71C5BA50")</f>
        <v>https://baanknet.com/view-property/243761/31BA535FC5F654D3022D04727FB474B80F2DF092716DF900503BFBCF71C5BA50</v>
      </c>
      <c r="I4365" t="str">
        <f>HYPERLINK("https://baanknet.com/view-property/243761/31BA535FC5F654D3022D04727FB474B80F2DF092716DF900503BFBCF71C5BA50", "Open")</f>
        <v>Open</v>
      </c>
      <c r="J4365" t="s">
        <v>3803</v>
      </c>
      <c r="L4365">
        <v>875000</v>
      </c>
      <c r="M4365">
        <v>87500</v>
      </c>
    </row>
    <row r="4366" spans="1:13" x14ac:dyDescent="0.25">
      <c r="A4366" t="s">
        <v>14537</v>
      </c>
      <c r="B4366" t="s">
        <v>14538</v>
      </c>
      <c r="C4366" t="s">
        <v>387</v>
      </c>
      <c r="D4366" t="s">
        <v>518</v>
      </c>
      <c r="E4366" t="s">
        <v>11032</v>
      </c>
      <c r="F4366" t="s">
        <v>11004</v>
      </c>
      <c r="G4366" t="s">
        <v>14539</v>
      </c>
      <c r="H4366" t="str">
        <f>HYPERLINK("https://baanknet.com/view-property/279961/BF3DB619352680993FCB2DE24167C271C9EC09D5A1FEE9C8BE7EF7E848A79F27", "https://baanknet.com/view-property/279961/BF3DB619352680993FCB2DE24167C271C9EC09D5A1FEE9C8BE7EF7E848A79F27")</f>
        <v>https://baanknet.com/view-property/279961/BF3DB619352680993FCB2DE24167C271C9EC09D5A1FEE9C8BE7EF7E848A79F27</v>
      </c>
      <c r="I4366" t="str">
        <f>HYPERLINK("https://baanknet.com/view-property/279961/BF3DB619352680993FCB2DE24167C271C9EC09D5A1FEE9C8BE7EF7E848A79F27", "Open")</f>
        <v>Open</v>
      </c>
      <c r="J4366" t="s">
        <v>3803</v>
      </c>
      <c r="L4366">
        <v>1001000</v>
      </c>
      <c r="M4366">
        <v>100100</v>
      </c>
    </row>
    <row r="4367" spans="1:13" x14ac:dyDescent="0.25">
      <c r="A4367" t="s">
        <v>14540</v>
      </c>
      <c r="B4367" t="s">
        <v>14541</v>
      </c>
      <c r="C4367" t="s">
        <v>387</v>
      </c>
      <c r="D4367" t="s">
        <v>5627</v>
      </c>
      <c r="E4367" t="s">
        <v>11032</v>
      </c>
      <c r="F4367" t="s">
        <v>11004</v>
      </c>
      <c r="G4367" t="s">
        <v>14542</v>
      </c>
      <c r="H4367" t="str">
        <f>HYPERLINK("https://baanknet.com/view-property/243763/A070474AAFA60D981A9621D1563E747F9EF59AEA31A46BAFC55118867C999B88", "https://baanknet.com/view-property/243763/A070474AAFA60D981A9621D1563E747F9EF59AEA31A46BAFC55118867C999B88")</f>
        <v>https://baanknet.com/view-property/243763/A070474AAFA60D981A9621D1563E747F9EF59AEA31A46BAFC55118867C999B88</v>
      </c>
      <c r="I4367" t="str">
        <f>HYPERLINK("https://baanknet.com/view-property/243763/A070474AAFA60D981A9621D1563E747F9EF59AEA31A46BAFC55118867C999B88", "Open")</f>
        <v>Open</v>
      </c>
      <c r="J4367" t="s">
        <v>3803</v>
      </c>
      <c r="L4367">
        <v>1135000</v>
      </c>
      <c r="M4367">
        <v>113500</v>
      </c>
    </row>
    <row r="4368" spans="1:13" x14ac:dyDescent="0.25">
      <c r="A4368" t="s">
        <v>14543</v>
      </c>
      <c r="B4368" t="s">
        <v>14544</v>
      </c>
      <c r="C4368" t="s">
        <v>387</v>
      </c>
      <c r="D4368" t="s">
        <v>572</v>
      </c>
      <c r="E4368" t="s">
        <v>11032</v>
      </c>
      <c r="F4368" t="s">
        <v>11004</v>
      </c>
      <c r="G4368" t="s">
        <v>14545</v>
      </c>
      <c r="H4368" t="str">
        <f>HYPERLINK("https://baanknet.com/view-property/238864/810DED52A617046B1E78E446158A8ED6FC03C714697A7D826E55253D9B02AC57", "https://baanknet.com/view-property/238864/810DED52A617046B1E78E446158A8ED6FC03C714697A7D826E55253D9B02AC57")</f>
        <v>https://baanknet.com/view-property/238864/810DED52A617046B1E78E446158A8ED6FC03C714697A7D826E55253D9B02AC57</v>
      </c>
      <c r="I4368" t="str">
        <f>HYPERLINK("https://baanknet.com/view-property/238864/810DED52A617046B1E78E446158A8ED6FC03C714697A7D826E55253D9B02AC57", "Open")</f>
        <v>Open</v>
      </c>
      <c r="J4368" t="s">
        <v>3803</v>
      </c>
      <c r="L4368">
        <v>1342000</v>
      </c>
      <c r="M4368">
        <v>134200</v>
      </c>
    </row>
    <row r="4369" spans="1:13" x14ac:dyDescent="0.25">
      <c r="A4369" t="s">
        <v>14546</v>
      </c>
      <c r="B4369" t="s">
        <v>14547</v>
      </c>
      <c r="C4369" t="s">
        <v>387</v>
      </c>
      <c r="D4369" t="s">
        <v>518</v>
      </c>
      <c r="E4369" t="s">
        <v>11032</v>
      </c>
      <c r="F4369" t="s">
        <v>11004</v>
      </c>
      <c r="G4369" t="s">
        <v>14548</v>
      </c>
      <c r="H4369" t="str">
        <f>HYPERLINK("https://baanknet.com/view-property/201536/00074E3BFEDE680D240005BA52A0A3F2B7B79662F8CF262F18E3F2E4A67FB255", "https://baanknet.com/view-property/201536/00074E3BFEDE680D240005BA52A0A3F2B7B79662F8CF262F18E3F2E4A67FB255")</f>
        <v>https://baanknet.com/view-property/201536/00074E3BFEDE680D240005BA52A0A3F2B7B79662F8CF262F18E3F2E4A67FB255</v>
      </c>
      <c r="I4369" t="str">
        <f>HYPERLINK("https://baanknet.com/view-property/201536/00074E3BFEDE680D240005BA52A0A3F2B7B79662F8CF262F18E3F2E4A67FB255", "Open")</f>
        <v>Open</v>
      </c>
      <c r="J4369" t="s">
        <v>3803</v>
      </c>
      <c r="L4369">
        <v>1025000</v>
      </c>
      <c r="M4369">
        <v>102500</v>
      </c>
    </row>
    <row r="4370" spans="1:13" x14ac:dyDescent="0.25">
      <c r="A4370" t="s">
        <v>14549</v>
      </c>
      <c r="B4370" t="s">
        <v>14550</v>
      </c>
      <c r="C4370" t="s">
        <v>387</v>
      </c>
      <c r="D4370" t="s">
        <v>1066</v>
      </c>
      <c r="E4370" t="s">
        <v>11032</v>
      </c>
      <c r="F4370" t="s">
        <v>11004</v>
      </c>
      <c r="G4370" t="s">
        <v>14551</v>
      </c>
      <c r="H4370" t="str">
        <f>HYPERLINK("https://baanknet.com/view-property/251686/668942AD8DE6A439695499383E43115A7741E58279136CBAAD1EF650CD8C7781", "https://baanknet.com/view-property/251686/668942AD8DE6A439695499383E43115A7741E58279136CBAAD1EF650CD8C7781")</f>
        <v>https://baanknet.com/view-property/251686/668942AD8DE6A439695499383E43115A7741E58279136CBAAD1EF650CD8C7781</v>
      </c>
      <c r="I4370" t="str">
        <f>HYPERLINK("https://baanknet.com/view-property/251686/668942AD8DE6A439695499383E43115A7741E58279136CBAAD1EF650CD8C7781", "Open")</f>
        <v>Open</v>
      </c>
      <c r="J4370" t="s">
        <v>3803</v>
      </c>
      <c r="L4370">
        <v>1336500</v>
      </c>
      <c r="M4370">
        <v>133650</v>
      </c>
    </row>
    <row r="4371" spans="1:13" x14ac:dyDescent="0.25">
      <c r="A4371" t="s">
        <v>14552</v>
      </c>
      <c r="B4371" t="s">
        <v>14553</v>
      </c>
      <c r="C4371" t="s">
        <v>387</v>
      </c>
      <c r="D4371" t="s">
        <v>1083</v>
      </c>
      <c r="E4371" t="s">
        <v>11032</v>
      </c>
      <c r="F4371" t="s">
        <v>11004</v>
      </c>
      <c r="G4371" t="s">
        <v>14554</v>
      </c>
      <c r="H4371" t="str">
        <f>HYPERLINK("https://baanknet.com/view-property/259094/4D30D93A9A234FAE7B6299AC09DB379DDB7E59143B78B3CEBA1554F610D9C377", "https://baanknet.com/view-property/259094/4D30D93A9A234FAE7B6299AC09DB379DDB7E59143B78B3CEBA1554F610D9C377")</f>
        <v>https://baanknet.com/view-property/259094/4D30D93A9A234FAE7B6299AC09DB379DDB7E59143B78B3CEBA1554F610D9C377</v>
      </c>
      <c r="I4371" t="str">
        <f>HYPERLINK("https://baanknet.com/view-property/259094/4D30D93A9A234FAE7B6299AC09DB379DDB7E59143B78B3CEBA1554F610D9C377", "Open")</f>
        <v>Open</v>
      </c>
      <c r="J4371" t="s">
        <v>3803</v>
      </c>
      <c r="L4371">
        <v>770000</v>
      </c>
      <c r="M4371">
        <v>77000</v>
      </c>
    </row>
    <row r="4372" spans="1:13" x14ac:dyDescent="0.25">
      <c r="A4372" t="s">
        <v>14555</v>
      </c>
      <c r="B4372" t="s">
        <v>14556</v>
      </c>
      <c r="C4372" t="s">
        <v>387</v>
      </c>
      <c r="D4372" t="s">
        <v>1083</v>
      </c>
      <c r="E4372" t="s">
        <v>11032</v>
      </c>
      <c r="F4372" t="s">
        <v>11004</v>
      </c>
      <c r="G4372" t="s">
        <v>14557</v>
      </c>
      <c r="H4372" t="str">
        <f>HYPERLINK("https://baanknet.com/view-property/215144/21054C6C591AAAEF80DF2F0F41EDB43925402118DE9E74C27D8F759AFFB771A7", "https://baanknet.com/view-property/215144/21054C6C591AAAEF80DF2F0F41EDB43925402118DE9E74C27D8F759AFFB771A7")</f>
        <v>https://baanknet.com/view-property/215144/21054C6C591AAAEF80DF2F0F41EDB43925402118DE9E74C27D8F759AFFB771A7</v>
      </c>
      <c r="I4372" t="str">
        <f>HYPERLINK("https://baanknet.com/view-property/215144/21054C6C591AAAEF80DF2F0F41EDB43925402118DE9E74C27D8F759AFFB771A7", "Open")</f>
        <v>Open</v>
      </c>
      <c r="J4372" t="s">
        <v>3803</v>
      </c>
      <c r="L4372">
        <v>750000</v>
      </c>
      <c r="M4372">
        <v>75000</v>
      </c>
    </row>
    <row r="4373" spans="1:13" x14ac:dyDescent="0.25">
      <c r="A4373" t="s">
        <v>14558</v>
      </c>
      <c r="B4373" t="s">
        <v>14559</v>
      </c>
      <c r="C4373" t="s">
        <v>387</v>
      </c>
      <c r="D4373" t="s">
        <v>572</v>
      </c>
      <c r="E4373" t="s">
        <v>11032</v>
      </c>
      <c r="F4373" t="s">
        <v>11004</v>
      </c>
      <c r="G4373" t="s">
        <v>14560</v>
      </c>
      <c r="H4373" t="str">
        <f>HYPERLINK("https://baanknet.com/view-property/272595/9D2F6EEBA80505CDB801E29AC0D3443B5243B3DCB2AA358FD1A0F6C3738D4B06", "https://baanknet.com/view-property/272595/9D2F6EEBA80505CDB801E29AC0D3443B5243B3DCB2AA358FD1A0F6C3738D4B06")</f>
        <v>https://baanknet.com/view-property/272595/9D2F6EEBA80505CDB801E29AC0D3443B5243B3DCB2AA358FD1A0F6C3738D4B06</v>
      </c>
      <c r="I4373" t="str">
        <f>HYPERLINK("https://baanknet.com/view-property/272595/9D2F6EEBA80505CDB801E29AC0D3443B5243B3DCB2AA358FD1A0F6C3738D4B06", "Open")</f>
        <v>Open</v>
      </c>
      <c r="J4373" t="s">
        <v>3803</v>
      </c>
      <c r="L4373">
        <v>900000</v>
      </c>
      <c r="M4373">
        <v>90000</v>
      </c>
    </row>
    <row r="4374" spans="1:13" x14ac:dyDescent="0.25">
      <c r="A4374" t="s">
        <v>14561</v>
      </c>
      <c r="B4374" t="s">
        <v>14562</v>
      </c>
      <c r="C4374" t="s">
        <v>387</v>
      </c>
      <c r="D4374" t="s">
        <v>518</v>
      </c>
      <c r="E4374" t="s">
        <v>11032</v>
      </c>
      <c r="F4374" t="s">
        <v>11004</v>
      </c>
      <c r="G4374" t="s">
        <v>14563</v>
      </c>
      <c r="H4374" t="str">
        <f>HYPERLINK("https://baanknet.com/view-property/259053/17EA5C73A552EBF8EC53F9AB722450AED2B215CB599E8294C93CA3969EED025A", "https://baanknet.com/view-property/259053/17EA5C73A552EBF8EC53F9AB722450AED2B215CB599E8294C93CA3969EED025A")</f>
        <v>https://baanknet.com/view-property/259053/17EA5C73A552EBF8EC53F9AB722450AED2B215CB599E8294C93CA3969EED025A</v>
      </c>
      <c r="I4374" t="str">
        <f>HYPERLINK("https://baanknet.com/view-property/259053/17EA5C73A552EBF8EC53F9AB722450AED2B215CB599E8294C93CA3969EED025A", "Open")</f>
        <v>Open</v>
      </c>
      <c r="J4374" t="s">
        <v>3803</v>
      </c>
      <c r="L4374">
        <v>690000</v>
      </c>
      <c r="M4374">
        <v>69000</v>
      </c>
    </row>
    <row r="4375" spans="1:13" x14ac:dyDescent="0.25">
      <c r="A4375" t="s">
        <v>14564</v>
      </c>
      <c r="B4375" t="s">
        <v>14565</v>
      </c>
      <c r="C4375" t="s">
        <v>387</v>
      </c>
      <c r="D4375" t="s">
        <v>518</v>
      </c>
      <c r="E4375" t="s">
        <v>11032</v>
      </c>
      <c r="F4375" t="s">
        <v>11004</v>
      </c>
      <c r="G4375" t="s">
        <v>14566</v>
      </c>
      <c r="H4375" t="str">
        <f>HYPERLINK("https://baanknet.com/view-property/216285/7EFE9242EEE474CCA39DF210DCFFACD91DBC08909135F71DCA8EF234F29A4C1F", "https://baanknet.com/view-property/216285/7EFE9242EEE474CCA39DF210DCFFACD91DBC08909135F71DCA8EF234F29A4C1F")</f>
        <v>https://baanknet.com/view-property/216285/7EFE9242EEE474CCA39DF210DCFFACD91DBC08909135F71DCA8EF234F29A4C1F</v>
      </c>
      <c r="I4375" t="str">
        <f>HYPERLINK("https://baanknet.com/view-property/216285/7EFE9242EEE474CCA39DF210DCFFACD91DBC08909135F71DCA8EF234F29A4C1F", "Open")</f>
        <v>Open</v>
      </c>
      <c r="J4375" t="s">
        <v>3803</v>
      </c>
      <c r="L4375">
        <v>1020000</v>
      </c>
      <c r="M4375">
        <v>102000</v>
      </c>
    </row>
    <row r="4376" spans="1:13" x14ac:dyDescent="0.25">
      <c r="A4376" t="s">
        <v>14567</v>
      </c>
      <c r="B4376" t="s">
        <v>14568</v>
      </c>
      <c r="C4376" t="s">
        <v>387</v>
      </c>
      <c r="D4376" t="s">
        <v>518</v>
      </c>
      <c r="E4376" t="s">
        <v>11032</v>
      </c>
      <c r="F4376" t="s">
        <v>11004</v>
      </c>
      <c r="G4376" t="s">
        <v>14569</v>
      </c>
      <c r="H4376" t="str">
        <f>HYPERLINK("https://baanknet.com/view-property/229299/BCE50945F46C359A2BA937ECCDCA5C3CD731E1B61C1750A0EFE4669CE470819C", "https://baanknet.com/view-property/229299/BCE50945F46C359A2BA937ECCDCA5C3CD731E1B61C1750A0EFE4669CE470819C")</f>
        <v>https://baanknet.com/view-property/229299/BCE50945F46C359A2BA937ECCDCA5C3CD731E1B61C1750A0EFE4669CE470819C</v>
      </c>
      <c r="I4376" t="str">
        <f>HYPERLINK("https://baanknet.com/view-property/229299/BCE50945F46C359A2BA937ECCDCA5C3CD731E1B61C1750A0EFE4669CE470819C", "Open")</f>
        <v>Open</v>
      </c>
      <c r="J4376" t="s">
        <v>3803</v>
      </c>
      <c r="L4376">
        <v>1481000</v>
      </c>
      <c r="M4376">
        <v>148100</v>
      </c>
    </row>
    <row r="4377" spans="1:13" x14ac:dyDescent="0.25">
      <c r="A4377" t="s">
        <v>14570</v>
      </c>
      <c r="B4377" t="s">
        <v>14571</v>
      </c>
      <c r="C4377" t="s">
        <v>387</v>
      </c>
      <c r="D4377" t="s">
        <v>5627</v>
      </c>
      <c r="E4377" t="s">
        <v>11032</v>
      </c>
      <c r="F4377" t="s">
        <v>11004</v>
      </c>
      <c r="G4377" t="s">
        <v>14572</v>
      </c>
      <c r="H4377" t="str">
        <f>HYPERLINK("https://baanknet.com/view-property/187269/632F54F4C02A92AFE7EA7FACD0FE7F6B76190FBBDF7B2DBF7EB65BDCB03CC2FE", "https://baanknet.com/view-property/187269/632F54F4C02A92AFE7EA7FACD0FE7F6B76190FBBDF7B2DBF7EB65BDCB03CC2FE")</f>
        <v>https://baanknet.com/view-property/187269/632F54F4C02A92AFE7EA7FACD0FE7F6B76190FBBDF7B2DBF7EB65BDCB03CC2FE</v>
      </c>
      <c r="I4377" t="str">
        <f>HYPERLINK("https://baanknet.com/view-property/187269/632F54F4C02A92AFE7EA7FACD0FE7F6B76190FBBDF7B2DBF7EB65BDCB03CC2FE", "Open")</f>
        <v>Open</v>
      </c>
      <c r="J4377" t="s">
        <v>3803</v>
      </c>
      <c r="L4377">
        <v>940000</v>
      </c>
      <c r="M4377">
        <v>94000</v>
      </c>
    </row>
    <row r="4378" spans="1:13" x14ac:dyDescent="0.25">
      <c r="A4378" t="s">
        <v>14573</v>
      </c>
      <c r="B4378" t="s">
        <v>14574</v>
      </c>
      <c r="C4378" t="s">
        <v>387</v>
      </c>
      <c r="D4378" t="s">
        <v>5627</v>
      </c>
      <c r="E4378" t="s">
        <v>11032</v>
      </c>
      <c r="F4378" t="s">
        <v>11004</v>
      </c>
      <c r="G4378" t="s">
        <v>14575</v>
      </c>
      <c r="H4378" t="str">
        <f>HYPERLINK("https://baanknet.com/view-property/187291/5A44C60C8249C85424579ADDC1640BC152903CEAB585480F7A2A2C865374A8E4", "https://baanknet.com/view-property/187291/5A44C60C8249C85424579ADDC1640BC152903CEAB585480F7A2A2C865374A8E4")</f>
        <v>https://baanknet.com/view-property/187291/5A44C60C8249C85424579ADDC1640BC152903CEAB585480F7A2A2C865374A8E4</v>
      </c>
      <c r="I4378" t="str">
        <f>HYPERLINK("https://baanknet.com/view-property/187291/5A44C60C8249C85424579ADDC1640BC152903CEAB585480F7A2A2C865374A8E4", "Open")</f>
        <v>Open</v>
      </c>
      <c r="J4378" t="s">
        <v>3803</v>
      </c>
      <c r="L4378">
        <v>942000</v>
      </c>
      <c r="M4378">
        <v>94200</v>
      </c>
    </row>
    <row r="4379" spans="1:13" x14ac:dyDescent="0.25">
      <c r="A4379" t="s">
        <v>14576</v>
      </c>
      <c r="B4379" t="s">
        <v>14577</v>
      </c>
      <c r="C4379" t="s">
        <v>387</v>
      </c>
      <c r="D4379" t="s">
        <v>518</v>
      </c>
      <c r="E4379" t="s">
        <v>11032</v>
      </c>
      <c r="F4379" t="s">
        <v>11004</v>
      </c>
      <c r="G4379" t="s">
        <v>14578</v>
      </c>
      <c r="H4379" t="str">
        <f>HYPERLINK("https://baanknet.com/view-property/216482/6F9DEFCE9A6746C874DA5E7631F0026263BEFD16C42F1F001DEA685D235B6548", "https://baanknet.com/view-property/216482/6F9DEFCE9A6746C874DA5E7631F0026263BEFD16C42F1F001DEA685D235B6548")</f>
        <v>https://baanknet.com/view-property/216482/6F9DEFCE9A6746C874DA5E7631F0026263BEFD16C42F1F001DEA685D235B6548</v>
      </c>
      <c r="I4379" t="str">
        <f>HYPERLINK("https://baanknet.com/view-property/216482/6F9DEFCE9A6746C874DA5E7631F0026263BEFD16C42F1F001DEA685D235B6548", "Open")</f>
        <v>Open</v>
      </c>
      <c r="J4379" t="s">
        <v>3803</v>
      </c>
      <c r="L4379">
        <v>1067000</v>
      </c>
      <c r="M4379">
        <v>106700</v>
      </c>
    </row>
    <row r="4380" spans="1:13" x14ac:dyDescent="0.25">
      <c r="A4380" t="s">
        <v>14579</v>
      </c>
      <c r="B4380" t="s">
        <v>14580</v>
      </c>
      <c r="C4380" t="s">
        <v>387</v>
      </c>
      <c r="D4380" t="s">
        <v>1083</v>
      </c>
      <c r="E4380" t="s">
        <v>11032</v>
      </c>
      <c r="F4380" t="s">
        <v>11004</v>
      </c>
      <c r="G4380" t="s">
        <v>14581</v>
      </c>
      <c r="H4380" t="str">
        <f>HYPERLINK("https://baanknet.com/view-property/187406/B1CC0719AD3A014012686F6D2CD2BA84618411486083DA619154AA7B5A232D2B", "https://baanknet.com/view-property/187406/B1CC0719AD3A014012686F6D2CD2BA84618411486083DA619154AA7B5A232D2B")</f>
        <v>https://baanknet.com/view-property/187406/B1CC0719AD3A014012686F6D2CD2BA84618411486083DA619154AA7B5A232D2B</v>
      </c>
      <c r="I4380" t="str">
        <f>HYPERLINK("https://baanknet.com/view-property/187406/B1CC0719AD3A014012686F6D2CD2BA84618411486083DA619154AA7B5A232D2B", "Open")</f>
        <v>Open</v>
      </c>
      <c r="J4380" t="s">
        <v>3803</v>
      </c>
      <c r="L4380">
        <v>1019000</v>
      </c>
      <c r="M4380">
        <v>101900</v>
      </c>
    </row>
    <row r="4381" spans="1:13" x14ac:dyDescent="0.25">
      <c r="A4381" t="s">
        <v>14582</v>
      </c>
      <c r="B4381" t="s">
        <v>14583</v>
      </c>
      <c r="C4381" t="s">
        <v>387</v>
      </c>
      <c r="D4381" t="s">
        <v>518</v>
      </c>
      <c r="E4381" t="s">
        <v>11032</v>
      </c>
      <c r="F4381" t="s">
        <v>11004</v>
      </c>
      <c r="G4381" t="s">
        <v>14584</v>
      </c>
      <c r="H4381" t="str">
        <f>HYPERLINK("https://baanknet.com/view-property/254916/47C47A01BF9A78CA59ED64C63129E109F340794FC2D17E1734B148B369E05200", "https://baanknet.com/view-property/254916/47C47A01BF9A78CA59ED64C63129E109F340794FC2D17E1734B148B369E05200")</f>
        <v>https://baanknet.com/view-property/254916/47C47A01BF9A78CA59ED64C63129E109F340794FC2D17E1734B148B369E05200</v>
      </c>
      <c r="I4381" t="str">
        <f>HYPERLINK("https://baanknet.com/view-property/254916/47C47A01BF9A78CA59ED64C63129E109F340794FC2D17E1734B148B369E05200", "Open")</f>
        <v>Open</v>
      </c>
      <c r="J4381" t="s">
        <v>3803</v>
      </c>
      <c r="L4381">
        <v>896000</v>
      </c>
      <c r="M4381">
        <v>89600</v>
      </c>
    </row>
    <row r="4382" spans="1:13" x14ac:dyDescent="0.25">
      <c r="A4382" t="s">
        <v>14585</v>
      </c>
      <c r="B4382" t="s">
        <v>14586</v>
      </c>
      <c r="C4382" t="s">
        <v>387</v>
      </c>
      <c r="D4382" t="s">
        <v>518</v>
      </c>
      <c r="E4382" t="s">
        <v>11032</v>
      </c>
      <c r="F4382" t="s">
        <v>11004</v>
      </c>
      <c r="G4382" t="s">
        <v>14587</v>
      </c>
      <c r="H4382" t="str">
        <f>HYPERLINK("https://baanknet.com/view-property/190553/AB015A30DA188AC41580913C8B3CBFDB1BAC15844B2DA603908670CC4B94B6CC", "https://baanknet.com/view-property/190553/AB015A30DA188AC41580913C8B3CBFDB1BAC15844B2DA603908670CC4B94B6CC")</f>
        <v>https://baanknet.com/view-property/190553/AB015A30DA188AC41580913C8B3CBFDB1BAC15844B2DA603908670CC4B94B6CC</v>
      </c>
      <c r="I4382" t="str">
        <f>HYPERLINK("https://baanknet.com/view-property/190553/AB015A30DA188AC41580913C8B3CBFDB1BAC15844B2DA603908670CC4B94B6CC", "Open")</f>
        <v>Open</v>
      </c>
      <c r="J4382" t="s">
        <v>3803</v>
      </c>
      <c r="L4382">
        <v>1001000</v>
      </c>
      <c r="M4382">
        <v>100100</v>
      </c>
    </row>
    <row r="4383" spans="1:13" x14ac:dyDescent="0.25">
      <c r="A4383" t="s">
        <v>14588</v>
      </c>
      <c r="B4383" t="s">
        <v>14589</v>
      </c>
      <c r="C4383" t="s">
        <v>387</v>
      </c>
      <c r="D4383" t="s">
        <v>5627</v>
      </c>
      <c r="E4383" t="s">
        <v>11032</v>
      </c>
      <c r="F4383" t="s">
        <v>11004</v>
      </c>
      <c r="G4383" t="s">
        <v>14590</v>
      </c>
      <c r="H4383" t="str">
        <f>HYPERLINK("https://baanknet.com/view-property/190551/CFB8149556281B02FDD4385DA45AADD663F6D1EF22BBB23656EAFBB354402DE1", "https://baanknet.com/view-property/190551/CFB8149556281B02FDD4385DA45AADD663F6D1EF22BBB23656EAFBB354402DE1")</f>
        <v>https://baanknet.com/view-property/190551/CFB8149556281B02FDD4385DA45AADD663F6D1EF22BBB23656EAFBB354402DE1</v>
      </c>
      <c r="I4383" t="str">
        <f>HYPERLINK("https://baanknet.com/view-property/190551/CFB8149556281B02FDD4385DA45AADD663F6D1EF22BBB23656EAFBB354402DE1", "Open")</f>
        <v>Open</v>
      </c>
      <c r="J4383" t="s">
        <v>3803</v>
      </c>
      <c r="L4383">
        <v>1105000</v>
      </c>
      <c r="M4383">
        <v>110500</v>
      </c>
    </row>
    <row r="4384" spans="1:13" x14ac:dyDescent="0.25">
      <c r="A4384" t="s">
        <v>14591</v>
      </c>
      <c r="B4384" t="s">
        <v>14592</v>
      </c>
      <c r="C4384" t="s">
        <v>387</v>
      </c>
      <c r="D4384" t="s">
        <v>518</v>
      </c>
      <c r="E4384" t="s">
        <v>11032</v>
      </c>
      <c r="F4384" t="s">
        <v>11004</v>
      </c>
      <c r="G4384" t="s">
        <v>14593</v>
      </c>
      <c r="H4384" t="str">
        <f>HYPERLINK("https://baanknet.com/view-property/190549/EC36A7B93039045E493D9468FA548A94E743107A2BCDE626650C596C201383EF", "https://baanknet.com/view-property/190549/EC36A7B93039045E493D9468FA548A94E743107A2BCDE626650C596C201383EF")</f>
        <v>https://baanknet.com/view-property/190549/EC36A7B93039045E493D9468FA548A94E743107A2BCDE626650C596C201383EF</v>
      </c>
      <c r="I4384" t="str">
        <f>HYPERLINK("https://baanknet.com/view-property/190549/EC36A7B93039045E493D9468FA548A94E743107A2BCDE626650C596C201383EF", "Open")</f>
        <v>Open</v>
      </c>
      <c r="J4384" t="s">
        <v>3803</v>
      </c>
      <c r="L4384">
        <v>1088000</v>
      </c>
      <c r="M4384">
        <v>108800</v>
      </c>
    </row>
    <row r="4385" spans="1:13" x14ac:dyDescent="0.25">
      <c r="A4385" t="s">
        <v>14594</v>
      </c>
      <c r="B4385" t="s">
        <v>14595</v>
      </c>
      <c r="C4385" t="s">
        <v>387</v>
      </c>
      <c r="D4385" t="s">
        <v>4085</v>
      </c>
      <c r="E4385" t="s">
        <v>11032</v>
      </c>
      <c r="F4385" t="s">
        <v>11004</v>
      </c>
      <c r="G4385" t="s">
        <v>14596</v>
      </c>
      <c r="H4385" t="str">
        <f>HYPERLINK("https://baanknet.com/view-property/216297/C8D8CC8C434E5170AEE7EF12DA7AAAE85252CADD848AF480059EDDA1E67E456F", "https://baanknet.com/view-property/216297/C8D8CC8C434E5170AEE7EF12DA7AAAE85252CADD848AF480059EDDA1E67E456F")</f>
        <v>https://baanknet.com/view-property/216297/C8D8CC8C434E5170AEE7EF12DA7AAAE85252CADD848AF480059EDDA1E67E456F</v>
      </c>
      <c r="I4385" t="str">
        <f>HYPERLINK("https://baanknet.com/view-property/216297/C8D8CC8C434E5170AEE7EF12DA7AAAE85252CADD848AF480059EDDA1E67E456F", "Open")</f>
        <v>Open</v>
      </c>
      <c r="J4385" t="s">
        <v>3803</v>
      </c>
      <c r="L4385">
        <v>606000</v>
      </c>
      <c r="M4385">
        <v>60600</v>
      </c>
    </row>
    <row r="4386" spans="1:13" x14ac:dyDescent="0.25">
      <c r="A4386" t="s">
        <v>14597</v>
      </c>
      <c r="B4386" t="s">
        <v>14598</v>
      </c>
      <c r="C4386" t="s">
        <v>387</v>
      </c>
      <c r="D4386" t="s">
        <v>4085</v>
      </c>
      <c r="E4386" t="s">
        <v>11032</v>
      </c>
      <c r="F4386" t="s">
        <v>11004</v>
      </c>
      <c r="G4386" t="s">
        <v>14599</v>
      </c>
      <c r="H4386" t="str">
        <f>HYPERLINK("https://baanknet.com/view-property/171898/889EAB29B3A36CD938D87F2F6446B7BBED387CCE47559E66ABD7A11D4DD5ACFB", "https://baanknet.com/view-property/171898/889EAB29B3A36CD938D87F2F6446B7BBED387CCE47559E66ABD7A11D4DD5ACFB")</f>
        <v>https://baanknet.com/view-property/171898/889EAB29B3A36CD938D87F2F6446B7BBED387CCE47559E66ABD7A11D4DD5ACFB</v>
      </c>
      <c r="I4386" t="str">
        <f>HYPERLINK("https://baanknet.com/view-property/171898/889EAB29B3A36CD938D87F2F6446B7BBED387CCE47559E66ABD7A11D4DD5ACFB", "Open")</f>
        <v>Open</v>
      </c>
      <c r="J4386" t="s">
        <v>3803</v>
      </c>
      <c r="L4386">
        <v>750000</v>
      </c>
      <c r="M4386">
        <v>75000</v>
      </c>
    </row>
    <row r="4387" spans="1:13" x14ac:dyDescent="0.25">
      <c r="A4387" t="s">
        <v>14600</v>
      </c>
      <c r="B4387" t="s">
        <v>14601</v>
      </c>
      <c r="C4387" t="s">
        <v>387</v>
      </c>
      <c r="D4387" t="s">
        <v>572</v>
      </c>
      <c r="E4387" t="s">
        <v>11032</v>
      </c>
      <c r="F4387" t="s">
        <v>11004</v>
      </c>
      <c r="G4387" t="s">
        <v>14602</v>
      </c>
      <c r="H4387" t="str">
        <f>HYPERLINK("https://baanknet.com/view-property/190564/D85F1D79A040972F19124DF9DAF0402F915E50358931192390860DA9E70A2939", "https://baanknet.com/view-property/190564/D85F1D79A040972F19124DF9DAF0402F915E50358931192390860DA9E70A2939")</f>
        <v>https://baanknet.com/view-property/190564/D85F1D79A040972F19124DF9DAF0402F915E50358931192390860DA9E70A2939</v>
      </c>
      <c r="I4387" t="str">
        <f>HYPERLINK("https://baanknet.com/view-property/190564/D85F1D79A040972F19124DF9DAF0402F915E50358931192390860DA9E70A2939", "Open")</f>
        <v>Open</v>
      </c>
      <c r="J4387" t="s">
        <v>3803</v>
      </c>
      <c r="L4387">
        <v>1265000</v>
      </c>
      <c r="M4387">
        <v>126500</v>
      </c>
    </row>
    <row r="4388" spans="1:13" x14ac:dyDescent="0.25">
      <c r="A4388" t="s">
        <v>14603</v>
      </c>
      <c r="B4388" t="s">
        <v>14604</v>
      </c>
      <c r="C4388" t="s">
        <v>387</v>
      </c>
      <c r="D4388" t="s">
        <v>518</v>
      </c>
      <c r="E4388" t="s">
        <v>11032</v>
      </c>
      <c r="F4388" t="s">
        <v>11004</v>
      </c>
      <c r="G4388" t="s">
        <v>14605</v>
      </c>
      <c r="H4388" t="str">
        <f>HYPERLINK("https://baanknet.com/view-property/216464/B723BF59135E53451544CFD1F246B8B473700B6CDDCD32432F7404B5E61BF65C", "https://baanknet.com/view-property/216464/B723BF59135E53451544CFD1F246B8B473700B6CDDCD32432F7404B5E61BF65C")</f>
        <v>https://baanknet.com/view-property/216464/B723BF59135E53451544CFD1F246B8B473700B6CDDCD32432F7404B5E61BF65C</v>
      </c>
      <c r="I4388" t="str">
        <f>HYPERLINK("https://baanknet.com/view-property/216464/B723BF59135E53451544CFD1F246B8B473700B6CDDCD32432F7404B5E61BF65C", "Open")</f>
        <v>Open</v>
      </c>
      <c r="J4388" t="s">
        <v>3803</v>
      </c>
      <c r="L4388">
        <v>1371000</v>
      </c>
      <c r="M4388">
        <v>137100</v>
      </c>
    </row>
    <row r="4389" spans="1:13" x14ac:dyDescent="0.25">
      <c r="A4389" t="s">
        <v>14606</v>
      </c>
      <c r="B4389" t="s">
        <v>14607</v>
      </c>
      <c r="C4389" t="s">
        <v>387</v>
      </c>
      <c r="D4389" t="s">
        <v>518</v>
      </c>
      <c r="E4389" t="s">
        <v>11032</v>
      </c>
      <c r="F4389" t="s">
        <v>11004</v>
      </c>
      <c r="G4389" t="s">
        <v>14608</v>
      </c>
      <c r="H4389" t="str">
        <f>HYPERLINK("https://baanknet.com/view-property/216466/E9413A9EF504397C6A0E54A470F86AD2969A563160A8E4A047882285CD13DD59", "https://baanknet.com/view-property/216466/E9413A9EF504397C6A0E54A470F86AD2969A563160A8E4A047882285CD13DD59")</f>
        <v>https://baanknet.com/view-property/216466/E9413A9EF504397C6A0E54A470F86AD2969A563160A8E4A047882285CD13DD59</v>
      </c>
      <c r="I4389" t="str">
        <f>HYPERLINK("https://baanknet.com/view-property/216466/E9413A9EF504397C6A0E54A470F86AD2969A563160A8E4A047882285CD13DD59", "Open")</f>
        <v>Open</v>
      </c>
      <c r="J4389" t="s">
        <v>3803</v>
      </c>
      <c r="L4389">
        <v>1371000</v>
      </c>
      <c r="M4389">
        <v>137100</v>
      </c>
    </row>
    <row r="4390" spans="1:13" x14ac:dyDescent="0.25">
      <c r="A4390" t="s">
        <v>14609</v>
      </c>
      <c r="B4390" t="s">
        <v>14610</v>
      </c>
      <c r="C4390" t="s">
        <v>387</v>
      </c>
      <c r="D4390" t="s">
        <v>518</v>
      </c>
      <c r="E4390" t="s">
        <v>11032</v>
      </c>
      <c r="F4390" t="s">
        <v>11004</v>
      </c>
      <c r="G4390" t="s">
        <v>14611</v>
      </c>
      <c r="H4390" t="str">
        <f>HYPERLINK("https://baanknet.com/view-property/190138/2C4915AB3792398B2F913406E65729AE97021772C8D335C81C3258AD616A88EC", "https://baanknet.com/view-property/190138/2C4915AB3792398B2F913406E65729AE97021772C8D335C81C3258AD616A88EC")</f>
        <v>https://baanknet.com/view-property/190138/2C4915AB3792398B2F913406E65729AE97021772C8D335C81C3258AD616A88EC</v>
      </c>
      <c r="I4390" t="str">
        <f>HYPERLINK("https://baanknet.com/view-property/190138/2C4915AB3792398B2F913406E65729AE97021772C8D335C81C3258AD616A88EC", "Open")</f>
        <v>Open</v>
      </c>
      <c r="J4390" t="s">
        <v>3803</v>
      </c>
      <c r="L4390">
        <v>720000</v>
      </c>
      <c r="M4390">
        <v>72000</v>
      </c>
    </row>
    <row r="4391" spans="1:13" x14ac:dyDescent="0.25">
      <c r="A4391" t="s">
        <v>14612</v>
      </c>
      <c r="B4391" t="s">
        <v>14613</v>
      </c>
      <c r="C4391" t="s">
        <v>387</v>
      </c>
      <c r="D4391" t="s">
        <v>518</v>
      </c>
      <c r="E4391" t="s">
        <v>11032</v>
      </c>
      <c r="F4391" t="s">
        <v>11004</v>
      </c>
      <c r="G4391" t="s">
        <v>14614</v>
      </c>
      <c r="H4391" t="str">
        <f>HYPERLINK("https://baanknet.com/view-property/172045/19330CE62DA2DA491C706834FBB700CBDB63C770F85D4E671AF8B9DA7766E7C3", "https://baanknet.com/view-property/172045/19330CE62DA2DA491C706834FBB700CBDB63C770F85D4E671AF8B9DA7766E7C3")</f>
        <v>https://baanknet.com/view-property/172045/19330CE62DA2DA491C706834FBB700CBDB63C770F85D4E671AF8B9DA7766E7C3</v>
      </c>
      <c r="I4391" t="str">
        <f>HYPERLINK("https://baanknet.com/view-property/172045/19330CE62DA2DA491C706834FBB700CBDB63C770F85D4E671AF8B9DA7766E7C3", "Open")</f>
        <v>Open</v>
      </c>
      <c r="J4391" t="s">
        <v>3803</v>
      </c>
      <c r="L4391">
        <v>919000</v>
      </c>
      <c r="M4391">
        <v>91900</v>
      </c>
    </row>
    <row r="4392" spans="1:13" x14ac:dyDescent="0.25">
      <c r="A4392" t="s">
        <v>14615</v>
      </c>
      <c r="B4392" t="s">
        <v>14616</v>
      </c>
      <c r="C4392" t="s">
        <v>387</v>
      </c>
      <c r="D4392" t="s">
        <v>5627</v>
      </c>
      <c r="E4392" t="s">
        <v>11032</v>
      </c>
      <c r="F4392" t="s">
        <v>11004</v>
      </c>
      <c r="G4392" t="s">
        <v>14617</v>
      </c>
      <c r="H4392" t="str">
        <f>HYPERLINK("https://baanknet.com/view-property/187286/CFDAFBA5815969B65C769EB3BEB52DB4271217608E12711687186D627B7310CA", "https://baanknet.com/view-property/187286/CFDAFBA5815969B65C769EB3BEB52DB4271217608E12711687186D627B7310CA")</f>
        <v>https://baanknet.com/view-property/187286/CFDAFBA5815969B65C769EB3BEB52DB4271217608E12711687186D627B7310CA</v>
      </c>
      <c r="I4392" t="str">
        <f>HYPERLINK("https://baanknet.com/view-property/187286/CFDAFBA5815969B65C769EB3BEB52DB4271217608E12711687186D627B7310CA", "Open")</f>
        <v>Open</v>
      </c>
      <c r="J4392" t="s">
        <v>3803</v>
      </c>
      <c r="L4392">
        <v>940000</v>
      </c>
      <c r="M4392">
        <v>94000</v>
      </c>
    </row>
    <row r="4393" spans="1:13" x14ac:dyDescent="0.25">
      <c r="A4393" t="s">
        <v>14618</v>
      </c>
      <c r="B4393" t="s">
        <v>14619</v>
      </c>
      <c r="C4393" t="s">
        <v>387</v>
      </c>
      <c r="D4393" t="s">
        <v>5627</v>
      </c>
      <c r="E4393" t="s">
        <v>11032</v>
      </c>
      <c r="F4393" t="s">
        <v>11004</v>
      </c>
      <c r="G4393" t="s">
        <v>14620</v>
      </c>
      <c r="H4393" t="str">
        <f>HYPERLINK("https://baanknet.com/view-property/214890/4363C989F91CEE61196195FB2940944944989EEE862C539A262206A429D438DB", "https://baanknet.com/view-property/214890/4363C989F91CEE61196195FB2940944944989EEE862C539A262206A429D438DB")</f>
        <v>https://baanknet.com/view-property/214890/4363C989F91CEE61196195FB2940944944989EEE862C539A262206A429D438DB</v>
      </c>
      <c r="I4393" t="str">
        <f>HYPERLINK("https://baanknet.com/view-property/214890/4363C989F91CEE61196195FB2940944944989EEE862C539A262206A429D438DB", "Open")</f>
        <v>Open</v>
      </c>
      <c r="J4393" t="s">
        <v>3803</v>
      </c>
      <c r="L4393">
        <v>1247000</v>
      </c>
      <c r="M4393">
        <v>124700</v>
      </c>
    </row>
    <row r="4394" spans="1:13" x14ac:dyDescent="0.25">
      <c r="A4394" t="s">
        <v>14621</v>
      </c>
      <c r="B4394" t="s">
        <v>14622</v>
      </c>
      <c r="C4394" t="s">
        <v>387</v>
      </c>
      <c r="D4394" t="s">
        <v>518</v>
      </c>
      <c r="E4394" t="s">
        <v>11032</v>
      </c>
      <c r="F4394" t="s">
        <v>11004</v>
      </c>
      <c r="G4394" t="s">
        <v>14623</v>
      </c>
      <c r="H4394" t="str">
        <f>HYPERLINK("https://baanknet.com/view-property/216485/62AF4FB6CA59F86DA0978D05B027B1A534A760FB4097803D8872299681C1E7CE", "https://baanknet.com/view-property/216485/62AF4FB6CA59F86DA0978D05B027B1A534A760FB4097803D8872299681C1E7CE")</f>
        <v>https://baanknet.com/view-property/216485/62AF4FB6CA59F86DA0978D05B027B1A534A760FB4097803D8872299681C1E7CE</v>
      </c>
      <c r="I4394" t="str">
        <f>HYPERLINK("https://baanknet.com/view-property/216485/62AF4FB6CA59F86DA0978D05B027B1A534A760FB4097803D8872299681C1E7CE", "Open")</f>
        <v>Open</v>
      </c>
      <c r="J4394" t="s">
        <v>3803</v>
      </c>
      <c r="L4394">
        <v>1067000</v>
      </c>
      <c r="M4394">
        <v>106700</v>
      </c>
    </row>
    <row r="4395" spans="1:13" x14ac:dyDescent="0.25">
      <c r="A4395" t="s">
        <v>14624</v>
      </c>
      <c r="B4395" t="s">
        <v>14625</v>
      </c>
      <c r="C4395" t="s">
        <v>387</v>
      </c>
      <c r="D4395" t="s">
        <v>1083</v>
      </c>
      <c r="E4395" t="s">
        <v>11032</v>
      </c>
      <c r="F4395" t="s">
        <v>11004</v>
      </c>
      <c r="G4395" t="s">
        <v>14626</v>
      </c>
      <c r="H4395" t="str">
        <f>HYPERLINK("https://baanknet.com/view-property/216486/79EB5B0FAC0A8757E565B762ED802B5DCA716F144DD0C18B5C138C4991D20C48", "https://baanknet.com/view-property/216486/79EB5B0FAC0A8757E565B762ED802B5DCA716F144DD0C18B5C138C4991D20C48")</f>
        <v>https://baanknet.com/view-property/216486/79EB5B0FAC0A8757E565B762ED802B5DCA716F144DD0C18B5C138C4991D20C48</v>
      </c>
      <c r="I4395" t="str">
        <f>HYPERLINK("https://baanknet.com/view-property/216486/79EB5B0FAC0A8757E565B762ED802B5DCA716F144DD0C18B5C138C4991D20C48", "Open")</f>
        <v>Open</v>
      </c>
      <c r="J4395" t="s">
        <v>3803</v>
      </c>
      <c r="L4395">
        <v>639000</v>
      </c>
      <c r="M4395">
        <v>63900</v>
      </c>
    </row>
    <row r="4396" spans="1:13" x14ac:dyDescent="0.25">
      <c r="A4396" t="s">
        <v>14627</v>
      </c>
      <c r="B4396" t="s">
        <v>14628</v>
      </c>
      <c r="C4396" t="s">
        <v>387</v>
      </c>
      <c r="D4396" t="s">
        <v>5627</v>
      </c>
      <c r="E4396" t="s">
        <v>11032</v>
      </c>
      <c r="F4396" t="s">
        <v>11004</v>
      </c>
      <c r="G4396" t="s">
        <v>14629</v>
      </c>
      <c r="H4396" t="str">
        <f>HYPERLINK("https://baanknet.com/view-property/215011/716E180ABB4F065B8C84D7C0D2DA1CC02C9D929FF09DA82EF374D72AF20BCF66", "https://baanknet.com/view-property/215011/716E180ABB4F065B8C84D7C0D2DA1CC02C9D929FF09DA82EF374D72AF20BCF66")</f>
        <v>https://baanknet.com/view-property/215011/716E180ABB4F065B8C84D7C0D2DA1CC02C9D929FF09DA82EF374D72AF20BCF66</v>
      </c>
      <c r="I4396" t="str">
        <f>HYPERLINK("https://baanknet.com/view-property/215011/716E180ABB4F065B8C84D7C0D2DA1CC02C9D929FF09DA82EF374D72AF20BCF66", "Open")</f>
        <v>Open</v>
      </c>
      <c r="J4396" t="s">
        <v>3803</v>
      </c>
      <c r="L4396">
        <v>4612000</v>
      </c>
      <c r="M4396">
        <v>461200</v>
      </c>
    </row>
    <row r="4397" spans="1:13" x14ac:dyDescent="0.25">
      <c r="A4397" t="s">
        <v>14630</v>
      </c>
      <c r="B4397" t="s">
        <v>14631</v>
      </c>
      <c r="C4397" t="s">
        <v>387</v>
      </c>
      <c r="D4397" t="s">
        <v>518</v>
      </c>
      <c r="E4397" t="s">
        <v>11032</v>
      </c>
      <c r="F4397" t="s">
        <v>11004</v>
      </c>
      <c r="G4397" t="s">
        <v>14632</v>
      </c>
      <c r="H4397" t="str">
        <f>HYPERLINK("https://baanknet.com/view-property/190554/3D2E35A6DC4F198BDC707437C0EC96E6C48F5D801AEDC60D16DDA04D51B03180", "https://baanknet.com/view-property/190554/3D2E35A6DC4F198BDC707437C0EC96E6C48F5D801AEDC60D16DDA04D51B03180")</f>
        <v>https://baanknet.com/view-property/190554/3D2E35A6DC4F198BDC707437C0EC96E6C48F5D801AEDC60D16DDA04D51B03180</v>
      </c>
      <c r="I4397" t="str">
        <f>HYPERLINK("https://baanknet.com/view-property/190554/3D2E35A6DC4F198BDC707437C0EC96E6C48F5D801AEDC60D16DDA04D51B03180", "Open")</f>
        <v>Open</v>
      </c>
      <c r="J4397" t="s">
        <v>3803</v>
      </c>
      <c r="L4397">
        <v>1147000</v>
      </c>
      <c r="M4397">
        <v>114700</v>
      </c>
    </row>
    <row r="4398" spans="1:13" x14ac:dyDescent="0.25">
      <c r="A4398" t="s">
        <v>14633</v>
      </c>
      <c r="B4398" t="s">
        <v>14634</v>
      </c>
      <c r="C4398" t="s">
        <v>387</v>
      </c>
      <c r="D4398" t="s">
        <v>518</v>
      </c>
      <c r="E4398" t="s">
        <v>11032</v>
      </c>
      <c r="F4398" t="s">
        <v>11004</v>
      </c>
      <c r="G4398" t="s">
        <v>14635</v>
      </c>
      <c r="H4398" t="str">
        <f>HYPERLINK("https://baanknet.com/view-property/259089/53893FE6687C04BDD3B04F13D5548BB649836955BC01B7C6FEADFDBEBB6D438D", "https://baanknet.com/view-property/259089/53893FE6687C04BDD3B04F13D5548BB649836955BC01B7C6FEADFDBEBB6D438D")</f>
        <v>https://baanknet.com/view-property/259089/53893FE6687C04BDD3B04F13D5548BB649836955BC01B7C6FEADFDBEBB6D438D</v>
      </c>
      <c r="I4398" t="str">
        <f>HYPERLINK("https://baanknet.com/view-property/259089/53893FE6687C04BDD3B04F13D5548BB649836955BC01B7C6FEADFDBEBB6D438D", "Open")</f>
        <v>Open</v>
      </c>
      <c r="J4398" t="s">
        <v>3803</v>
      </c>
      <c r="L4398">
        <v>825000</v>
      </c>
      <c r="M4398">
        <v>82500</v>
      </c>
    </row>
    <row r="4399" spans="1:13" x14ac:dyDescent="0.25">
      <c r="A4399" t="s">
        <v>14636</v>
      </c>
      <c r="B4399" t="s">
        <v>14637</v>
      </c>
      <c r="C4399" t="s">
        <v>387</v>
      </c>
      <c r="D4399" t="s">
        <v>518</v>
      </c>
      <c r="E4399" t="s">
        <v>11032</v>
      </c>
      <c r="F4399" t="s">
        <v>11004</v>
      </c>
      <c r="G4399" t="s">
        <v>14638</v>
      </c>
      <c r="H4399" t="str">
        <f>HYPERLINK("https://baanknet.com/view-property/216490/1EC3C41991FC3E0C4166DDBB76D82A7556D3FAF189F96FD808BDCF0F9A185C7C", "https://baanknet.com/view-property/216490/1EC3C41991FC3E0C4166DDBB76D82A7556D3FAF189F96FD808BDCF0F9A185C7C")</f>
        <v>https://baanknet.com/view-property/216490/1EC3C41991FC3E0C4166DDBB76D82A7556D3FAF189F96FD808BDCF0F9A185C7C</v>
      </c>
      <c r="I4399" t="str">
        <f>HYPERLINK("https://baanknet.com/view-property/216490/1EC3C41991FC3E0C4166DDBB76D82A7556D3FAF189F96FD808BDCF0F9A185C7C", "Open")</f>
        <v>Open</v>
      </c>
      <c r="J4399" t="s">
        <v>3803</v>
      </c>
      <c r="L4399">
        <v>923000</v>
      </c>
      <c r="M4399">
        <v>92300</v>
      </c>
    </row>
    <row r="4400" spans="1:13" x14ac:dyDescent="0.25">
      <c r="A4400" t="s">
        <v>14639</v>
      </c>
      <c r="B4400" t="s">
        <v>14640</v>
      </c>
      <c r="C4400" t="s">
        <v>387</v>
      </c>
      <c r="D4400" t="s">
        <v>5627</v>
      </c>
      <c r="E4400" t="s">
        <v>11032</v>
      </c>
      <c r="F4400" t="s">
        <v>11004</v>
      </c>
      <c r="G4400" t="s">
        <v>14641</v>
      </c>
      <c r="H4400" t="str">
        <f>HYPERLINK("https://baanknet.com/view-property/187350/53ECAFBBE9BBFF146B430D0A2704D908EC8CF5BB382E7BA5D60889891741D971", "https://baanknet.com/view-property/187350/53ECAFBBE9BBFF146B430D0A2704D908EC8CF5BB382E7BA5D60889891741D971")</f>
        <v>https://baanknet.com/view-property/187350/53ECAFBBE9BBFF146B430D0A2704D908EC8CF5BB382E7BA5D60889891741D971</v>
      </c>
      <c r="I4400" t="str">
        <f>HYPERLINK("https://baanknet.com/view-property/187350/53ECAFBBE9BBFF146B430D0A2704D908EC8CF5BB382E7BA5D60889891741D971", "Open")</f>
        <v>Open</v>
      </c>
      <c r="J4400" t="s">
        <v>3803</v>
      </c>
      <c r="L4400">
        <v>858000</v>
      </c>
      <c r="M4400">
        <v>85800</v>
      </c>
    </row>
    <row r="4401" spans="1:13" x14ac:dyDescent="0.25">
      <c r="A4401" t="s">
        <v>14642</v>
      </c>
      <c r="B4401" t="s">
        <v>14643</v>
      </c>
      <c r="C4401" t="s">
        <v>387</v>
      </c>
      <c r="D4401" t="s">
        <v>1070</v>
      </c>
      <c r="E4401" t="s">
        <v>11032</v>
      </c>
      <c r="F4401" t="s">
        <v>11004</v>
      </c>
      <c r="G4401" t="s">
        <v>14644</v>
      </c>
      <c r="H4401" t="str">
        <f>HYPERLINK("https://baanknet.com/view-property/214868/E484198EC5238F5AD302415B0271A77D364A7F20F51AE8DFF35E43AFCD163709", "https://baanknet.com/view-property/214868/E484198EC5238F5AD302415B0271A77D364A7F20F51AE8DFF35E43AFCD163709")</f>
        <v>https://baanknet.com/view-property/214868/E484198EC5238F5AD302415B0271A77D364A7F20F51AE8DFF35E43AFCD163709</v>
      </c>
      <c r="I4401" t="str">
        <f>HYPERLINK("https://baanknet.com/view-property/214868/E484198EC5238F5AD302415B0271A77D364A7F20F51AE8DFF35E43AFCD163709", "Open")</f>
        <v>Open</v>
      </c>
      <c r="J4401" t="s">
        <v>3803</v>
      </c>
      <c r="L4401">
        <v>1093000</v>
      </c>
      <c r="M4401">
        <v>109300</v>
      </c>
    </row>
    <row r="4402" spans="1:13" x14ac:dyDescent="0.25">
      <c r="A4402" t="s">
        <v>14645</v>
      </c>
      <c r="B4402" t="s">
        <v>14646</v>
      </c>
      <c r="C4402" t="s">
        <v>387</v>
      </c>
      <c r="D4402" t="s">
        <v>572</v>
      </c>
      <c r="E4402" t="s">
        <v>11032</v>
      </c>
      <c r="F4402" t="s">
        <v>11004</v>
      </c>
      <c r="G4402" t="s">
        <v>14647</v>
      </c>
      <c r="H4402" t="str">
        <f>HYPERLINK("https://baanknet.com/view-property/187348/F0F6D03DD9CA55B1FCF52008094AD7E38F9BE72A7EF9913D110F9BF1AE2DE79B", "https://baanknet.com/view-property/187348/F0F6D03DD9CA55B1FCF52008094AD7E38F9BE72A7EF9913D110F9BF1AE2DE79B")</f>
        <v>https://baanknet.com/view-property/187348/F0F6D03DD9CA55B1FCF52008094AD7E38F9BE72A7EF9913D110F9BF1AE2DE79B</v>
      </c>
      <c r="I4402" t="str">
        <f>HYPERLINK("https://baanknet.com/view-property/187348/F0F6D03DD9CA55B1FCF52008094AD7E38F9BE72A7EF9913D110F9BF1AE2DE79B", "Open")</f>
        <v>Open</v>
      </c>
      <c r="J4402" t="s">
        <v>3803</v>
      </c>
      <c r="L4402">
        <v>795000</v>
      </c>
      <c r="M4402">
        <v>79500</v>
      </c>
    </row>
    <row r="4403" spans="1:13" x14ac:dyDescent="0.25">
      <c r="A4403" t="s">
        <v>14648</v>
      </c>
      <c r="B4403" t="s">
        <v>14649</v>
      </c>
      <c r="C4403" t="s">
        <v>387</v>
      </c>
      <c r="D4403" t="s">
        <v>5627</v>
      </c>
      <c r="E4403" t="s">
        <v>11032</v>
      </c>
      <c r="F4403" t="s">
        <v>11004</v>
      </c>
      <c r="G4403" t="s">
        <v>14650</v>
      </c>
      <c r="H4403" t="str">
        <f>HYPERLINK("https://baanknet.com/view-property/216453/6EB5B3B13AC182D47ADDF1BCDCD3F76438646D6EBD1EB9851BEDDE28F20FD308", "https://baanknet.com/view-property/216453/6EB5B3B13AC182D47ADDF1BCDCD3F76438646D6EBD1EB9851BEDDE28F20FD308")</f>
        <v>https://baanknet.com/view-property/216453/6EB5B3B13AC182D47ADDF1BCDCD3F76438646D6EBD1EB9851BEDDE28F20FD308</v>
      </c>
      <c r="I4403" t="str">
        <f>HYPERLINK("https://baanknet.com/view-property/216453/6EB5B3B13AC182D47ADDF1BCDCD3F76438646D6EBD1EB9851BEDDE28F20FD308", "Open")</f>
        <v>Open</v>
      </c>
      <c r="J4403" t="s">
        <v>3803</v>
      </c>
      <c r="L4403">
        <v>687000</v>
      </c>
      <c r="M4403">
        <v>68700</v>
      </c>
    </row>
    <row r="4404" spans="1:13" x14ac:dyDescent="0.25">
      <c r="A4404" t="s">
        <v>14651</v>
      </c>
      <c r="B4404" t="s">
        <v>14652</v>
      </c>
      <c r="C4404" t="s">
        <v>387</v>
      </c>
      <c r="D4404" t="s">
        <v>4085</v>
      </c>
      <c r="E4404" t="s">
        <v>11032</v>
      </c>
      <c r="F4404" t="s">
        <v>11004</v>
      </c>
      <c r="G4404" t="s">
        <v>14653</v>
      </c>
      <c r="H4404" t="str">
        <f>HYPERLINK("https://baanknet.com/view-property/187147/0A464F86C28B03D905AA784E8D388FAE15D3B903071A979DD97FA559D5569F21", "https://baanknet.com/view-property/187147/0A464F86C28B03D905AA784E8D388FAE15D3B903071A979DD97FA559D5569F21")</f>
        <v>https://baanknet.com/view-property/187147/0A464F86C28B03D905AA784E8D388FAE15D3B903071A979DD97FA559D5569F21</v>
      </c>
      <c r="I4404" t="str">
        <f>HYPERLINK("https://baanknet.com/view-property/187147/0A464F86C28B03D905AA784E8D388FAE15D3B903071A979DD97FA559D5569F21", "Open")</f>
        <v>Open</v>
      </c>
      <c r="J4404" t="s">
        <v>3803</v>
      </c>
      <c r="L4404">
        <v>737000</v>
      </c>
      <c r="M4404">
        <v>73700</v>
      </c>
    </row>
    <row r="4405" spans="1:13" x14ac:dyDescent="0.25">
      <c r="A4405" t="s">
        <v>14654</v>
      </c>
      <c r="B4405" t="s">
        <v>14655</v>
      </c>
      <c r="C4405" t="s">
        <v>387</v>
      </c>
      <c r="D4405" t="s">
        <v>5627</v>
      </c>
      <c r="E4405" t="s">
        <v>11032</v>
      </c>
      <c r="F4405" t="s">
        <v>11004</v>
      </c>
      <c r="G4405" t="s">
        <v>14656</v>
      </c>
      <c r="H4405" t="str">
        <f>HYPERLINK("https://baanknet.com/view-property/187310/B0E3DE23D0CB2F21861D59055BCC0CD2291D54EBF5B6C76BAECE56DE8180A42D", "https://baanknet.com/view-property/187310/B0E3DE23D0CB2F21861D59055BCC0CD2291D54EBF5B6C76BAECE56DE8180A42D")</f>
        <v>https://baanknet.com/view-property/187310/B0E3DE23D0CB2F21861D59055BCC0CD2291D54EBF5B6C76BAECE56DE8180A42D</v>
      </c>
      <c r="I4405" t="str">
        <f>HYPERLINK("https://baanknet.com/view-property/187310/B0E3DE23D0CB2F21861D59055BCC0CD2291D54EBF5B6C76BAECE56DE8180A42D", "Open")</f>
        <v>Open</v>
      </c>
      <c r="J4405" t="s">
        <v>3803</v>
      </c>
      <c r="L4405">
        <v>878000</v>
      </c>
      <c r="M4405">
        <v>87800</v>
      </c>
    </row>
    <row r="4406" spans="1:13" x14ac:dyDescent="0.25">
      <c r="A4406" t="s">
        <v>14657</v>
      </c>
      <c r="B4406" t="s">
        <v>14658</v>
      </c>
      <c r="C4406" t="s">
        <v>387</v>
      </c>
      <c r="D4406" t="s">
        <v>3032</v>
      </c>
      <c r="E4406" t="s">
        <v>11032</v>
      </c>
      <c r="F4406" t="s">
        <v>11004</v>
      </c>
      <c r="G4406" t="s">
        <v>14659</v>
      </c>
      <c r="H4406" t="str">
        <f>HYPERLINK("https://baanknet.com/view-property/252752/2B471099E02C3D0C4739D5B122CF6FD6C834CAEAEA9DF57EB3E13879D43D6445", "https://baanknet.com/view-property/252752/2B471099E02C3D0C4739D5B122CF6FD6C834CAEAEA9DF57EB3E13879D43D6445")</f>
        <v>https://baanknet.com/view-property/252752/2B471099E02C3D0C4739D5B122CF6FD6C834CAEAEA9DF57EB3E13879D43D6445</v>
      </c>
      <c r="I4406" t="str">
        <f>HYPERLINK("https://baanknet.com/view-property/252752/2B471099E02C3D0C4739D5B122CF6FD6C834CAEAEA9DF57EB3E13879D43D6445", "Open")</f>
        <v>Open</v>
      </c>
      <c r="J4406" t="s">
        <v>3803</v>
      </c>
      <c r="L4406">
        <v>1150000</v>
      </c>
      <c r="M4406">
        <v>115000</v>
      </c>
    </row>
    <row r="4407" spans="1:13" x14ac:dyDescent="0.25">
      <c r="A4407" t="s">
        <v>14660</v>
      </c>
      <c r="B4407" t="s">
        <v>14661</v>
      </c>
      <c r="C4407" t="s">
        <v>387</v>
      </c>
      <c r="D4407" t="s">
        <v>3032</v>
      </c>
      <c r="E4407" t="s">
        <v>11032</v>
      </c>
      <c r="F4407" t="s">
        <v>11004</v>
      </c>
      <c r="G4407" t="s">
        <v>14662</v>
      </c>
      <c r="H4407" t="str">
        <f>HYPERLINK("https://baanknet.com/view-property/248899/D720837E274844F86E5338286ACA40AAE4876B58459BBE7A0796B736683A1C9E", "https://baanknet.com/view-property/248899/D720837E274844F86E5338286ACA40AAE4876B58459BBE7A0796B736683A1C9E")</f>
        <v>https://baanknet.com/view-property/248899/D720837E274844F86E5338286ACA40AAE4876B58459BBE7A0796B736683A1C9E</v>
      </c>
      <c r="I4407" t="str">
        <f>HYPERLINK("https://baanknet.com/view-property/248899/D720837E274844F86E5338286ACA40AAE4876B58459BBE7A0796B736683A1C9E", "Open")</f>
        <v>Open</v>
      </c>
      <c r="J4407" t="s">
        <v>3803</v>
      </c>
      <c r="L4407">
        <v>1910000</v>
      </c>
      <c r="M4407">
        <v>191000</v>
      </c>
    </row>
    <row r="4408" spans="1:13" x14ac:dyDescent="0.25">
      <c r="A4408" t="s">
        <v>14663</v>
      </c>
      <c r="B4408" t="s">
        <v>14664</v>
      </c>
      <c r="C4408" t="s">
        <v>387</v>
      </c>
      <c r="D4408" t="s">
        <v>3032</v>
      </c>
      <c r="E4408" t="s">
        <v>11032</v>
      </c>
      <c r="F4408" t="s">
        <v>11004</v>
      </c>
      <c r="G4408" t="s">
        <v>14665</v>
      </c>
      <c r="H4408" t="str">
        <f>HYPERLINK("https://baanknet.com/view-property/187543/33A8BA6AB6AFF58A0FDD651DFB91EAE5A6B6505F273115A93C0675BD1FF0C427", "https://baanknet.com/view-property/187543/33A8BA6AB6AFF58A0FDD651DFB91EAE5A6B6505F273115A93C0675BD1FF0C427")</f>
        <v>https://baanknet.com/view-property/187543/33A8BA6AB6AFF58A0FDD651DFB91EAE5A6B6505F273115A93C0675BD1FF0C427</v>
      </c>
      <c r="I4408" t="str">
        <f>HYPERLINK("https://baanknet.com/view-property/187543/33A8BA6AB6AFF58A0FDD651DFB91EAE5A6B6505F273115A93C0675BD1FF0C427", "Open")</f>
        <v>Open</v>
      </c>
      <c r="J4408" t="s">
        <v>3803</v>
      </c>
      <c r="L4408">
        <v>920000</v>
      </c>
      <c r="M4408">
        <v>92000</v>
      </c>
    </row>
    <row r="4409" spans="1:13" x14ac:dyDescent="0.25">
      <c r="A4409" t="s">
        <v>14666</v>
      </c>
      <c r="B4409" t="s">
        <v>14667</v>
      </c>
      <c r="C4409" t="s">
        <v>387</v>
      </c>
      <c r="D4409" t="s">
        <v>14668</v>
      </c>
      <c r="E4409" t="s">
        <v>11032</v>
      </c>
      <c r="F4409" t="s">
        <v>11004</v>
      </c>
      <c r="G4409" t="s">
        <v>14669</v>
      </c>
      <c r="H4409" t="str">
        <f>HYPERLINK("https://baanknet.com/view-property/270037/E6BFD037982449AD613C9B2B99A79CEF7B4E8FF41D6CEA5880511C12794393FE", "https://baanknet.com/view-property/270037/E6BFD037982449AD613C9B2B99A79CEF7B4E8FF41D6CEA5880511C12794393FE")</f>
        <v>https://baanknet.com/view-property/270037/E6BFD037982449AD613C9B2B99A79CEF7B4E8FF41D6CEA5880511C12794393FE</v>
      </c>
      <c r="I4409" t="str">
        <f>HYPERLINK("https://baanknet.com/view-property/270037/E6BFD037982449AD613C9B2B99A79CEF7B4E8FF41D6CEA5880511C12794393FE", "Open")</f>
        <v>Open</v>
      </c>
      <c r="J4409" t="s">
        <v>3803</v>
      </c>
      <c r="L4409">
        <v>1100000</v>
      </c>
      <c r="M4409">
        <v>110000</v>
      </c>
    </row>
    <row r="4410" spans="1:13" x14ac:dyDescent="0.25">
      <c r="A4410" t="s">
        <v>14670</v>
      </c>
      <c r="B4410" t="s">
        <v>14671</v>
      </c>
      <c r="C4410" t="s">
        <v>387</v>
      </c>
      <c r="D4410" t="s">
        <v>3032</v>
      </c>
      <c r="E4410" t="s">
        <v>11032</v>
      </c>
      <c r="F4410" t="s">
        <v>11004</v>
      </c>
      <c r="G4410" t="s">
        <v>14672</v>
      </c>
      <c r="H4410" t="str">
        <f>HYPERLINK("https://baanknet.com/view-property/270034/16FD2236401CD01BC7E29708E8AE38B0FDE80C5935E738177CCBD285B993FB72", "https://baanknet.com/view-property/270034/16FD2236401CD01BC7E29708E8AE38B0FDE80C5935E738177CCBD285B993FB72")</f>
        <v>https://baanknet.com/view-property/270034/16FD2236401CD01BC7E29708E8AE38B0FDE80C5935E738177CCBD285B993FB72</v>
      </c>
      <c r="I4410" t="str">
        <f>HYPERLINK("https://baanknet.com/view-property/270034/16FD2236401CD01BC7E29708E8AE38B0FDE80C5935E738177CCBD285B993FB72", "Open")</f>
        <v>Open</v>
      </c>
      <c r="J4410" t="s">
        <v>3803</v>
      </c>
      <c r="L4410">
        <v>1100000</v>
      </c>
      <c r="M4410">
        <v>110000</v>
      </c>
    </row>
    <row r="4411" spans="1:13" x14ac:dyDescent="0.25">
      <c r="A4411" t="s">
        <v>14673</v>
      </c>
      <c r="B4411" t="s">
        <v>14674</v>
      </c>
      <c r="C4411" t="s">
        <v>387</v>
      </c>
      <c r="D4411" t="s">
        <v>14675</v>
      </c>
      <c r="E4411" t="s">
        <v>11032</v>
      </c>
      <c r="F4411" t="s">
        <v>11004</v>
      </c>
      <c r="G4411" t="s">
        <v>14676</v>
      </c>
      <c r="H4411" t="str">
        <f>HYPERLINK("https://baanknet.com/view-property/252746/3EED7B23E17275E2D786D75DAD1994D8A447DE80018A31B681968100E2A15363", "https://baanknet.com/view-property/252746/3EED7B23E17275E2D786D75DAD1994D8A447DE80018A31B681968100E2A15363")</f>
        <v>https://baanknet.com/view-property/252746/3EED7B23E17275E2D786D75DAD1994D8A447DE80018A31B681968100E2A15363</v>
      </c>
      <c r="I4411" t="str">
        <f>HYPERLINK("https://baanknet.com/view-property/252746/3EED7B23E17275E2D786D75DAD1994D8A447DE80018A31B681968100E2A15363", "Open")</f>
        <v>Open</v>
      </c>
      <c r="J4411" t="s">
        <v>3803</v>
      </c>
      <c r="L4411">
        <v>220000</v>
      </c>
      <c r="M4411">
        <v>22000</v>
      </c>
    </row>
    <row r="4412" spans="1:13" x14ac:dyDescent="0.25">
      <c r="A4412" t="s">
        <v>14677</v>
      </c>
      <c r="B4412" t="s">
        <v>14678</v>
      </c>
      <c r="C4412" t="s">
        <v>387</v>
      </c>
      <c r="D4412" t="s">
        <v>14675</v>
      </c>
      <c r="E4412" t="s">
        <v>11032</v>
      </c>
      <c r="F4412" t="s">
        <v>11004</v>
      </c>
      <c r="G4412" t="s">
        <v>14679</v>
      </c>
      <c r="H4412" t="str">
        <f>HYPERLINK("https://baanknet.com/view-property/252740/25C1F6FBFA0DC032479ECF6687810A1AA21AD485B7459505D8D0A6F28E644172", "https://baanknet.com/view-property/252740/25C1F6FBFA0DC032479ECF6687810A1AA21AD485B7459505D8D0A6F28E644172")</f>
        <v>https://baanknet.com/view-property/252740/25C1F6FBFA0DC032479ECF6687810A1AA21AD485B7459505D8D0A6F28E644172</v>
      </c>
      <c r="I4412" t="str">
        <f>HYPERLINK("https://baanknet.com/view-property/252740/25C1F6FBFA0DC032479ECF6687810A1AA21AD485B7459505D8D0A6F28E644172", "Open")</f>
        <v>Open</v>
      </c>
      <c r="J4412" t="s">
        <v>3803</v>
      </c>
      <c r="L4412">
        <v>2600000</v>
      </c>
      <c r="M4412">
        <v>260000</v>
      </c>
    </row>
    <row r="4413" spans="1:13" x14ac:dyDescent="0.25">
      <c r="A4413" t="s">
        <v>14680</v>
      </c>
      <c r="B4413" t="s">
        <v>14681</v>
      </c>
      <c r="C4413" t="s">
        <v>387</v>
      </c>
      <c r="D4413" t="s">
        <v>2824</v>
      </c>
      <c r="E4413" t="s">
        <v>11032</v>
      </c>
      <c r="F4413" t="s">
        <v>11004</v>
      </c>
      <c r="G4413" t="s">
        <v>14682</v>
      </c>
      <c r="H4413" t="str">
        <f>HYPERLINK("https://baanknet.com/view-property/252779/6370EC67488496DB9A57A709296FD140D9BFB55E1C6D96341B3F69B03FB0DA54", "https://baanknet.com/view-property/252779/6370EC67488496DB9A57A709296FD140D9BFB55E1C6D96341B3F69B03FB0DA54")</f>
        <v>https://baanknet.com/view-property/252779/6370EC67488496DB9A57A709296FD140D9BFB55E1C6D96341B3F69B03FB0DA54</v>
      </c>
      <c r="I4413" t="str">
        <f>HYPERLINK("https://baanknet.com/view-property/252779/6370EC67488496DB9A57A709296FD140D9BFB55E1C6D96341B3F69B03FB0DA54", "Open")</f>
        <v>Open</v>
      </c>
      <c r="J4413" t="s">
        <v>3803</v>
      </c>
      <c r="L4413">
        <v>1150000</v>
      </c>
      <c r="M4413">
        <v>115000</v>
      </c>
    </row>
    <row r="4414" spans="1:13" x14ac:dyDescent="0.25">
      <c r="A4414" t="s">
        <v>14683</v>
      </c>
      <c r="B4414" t="s">
        <v>14684</v>
      </c>
      <c r="C4414" t="s">
        <v>387</v>
      </c>
      <c r="D4414" t="s">
        <v>2824</v>
      </c>
      <c r="E4414" t="s">
        <v>11032</v>
      </c>
      <c r="F4414" t="s">
        <v>11004</v>
      </c>
      <c r="G4414" t="s">
        <v>14685</v>
      </c>
      <c r="H4414" t="str">
        <f>HYPERLINK("https://baanknet.com/view-property/252768/2C0725773CCEFF2C57BA19D8DF2B264E940793C44F92DD66F7ECACAEA9A9F520", "https://baanknet.com/view-property/252768/2C0725773CCEFF2C57BA19D8DF2B264E940793C44F92DD66F7ECACAEA9A9F520")</f>
        <v>https://baanknet.com/view-property/252768/2C0725773CCEFF2C57BA19D8DF2B264E940793C44F92DD66F7ECACAEA9A9F520</v>
      </c>
      <c r="I4414" t="str">
        <f>HYPERLINK("https://baanknet.com/view-property/252768/2C0725773CCEFF2C57BA19D8DF2B264E940793C44F92DD66F7ECACAEA9A9F520", "Open")</f>
        <v>Open</v>
      </c>
      <c r="J4414" t="s">
        <v>3803</v>
      </c>
      <c r="L4414">
        <v>1150000</v>
      </c>
      <c r="M4414">
        <v>115000</v>
      </c>
    </row>
    <row r="4415" spans="1:13" x14ac:dyDescent="0.25">
      <c r="A4415" t="s">
        <v>14686</v>
      </c>
      <c r="B4415" t="s">
        <v>14687</v>
      </c>
      <c r="C4415" t="s">
        <v>387</v>
      </c>
      <c r="D4415" t="s">
        <v>7740</v>
      </c>
      <c r="E4415" t="s">
        <v>11032</v>
      </c>
      <c r="F4415" t="s">
        <v>11004</v>
      </c>
      <c r="G4415" t="s">
        <v>14688</v>
      </c>
      <c r="H4415" t="str">
        <f>HYPERLINK("https://baanknet.com/view-property/247590/8DE7DE04A83F17726A8AD4E644FBEC1FC4395C673F9FA03883A7EBB468E76A88", "https://baanknet.com/view-property/247590/8DE7DE04A83F17726A8AD4E644FBEC1FC4395C673F9FA03883A7EBB468E76A88")</f>
        <v>https://baanknet.com/view-property/247590/8DE7DE04A83F17726A8AD4E644FBEC1FC4395C673F9FA03883A7EBB468E76A88</v>
      </c>
      <c r="I4415" t="str">
        <f>HYPERLINK("https://baanknet.com/view-property/247590/8DE7DE04A83F17726A8AD4E644FBEC1FC4395C673F9FA03883A7EBB468E76A88", "Open")</f>
        <v>Open</v>
      </c>
      <c r="J4415" t="s">
        <v>3803</v>
      </c>
      <c r="L4415">
        <v>1700000</v>
      </c>
      <c r="M4415">
        <v>170000</v>
      </c>
    </row>
    <row r="4416" spans="1:13" x14ac:dyDescent="0.25">
      <c r="A4416" t="s">
        <v>14689</v>
      </c>
      <c r="B4416" t="s">
        <v>14690</v>
      </c>
      <c r="C4416" t="s">
        <v>387</v>
      </c>
      <c r="D4416" t="s">
        <v>2824</v>
      </c>
      <c r="E4416" t="s">
        <v>11032</v>
      </c>
      <c r="F4416" t="s">
        <v>11004</v>
      </c>
      <c r="G4416" t="s">
        <v>14691</v>
      </c>
      <c r="H4416" t="str">
        <f>HYPERLINK("https://baanknet.com/view-property/247640/EDA043F8D8872C51D3DFFA80A3B320EC9FCF4D73C0EF0EBAEAE8BA67057C928A", "https://baanknet.com/view-property/247640/EDA043F8D8872C51D3DFFA80A3B320EC9FCF4D73C0EF0EBAEAE8BA67057C928A")</f>
        <v>https://baanknet.com/view-property/247640/EDA043F8D8872C51D3DFFA80A3B320EC9FCF4D73C0EF0EBAEAE8BA67057C928A</v>
      </c>
      <c r="I4416" t="str">
        <f>HYPERLINK("https://baanknet.com/view-property/247640/EDA043F8D8872C51D3DFFA80A3B320EC9FCF4D73C0EF0EBAEAE8BA67057C928A", "Open")</f>
        <v>Open</v>
      </c>
      <c r="J4416" t="s">
        <v>3803</v>
      </c>
      <c r="L4416">
        <v>1000000</v>
      </c>
      <c r="M4416">
        <v>100000</v>
      </c>
    </row>
    <row r="4417" spans="1:13" x14ac:dyDescent="0.25">
      <c r="A4417" t="s">
        <v>14692</v>
      </c>
      <c r="B4417" t="s">
        <v>14693</v>
      </c>
      <c r="C4417" t="s">
        <v>387</v>
      </c>
      <c r="D4417" t="s">
        <v>2824</v>
      </c>
      <c r="E4417" t="s">
        <v>11032</v>
      </c>
      <c r="F4417" t="s">
        <v>11004</v>
      </c>
      <c r="G4417" t="s">
        <v>14694</v>
      </c>
      <c r="H4417" t="str">
        <f>HYPERLINK("https://baanknet.com/view-property/247652/07A3F943C48CB9101134EF24A9326F7E96F42D4E0E340293FF392D65B8B0DF03", "https://baanknet.com/view-property/247652/07A3F943C48CB9101134EF24A9326F7E96F42D4E0E340293FF392D65B8B0DF03")</f>
        <v>https://baanknet.com/view-property/247652/07A3F943C48CB9101134EF24A9326F7E96F42D4E0E340293FF392D65B8B0DF03</v>
      </c>
      <c r="I4417" t="str">
        <f>HYPERLINK("https://baanknet.com/view-property/247652/07A3F943C48CB9101134EF24A9326F7E96F42D4E0E340293FF392D65B8B0DF03", "Open")</f>
        <v>Open</v>
      </c>
      <c r="J4417" t="s">
        <v>3803</v>
      </c>
      <c r="L4417">
        <v>1000000</v>
      </c>
      <c r="M4417">
        <v>100000</v>
      </c>
    </row>
    <row r="4418" spans="1:13" x14ac:dyDescent="0.25">
      <c r="A4418" t="s">
        <v>14695</v>
      </c>
      <c r="B4418" t="s">
        <v>14696</v>
      </c>
      <c r="C4418" t="s">
        <v>387</v>
      </c>
      <c r="D4418" t="s">
        <v>2824</v>
      </c>
      <c r="E4418" t="s">
        <v>11032</v>
      </c>
      <c r="F4418" t="s">
        <v>11004</v>
      </c>
      <c r="G4418" t="s">
        <v>14697</v>
      </c>
      <c r="H4418" t="str">
        <f>HYPERLINK("https://baanknet.com/view-property/247592/DBCB8850EA2736506DAE7793C99CD05E169EC39A8B133E452AA1A5D1E95F551B", "https://baanknet.com/view-property/247592/DBCB8850EA2736506DAE7793C99CD05E169EC39A8B133E452AA1A5D1E95F551B")</f>
        <v>https://baanknet.com/view-property/247592/DBCB8850EA2736506DAE7793C99CD05E169EC39A8B133E452AA1A5D1E95F551B</v>
      </c>
      <c r="I4418" t="str">
        <f>HYPERLINK("https://baanknet.com/view-property/247592/DBCB8850EA2736506DAE7793C99CD05E169EC39A8B133E452AA1A5D1E95F551B", "Open")</f>
        <v>Open</v>
      </c>
      <c r="J4418" t="s">
        <v>3803</v>
      </c>
      <c r="L4418">
        <v>700000</v>
      </c>
      <c r="M4418">
        <v>70000</v>
      </c>
    </row>
    <row r="4419" spans="1:13" x14ac:dyDescent="0.25">
      <c r="A4419" t="s">
        <v>14698</v>
      </c>
      <c r="B4419" t="s">
        <v>14699</v>
      </c>
      <c r="C4419" t="s">
        <v>387</v>
      </c>
      <c r="D4419" t="s">
        <v>2824</v>
      </c>
      <c r="E4419" t="s">
        <v>11032</v>
      </c>
      <c r="F4419" t="s">
        <v>11004</v>
      </c>
      <c r="G4419" t="s">
        <v>14700</v>
      </c>
      <c r="H4419" t="str">
        <f>HYPERLINK("https://baanknet.com/view-property/187911/225A18FB57D76309A081CA11A4E8128A21EEB886CE4759805C8596A1958845B7", "https://baanknet.com/view-property/187911/225A18FB57D76309A081CA11A4E8128A21EEB886CE4759805C8596A1958845B7")</f>
        <v>https://baanknet.com/view-property/187911/225A18FB57D76309A081CA11A4E8128A21EEB886CE4759805C8596A1958845B7</v>
      </c>
      <c r="I4419" t="str">
        <f>HYPERLINK("https://baanknet.com/view-property/187911/225A18FB57D76309A081CA11A4E8128A21EEB886CE4759805C8596A1958845B7", "Open")</f>
        <v>Open</v>
      </c>
      <c r="J4419" t="s">
        <v>3803</v>
      </c>
      <c r="L4419">
        <v>1800000</v>
      </c>
      <c r="M4419">
        <v>180000</v>
      </c>
    </row>
    <row r="4420" spans="1:13" x14ac:dyDescent="0.25">
      <c r="A4420" t="s">
        <v>14701</v>
      </c>
      <c r="B4420" t="s">
        <v>14702</v>
      </c>
      <c r="C4420" t="s">
        <v>387</v>
      </c>
      <c r="D4420" t="s">
        <v>2824</v>
      </c>
      <c r="E4420" t="s">
        <v>11032</v>
      </c>
      <c r="F4420" t="s">
        <v>11004</v>
      </c>
      <c r="G4420" t="s">
        <v>14703</v>
      </c>
      <c r="H4420" t="str">
        <f>HYPERLINK("https://baanknet.com/view-property/252771/202F2367CDB6EC2645A5130F0778F79AFA0FDE2F818127C8FAF6050B5A1B7532", "https://baanknet.com/view-property/252771/202F2367CDB6EC2645A5130F0778F79AFA0FDE2F818127C8FAF6050B5A1B7532")</f>
        <v>https://baanknet.com/view-property/252771/202F2367CDB6EC2645A5130F0778F79AFA0FDE2F818127C8FAF6050B5A1B7532</v>
      </c>
      <c r="I4420" t="str">
        <f>HYPERLINK("https://baanknet.com/view-property/252771/202F2367CDB6EC2645A5130F0778F79AFA0FDE2F818127C8FAF6050B5A1B7532", "Open")</f>
        <v>Open</v>
      </c>
      <c r="J4420" t="s">
        <v>3803</v>
      </c>
      <c r="L4420">
        <v>900000</v>
      </c>
      <c r="M4420">
        <v>90000</v>
      </c>
    </row>
    <row r="4421" spans="1:13" x14ac:dyDescent="0.25">
      <c r="A4421" t="s">
        <v>14704</v>
      </c>
      <c r="B4421" t="s">
        <v>14705</v>
      </c>
      <c r="C4421" t="s">
        <v>387</v>
      </c>
      <c r="D4421" t="s">
        <v>2824</v>
      </c>
      <c r="E4421" t="s">
        <v>11032</v>
      </c>
      <c r="F4421" t="s">
        <v>11004</v>
      </c>
      <c r="G4421" t="s">
        <v>14706</v>
      </c>
      <c r="H4421" t="str">
        <f>HYPERLINK("https://baanknet.com/view-property/247646/599A12683B6E620997A069AC9606EFE5FE6AB94A9F8EC0BA4F9F6368EC6DE32D", "https://baanknet.com/view-property/247646/599A12683B6E620997A069AC9606EFE5FE6AB94A9F8EC0BA4F9F6368EC6DE32D")</f>
        <v>https://baanknet.com/view-property/247646/599A12683B6E620997A069AC9606EFE5FE6AB94A9F8EC0BA4F9F6368EC6DE32D</v>
      </c>
      <c r="I4421" t="str">
        <f>HYPERLINK("https://baanknet.com/view-property/247646/599A12683B6E620997A069AC9606EFE5FE6AB94A9F8EC0BA4F9F6368EC6DE32D", "Open")</f>
        <v>Open</v>
      </c>
      <c r="J4421" t="s">
        <v>3803</v>
      </c>
      <c r="L4421">
        <v>700000</v>
      </c>
      <c r="M4421">
        <v>70000</v>
      </c>
    </row>
    <row r="4422" spans="1:13" x14ac:dyDescent="0.25">
      <c r="A4422" t="s">
        <v>14707</v>
      </c>
      <c r="B4422" t="s">
        <v>14708</v>
      </c>
      <c r="C4422" t="s">
        <v>387</v>
      </c>
      <c r="D4422" t="s">
        <v>2824</v>
      </c>
      <c r="E4422" t="s">
        <v>11032</v>
      </c>
      <c r="F4422" t="s">
        <v>11004</v>
      </c>
      <c r="G4422" t="s">
        <v>14709</v>
      </c>
      <c r="H4422" t="str">
        <f>HYPERLINK("https://baanknet.com/view-property/247669/7FAE4FB580A74D79AE330C606DCF04C40133C4185B5EDC691EFCBD7001F8E538", "https://baanknet.com/view-property/247669/7FAE4FB580A74D79AE330C606DCF04C40133C4185B5EDC691EFCBD7001F8E538")</f>
        <v>https://baanknet.com/view-property/247669/7FAE4FB580A74D79AE330C606DCF04C40133C4185B5EDC691EFCBD7001F8E538</v>
      </c>
      <c r="I4422" t="str">
        <f>HYPERLINK("https://baanknet.com/view-property/247669/7FAE4FB580A74D79AE330C606DCF04C40133C4185B5EDC691EFCBD7001F8E538", "Open")</f>
        <v>Open</v>
      </c>
      <c r="J4422" t="s">
        <v>3803</v>
      </c>
      <c r="L4422">
        <v>1600000</v>
      </c>
      <c r="M4422">
        <v>160000</v>
      </c>
    </row>
    <row r="4423" spans="1:13" x14ac:dyDescent="0.25">
      <c r="A4423" t="s">
        <v>14710</v>
      </c>
      <c r="B4423" t="s">
        <v>14711</v>
      </c>
      <c r="C4423" t="s">
        <v>387</v>
      </c>
      <c r="D4423" t="s">
        <v>2824</v>
      </c>
      <c r="E4423" t="s">
        <v>11032</v>
      </c>
      <c r="F4423" t="s">
        <v>11004</v>
      </c>
      <c r="G4423" t="s">
        <v>14712</v>
      </c>
      <c r="H4423" t="str">
        <f>HYPERLINK("https://baanknet.com/view-property/254774/F03A423DFEDEB6D07B945E1709F4A906ACF1EE233DDCD3C3C327842459BE1DD9", "https://baanknet.com/view-property/254774/F03A423DFEDEB6D07B945E1709F4A906ACF1EE233DDCD3C3C327842459BE1DD9")</f>
        <v>https://baanknet.com/view-property/254774/F03A423DFEDEB6D07B945E1709F4A906ACF1EE233DDCD3C3C327842459BE1DD9</v>
      </c>
      <c r="I4423" t="str">
        <f>HYPERLINK("https://baanknet.com/view-property/254774/F03A423DFEDEB6D07B945E1709F4A906ACF1EE233DDCD3C3C327842459BE1DD9", "Open")</f>
        <v>Open</v>
      </c>
      <c r="J4423" t="s">
        <v>3803</v>
      </c>
      <c r="L4423">
        <v>650000</v>
      </c>
      <c r="M4423">
        <v>65000</v>
      </c>
    </row>
    <row r="4424" spans="1:13" x14ac:dyDescent="0.25">
      <c r="A4424" t="s">
        <v>14713</v>
      </c>
      <c r="B4424" t="s">
        <v>14714</v>
      </c>
      <c r="C4424" t="s">
        <v>387</v>
      </c>
      <c r="D4424" t="s">
        <v>2824</v>
      </c>
      <c r="E4424" t="s">
        <v>11032</v>
      </c>
      <c r="F4424" t="s">
        <v>11004</v>
      </c>
      <c r="G4424" t="s">
        <v>14715</v>
      </c>
      <c r="H4424" t="str">
        <f>HYPERLINK("https://baanknet.com/view-property/252782/800CE3E182D856EACBA24EB0931DAB30C1B1601BEA406A82A67BC8D7EBCAF713", "https://baanknet.com/view-property/252782/800CE3E182D856EACBA24EB0931DAB30C1B1601BEA406A82A67BC8D7EBCAF713")</f>
        <v>https://baanknet.com/view-property/252782/800CE3E182D856EACBA24EB0931DAB30C1B1601BEA406A82A67BC8D7EBCAF713</v>
      </c>
      <c r="I4424" t="str">
        <f>HYPERLINK("https://baanknet.com/view-property/252782/800CE3E182D856EACBA24EB0931DAB30C1B1601BEA406A82A67BC8D7EBCAF713", "Open")</f>
        <v>Open</v>
      </c>
      <c r="J4424" t="s">
        <v>3803</v>
      </c>
      <c r="L4424">
        <v>700000</v>
      </c>
      <c r="M4424">
        <v>70000</v>
      </c>
    </row>
    <row r="4425" spans="1:13" x14ac:dyDescent="0.25">
      <c r="A4425" t="s">
        <v>14716</v>
      </c>
      <c r="B4425" t="s">
        <v>14717</v>
      </c>
      <c r="C4425" t="s">
        <v>387</v>
      </c>
      <c r="D4425" t="s">
        <v>2824</v>
      </c>
      <c r="E4425" t="s">
        <v>11032</v>
      </c>
      <c r="F4425" t="s">
        <v>11004</v>
      </c>
      <c r="G4425" t="s">
        <v>14718</v>
      </c>
      <c r="H4425" t="str">
        <f>HYPERLINK("https://baanknet.com/view-property/247670/9FC6BD9E81BD0FB1998DCB45225EE4A06B822C86A240492200DD58F7E9682DE3", "https://baanknet.com/view-property/247670/9FC6BD9E81BD0FB1998DCB45225EE4A06B822C86A240492200DD58F7E9682DE3")</f>
        <v>https://baanknet.com/view-property/247670/9FC6BD9E81BD0FB1998DCB45225EE4A06B822C86A240492200DD58F7E9682DE3</v>
      </c>
      <c r="I4425" t="str">
        <f>HYPERLINK("https://baanknet.com/view-property/247670/9FC6BD9E81BD0FB1998DCB45225EE4A06B822C86A240492200DD58F7E9682DE3", "Open")</f>
        <v>Open</v>
      </c>
      <c r="J4425" t="s">
        <v>3803</v>
      </c>
      <c r="L4425">
        <v>1500000</v>
      </c>
      <c r="M4425">
        <v>150000</v>
      </c>
    </row>
    <row r="4426" spans="1:13" x14ac:dyDescent="0.25">
      <c r="A4426" t="s">
        <v>14719</v>
      </c>
      <c r="B4426" t="s">
        <v>14720</v>
      </c>
      <c r="C4426" t="s">
        <v>387</v>
      </c>
      <c r="D4426" t="s">
        <v>2824</v>
      </c>
      <c r="E4426" t="s">
        <v>11032</v>
      </c>
      <c r="F4426" t="s">
        <v>11004</v>
      </c>
      <c r="G4426" t="s">
        <v>14721</v>
      </c>
      <c r="H4426" t="str">
        <f>HYPERLINK("https://baanknet.com/view-property/247657/AC89984E8814ED17A9D13A34D93030B2EC741626F98384844E0E25773145166C", "https://baanknet.com/view-property/247657/AC89984E8814ED17A9D13A34D93030B2EC741626F98384844E0E25773145166C")</f>
        <v>https://baanknet.com/view-property/247657/AC89984E8814ED17A9D13A34D93030B2EC741626F98384844E0E25773145166C</v>
      </c>
      <c r="I4426" t="str">
        <f>HYPERLINK("https://baanknet.com/view-property/247657/AC89984E8814ED17A9D13A34D93030B2EC741626F98384844E0E25773145166C", "Open")</f>
        <v>Open</v>
      </c>
      <c r="J4426" t="s">
        <v>3803</v>
      </c>
      <c r="L4426">
        <v>500000</v>
      </c>
      <c r="M4426">
        <v>50000</v>
      </c>
    </row>
    <row r="4427" spans="1:13" x14ac:dyDescent="0.25">
      <c r="A4427" t="s">
        <v>14722</v>
      </c>
      <c r="B4427" t="s">
        <v>14723</v>
      </c>
      <c r="C4427" t="s">
        <v>387</v>
      </c>
      <c r="D4427" t="s">
        <v>9495</v>
      </c>
      <c r="E4427" t="s">
        <v>11032</v>
      </c>
      <c r="F4427" t="s">
        <v>11004</v>
      </c>
      <c r="G4427" t="s">
        <v>14724</v>
      </c>
      <c r="H4427" t="str">
        <f>HYPERLINK("https://baanknet.com/view-property/269782/8782A7F3243138CFB0EBC94F4EEA0443D67CC97E35571F2B50C583FFE76D178B", "https://baanknet.com/view-property/269782/8782A7F3243138CFB0EBC94F4EEA0443D67CC97E35571F2B50C583FFE76D178B")</f>
        <v>https://baanknet.com/view-property/269782/8782A7F3243138CFB0EBC94F4EEA0443D67CC97E35571F2B50C583FFE76D178B</v>
      </c>
      <c r="I4427" t="str">
        <f>HYPERLINK("https://baanknet.com/view-property/269782/8782A7F3243138CFB0EBC94F4EEA0443D67CC97E35571F2B50C583FFE76D178B", "Open")</f>
        <v>Open</v>
      </c>
      <c r="J4427" t="s">
        <v>3803</v>
      </c>
      <c r="L4427">
        <v>900000</v>
      </c>
      <c r="M4427">
        <v>90000</v>
      </c>
    </row>
    <row r="4428" spans="1:13" x14ac:dyDescent="0.25">
      <c r="A4428" t="s">
        <v>14725</v>
      </c>
      <c r="B4428" t="s">
        <v>14726</v>
      </c>
      <c r="C4428" t="s">
        <v>387</v>
      </c>
      <c r="D4428" t="s">
        <v>14727</v>
      </c>
      <c r="E4428" t="s">
        <v>11032</v>
      </c>
      <c r="F4428" t="s">
        <v>11004</v>
      </c>
      <c r="G4428" t="s">
        <v>14728</v>
      </c>
      <c r="H4428" t="str">
        <f>HYPERLINK("https://baanknet.com/view-property/269795/FEE906E1029718EC551E3C647835FC81732941E24247BA5722504E51A16844A1", "https://baanknet.com/view-property/269795/FEE906E1029718EC551E3C647835FC81732941E24247BA5722504E51A16844A1")</f>
        <v>https://baanknet.com/view-property/269795/FEE906E1029718EC551E3C647835FC81732941E24247BA5722504E51A16844A1</v>
      </c>
      <c r="I4428" t="str">
        <f>HYPERLINK("https://baanknet.com/view-property/269795/FEE906E1029718EC551E3C647835FC81732941E24247BA5722504E51A16844A1", "Open")</f>
        <v>Open</v>
      </c>
      <c r="J4428" t="s">
        <v>3803</v>
      </c>
      <c r="L4428">
        <v>1250000</v>
      </c>
      <c r="M4428">
        <v>125000</v>
      </c>
    </row>
    <row r="4429" spans="1:13" x14ac:dyDescent="0.25">
      <c r="A4429" t="s">
        <v>14729</v>
      </c>
      <c r="B4429" t="s">
        <v>14730</v>
      </c>
      <c r="C4429" t="s">
        <v>387</v>
      </c>
      <c r="D4429" t="s">
        <v>14727</v>
      </c>
      <c r="E4429" t="s">
        <v>11032</v>
      </c>
      <c r="F4429" t="s">
        <v>11004</v>
      </c>
      <c r="G4429" t="s">
        <v>14731</v>
      </c>
      <c r="H4429" t="str">
        <f>HYPERLINK("https://baanknet.com/view-property/269785/14A5B047AAEE1E6F30306FD513DC637B6395D27BAF4EBC1F4D17316E79F2667B", "https://baanknet.com/view-property/269785/14A5B047AAEE1E6F30306FD513DC637B6395D27BAF4EBC1F4D17316E79F2667B")</f>
        <v>https://baanknet.com/view-property/269785/14A5B047AAEE1E6F30306FD513DC637B6395D27BAF4EBC1F4D17316E79F2667B</v>
      </c>
      <c r="I4429" t="str">
        <f>HYPERLINK("https://baanknet.com/view-property/269785/14A5B047AAEE1E6F30306FD513DC637B6395D27BAF4EBC1F4D17316E79F2667B", "Open")</f>
        <v>Open</v>
      </c>
      <c r="J4429" t="s">
        <v>3803</v>
      </c>
      <c r="L4429">
        <v>1250000</v>
      </c>
      <c r="M4429">
        <v>125000</v>
      </c>
    </row>
    <row r="4430" spans="1:13" x14ac:dyDescent="0.25">
      <c r="A4430" t="s">
        <v>14732</v>
      </c>
      <c r="B4430" t="s">
        <v>14733</v>
      </c>
      <c r="C4430" t="s">
        <v>387</v>
      </c>
      <c r="D4430" t="s">
        <v>14727</v>
      </c>
      <c r="E4430" t="s">
        <v>11032</v>
      </c>
      <c r="F4430" t="s">
        <v>11004</v>
      </c>
      <c r="G4430" t="s">
        <v>14734</v>
      </c>
      <c r="H4430" t="str">
        <f>HYPERLINK("https://baanknet.com/view-property/269798/3BC0F12002731FAD6F58B0D7B6B2C5D2B9172C640BC9A3FE25B1500E7C0D1426", "https://baanknet.com/view-property/269798/3BC0F12002731FAD6F58B0D7B6B2C5D2B9172C640BC9A3FE25B1500E7C0D1426")</f>
        <v>https://baanknet.com/view-property/269798/3BC0F12002731FAD6F58B0D7B6B2C5D2B9172C640BC9A3FE25B1500E7C0D1426</v>
      </c>
      <c r="I4430" t="str">
        <f>HYPERLINK("https://baanknet.com/view-property/269798/3BC0F12002731FAD6F58B0D7B6B2C5D2B9172C640BC9A3FE25B1500E7C0D1426", "Open")</f>
        <v>Open</v>
      </c>
      <c r="J4430" t="s">
        <v>3803</v>
      </c>
      <c r="L4430">
        <v>1750000</v>
      </c>
      <c r="M4430">
        <v>175000</v>
      </c>
    </row>
    <row r="4431" spans="1:13" x14ac:dyDescent="0.25">
      <c r="A4431" t="s">
        <v>14735</v>
      </c>
      <c r="B4431" t="s">
        <v>14736</v>
      </c>
      <c r="C4431" t="s">
        <v>387</v>
      </c>
      <c r="D4431" t="s">
        <v>10533</v>
      </c>
      <c r="E4431" t="s">
        <v>11032</v>
      </c>
      <c r="F4431" t="s">
        <v>11004</v>
      </c>
      <c r="G4431" t="s">
        <v>14737</v>
      </c>
      <c r="H4431" t="str">
        <f>HYPERLINK("https://baanknet.com/view-property/187750/38BC0062002E0774BE02B8500C25CA528AF0B9AEB72FA493176D0E5E112B7701", "https://baanknet.com/view-property/187750/38BC0062002E0774BE02B8500C25CA528AF0B9AEB72FA493176D0E5E112B7701")</f>
        <v>https://baanknet.com/view-property/187750/38BC0062002E0774BE02B8500C25CA528AF0B9AEB72FA493176D0E5E112B7701</v>
      </c>
      <c r="I4431" t="str">
        <f>HYPERLINK("https://baanknet.com/view-property/187750/38BC0062002E0774BE02B8500C25CA528AF0B9AEB72FA493176D0E5E112B7701", "Open")</f>
        <v>Open</v>
      </c>
      <c r="J4431" t="s">
        <v>3803</v>
      </c>
      <c r="L4431">
        <v>850000</v>
      </c>
      <c r="M4431">
        <v>85000</v>
      </c>
    </row>
    <row r="4432" spans="1:13" x14ac:dyDescent="0.25">
      <c r="A4432" t="s">
        <v>14738</v>
      </c>
      <c r="B4432" t="s">
        <v>14739</v>
      </c>
      <c r="C4432" t="s">
        <v>387</v>
      </c>
      <c r="D4432" t="s">
        <v>10533</v>
      </c>
      <c r="E4432" t="s">
        <v>11032</v>
      </c>
      <c r="F4432" t="s">
        <v>11004</v>
      </c>
      <c r="G4432" t="s">
        <v>14740</v>
      </c>
      <c r="H4432" t="str">
        <f>HYPERLINK("https://baanknet.com/view-property/187799/6485D0F2F151B04544BA6D830BBB9C4597A5243F6F1356E8D6B60A742EA92770", "https://baanknet.com/view-property/187799/6485D0F2F151B04544BA6D830BBB9C4597A5243F6F1356E8D6B60A742EA92770")</f>
        <v>https://baanknet.com/view-property/187799/6485D0F2F151B04544BA6D830BBB9C4597A5243F6F1356E8D6B60A742EA92770</v>
      </c>
      <c r="I4432" t="str">
        <f>HYPERLINK("https://baanknet.com/view-property/187799/6485D0F2F151B04544BA6D830BBB9C4597A5243F6F1356E8D6B60A742EA92770", "Open")</f>
        <v>Open</v>
      </c>
      <c r="J4432" t="s">
        <v>3803</v>
      </c>
      <c r="L4432">
        <v>1400000</v>
      </c>
      <c r="M4432">
        <v>140000</v>
      </c>
    </row>
    <row r="4433" spans="1:13" x14ac:dyDescent="0.25">
      <c r="A4433" t="s">
        <v>14741</v>
      </c>
      <c r="B4433" t="s">
        <v>14742</v>
      </c>
      <c r="C4433" t="s">
        <v>387</v>
      </c>
      <c r="D4433" t="s">
        <v>10533</v>
      </c>
      <c r="E4433" t="s">
        <v>11032</v>
      </c>
      <c r="F4433" t="s">
        <v>11004</v>
      </c>
      <c r="G4433" t="s">
        <v>14743</v>
      </c>
      <c r="H4433" t="str">
        <f>HYPERLINK("https://baanknet.com/view-property/187745/F36A10AED45AA50FA6E1E6DB63A74676425272FA3DE7327A86EDEF6520E17794", "https://baanknet.com/view-property/187745/F36A10AED45AA50FA6E1E6DB63A74676425272FA3DE7327A86EDEF6520E17794")</f>
        <v>https://baanknet.com/view-property/187745/F36A10AED45AA50FA6E1E6DB63A74676425272FA3DE7327A86EDEF6520E17794</v>
      </c>
      <c r="I4433" t="str">
        <f>HYPERLINK("https://baanknet.com/view-property/187745/F36A10AED45AA50FA6E1E6DB63A74676425272FA3DE7327A86EDEF6520E17794", "Open")</f>
        <v>Open</v>
      </c>
      <c r="J4433" t="s">
        <v>3803</v>
      </c>
      <c r="L4433">
        <v>1300000</v>
      </c>
      <c r="M4433">
        <v>130000</v>
      </c>
    </row>
    <row r="4434" spans="1:13" x14ac:dyDescent="0.25">
      <c r="A4434" t="s">
        <v>14744</v>
      </c>
      <c r="B4434" t="s">
        <v>14745</v>
      </c>
      <c r="C4434" t="s">
        <v>387</v>
      </c>
      <c r="D4434" t="s">
        <v>14746</v>
      </c>
      <c r="E4434" t="s">
        <v>11032</v>
      </c>
      <c r="F4434" t="s">
        <v>11004</v>
      </c>
      <c r="G4434" t="s">
        <v>14747</v>
      </c>
      <c r="H4434" t="str">
        <f>HYPERLINK("https://baanknet.com/view-property/250728/73CC98845C5D17B0DFCC633F4012DA9AB15D48528ADE45696255ECE18C177AB8", "https://baanknet.com/view-property/250728/73CC98845C5D17B0DFCC633F4012DA9AB15D48528ADE45696255ECE18C177AB8")</f>
        <v>https://baanknet.com/view-property/250728/73CC98845C5D17B0DFCC633F4012DA9AB15D48528ADE45696255ECE18C177AB8</v>
      </c>
      <c r="I4434" t="str">
        <f>HYPERLINK("https://baanknet.com/view-property/250728/73CC98845C5D17B0DFCC633F4012DA9AB15D48528ADE45696255ECE18C177AB8", "Open")</f>
        <v>Open</v>
      </c>
      <c r="J4434" t="s">
        <v>3803</v>
      </c>
      <c r="L4434">
        <v>860000</v>
      </c>
      <c r="M4434">
        <v>86000</v>
      </c>
    </row>
    <row r="4435" spans="1:13" x14ac:dyDescent="0.25">
      <c r="A4435" t="s">
        <v>14748</v>
      </c>
      <c r="B4435" t="s">
        <v>14749</v>
      </c>
      <c r="C4435" t="s">
        <v>387</v>
      </c>
      <c r="D4435" t="s">
        <v>14750</v>
      </c>
      <c r="E4435" t="s">
        <v>11032</v>
      </c>
      <c r="F4435" t="s">
        <v>11004</v>
      </c>
      <c r="G4435" t="s">
        <v>14751</v>
      </c>
      <c r="H4435" t="str">
        <f>HYPERLINK("https://baanknet.com/view-property/270040/082718FAFE7A9C3C2902D622137B42A1151253AFC9E3ADF56A72C887E36B5937", "https://baanknet.com/view-property/270040/082718FAFE7A9C3C2902D622137B42A1151253AFC9E3ADF56A72C887E36B5937")</f>
        <v>https://baanknet.com/view-property/270040/082718FAFE7A9C3C2902D622137B42A1151253AFC9E3ADF56A72C887E36B5937</v>
      </c>
      <c r="I4435" t="str">
        <f>HYPERLINK("https://baanknet.com/view-property/270040/082718FAFE7A9C3C2902D622137B42A1151253AFC9E3ADF56A72C887E36B5937", "Open")</f>
        <v>Open</v>
      </c>
      <c r="J4435" t="s">
        <v>3803</v>
      </c>
      <c r="L4435">
        <v>800000</v>
      </c>
      <c r="M4435">
        <v>80000</v>
      </c>
    </row>
    <row r="4436" spans="1:13" x14ac:dyDescent="0.25">
      <c r="A4436" t="s">
        <v>14752</v>
      </c>
      <c r="B4436" t="s">
        <v>14753</v>
      </c>
      <c r="C4436" t="s">
        <v>387</v>
      </c>
      <c r="D4436" t="s">
        <v>14750</v>
      </c>
      <c r="E4436" t="s">
        <v>11032</v>
      </c>
      <c r="F4436" t="s">
        <v>11004</v>
      </c>
      <c r="G4436" t="s">
        <v>14754</v>
      </c>
      <c r="H4436" t="str">
        <f>HYPERLINK("https://baanknet.com/view-property/270042/7FFE45E5101F0902F3CB701A55AEAD7600CADF0E055DF48FAADF2DCEB11FD85E", "https://baanknet.com/view-property/270042/7FFE45E5101F0902F3CB701A55AEAD7600CADF0E055DF48FAADF2DCEB11FD85E")</f>
        <v>https://baanknet.com/view-property/270042/7FFE45E5101F0902F3CB701A55AEAD7600CADF0E055DF48FAADF2DCEB11FD85E</v>
      </c>
      <c r="I4436" t="str">
        <f>HYPERLINK("https://baanknet.com/view-property/270042/7FFE45E5101F0902F3CB701A55AEAD7600CADF0E055DF48FAADF2DCEB11FD85E", "Open")</f>
        <v>Open</v>
      </c>
      <c r="J4436" t="s">
        <v>3803</v>
      </c>
      <c r="L4436">
        <v>600000</v>
      </c>
      <c r="M4436">
        <v>60000</v>
      </c>
    </row>
    <row r="4437" spans="1:13" x14ac:dyDescent="0.25">
      <c r="A4437" t="s">
        <v>14755</v>
      </c>
      <c r="B4437" t="s">
        <v>14756</v>
      </c>
      <c r="C4437" t="s">
        <v>387</v>
      </c>
      <c r="D4437" t="s">
        <v>7363</v>
      </c>
      <c r="E4437" t="s">
        <v>11032</v>
      </c>
      <c r="F4437" t="s">
        <v>11004</v>
      </c>
      <c r="G4437" t="s">
        <v>14757</v>
      </c>
      <c r="H4437" t="str">
        <f>HYPERLINK("https://baanknet.com/view-property/270047/40311BDA47357A033FA70DB68D14D585148C396FAF23C1A202F4CA6E0FDD5707", "https://baanknet.com/view-property/270047/40311BDA47357A033FA70DB68D14D585148C396FAF23C1A202F4CA6E0FDD5707")</f>
        <v>https://baanknet.com/view-property/270047/40311BDA47357A033FA70DB68D14D585148C396FAF23C1A202F4CA6E0FDD5707</v>
      </c>
      <c r="I4437" t="str">
        <f>HYPERLINK("https://baanknet.com/view-property/270047/40311BDA47357A033FA70DB68D14D585148C396FAF23C1A202F4CA6E0FDD5707", "Open")</f>
        <v>Open</v>
      </c>
      <c r="J4437" t="s">
        <v>3803</v>
      </c>
      <c r="L4437">
        <v>600000</v>
      </c>
      <c r="M4437">
        <v>60000</v>
      </c>
    </row>
    <row r="4438" spans="1:13" x14ac:dyDescent="0.25">
      <c r="A4438" t="s">
        <v>14758</v>
      </c>
      <c r="B4438" t="s">
        <v>14759</v>
      </c>
      <c r="C4438" t="s">
        <v>387</v>
      </c>
      <c r="D4438" t="s">
        <v>10533</v>
      </c>
      <c r="E4438" t="s">
        <v>11032</v>
      </c>
      <c r="F4438" t="s">
        <v>11004</v>
      </c>
      <c r="G4438" t="s">
        <v>14760</v>
      </c>
      <c r="H4438" t="str">
        <f>HYPERLINK("https://baanknet.com/view-property/256260/16443B3331D24B52C5BAFB995A914C185FA0242D60CFAF31F35A611459FF6DBE", "https://baanknet.com/view-property/256260/16443B3331D24B52C5BAFB995A914C185FA0242D60CFAF31F35A611459FF6DBE")</f>
        <v>https://baanknet.com/view-property/256260/16443B3331D24B52C5BAFB995A914C185FA0242D60CFAF31F35A611459FF6DBE</v>
      </c>
      <c r="I4438" t="str">
        <f>HYPERLINK("https://baanknet.com/view-property/256260/16443B3331D24B52C5BAFB995A914C185FA0242D60CFAF31F35A611459FF6DBE", "Open")</f>
        <v>Open</v>
      </c>
      <c r="J4438" t="s">
        <v>3803</v>
      </c>
      <c r="L4438">
        <v>1100000</v>
      </c>
      <c r="M4438">
        <v>110000</v>
      </c>
    </row>
    <row r="4439" spans="1:13" x14ac:dyDescent="0.25">
      <c r="A4439" t="s">
        <v>14761</v>
      </c>
      <c r="B4439" t="s">
        <v>14762</v>
      </c>
      <c r="C4439" t="s">
        <v>387</v>
      </c>
      <c r="D4439" t="s">
        <v>10533</v>
      </c>
      <c r="E4439" t="s">
        <v>11032</v>
      </c>
      <c r="F4439" t="s">
        <v>11004</v>
      </c>
      <c r="G4439" t="s">
        <v>14763</v>
      </c>
      <c r="H4439" t="str">
        <f>HYPERLINK("https://baanknet.com/view-property/252806/862EA9C7F80A868A087ED1FBEF62B7D43D6B5E80F81B85438819729C4EE79118", "https://baanknet.com/view-property/252806/862EA9C7F80A868A087ED1FBEF62B7D43D6B5E80F81B85438819729C4EE79118")</f>
        <v>https://baanknet.com/view-property/252806/862EA9C7F80A868A087ED1FBEF62B7D43D6B5E80F81B85438819729C4EE79118</v>
      </c>
      <c r="I4439" t="str">
        <f>HYPERLINK("https://baanknet.com/view-property/252806/862EA9C7F80A868A087ED1FBEF62B7D43D6B5E80F81B85438819729C4EE79118", "Open")</f>
        <v>Open</v>
      </c>
      <c r="J4439" t="s">
        <v>3803</v>
      </c>
      <c r="L4439">
        <v>600000</v>
      </c>
      <c r="M4439">
        <v>60000</v>
      </c>
    </row>
    <row r="4440" spans="1:13" x14ac:dyDescent="0.25">
      <c r="A4440" t="s">
        <v>14764</v>
      </c>
      <c r="B4440" t="s">
        <v>14765</v>
      </c>
      <c r="C4440" t="s">
        <v>387</v>
      </c>
      <c r="D4440" t="s">
        <v>3032</v>
      </c>
      <c r="E4440" t="s">
        <v>11032</v>
      </c>
      <c r="F4440" t="s">
        <v>11004</v>
      </c>
      <c r="G4440" t="s">
        <v>14766</v>
      </c>
      <c r="H4440" t="str">
        <f>HYPERLINK("https://baanknet.com/view-property/252797/DBBEA8ACC394E9491CE5E021B442E06A8D082F4C76FFD6E75A55EE8BE76F7CF5", "https://baanknet.com/view-property/252797/DBBEA8ACC394E9491CE5E021B442E06A8D082F4C76FFD6E75A55EE8BE76F7CF5")</f>
        <v>https://baanknet.com/view-property/252797/DBBEA8ACC394E9491CE5E021B442E06A8D082F4C76FFD6E75A55EE8BE76F7CF5</v>
      </c>
      <c r="I4440" t="str">
        <f>HYPERLINK("https://baanknet.com/view-property/252797/DBBEA8ACC394E9491CE5E021B442E06A8D082F4C76FFD6E75A55EE8BE76F7CF5", "Open")</f>
        <v>Open</v>
      </c>
      <c r="J4440" t="s">
        <v>3803</v>
      </c>
      <c r="L4440">
        <v>1300000</v>
      </c>
      <c r="M4440">
        <v>130000</v>
      </c>
    </row>
    <row r="4441" spans="1:13" x14ac:dyDescent="0.25">
      <c r="A4441" t="s">
        <v>14767</v>
      </c>
      <c r="B4441" t="s">
        <v>14768</v>
      </c>
      <c r="C4441" t="s">
        <v>387</v>
      </c>
      <c r="D4441" t="s">
        <v>14668</v>
      </c>
      <c r="E4441" t="s">
        <v>11032</v>
      </c>
      <c r="F4441" t="s">
        <v>11004</v>
      </c>
      <c r="G4441" t="s">
        <v>14769</v>
      </c>
      <c r="H4441" t="str">
        <f>HYPERLINK("https://baanknet.com/view-property/252807/8DC0F300AAEE7BABD22B8C1B4617A22262EEB0641F9F3FACBC72249FA95A92FB", "https://baanknet.com/view-property/252807/8DC0F300AAEE7BABD22B8C1B4617A22262EEB0641F9F3FACBC72249FA95A92FB")</f>
        <v>https://baanknet.com/view-property/252807/8DC0F300AAEE7BABD22B8C1B4617A22262EEB0641F9F3FACBC72249FA95A92FB</v>
      </c>
      <c r="I4441" t="str">
        <f>HYPERLINK("https://baanknet.com/view-property/252807/8DC0F300AAEE7BABD22B8C1B4617A22262EEB0641F9F3FACBC72249FA95A92FB", "Open")</f>
        <v>Open</v>
      </c>
      <c r="J4441" t="s">
        <v>3803</v>
      </c>
      <c r="L4441">
        <v>2500000</v>
      </c>
      <c r="M4441">
        <v>250000</v>
      </c>
    </row>
    <row r="4442" spans="1:13" x14ac:dyDescent="0.25">
      <c r="A4442" t="s">
        <v>14770</v>
      </c>
      <c r="B4442" t="s">
        <v>14771</v>
      </c>
      <c r="C4442" t="s">
        <v>594</v>
      </c>
      <c r="D4442" t="s">
        <v>1310</v>
      </c>
      <c r="E4442" t="s">
        <v>11032</v>
      </c>
      <c r="F4442" t="s">
        <v>11430</v>
      </c>
      <c r="G4442" t="s">
        <v>14772</v>
      </c>
      <c r="H4442" t="str">
        <f>HYPERLINK("https://baanknet.com/view-property/281260/512A2FF85ADFB2CBA62C2397618558B381694ECB930A04BE53FBF497E2DF97CE", "https://baanknet.com/view-property/281260/512A2FF85ADFB2CBA62C2397618558B381694ECB930A04BE53FBF497E2DF97CE")</f>
        <v>https://baanknet.com/view-property/281260/512A2FF85ADFB2CBA62C2397618558B381694ECB930A04BE53FBF497E2DF97CE</v>
      </c>
      <c r="I4442" t="str">
        <f>HYPERLINK("https://baanknet.com/view-property/281260/512A2FF85ADFB2CBA62C2397618558B381694ECB930A04BE53FBF497E2DF97CE", "Open")</f>
        <v>Open</v>
      </c>
      <c r="J4442" t="s">
        <v>3803</v>
      </c>
      <c r="L4442">
        <v>32260000</v>
      </c>
      <c r="M4442">
        <v>3226000</v>
      </c>
    </row>
    <row r="4443" spans="1:13" x14ac:dyDescent="0.25">
      <c r="A4443" t="s">
        <v>14773</v>
      </c>
      <c r="B4443" t="s">
        <v>14774</v>
      </c>
      <c r="C4443" t="s">
        <v>594</v>
      </c>
      <c r="D4443" t="s">
        <v>1310</v>
      </c>
      <c r="E4443" t="s">
        <v>11032</v>
      </c>
      <c r="F4443" t="s">
        <v>11430</v>
      </c>
      <c r="G4443" t="s">
        <v>14775</v>
      </c>
      <c r="H4443" t="str">
        <f>HYPERLINK("https://baanknet.com/view-property/285746/D02C9B33C91F724642DC53FD136BBE48F291F7132C5A2CD809D337C8912443FA", "https://baanknet.com/view-property/285746/D02C9B33C91F724642DC53FD136BBE48F291F7132C5A2CD809D337C8912443FA")</f>
        <v>https://baanknet.com/view-property/285746/D02C9B33C91F724642DC53FD136BBE48F291F7132C5A2CD809D337C8912443FA</v>
      </c>
      <c r="I4443" t="str">
        <f>HYPERLINK("https://baanknet.com/view-property/285746/D02C9B33C91F724642DC53FD136BBE48F291F7132C5A2CD809D337C8912443FA", "Open")</f>
        <v>Open</v>
      </c>
      <c r="J4443" t="s">
        <v>3803</v>
      </c>
      <c r="L4443">
        <v>16178000</v>
      </c>
      <c r="M4443">
        <v>1617800</v>
      </c>
    </row>
    <row r="4444" spans="1:13" x14ac:dyDescent="0.25">
      <c r="A4444" t="s">
        <v>14776</v>
      </c>
      <c r="B4444" t="s">
        <v>14777</v>
      </c>
      <c r="C4444" t="s">
        <v>594</v>
      </c>
      <c r="D4444" t="s">
        <v>1310</v>
      </c>
      <c r="E4444" t="s">
        <v>11032</v>
      </c>
      <c r="F4444" t="s">
        <v>11430</v>
      </c>
      <c r="G4444" t="s">
        <v>14778</v>
      </c>
      <c r="H4444" t="str">
        <f>HYPERLINK("https://baanknet.com/view-property/285743/41B102F6F80DBE47ED0080B3AB074645B599690C4F68C0C95940494ABEBC0A0C", "https://baanknet.com/view-property/285743/41B102F6F80DBE47ED0080B3AB074645B599690C4F68C0C95940494ABEBC0A0C")</f>
        <v>https://baanknet.com/view-property/285743/41B102F6F80DBE47ED0080B3AB074645B599690C4F68C0C95940494ABEBC0A0C</v>
      </c>
      <c r="I4444" t="str">
        <f>HYPERLINK("https://baanknet.com/view-property/285743/41B102F6F80DBE47ED0080B3AB074645B599690C4F68C0C95940494ABEBC0A0C", "Open")</f>
        <v>Open</v>
      </c>
      <c r="J4444" t="s">
        <v>3803</v>
      </c>
      <c r="L4444">
        <v>33348000</v>
      </c>
      <c r="M4444">
        <v>3334800</v>
      </c>
    </row>
    <row r="4445" spans="1:13" x14ac:dyDescent="0.25">
      <c r="A4445" t="s">
        <v>14779</v>
      </c>
      <c r="B4445" t="s">
        <v>14780</v>
      </c>
      <c r="C4445" t="s">
        <v>594</v>
      </c>
      <c r="D4445" t="s">
        <v>849</v>
      </c>
      <c r="E4445" t="s">
        <v>11032</v>
      </c>
      <c r="F4445" t="s">
        <v>11430</v>
      </c>
      <c r="G4445" t="s">
        <v>14781</v>
      </c>
      <c r="H4445" t="str">
        <f>HYPERLINK("https://baanknet.com/view-property/285736/2ABB902B813FD52FC6C88A5F055C9C9FC16F6F5724E8453B80795474129F7262", "https://baanknet.com/view-property/285736/2ABB902B813FD52FC6C88A5F055C9C9FC16F6F5724E8453B80795474129F7262")</f>
        <v>https://baanknet.com/view-property/285736/2ABB902B813FD52FC6C88A5F055C9C9FC16F6F5724E8453B80795474129F7262</v>
      </c>
      <c r="I4445" t="str">
        <f>HYPERLINK("https://baanknet.com/view-property/285736/2ABB902B813FD52FC6C88A5F055C9C9FC16F6F5724E8453B80795474129F7262", "Open")</f>
        <v>Open</v>
      </c>
      <c r="J4445" t="s">
        <v>3803</v>
      </c>
      <c r="L4445">
        <v>20723000</v>
      </c>
      <c r="M4445">
        <v>2072300</v>
      </c>
    </row>
    <row r="4446" spans="1:13" x14ac:dyDescent="0.25">
      <c r="A4446" t="s">
        <v>14782</v>
      </c>
      <c r="B4446" t="s">
        <v>14783</v>
      </c>
      <c r="C4446" t="s">
        <v>594</v>
      </c>
      <c r="D4446" t="s">
        <v>304</v>
      </c>
      <c r="E4446" t="s">
        <v>11032</v>
      </c>
      <c r="F4446" t="s">
        <v>11430</v>
      </c>
      <c r="G4446" t="s">
        <v>14784</v>
      </c>
      <c r="H4446" t="str">
        <f>HYPERLINK("https://baanknet.com/view-property/286144/A3198E6BF35EACBF76FC855B51A1C2F3CAFB1A3D934238F5BE134A36CD73E825", "https://baanknet.com/view-property/286144/A3198E6BF35EACBF76FC855B51A1C2F3CAFB1A3D934238F5BE134A36CD73E825")</f>
        <v>https://baanknet.com/view-property/286144/A3198E6BF35EACBF76FC855B51A1C2F3CAFB1A3D934238F5BE134A36CD73E825</v>
      </c>
      <c r="I4446" t="str">
        <f>HYPERLINK("https://baanknet.com/view-property/286144/A3198E6BF35EACBF76FC855B51A1C2F3CAFB1A3D934238F5BE134A36CD73E825", "Open")</f>
        <v>Open</v>
      </c>
      <c r="J4446" t="s">
        <v>3803</v>
      </c>
      <c r="L4446">
        <v>2184000</v>
      </c>
      <c r="M4446">
        <v>218400</v>
      </c>
    </row>
    <row r="4447" spans="1:13" x14ac:dyDescent="0.25">
      <c r="A4447" t="s">
        <v>14785</v>
      </c>
      <c r="B4447" t="s">
        <v>14786</v>
      </c>
      <c r="C4447" t="s">
        <v>594</v>
      </c>
      <c r="D4447" t="s">
        <v>1310</v>
      </c>
      <c r="E4447" t="s">
        <v>11032</v>
      </c>
      <c r="F4447" t="s">
        <v>11430</v>
      </c>
      <c r="G4447" t="s">
        <v>14787</v>
      </c>
      <c r="H4447" t="str">
        <f>HYPERLINK("https://baanknet.com/view-property/74478/F50339041124EE4AFBB2C0AFC2F0F56199772E72D1B6417F01DD172D0231352A", "https://baanknet.com/view-property/74478/F50339041124EE4AFBB2C0AFC2F0F56199772E72D1B6417F01DD172D0231352A")</f>
        <v>https://baanknet.com/view-property/74478/F50339041124EE4AFBB2C0AFC2F0F56199772E72D1B6417F01DD172D0231352A</v>
      </c>
      <c r="I4447" t="str">
        <f>HYPERLINK("https://baanknet.com/view-property/74478/F50339041124EE4AFBB2C0AFC2F0F56199772E72D1B6417F01DD172D0231352A", "Open")</f>
        <v>Open</v>
      </c>
      <c r="J4447" t="s">
        <v>3803</v>
      </c>
      <c r="L4447">
        <v>60100000</v>
      </c>
      <c r="M4447">
        <v>6010000</v>
      </c>
    </row>
    <row r="4448" spans="1:13" x14ac:dyDescent="0.25">
      <c r="A4448" t="s">
        <v>14788</v>
      </c>
      <c r="B4448" t="s">
        <v>14789</v>
      </c>
      <c r="C4448" t="s">
        <v>594</v>
      </c>
      <c r="D4448" t="s">
        <v>1310</v>
      </c>
      <c r="E4448" t="s">
        <v>11032</v>
      </c>
      <c r="F4448" t="s">
        <v>11430</v>
      </c>
      <c r="G4448" t="s">
        <v>14790</v>
      </c>
      <c r="H4448" t="str">
        <f>HYPERLINK("https://baanknet.com/view-property/74477/DDE38BDF106740D9BFD8B6FD2D0403753D84A620C1458178E92268E01206AA61", "https://baanknet.com/view-property/74477/DDE38BDF106740D9BFD8B6FD2D0403753D84A620C1458178E92268E01206AA61")</f>
        <v>https://baanknet.com/view-property/74477/DDE38BDF106740D9BFD8B6FD2D0403753D84A620C1458178E92268E01206AA61</v>
      </c>
      <c r="I4448" t="str">
        <f>HYPERLINK("https://baanknet.com/view-property/74477/DDE38BDF106740D9BFD8B6FD2D0403753D84A620C1458178E92268E01206AA61", "Open")</f>
        <v>Open</v>
      </c>
      <c r="J4448" t="s">
        <v>3803</v>
      </c>
    </row>
    <row r="4449" spans="1:13" x14ac:dyDescent="0.25">
      <c r="A4449" t="s">
        <v>14791</v>
      </c>
      <c r="B4449" t="s">
        <v>14792</v>
      </c>
      <c r="C4449" t="s">
        <v>594</v>
      </c>
      <c r="D4449" t="s">
        <v>1310</v>
      </c>
      <c r="E4449" t="s">
        <v>11032</v>
      </c>
      <c r="F4449" t="s">
        <v>11430</v>
      </c>
      <c r="G4449" t="s">
        <v>14793</v>
      </c>
      <c r="H4449" t="str">
        <f>HYPERLINK("https://baanknet.com/view-property/287278/D8E7758424CC36C1D1E52A22667B22DFC5F4C0677188ABA6F3BE09026873D29F", "https://baanknet.com/view-property/287278/D8E7758424CC36C1D1E52A22667B22DFC5F4C0677188ABA6F3BE09026873D29F")</f>
        <v>https://baanknet.com/view-property/287278/D8E7758424CC36C1D1E52A22667B22DFC5F4C0677188ABA6F3BE09026873D29F</v>
      </c>
      <c r="I4449" t="str">
        <f>HYPERLINK("https://baanknet.com/view-property/287278/D8E7758424CC36C1D1E52A22667B22DFC5F4C0677188ABA6F3BE09026873D29F", "Open")</f>
        <v>Open</v>
      </c>
      <c r="J4449" t="s">
        <v>3803</v>
      </c>
      <c r="L4449">
        <v>59300000</v>
      </c>
      <c r="M4449">
        <v>5930000</v>
      </c>
    </row>
    <row r="4450" spans="1:13" x14ac:dyDescent="0.25">
      <c r="A4450" t="s">
        <v>14794</v>
      </c>
      <c r="B4450" t="s">
        <v>14795</v>
      </c>
      <c r="C4450" t="s">
        <v>144</v>
      </c>
      <c r="D4450" t="s">
        <v>14796</v>
      </c>
      <c r="E4450" t="s">
        <v>11032</v>
      </c>
      <c r="F4450" t="s">
        <v>11430</v>
      </c>
      <c r="G4450" t="s">
        <v>14797</v>
      </c>
      <c r="H4450" t="str">
        <f>HYPERLINK("https://baanknet.com/view-property/37884/3003A0C05D1D6B71FD488487DA0C9F6533EC1F157D3BBA2D6E1F07859F2BA1A2", "https://baanknet.com/view-property/37884/3003A0C05D1D6B71FD488487DA0C9F6533EC1F157D3BBA2D6E1F07859F2BA1A2")</f>
        <v>https://baanknet.com/view-property/37884/3003A0C05D1D6B71FD488487DA0C9F6533EC1F157D3BBA2D6E1F07859F2BA1A2</v>
      </c>
      <c r="I4450" t="str">
        <f>HYPERLINK("https://baanknet.com/view-property/37884/3003A0C05D1D6B71FD488487DA0C9F6533EC1F157D3BBA2D6E1F07859F2BA1A2", "Open")</f>
        <v>Open</v>
      </c>
      <c r="J4450" t="s">
        <v>3803</v>
      </c>
      <c r="L4450">
        <v>310000</v>
      </c>
      <c r="M4450">
        <v>31000</v>
      </c>
    </row>
    <row r="4451" spans="1:13" x14ac:dyDescent="0.25">
      <c r="A4451" t="s">
        <v>14798</v>
      </c>
      <c r="B4451" t="s">
        <v>14799</v>
      </c>
      <c r="C4451" t="s">
        <v>144</v>
      </c>
      <c r="D4451" t="s">
        <v>8917</v>
      </c>
      <c r="E4451" t="s">
        <v>11032</v>
      </c>
      <c r="F4451" t="s">
        <v>11430</v>
      </c>
      <c r="G4451" t="s">
        <v>14800</v>
      </c>
      <c r="H4451" t="str">
        <f>HYPERLINK("https://baanknet.com/view-property/279034/F7266693250B96DB6F730DEDE3AAA380648CF09FD7DFA9231E072678EB2703AA", "https://baanknet.com/view-property/279034/F7266693250B96DB6F730DEDE3AAA380648CF09FD7DFA9231E072678EB2703AA")</f>
        <v>https://baanknet.com/view-property/279034/F7266693250B96DB6F730DEDE3AAA380648CF09FD7DFA9231E072678EB2703AA</v>
      </c>
      <c r="I4451" t="str">
        <f>HYPERLINK("https://baanknet.com/view-property/279034/F7266693250B96DB6F730DEDE3AAA380648CF09FD7DFA9231E072678EB2703AA", "Open")</f>
        <v>Open</v>
      </c>
      <c r="J4451" t="s">
        <v>3803</v>
      </c>
      <c r="L4451">
        <v>2719000</v>
      </c>
      <c r="M4451">
        <v>272000</v>
      </c>
    </row>
    <row r="4452" spans="1:13" x14ac:dyDescent="0.25">
      <c r="A4452" t="s">
        <v>14801</v>
      </c>
      <c r="B4452" t="s">
        <v>14802</v>
      </c>
      <c r="C4452" t="s">
        <v>144</v>
      </c>
      <c r="D4452" t="s">
        <v>14803</v>
      </c>
      <c r="E4452" t="s">
        <v>11032</v>
      </c>
      <c r="F4452" t="s">
        <v>11430</v>
      </c>
      <c r="G4452" t="s">
        <v>14804</v>
      </c>
      <c r="H4452" t="str">
        <f>HYPERLINK("https://baanknet.com/view-property/235101/88A698FDAC4C8028C4EDE236573A14191A15050CC085310E4EF3DC76516B2E7F", "https://baanknet.com/view-property/235101/88A698FDAC4C8028C4EDE236573A14191A15050CC085310E4EF3DC76516B2E7F")</f>
        <v>https://baanknet.com/view-property/235101/88A698FDAC4C8028C4EDE236573A14191A15050CC085310E4EF3DC76516B2E7F</v>
      </c>
      <c r="I4452" t="str">
        <f>HYPERLINK("https://baanknet.com/view-property/235101/88A698FDAC4C8028C4EDE236573A14191A15050CC085310E4EF3DC76516B2E7F", "Open")</f>
        <v>Open</v>
      </c>
      <c r="J4452" t="s">
        <v>3803</v>
      </c>
      <c r="L4452">
        <v>1709000</v>
      </c>
      <c r="M4452">
        <v>171000</v>
      </c>
    </row>
    <row r="4453" spans="1:13" x14ac:dyDescent="0.25">
      <c r="A4453" t="s">
        <v>14805</v>
      </c>
      <c r="B4453" t="s">
        <v>14806</v>
      </c>
      <c r="C4453" t="s">
        <v>144</v>
      </c>
      <c r="D4453" t="s">
        <v>14807</v>
      </c>
      <c r="E4453" t="s">
        <v>11032</v>
      </c>
      <c r="F4453" t="s">
        <v>11430</v>
      </c>
      <c r="G4453" t="s">
        <v>14808</v>
      </c>
      <c r="H4453" t="str">
        <f>HYPERLINK("https://baanknet.com/view-property/113335/CB33ADBDA14490BDA1B631C21F82CEACAB204CDEC00C7A41F725899D63FA45A8", "https://baanknet.com/view-property/113335/CB33ADBDA14490BDA1B631C21F82CEACAB204CDEC00C7A41F725899D63FA45A8")</f>
        <v>https://baanknet.com/view-property/113335/CB33ADBDA14490BDA1B631C21F82CEACAB204CDEC00C7A41F725899D63FA45A8</v>
      </c>
      <c r="I4453" t="str">
        <f>HYPERLINK("https://baanknet.com/view-property/113335/CB33ADBDA14490BDA1B631C21F82CEACAB204CDEC00C7A41F725899D63FA45A8", "Open")</f>
        <v>Open</v>
      </c>
      <c r="J4453" t="s">
        <v>3803</v>
      </c>
      <c r="L4453">
        <v>1940000</v>
      </c>
      <c r="M4453">
        <v>194000</v>
      </c>
    </row>
    <row r="4454" spans="1:13" x14ac:dyDescent="0.25">
      <c r="A4454" t="s">
        <v>14809</v>
      </c>
      <c r="B4454" t="s">
        <v>14810</v>
      </c>
      <c r="C4454" t="s">
        <v>144</v>
      </c>
      <c r="D4454" t="s">
        <v>14811</v>
      </c>
      <c r="E4454" t="s">
        <v>11032</v>
      </c>
      <c r="F4454" t="s">
        <v>11430</v>
      </c>
      <c r="G4454" t="s">
        <v>14812</v>
      </c>
      <c r="H4454" t="str">
        <f>HYPERLINK("https://baanknet.com/view-property/102771/1BBDFE928AA51C61B1E75A14434F08E2A38EF11FB1E867D1C9FAE713EE13DE8A", "https://baanknet.com/view-property/102771/1BBDFE928AA51C61B1E75A14434F08E2A38EF11FB1E867D1C9FAE713EE13DE8A")</f>
        <v>https://baanknet.com/view-property/102771/1BBDFE928AA51C61B1E75A14434F08E2A38EF11FB1E867D1C9FAE713EE13DE8A</v>
      </c>
      <c r="I4454" t="str">
        <f>HYPERLINK("https://baanknet.com/view-property/102771/1BBDFE928AA51C61B1E75A14434F08E2A38EF11FB1E867D1C9FAE713EE13DE8A", "Open")</f>
        <v>Open</v>
      </c>
      <c r="J4454" t="s">
        <v>3803</v>
      </c>
      <c r="L4454">
        <v>838000</v>
      </c>
      <c r="M4454">
        <v>84000</v>
      </c>
    </row>
    <row r="4455" spans="1:13" x14ac:dyDescent="0.25">
      <c r="A4455" t="s">
        <v>14813</v>
      </c>
      <c r="B4455" t="s">
        <v>14814</v>
      </c>
      <c r="C4455" t="s">
        <v>144</v>
      </c>
      <c r="D4455" t="s">
        <v>1520</v>
      </c>
      <c r="E4455" t="s">
        <v>11032</v>
      </c>
      <c r="F4455" t="s">
        <v>11430</v>
      </c>
      <c r="G4455" t="s">
        <v>14815</v>
      </c>
      <c r="H4455" t="str">
        <f>HYPERLINK("https://baanknet.com/view-property/262053/C431C5119D0A91C88A44FB53C59902E1511CC86AC66090ACE36B104375A58381", "https://baanknet.com/view-property/262053/C431C5119D0A91C88A44FB53C59902E1511CC86AC66090ACE36B104375A58381")</f>
        <v>https://baanknet.com/view-property/262053/C431C5119D0A91C88A44FB53C59902E1511CC86AC66090ACE36B104375A58381</v>
      </c>
      <c r="I4455" t="str">
        <f>HYPERLINK("https://baanknet.com/view-property/262053/C431C5119D0A91C88A44FB53C59902E1511CC86AC66090ACE36B104375A58381", "Open")</f>
        <v>Open</v>
      </c>
      <c r="J4455" t="s">
        <v>3803</v>
      </c>
      <c r="L4455">
        <v>1102000</v>
      </c>
      <c r="M4455">
        <v>110000</v>
      </c>
    </row>
    <row r="4456" spans="1:13" x14ac:dyDescent="0.25">
      <c r="A4456" t="s">
        <v>14816</v>
      </c>
      <c r="B4456" t="s">
        <v>14817</v>
      </c>
      <c r="C4456" t="s">
        <v>387</v>
      </c>
      <c r="D4456" t="s">
        <v>2506</v>
      </c>
      <c r="E4456" t="s">
        <v>11032</v>
      </c>
      <c r="F4456" t="s">
        <v>11430</v>
      </c>
      <c r="G4456" t="s">
        <v>14818</v>
      </c>
      <c r="H4456" t="str">
        <f>HYPERLINK("https://baanknet.com/view-property/236669/C1DF7BFC592E03A07C1FC135EDB62036F656C1758212EB5A4836AF510CB52287", "https://baanknet.com/view-property/236669/C1DF7BFC592E03A07C1FC135EDB62036F656C1758212EB5A4836AF510CB52287")</f>
        <v>https://baanknet.com/view-property/236669/C1DF7BFC592E03A07C1FC135EDB62036F656C1758212EB5A4836AF510CB52287</v>
      </c>
      <c r="I4456" t="str">
        <f>HYPERLINK("https://baanknet.com/view-property/236669/C1DF7BFC592E03A07C1FC135EDB62036F656C1758212EB5A4836AF510CB52287", "Open")</f>
        <v>Open</v>
      </c>
      <c r="J4456" t="s">
        <v>3803</v>
      </c>
      <c r="L4456">
        <v>750000</v>
      </c>
      <c r="M4456">
        <v>75000</v>
      </c>
    </row>
    <row r="4457" spans="1:13" x14ac:dyDescent="0.25">
      <c r="A4457" t="s">
        <v>14819</v>
      </c>
      <c r="B4457" t="s">
        <v>14820</v>
      </c>
      <c r="C4457" t="s">
        <v>387</v>
      </c>
      <c r="D4457" t="s">
        <v>2506</v>
      </c>
      <c r="E4457" t="s">
        <v>11032</v>
      </c>
      <c r="F4457" t="s">
        <v>11430</v>
      </c>
      <c r="G4457" t="s">
        <v>14821</v>
      </c>
      <c r="H4457" t="str">
        <f>HYPERLINK("https://baanknet.com/view-property/236677/8D02F3F84D2A69F0B811B091DFECDA3840E49858D7DADD753220B0E38A5FBFCF", "https://baanknet.com/view-property/236677/8D02F3F84D2A69F0B811B091DFECDA3840E49858D7DADD753220B0E38A5FBFCF")</f>
        <v>https://baanknet.com/view-property/236677/8D02F3F84D2A69F0B811B091DFECDA3840E49858D7DADD753220B0E38A5FBFCF</v>
      </c>
      <c r="I4457" t="str">
        <f>HYPERLINK("https://baanknet.com/view-property/236677/8D02F3F84D2A69F0B811B091DFECDA3840E49858D7DADD753220B0E38A5FBFCF", "Open")</f>
        <v>Open</v>
      </c>
      <c r="J4457" t="s">
        <v>3803</v>
      </c>
      <c r="L4457">
        <v>720000</v>
      </c>
      <c r="M4457">
        <v>72000</v>
      </c>
    </row>
    <row r="4458" spans="1:13" x14ac:dyDescent="0.25">
      <c r="A4458" t="s">
        <v>14822</v>
      </c>
      <c r="B4458" t="s">
        <v>14823</v>
      </c>
      <c r="C4458" t="s">
        <v>387</v>
      </c>
      <c r="D4458" t="s">
        <v>4375</v>
      </c>
      <c r="E4458" t="s">
        <v>11032</v>
      </c>
      <c r="F4458" t="s">
        <v>11430</v>
      </c>
      <c r="G4458" t="s">
        <v>14824</v>
      </c>
      <c r="H4458" t="str">
        <f>HYPERLINK("https://baanknet.com/view-property/214779/C7888F58DD347B143C171925DF5A04493E1040692F3BFEEA95514F3266BCA75E", "https://baanknet.com/view-property/214779/C7888F58DD347B143C171925DF5A04493E1040692F3BFEEA95514F3266BCA75E")</f>
        <v>https://baanknet.com/view-property/214779/C7888F58DD347B143C171925DF5A04493E1040692F3BFEEA95514F3266BCA75E</v>
      </c>
      <c r="I4458" t="str">
        <f>HYPERLINK("https://baanknet.com/view-property/214779/C7888F58DD347B143C171925DF5A04493E1040692F3BFEEA95514F3266BCA75E", "Open")</f>
        <v>Open</v>
      </c>
      <c r="J4458" t="s">
        <v>3803</v>
      </c>
      <c r="L4458">
        <v>657000</v>
      </c>
      <c r="M4458">
        <v>65700</v>
      </c>
    </row>
    <row r="4459" spans="1:13" x14ac:dyDescent="0.25">
      <c r="A4459" t="s">
        <v>14825</v>
      </c>
      <c r="B4459" t="s">
        <v>14826</v>
      </c>
      <c r="C4459" t="s">
        <v>387</v>
      </c>
      <c r="D4459" t="s">
        <v>4375</v>
      </c>
      <c r="E4459" t="s">
        <v>11032</v>
      </c>
      <c r="F4459" t="s">
        <v>11430</v>
      </c>
      <c r="G4459" t="s">
        <v>14827</v>
      </c>
      <c r="H4459" t="str">
        <f>HYPERLINK("https://baanknet.com/view-property/214581/3117A5BF31F1CC47A50A4A442B17941455C313781E3F576FA79FC2B858D75AE3", "https://baanknet.com/view-property/214581/3117A5BF31F1CC47A50A4A442B17941455C313781E3F576FA79FC2B858D75AE3")</f>
        <v>https://baanknet.com/view-property/214581/3117A5BF31F1CC47A50A4A442B17941455C313781E3F576FA79FC2B858D75AE3</v>
      </c>
      <c r="I4459" t="str">
        <f>HYPERLINK("https://baanknet.com/view-property/214581/3117A5BF31F1CC47A50A4A442B17941455C313781E3F576FA79FC2B858D75AE3", "Open")</f>
        <v>Open</v>
      </c>
      <c r="J4459" t="s">
        <v>3803</v>
      </c>
      <c r="L4459">
        <v>1095000</v>
      </c>
      <c r="M4459">
        <v>109500</v>
      </c>
    </row>
    <row r="4460" spans="1:13" x14ac:dyDescent="0.25">
      <c r="A4460" t="s">
        <v>14828</v>
      </c>
      <c r="B4460" t="s">
        <v>14829</v>
      </c>
      <c r="C4460" t="s">
        <v>387</v>
      </c>
      <c r="D4460" t="s">
        <v>4375</v>
      </c>
      <c r="E4460" t="s">
        <v>11032</v>
      </c>
      <c r="F4460" t="s">
        <v>11430</v>
      </c>
      <c r="G4460" t="s">
        <v>14830</v>
      </c>
      <c r="H4460" t="str">
        <f>HYPERLINK("https://baanknet.com/view-property/214570/E716B54B3EC9395E599E35A0DA19781660567AFC68F47345D6E0CB7F744C2E66", "https://baanknet.com/view-property/214570/E716B54B3EC9395E599E35A0DA19781660567AFC68F47345D6E0CB7F744C2E66")</f>
        <v>https://baanknet.com/view-property/214570/E716B54B3EC9395E599E35A0DA19781660567AFC68F47345D6E0CB7F744C2E66</v>
      </c>
      <c r="I4460" t="str">
        <f>HYPERLINK("https://baanknet.com/view-property/214570/E716B54B3EC9395E599E35A0DA19781660567AFC68F47345D6E0CB7F744C2E66", "Open")</f>
        <v>Open</v>
      </c>
      <c r="J4460" t="s">
        <v>3803</v>
      </c>
      <c r="L4460">
        <v>810000</v>
      </c>
      <c r="M4460">
        <v>81000</v>
      </c>
    </row>
    <row r="4461" spans="1:13" x14ac:dyDescent="0.25">
      <c r="A4461" t="s">
        <v>14831</v>
      </c>
      <c r="B4461" t="s">
        <v>14832</v>
      </c>
      <c r="C4461" t="s">
        <v>387</v>
      </c>
      <c r="D4461" t="s">
        <v>4375</v>
      </c>
      <c r="E4461" t="s">
        <v>11032</v>
      </c>
      <c r="F4461" t="s">
        <v>11430</v>
      </c>
      <c r="G4461" t="s">
        <v>14833</v>
      </c>
      <c r="H4461" t="str">
        <f>HYPERLINK("https://baanknet.com/view-property/214575/9A04F63FFECCCA0717C84E2E45D4A35AEDA5B9D6C65E62E75EEB910D99171B85", "https://baanknet.com/view-property/214575/9A04F63FFECCCA0717C84E2E45D4A35AEDA5B9D6C65E62E75EEB910D99171B85")</f>
        <v>https://baanknet.com/view-property/214575/9A04F63FFECCCA0717C84E2E45D4A35AEDA5B9D6C65E62E75EEB910D99171B85</v>
      </c>
      <c r="I4461" t="str">
        <f>HYPERLINK("https://baanknet.com/view-property/214575/9A04F63FFECCCA0717C84E2E45D4A35AEDA5B9D6C65E62E75EEB910D99171B85", "Open")</f>
        <v>Open</v>
      </c>
      <c r="J4461" t="s">
        <v>3803</v>
      </c>
      <c r="L4461">
        <v>810000</v>
      </c>
      <c r="M4461">
        <v>81000</v>
      </c>
    </row>
    <row r="4462" spans="1:13" x14ac:dyDescent="0.25">
      <c r="A4462" t="s">
        <v>14834</v>
      </c>
      <c r="B4462" t="s">
        <v>14835</v>
      </c>
      <c r="C4462" t="s">
        <v>387</v>
      </c>
      <c r="D4462" t="s">
        <v>4375</v>
      </c>
      <c r="E4462" t="s">
        <v>11032</v>
      </c>
      <c r="F4462" t="s">
        <v>11430</v>
      </c>
      <c r="G4462" t="s">
        <v>14836</v>
      </c>
      <c r="H4462" t="str">
        <f>HYPERLINK("https://baanknet.com/view-property/214610/8D0C33132A2186AE18E9514AB854B01CCF574D8602DAD43EA6787D4735F46676", "https://baanknet.com/view-property/214610/8D0C33132A2186AE18E9514AB854B01CCF574D8602DAD43EA6787D4735F46676")</f>
        <v>https://baanknet.com/view-property/214610/8D0C33132A2186AE18E9514AB854B01CCF574D8602DAD43EA6787D4735F46676</v>
      </c>
      <c r="I4462" t="str">
        <f>HYPERLINK("https://baanknet.com/view-property/214610/8D0C33132A2186AE18E9514AB854B01CCF574D8602DAD43EA6787D4735F46676", "Open")</f>
        <v>Open</v>
      </c>
      <c r="J4462" t="s">
        <v>3803</v>
      </c>
      <c r="L4462">
        <v>774000</v>
      </c>
      <c r="M4462">
        <v>77400</v>
      </c>
    </row>
    <row r="4463" spans="1:13" x14ac:dyDescent="0.25">
      <c r="A4463" t="s">
        <v>14837</v>
      </c>
      <c r="B4463" t="s">
        <v>14838</v>
      </c>
      <c r="C4463" t="s">
        <v>387</v>
      </c>
      <c r="D4463" t="s">
        <v>4375</v>
      </c>
      <c r="E4463" t="s">
        <v>11032</v>
      </c>
      <c r="F4463" t="s">
        <v>11430</v>
      </c>
      <c r="G4463" t="s">
        <v>14839</v>
      </c>
      <c r="H4463" t="str">
        <f>HYPERLINK("https://baanknet.com/view-property/240380/4F4461C08BA113BBC392DD5A4285F73C99B83E56DC9C248A4CB4871B6FCDAA32", "https://baanknet.com/view-property/240380/4F4461C08BA113BBC392DD5A4285F73C99B83E56DC9C248A4CB4871B6FCDAA32")</f>
        <v>https://baanknet.com/view-property/240380/4F4461C08BA113BBC392DD5A4285F73C99B83E56DC9C248A4CB4871B6FCDAA32</v>
      </c>
      <c r="I4463" t="str">
        <f>HYPERLINK("https://baanknet.com/view-property/240380/4F4461C08BA113BBC392DD5A4285F73C99B83E56DC9C248A4CB4871B6FCDAA32", "Open")</f>
        <v>Open</v>
      </c>
      <c r="J4463" t="s">
        <v>3803</v>
      </c>
      <c r="L4463">
        <v>581000</v>
      </c>
      <c r="M4463">
        <v>58100</v>
      </c>
    </row>
    <row r="4464" spans="1:13" x14ac:dyDescent="0.25">
      <c r="A4464" t="s">
        <v>14840</v>
      </c>
      <c r="B4464" t="s">
        <v>14841</v>
      </c>
      <c r="C4464" t="s">
        <v>387</v>
      </c>
      <c r="D4464" t="s">
        <v>4375</v>
      </c>
      <c r="E4464" t="s">
        <v>11032</v>
      </c>
      <c r="F4464" t="s">
        <v>11430</v>
      </c>
      <c r="G4464" t="s">
        <v>14842</v>
      </c>
      <c r="H4464" t="str">
        <f>HYPERLINK("https://baanknet.com/view-property/214613/AD1DF41DBB0767F50671E76D1B58977B9E27049681DBE8CD1E36A59510E71F9D", "https://baanknet.com/view-property/214613/AD1DF41DBB0767F50671E76D1B58977B9E27049681DBE8CD1E36A59510E71F9D")</f>
        <v>https://baanknet.com/view-property/214613/AD1DF41DBB0767F50671E76D1B58977B9E27049681DBE8CD1E36A59510E71F9D</v>
      </c>
      <c r="I4464" t="str">
        <f>HYPERLINK("https://baanknet.com/view-property/214613/AD1DF41DBB0767F50671E76D1B58977B9E27049681DBE8CD1E36A59510E71F9D", "Open")</f>
        <v>Open</v>
      </c>
      <c r="J4464" t="s">
        <v>3803</v>
      </c>
      <c r="L4464">
        <v>1252000</v>
      </c>
      <c r="M4464">
        <v>125200</v>
      </c>
    </row>
    <row r="4465" spans="1:13" x14ac:dyDescent="0.25">
      <c r="A4465" t="s">
        <v>14843</v>
      </c>
      <c r="B4465" t="s">
        <v>14844</v>
      </c>
      <c r="C4465" t="s">
        <v>387</v>
      </c>
      <c r="D4465" t="s">
        <v>4375</v>
      </c>
      <c r="E4465" t="s">
        <v>11032</v>
      </c>
      <c r="F4465" t="s">
        <v>11430</v>
      </c>
      <c r="G4465" t="s">
        <v>14845</v>
      </c>
      <c r="H4465" t="str">
        <f>HYPERLINK("https://baanknet.com/view-property/214601/B64D50792CAE1FD2852B9964C25B0868BE70299C2678133B47701FBB72E0C6FF", "https://baanknet.com/view-property/214601/B64D50792CAE1FD2852B9964C25B0868BE70299C2678133B47701FBB72E0C6FF")</f>
        <v>https://baanknet.com/view-property/214601/B64D50792CAE1FD2852B9964C25B0868BE70299C2678133B47701FBB72E0C6FF</v>
      </c>
      <c r="I4465" t="str">
        <f>HYPERLINK("https://baanknet.com/view-property/214601/B64D50792CAE1FD2852B9964C25B0868BE70299C2678133B47701FBB72E0C6FF", "Open")</f>
        <v>Open</v>
      </c>
      <c r="J4465" t="s">
        <v>3803</v>
      </c>
      <c r="L4465">
        <v>697000</v>
      </c>
      <c r="M4465">
        <v>69700</v>
      </c>
    </row>
    <row r="4466" spans="1:13" x14ac:dyDescent="0.25">
      <c r="A4466" t="s">
        <v>14846</v>
      </c>
      <c r="B4466" t="s">
        <v>14847</v>
      </c>
      <c r="C4466" t="s">
        <v>7449</v>
      </c>
      <c r="D4466" t="s">
        <v>3344</v>
      </c>
      <c r="E4466" t="s">
        <v>11032</v>
      </c>
      <c r="F4466" t="s">
        <v>11430</v>
      </c>
      <c r="G4466" t="s">
        <v>14848</v>
      </c>
      <c r="H4466" t="str">
        <f>HYPERLINK("https://baanknet.com/view-property/286645/0CD00D4A1337F3FB55BD7980C32E245E8A84F926D5A7503164A77E505CFD623A", "https://baanknet.com/view-property/286645/0CD00D4A1337F3FB55BD7980C32E245E8A84F926D5A7503164A77E505CFD623A")</f>
        <v>https://baanknet.com/view-property/286645/0CD00D4A1337F3FB55BD7980C32E245E8A84F926D5A7503164A77E505CFD623A</v>
      </c>
      <c r="I4466" t="str">
        <f>HYPERLINK("https://baanknet.com/view-property/286645/0CD00D4A1337F3FB55BD7980C32E245E8A84F926D5A7503164A77E505CFD623A", "Open")</f>
        <v>Open</v>
      </c>
      <c r="J4466" t="s">
        <v>3803</v>
      </c>
      <c r="L4466">
        <v>1636000</v>
      </c>
      <c r="M4466">
        <v>164000</v>
      </c>
    </row>
    <row r="4467" spans="1:13" x14ac:dyDescent="0.25">
      <c r="A4467" t="s">
        <v>14849</v>
      </c>
      <c r="B4467" t="s">
        <v>14850</v>
      </c>
      <c r="C4467" t="s">
        <v>594</v>
      </c>
      <c r="D4467" t="s">
        <v>3344</v>
      </c>
      <c r="E4467" t="s">
        <v>11032</v>
      </c>
      <c r="F4467" t="s">
        <v>11430</v>
      </c>
      <c r="G4467" t="s">
        <v>14851</v>
      </c>
      <c r="H4467" t="str">
        <f>HYPERLINK("https://baanknet.com/view-property/215216/4019F8FC4EE6CE7A57E3895BF978AFCA256AF507BBCA708AA18DECEE6224C8A0", "https://baanknet.com/view-property/215216/4019F8FC4EE6CE7A57E3895BF978AFCA256AF507BBCA708AA18DECEE6224C8A0")</f>
        <v>https://baanknet.com/view-property/215216/4019F8FC4EE6CE7A57E3895BF978AFCA256AF507BBCA708AA18DECEE6224C8A0</v>
      </c>
      <c r="I4467" t="str">
        <f>HYPERLINK("https://baanknet.com/view-property/215216/4019F8FC4EE6CE7A57E3895BF978AFCA256AF507BBCA708AA18DECEE6224C8A0", "Open")</f>
        <v>Open</v>
      </c>
      <c r="J4467" t="s">
        <v>3803</v>
      </c>
      <c r="L4467">
        <v>11400000</v>
      </c>
      <c r="M4467">
        <v>1140000</v>
      </c>
    </row>
    <row r="4468" spans="1:13" x14ac:dyDescent="0.25">
      <c r="A4468" t="s">
        <v>14852</v>
      </c>
      <c r="B4468" t="s">
        <v>14853</v>
      </c>
      <c r="C4468" t="s">
        <v>594</v>
      </c>
      <c r="D4468" t="s">
        <v>11904</v>
      </c>
      <c r="E4468" t="s">
        <v>11032</v>
      </c>
      <c r="F4468" t="s">
        <v>11430</v>
      </c>
      <c r="G4468" t="s">
        <v>14854</v>
      </c>
      <c r="H4468" t="str">
        <f>HYPERLINK("https://baanknet.com/view-property/85467/7966EA6060B5EDDEAD7DE276C7F80AB2146C047DF7B594B5AEFE9AA3595F70AB", "https://baanknet.com/view-property/85467/7966EA6060B5EDDEAD7DE276C7F80AB2146C047DF7B594B5AEFE9AA3595F70AB")</f>
        <v>https://baanknet.com/view-property/85467/7966EA6060B5EDDEAD7DE276C7F80AB2146C047DF7B594B5AEFE9AA3595F70AB</v>
      </c>
      <c r="I4468" t="str">
        <f>HYPERLINK("https://baanknet.com/view-property/85467/7966EA6060B5EDDEAD7DE276C7F80AB2146C047DF7B594B5AEFE9AA3595F70AB", "Open")</f>
        <v>Open</v>
      </c>
      <c r="J4468" t="s">
        <v>3803</v>
      </c>
      <c r="L4468">
        <v>3910000</v>
      </c>
      <c r="M4468">
        <v>391000</v>
      </c>
    </row>
    <row r="4469" spans="1:13" x14ac:dyDescent="0.25">
      <c r="A4469" t="s">
        <v>14855</v>
      </c>
      <c r="B4469" t="s">
        <v>14856</v>
      </c>
      <c r="C4469" t="s">
        <v>594</v>
      </c>
      <c r="D4469" t="s">
        <v>14857</v>
      </c>
      <c r="E4469" t="s">
        <v>11032</v>
      </c>
      <c r="F4469" t="s">
        <v>11430</v>
      </c>
      <c r="G4469" t="s">
        <v>14858</v>
      </c>
      <c r="H4469" t="str">
        <f>HYPERLINK("https://baanknet.com/view-property/91915/78E9EF161E1BFD876AC624604AC7C96126ABD5195C04583B685EC6E58E0CF0CE", "https://baanknet.com/view-property/91915/78E9EF161E1BFD876AC624604AC7C96126ABD5195C04583B685EC6E58E0CF0CE")</f>
        <v>https://baanknet.com/view-property/91915/78E9EF161E1BFD876AC624604AC7C96126ABD5195C04583B685EC6E58E0CF0CE</v>
      </c>
      <c r="I4469" t="str">
        <f>HYPERLINK("https://baanknet.com/view-property/91915/78E9EF161E1BFD876AC624604AC7C96126ABD5195C04583B685EC6E58E0CF0CE", "Open")</f>
        <v>Open</v>
      </c>
      <c r="J4469" t="s">
        <v>3803</v>
      </c>
      <c r="L4469">
        <v>3900000</v>
      </c>
      <c r="M4469">
        <v>390000</v>
      </c>
    </row>
    <row r="4470" spans="1:13" x14ac:dyDescent="0.25">
      <c r="A4470" t="s">
        <v>14859</v>
      </c>
      <c r="B4470" t="s">
        <v>14860</v>
      </c>
      <c r="C4470" t="s">
        <v>387</v>
      </c>
      <c r="D4470" t="s">
        <v>4375</v>
      </c>
      <c r="E4470" t="s">
        <v>11032</v>
      </c>
      <c r="F4470" t="s">
        <v>11430</v>
      </c>
      <c r="G4470" t="s">
        <v>14861</v>
      </c>
      <c r="H4470" t="str">
        <f>HYPERLINK("https://baanknet.com/view-property/214591/D37DB77148E3C975977511D22C0516EE0A46DA5BD7D7934000DE54B95E79DEAA", "https://baanknet.com/view-property/214591/D37DB77148E3C975977511D22C0516EE0A46DA5BD7D7934000DE54B95E79DEAA")</f>
        <v>https://baanknet.com/view-property/214591/D37DB77148E3C975977511D22C0516EE0A46DA5BD7D7934000DE54B95E79DEAA</v>
      </c>
      <c r="I4470" t="str">
        <f>HYPERLINK("https://baanknet.com/view-property/214591/D37DB77148E3C975977511D22C0516EE0A46DA5BD7D7934000DE54B95E79DEAA", "Open")</f>
        <v>Open</v>
      </c>
      <c r="J4470" t="s">
        <v>3803</v>
      </c>
      <c r="L4470">
        <v>1273000</v>
      </c>
      <c r="M4470">
        <v>127300</v>
      </c>
    </row>
    <row r="4471" spans="1:13" x14ac:dyDescent="0.25">
      <c r="A4471" t="s">
        <v>14862</v>
      </c>
      <c r="B4471" t="s">
        <v>14863</v>
      </c>
      <c r="C4471" t="s">
        <v>387</v>
      </c>
      <c r="D4471" t="s">
        <v>1619</v>
      </c>
      <c r="E4471" t="s">
        <v>11032</v>
      </c>
      <c r="F4471" t="s">
        <v>11430</v>
      </c>
      <c r="G4471" t="s">
        <v>14864</v>
      </c>
      <c r="H4471" t="str">
        <f>HYPERLINK("https://baanknet.com/view-property/214190/C0AC58B6481C2AA3D6AB78176F38BC800E9FB54513FDBD55E4F4A145B89ED194", "https://baanknet.com/view-property/214190/C0AC58B6481C2AA3D6AB78176F38BC800E9FB54513FDBD55E4F4A145B89ED194")</f>
        <v>https://baanknet.com/view-property/214190/C0AC58B6481C2AA3D6AB78176F38BC800E9FB54513FDBD55E4F4A145B89ED194</v>
      </c>
      <c r="I4471" t="str">
        <f>HYPERLINK("https://baanknet.com/view-property/214190/C0AC58B6481C2AA3D6AB78176F38BC800E9FB54513FDBD55E4F4A145B89ED194", "Open")</f>
        <v>Open</v>
      </c>
      <c r="J4471" t="s">
        <v>3803</v>
      </c>
      <c r="L4471">
        <v>1096000</v>
      </c>
      <c r="M4471">
        <v>109600</v>
      </c>
    </row>
    <row r="4472" spans="1:13" x14ac:dyDescent="0.25">
      <c r="A4472" t="s">
        <v>14865</v>
      </c>
      <c r="B4472" t="s">
        <v>14866</v>
      </c>
      <c r="C4472" t="s">
        <v>594</v>
      </c>
      <c r="D4472" t="s">
        <v>14867</v>
      </c>
      <c r="E4472" t="s">
        <v>11032</v>
      </c>
      <c r="F4472" t="s">
        <v>11430</v>
      </c>
      <c r="G4472" t="s">
        <v>14868</v>
      </c>
      <c r="H4472" t="str">
        <f>HYPERLINK("https://baanknet.com/view-property/283404/33F6A3D7D2B5F99CF839C2FB41923EBBAB42EF7FFC08C93FA97005BB34FAC118", "https://baanknet.com/view-property/283404/33F6A3D7D2B5F99CF839C2FB41923EBBAB42EF7FFC08C93FA97005BB34FAC118")</f>
        <v>https://baanknet.com/view-property/283404/33F6A3D7D2B5F99CF839C2FB41923EBBAB42EF7FFC08C93FA97005BB34FAC118</v>
      </c>
      <c r="I4472" t="str">
        <f>HYPERLINK("https://baanknet.com/view-property/283404/33F6A3D7D2B5F99CF839C2FB41923EBBAB42EF7FFC08C93FA97005BB34FAC118", "Open")</f>
        <v>Open</v>
      </c>
      <c r="J4472" t="s">
        <v>3803</v>
      </c>
      <c r="L4472">
        <v>4590000</v>
      </c>
      <c r="M4472">
        <v>459000</v>
      </c>
    </row>
    <row r="4473" spans="1:13" x14ac:dyDescent="0.25">
      <c r="A4473" t="s">
        <v>14869</v>
      </c>
      <c r="B4473" t="s">
        <v>14870</v>
      </c>
      <c r="C4473" t="s">
        <v>387</v>
      </c>
      <c r="D4473" t="s">
        <v>2506</v>
      </c>
      <c r="E4473" t="s">
        <v>11032</v>
      </c>
      <c r="F4473" t="s">
        <v>11430</v>
      </c>
      <c r="G4473" t="s">
        <v>14871</v>
      </c>
      <c r="H4473" t="str">
        <f>HYPERLINK("https://baanknet.com/view-property/236649/5CAB9D2E89A2F80A20444042EACA4D920034F1750F60CF649F804F0EB871A97B", "https://baanknet.com/view-property/236649/5CAB9D2E89A2F80A20444042EACA4D920034F1750F60CF649F804F0EB871A97B")</f>
        <v>https://baanknet.com/view-property/236649/5CAB9D2E89A2F80A20444042EACA4D920034F1750F60CF649F804F0EB871A97B</v>
      </c>
      <c r="I4473" t="str">
        <f>HYPERLINK("https://baanknet.com/view-property/236649/5CAB9D2E89A2F80A20444042EACA4D920034F1750F60CF649F804F0EB871A97B", "Open")</f>
        <v>Open</v>
      </c>
      <c r="J4473" t="s">
        <v>3803</v>
      </c>
      <c r="L4473">
        <v>750000</v>
      </c>
      <c r="M4473">
        <v>75000</v>
      </c>
    </row>
    <row r="4474" spans="1:13" x14ac:dyDescent="0.25">
      <c r="A4474" t="s">
        <v>14872</v>
      </c>
      <c r="B4474" t="s">
        <v>14873</v>
      </c>
      <c r="C4474" t="s">
        <v>7449</v>
      </c>
      <c r="D4474" t="s">
        <v>32</v>
      </c>
      <c r="E4474" t="s">
        <v>11032</v>
      </c>
      <c r="F4474" t="s">
        <v>11430</v>
      </c>
      <c r="G4474" t="s">
        <v>14874</v>
      </c>
      <c r="H4474" t="str">
        <f>HYPERLINK("https://baanknet.com/view-property/287934/338D099916FE9867361B2DB950DD974FD9F3132803EA8A67A098E583D9AB9494", "https://baanknet.com/view-property/287934/338D099916FE9867361B2DB950DD974FD9F3132803EA8A67A098E583D9AB9494")</f>
        <v>https://baanknet.com/view-property/287934/338D099916FE9867361B2DB950DD974FD9F3132803EA8A67A098E583D9AB9494</v>
      </c>
      <c r="I4474" t="str">
        <f>HYPERLINK("https://baanknet.com/view-property/287934/338D099916FE9867361B2DB950DD974FD9F3132803EA8A67A098E583D9AB9494", "Open")</f>
        <v>Open</v>
      </c>
      <c r="J4474" t="s">
        <v>3803</v>
      </c>
      <c r="L4474">
        <v>16848000</v>
      </c>
      <c r="M4474">
        <v>1684800</v>
      </c>
    </row>
    <row r="4475" spans="1:13" x14ac:dyDescent="0.25">
      <c r="A4475" t="s">
        <v>14875</v>
      </c>
      <c r="B4475" t="s">
        <v>14876</v>
      </c>
      <c r="C4475" t="s">
        <v>594</v>
      </c>
      <c r="D4475" t="s">
        <v>14877</v>
      </c>
      <c r="E4475" t="s">
        <v>11032</v>
      </c>
      <c r="F4475" t="s">
        <v>11430</v>
      </c>
      <c r="G4475" t="s">
        <v>14878</v>
      </c>
      <c r="H4475" t="str">
        <f>HYPERLINK("https://baanknet.com/view-property/288030/8C907FE6AE750D1608DE54A6D2CAC958ED85FBE87EC8EBCDFFE8CEA8EE6C6A15", "https://baanknet.com/view-property/288030/8C907FE6AE750D1608DE54A6D2CAC958ED85FBE87EC8EBCDFFE8CEA8EE6C6A15")</f>
        <v>https://baanknet.com/view-property/288030/8C907FE6AE750D1608DE54A6D2CAC958ED85FBE87EC8EBCDFFE8CEA8EE6C6A15</v>
      </c>
      <c r="I4475" t="str">
        <f>HYPERLINK("https://baanknet.com/view-property/288030/8C907FE6AE750D1608DE54A6D2CAC958ED85FBE87EC8EBCDFFE8CEA8EE6C6A15", "Open")</f>
        <v>Open</v>
      </c>
      <c r="J4475" t="s">
        <v>3803</v>
      </c>
      <c r="L4475">
        <v>3595000</v>
      </c>
      <c r="M4475">
        <v>359500</v>
      </c>
    </row>
    <row r="4476" spans="1:13" x14ac:dyDescent="0.25">
      <c r="A4476" t="s">
        <v>14879</v>
      </c>
      <c r="B4476" t="s">
        <v>14880</v>
      </c>
      <c r="C4476" t="s">
        <v>387</v>
      </c>
      <c r="D4476" t="s">
        <v>2828</v>
      </c>
      <c r="E4476" t="s">
        <v>11032</v>
      </c>
      <c r="F4476" t="s">
        <v>11430</v>
      </c>
      <c r="G4476" t="s">
        <v>14881</v>
      </c>
      <c r="H4476" t="str">
        <f>HYPERLINK("https://baanknet.com/view-property/235082/AA5E48FBD072C90F96147B33E42E9F1ED2074D021019F806EBFE716C3BC10D3D", "https://baanknet.com/view-property/235082/AA5E48FBD072C90F96147B33E42E9F1ED2074D021019F806EBFE716C3BC10D3D")</f>
        <v>https://baanknet.com/view-property/235082/AA5E48FBD072C90F96147B33E42E9F1ED2074D021019F806EBFE716C3BC10D3D</v>
      </c>
      <c r="I4476" t="str">
        <f>HYPERLINK("https://baanknet.com/view-property/235082/AA5E48FBD072C90F96147B33E42E9F1ED2074D021019F806EBFE716C3BC10D3D", "Open")</f>
        <v>Open</v>
      </c>
      <c r="J4476" t="s">
        <v>3803</v>
      </c>
      <c r="L4476">
        <v>816000</v>
      </c>
      <c r="M4476">
        <v>81600</v>
      </c>
    </row>
    <row r="4477" spans="1:13" x14ac:dyDescent="0.25">
      <c r="A4477" t="s">
        <v>14882</v>
      </c>
      <c r="B4477" t="s">
        <v>14883</v>
      </c>
      <c r="C4477" t="s">
        <v>387</v>
      </c>
      <c r="D4477" t="s">
        <v>8462</v>
      </c>
      <c r="E4477" t="s">
        <v>11032</v>
      </c>
      <c r="F4477" t="s">
        <v>11430</v>
      </c>
      <c r="G4477" t="s">
        <v>14884</v>
      </c>
      <c r="H4477" t="str">
        <f>HYPERLINK("https://baanknet.com/view-property/170617/7CD092F74B7482BEA010F5878003B9184EAA98A58917FF2008E4CFA502A2BE76", "https://baanknet.com/view-property/170617/7CD092F74B7482BEA010F5878003B9184EAA98A58917FF2008E4CFA502A2BE76")</f>
        <v>https://baanknet.com/view-property/170617/7CD092F74B7482BEA010F5878003B9184EAA98A58917FF2008E4CFA502A2BE76</v>
      </c>
      <c r="I4477" t="str">
        <f>HYPERLINK("https://baanknet.com/view-property/170617/7CD092F74B7482BEA010F5878003B9184EAA98A58917FF2008E4CFA502A2BE76", "Open")</f>
        <v>Open</v>
      </c>
      <c r="J4477" t="s">
        <v>3803</v>
      </c>
      <c r="L4477">
        <v>580000</v>
      </c>
      <c r="M4477">
        <v>58000</v>
      </c>
    </row>
    <row r="4478" spans="1:13" x14ac:dyDescent="0.25">
      <c r="A4478" t="s">
        <v>14885</v>
      </c>
      <c r="B4478" t="s">
        <v>14886</v>
      </c>
      <c r="C4478" t="s">
        <v>387</v>
      </c>
      <c r="D4478" t="s">
        <v>8462</v>
      </c>
      <c r="E4478" t="s">
        <v>11032</v>
      </c>
      <c r="F4478" t="s">
        <v>11430</v>
      </c>
      <c r="G4478" t="s">
        <v>14887</v>
      </c>
      <c r="H4478" t="str">
        <f>HYPERLINK("https://baanknet.com/view-property/242772/BBAFD75C95743D21814B74B4FBAE64F289381187F00C79C65EE775C1A9347E1A", "https://baanknet.com/view-property/242772/BBAFD75C95743D21814B74B4FBAE64F289381187F00C79C65EE775C1A9347E1A")</f>
        <v>https://baanknet.com/view-property/242772/BBAFD75C95743D21814B74B4FBAE64F289381187F00C79C65EE775C1A9347E1A</v>
      </c>
      <c r="I4478" t="str">
        <f>HYPERLINK("https://baanknet.com/view-property/242772/BBAFD75C95743D21814B74B4FBAE64F289381187F00C79C65EE775C1A9347E1A", "Open")</f>
        <v>Open</v>
      </c>
      <c r="J4478" t="s">
        <v>3803</v>
      </c>
      <c r="L4478">
        <v>773100</v>
      </c>
      <c r="M4478">
        <v>77310</v>
      </c>
    </row>
    <row r="4479" spans="1:13" x14ac:dyDescent="0.25">
      <c r="A4479" t="s">
        <v>14888</v>
      </c>
      <c r="B4479" t="s">
        <v>14889</v>
      </c>
      <c r="C4479" t="s">
        <v>387</v>
      </c>
      <c r="D4479" t="s">
        <v>8462</v>
      </c>
      <c r="E4479" t="s">
        <v>11032</v>
      </c>
      <c r="F4479" t="s">
        <v>11430</v>
      </c>
      <c r="G4479" t="s">
        <v>14890</v>
      </c>
      <c r="H4479" t="str">
        <f>HYPERLINK("https://baanknet.com/view-property/242770/CF6713926DD16E194150F6896B1B399F72F850A650FB2C9B672F2ECB305C66D7", "https://baanknet.com/view-property/242770/CF6713926DD16E194150F6896B1B399F72F850A650FB2C9B672F2ECB305C66D7")</f>
        <v>https://baanknet.com/view-property/242770/CF6713926DD16E194150F6896B1B399F72F850A650FB2C9B672F2ECB305C66D7</v>
      </c>
      <c r="I4479" t="str">
        <f>HYPERLINK("https://baanknet.com/view-property/242770/CF6713926DD16E194150F6896B1B399F72F850A650FB2C9B672F2ECB305C66D7", "Open")</f>
        <v>Open</v>
      </c>
      <c r="J4479" t="s">
        <v>3803</v>
      </c>
      <c r="L4479">
        <v>675000</v>
      </c>
      <c r="M4479">
        <v>67500</v>
      </c>
    </row>
    <row r="4480" spans="1:13" x14ac:dyDescent="0.25">
      <c r="A4480" t="s">
        <v>14891</v>
      </c>
      <c r="B4480" t="s">
        <v>14892</v>
      </c>
      <c r="C4480" t="s">
        <v>387</v>
      </c>
      <c r="D4480" t="s">
        <v>8462</v>
      </c>
      <c r="E4480" t="s">
        <v>11032</v>
      </c>
      <c r="F4480" t="s">
        <v>11430</v>
      </c>
      <c r="G4480" t="s">
        <v>14893</v>
      </c>
      <c r="H4480" t="str">
        <f>HYPERLINK("https://baanknet.com/view-property/242768/220AB3EBC47FF4C94AFA3CFB652CA8D36CAFABA5AAD6E2BBAC980D2C1E7949DA", "https://baanknet.com/view-property/242768/220AB3EBC47FF4C94AFA3CFB652CA8D36CAFABA5AAD6E2BBAC980D2C1E7949DA")</f>
        <v>https://baanknet.com/view-property/242768/220AB3EBC47FF4C94AFA3CFB652CA8D36CAFABA5AAD6E2BBAC980D2C1E7949DA</v>
      </c>
      <c r="I4480" t="str">
        <f>HYPERLINK("https://baanknet.com/view-property/242768/220AB3EBC47FF4C94AFA3CFB652CA8D36CAFABA5AAD6E2BBAC980D2C1E7949DA", "Open")</f>
        <v>Open</v>
      </c>
      <c r="J4480" t="s">
        <v>3803</v>
      </c>
      <c r="L4480">
        <v>759600</v>
      </c>
      <c r="M4480">
        <v>75960</v>
      </c>
    </row>
    <row r="4481" spans="1:13" x14ac:dyDescent="0.25">
      <c r="A4481" t="s">
        <v>14894</v>
      </c>
      <c r="B4481" t="s">
        <v>14895</v>
      </c>
      <c r="C4481" t="s">
        <v>387</v>
      </c>
      <c r="D4481" t="s">
        <v>8462</v>
      </c>
      <c r="E4481" t="s">
        <v>11032</v>
      </c>
      <c r="F4481" t="s">
        <v>11430</v>
      </c>
      <c r="G4481" t="s">
        <v>14896</v>
      </c>
      <c r="H4481" t="str">
        <f>HYPERLINK("https://baanknet.com/view-property/242766/AF033A0C732C8574A8D9C7813CA229AF8B4EB2060190DD7E85E11F89BC302068", "https://baanknet.com/view-property/242766/AF033A0C732C8574A8D9C7813CA229AF8B4EB2060190DD7E85E11F89BC302068")</f>
        <v>https://baanknet.com/view-property/242766/AF033A0C732C8574A8D9C7813CA229AF8B4EB2060190DD7E85E11F89BC302068</v>
      </c>
      <c r="I4481" t="str">
        <f>HYPERLINK("https://baanknet.com/view-property/242766/AF033A0C732C8574A8D9C7813CA229AF8B4EB2060190DD7E85E11F89BC302068", "Open")</f>
        <v>Open</v>
      </c>
      <c r="J4481" t="s">
        <v>3803</v>
      </c>
      <c r="L4481">
        <v>675000</v>
      </c>
      <c r="M4481">
        <v>67500</v>
      </c>
    </row>
    <row r="4482" spans="1:13" x14ac:dyDescent="0.25">
      <c r="A4482" t="s">
        <v>14897</v>
      </c>
      <c r="B4482" t="s">
        <v>14898</v>
      </c>
      <c r="C4482" t="s">
        <v>387</v>
      </c>
      <c r="D4482" t="s">
        <v>2828</v>
      </c>
      <c r="E4482" t="s">
        <v>11032</v>
      </c>
      <c r="F4482" t="s">
        <v>11430</v>
      </c>
      <c r="G4482" t="s">
        <v>14899</v>
      </c>
      <c r="H4482" t="str">
        <f>HYPERLINK("https://baanknet.com/view-property/263280/4339BE79177D5EFA517133826FBA8B5ACCDA573B5A52215A141D1038B205E5D6", "https://baanknet.com/view-property/263280/4339BE79177D5EFA517133826FBA8B5ACCDA573B5A52215A141D1038B205E5D6")</f>
        <v>https://baanknet.com/view-property/263280/4339BE79177D5EFA517133826FBA8B5ACCDA573B5A52215A141D1038B205E5D6</v>
      </c>
      <c r="I4482" t="str">
        <f>HYPERLINK("https://baanknet.com/view-property/263280/4339BE79177D5EFA517133826FBA8B5ACCDA573B5A52215A141D1038B205E5D6", "Open")</f>
        <v>Open</v>
      </c>
      <c r="J4482" t="s">
        <v>3803</v>
      </c>
      <c r="L4482">
        <v>1008000</v>
      </c>
      <c r="M4482">
        <v>100800</v>
      </c>
    </row>
    <row r="4483" spans="1:13" x14ac:dyDescent="0.25">
      <c r="A4483" t="s">
        <v>14900</v>
      </c>
      <c r="B4483" t="s">
        <v>14901</v>
      </c>
      <c r="C4483" t="s">
        <v>387</v>
      </c>
      <c r="D4483" t="s">
        <v>14902</v>
      </c>
      <c r="E4483" t="s">
        <v>11032</v>
      </c>
      <c r="F4483" t="s">
        <v>11430</v>
      </c>
      <c r="G4483" t="s">
        <v>14903</v>
      </c>
      <c r="H4483" t="str">
        <f>HYPERLINK("https://baanknet.com/view-property/273288/E62D68FBAA5FFBD786B8A0C3D1AD5EA76248E0285F1F855B5CDE46F9C861F039", "https://baanknet.com/view-property/273288/E62D68FBAA5FFBD786B8A0C3D1AD5EA76248E0285F1F855B5CDE46F9C861F039")</f>
        <v>https://baanknet.com/view-property/273288/E62D68FBAA5FFBD786B8A0C3D1AD5EA76248E0285F1F855B5CDE46F9C861F039</v>
      </c>
      <c r="I4483" t="str">
        <f>HYPERLINK("https://baanknet.com/view-property/273288/E62D68FBAA5FFBD786B8A0C3D1AD5EA76248E0285F1F855B5CDE46F9C861F039", "Open")</f>
        <v>Open</v>
      </c>
      <c r="J4483" t="s">
        <v>3803</v>
      </c>
      <c r="L4483">
        <v>1197000</v>
      </c>
      <c r="M4483">
        <v>119700</v>
      </c>
    </row>
    <row r="4484" spans="1:13" x14ac:dyDescent="0.25">
      <c r="A4484" t="s">
        <v>14904</v>
      </c>
      <c r="B4484" t="s">
        <v>14905</v>
      </c>
      <c r="C4484" t="s">
        <v>387</v>
      </c>
      <c r="D4484" t="s">
        <v>6614</v>
      </c>
      <c r="E4484" t="s">
        <v>11032</v>
      </c>
      <c r="F4484" t="s">
        <v>11430</v>
      </c>
      <c r="G4484" t="s">
        <v>14906</v>
      </c>
      <c r="H4484" t="str">
        <f>HYPERLINK("https://baanknet.com/view-property/270823/47F0D4423FA54E79C100FF6ECB65850EB51A014B9E7726A6F2DA0E0DCBC626E4", "https://baanknet.com/view-property/270823/47F0D4423FA54E79C100FF6ECB65850EB51A014B9E7726A6F2DA0E0DCBC626E4")</f>
        <v>https://baanknet.com/view-property/270823/47F0D4423FA54E79C100FF6ECB65850EB51A014B9E7726A6F2DA0E0DCBC626E4</v>
      </c>
      <c r="I4484" t="str">
        <f>HYPERLINK("https://baanknet.com/view-property/270823/47F0D4423FA54E79C100FF6ECB65850EB51A014B9E7726A6F2DA0E0DCBC626E4", "Open")</f>
        <v>Open</v>
      </c>
      <c r="J4484" t="s">
        <v>3803</v>
      </c>
      <c r="L4484">
        <v>5932000</v>
      </c>
      <c r="M4484">
        <v>593200</v>
      </c>
    </row>
    <row r="4485" spans="1:13" x14ac:dyDescent="0.25">
      <c r="A4485" t="s">
        <v>14907</v>
      </c>
      <c r="B4485" t="s">
        <v>14908</v>
      </c>
      <c r="C4485" t="s">
        <v>387</v>
      </c>
      <c r="D4485" t="s">
        <v>8644</v>
      </c>
      <c r="E4485" t="s">
        <v>11032</v>
      </c>
      <c r="F4485" t="s">
        <v>11430</v>
      </c>
      <c r="G4485" t="s">
        <v>14909</v>
      </c>
      <c r="H4485" t="str">
        <f>HYPERLINK("https://baanknet.com/view-property/270868/A43491044D8222A3AE8A974556C7D27D691FD467A475C0813E427FE0C08591F8", "https://baanknet.com/view-property/270868/A43491044D8222A3AE8A974556C7D27D691FD467A475C0813E427FE0C08591F8")</f>
        <v>https://baanknet.com/view-property/270868/A43491044D8222A3AE8A974556C7D27D691FD467A475C0813E427FE0C08591F8</v>
      </c>
      <c r="I4485" t="str">
        <f>HYPERLINK("https://baanknet.com/view-property/270868/A43491044D8222A3AE8A974556C7D27D691FD467A475C0813E427FE0C08591F8", "Open")</f>
        <v>Open</v>
      </c>
      <c r="J4485" t="s">
        <v>3803</v>
      </c>
      <c r="L4485">
        <v>11500000</v>
      </c>
      <c r="M4485">
        <v>1150000</v>
      </c>
    </row>
    <row r="4486" spans="1:13" x14ac:dyDescent="0.25">
      <c r="A4486" t="s">
        <v>14910</v>
      </c>
      <c r="B4486" t="s">
        <v>14911</v>
      </c>
      <c r="C4486" t="s">
        <v>387</v>
      </c>
      <c r="D4486" t="s">
        <v>14912</v>
      </c>
      <c r="E4486" t="s">
        <v>11032</v>
      </c>
      <c r="F4486" t="s">
        <v>11430</v>
      </c>
      <c r="G4486" t="s">
        <v>14913</v>
      </c>
      <c r="H4486" t="str">
        <f>HYPERLINK("https://baanknet.com/view-property/213151/7715567A6204F9833C62A2325AB2F9E7E864471F896C24B8CC90E25AB8A9A1B9", "https://baanknet.com/view-property/213151/7715567A6204F9833C62A2325AB2F9E7E864471F896C24B8CC90E25AB8A9A1B9")</f>
        <v>https://baanknet.com/view-property/213151/7715567A6204F9833C62A2325AB2F9E7E864471F896C24B8CC90E25AB8A9A1B9</v>
      </c>
      <c r="I4486" t="str">
        <f>HYPERLINK("https://baanknet.com/view-property/213151/7715567A6204F9833C62A2325AB2F9E7E864471F896C24B8CC90E25AB8A9A1B9", "Open")</f>
        <v>Open</v>
      </c>
      <c r="J4486" t="s">
        <v>3803</v>
      </c>
      <c r="L4486">
        <v>695000</v>
      </c>
      <c r="M4486">
        <v>69500</v>
      </c>
    </row>
    <row r="4487" spans="1:13" x14ac:dyDescent="0.25">
      <c r="A4487" t="s">
        <v>14914</v>
      </c>
      <c r="B4487" t="s">
        <v>14915</v>
      </c>
      <c r="C4487" t="s">
        <v>387</v>
      </c>
      <c r="D4487" t="s">
        <v>14912</v>
      </c>
      <c r="E4487" t="s">
        <v>11032</v>
      </c>
      <c r="F4487" t="s">
        <v>11430</v>
      </c>
      <c r="G4487" t="s">
        <v>14916</v>
      </c>
      <c r="H4487" t="str">
        <f>HYPERLINK("https://baanknet.com/view-property/213199/91607FB6E252F33F8922AEA6BFB29B5D3282A4D9963543D8DDF7D7CCD6328F3F", "https://baanknet.com/view-property/213199/91607FB6E252F33F8922AEA6BFB29B5D3282A4D9963543D8DDF7D7CCD6328F3F")</f>
        <v>https://baanknet.com/view-property/213199/91607FB6E252F33F8922AEA6BFB29B5D3282A4D9963543D8DDF7D7CCD6328F3F</v>
      </c>
      <c r="I4487" t="str">
        <f>HYPERLINK("https://baanknet.com/view-property/213199/91607FB6E252F33F8922AEA6BFB29B5D3282A4D9963543D8DDF7D7CCD6328F3F", "Open")</f>
        <v>Open</v>
      </c>
      <c r="J4487" t="s">
        <v>3803</v>
      </c>
      <c r="L4487">
        <v>1215000</v>
      </c>
      <c r="M4487">
        <v>121500</v>
      </c>
    </row>
    <row r="4488" spans="1:13" x14ac:dyDescent="0.25">
      <c r="A4488" t="s">
        <v>14917</v>
      </c>
      <c r="B4488" t="s">
        <v>14918</v>
      </c>
      <c r="C4488" t="s">
        <v>387</v>
      </c>
      <c r="D4488" t="s">
        <v>14902</v>
      </c>
      <c r="E4488" t="s">
        <v>11032</v>
      </c>
      <c r="F4488" t="s">
        <v>11430</v>
      </c>
      <c r="G4488" t="s">
        <v>14919</v>
      </c>
      <c r="H4488" t="str">
        <f>HYPERLINK("https://baanknet.com/view-property/273304/79DECEF55D6EDF96A59A69A9463A4F477EC7F65D6F46C4D1331ECBF639132FB4", "https://baanknet.com/view-property/273304/79DECEF55D6EDF96A59A69A9463A4F477EC7F65D6F46C4D1331ECBF639132FB4")</f>
        <v>https://baanknet.com/view-property/273304/79DECEF55D6EDF96A59A69A9463A4F477EC7F65D6F46C4D1331ECBF639132FB4</v>
      </c>
      <c r="I4488" t="str">
        <f>HYPERLINK("https://baanknet.com/view-property/273304/79DECEF55D6EDF96A59A69A9463A4F477EC7F65D6F46C4D1331ECBF639132FB4", "Open")</f>
        <v>Open</v>
      </c>
      <c r="J4488" t="s">
        <v>3803</v>
      </c>
      <c r="L4488">
        <v>445500</v>
      </c>
      <c r="M4488">
        <v>44550</v>
      </c>
    </row>
    <row r="4489" spans="1:13" x14ac:dyDescent="0.25">
      <c r="A4489" t="s">
        <v>14920</v>
      </c>
      <c r="B4489" t="s">
        <v>14921</v>
      </c>
      <c r="C4489" t="s">
        <v>387</v>
      </c>
      <c r="D4489" t="s">
        <v>7744</v>
      </c>
      <c r="E4489" t="s">
        <v>11032</v>
      </c>
      <c r="F4489" t="s">
        <v>11430</v>
      </c>
      <c r="G4489" t="s">
        <v>14922</v>
      </c>
      <c r="H4489" t="str">
        <f>HYPERLINK("https://baanknet.com/view-property/235431/CDEE31232EAFFED91C95A03D123EA8FCA32A0F3C047D1501481F7EE0FB6A0D22", "https://baanknet.com/view-property/235431/CDEE31232EAFFED91C95A03D123EA8FCA32A0F3C047D1501481F7EE0FB6A0D22")</f>
        <v>https://baanknet.com/view-property/235431/CDEE31232EAFFED91C95A03D123EA8FCA32A0F3C047D1501481F7EE0FB6A0D22</v>
      </c>
      <c r="I4489" t="str">
        <f>HYPERLINK("https://baanknet.com/view-property/235431/CDEE31232EAFFED91C95A03D123EA8FCA32A0F3C047D1501481F7EE0FB6A0D22", "Open")</f>
        <v>Open</v>
      </c>
      <c r="J4489" t="s">
        <v>3803</v>
      </c>
      <c r="L4489">
        <v>700000</v>
      </c>
      <c r="M4489">
        <v>70000</v>
      </c>
    </row>
    <row r="4490" spans="1:13" x14ac:dyDescent="0.25">
      <c r="A4490" t="s">
        <v>14923</v>
      </c>
      <c r="B4490" t="s">
        <v>14924</v>
      </c>
      <c r="C4490" t="s">
        <v>387</v>
      </c>
      <c r="D4490" t="s">
        <v>14925</v>
      </c>
      <c r="E4490" t="s">
        <v>11032</v>
      </c>
      <c r="F4490" t="s">
        <v>11430</v>
      </c>
      <c r="G4490" t="s">
        <v>14926</v>
      </c>
      <c r="H4490" t="str">
        <f>HYPERLINK("https://baanknet.com/view-property/242821/A6CB0E3EAE5C8570C796FEECB642B7C52D9A4B8899666B43116A1CA8787D2B5F", "https://baanknet.com/view-property/242821/A6CB0E3EAE5C8570C796FEECB642B7C52D9A4B8899666B43116A1CA8787D2B5F")</f>
        <v>https://baanknet.com/view-property/242821/A6CB0E3EAE5C8570C796FEECB642B7C52D9A4B8899666B43116A1CA8787D2B5F</v>
      </c>
      <c r="I4490" t="str">
        <f>HYPERLINK("https://baanknet.com/view-property/242821/A6CB0E3EAE5C8570C796FEECB642B7C52D9A4B8899666B43116A1CA8787D2B5F", "Open")</f>
        <v>Open</v>
      </c>
      <c r="J4490" t="s">
        <v>3803</v>
      </c>
      <c r="L4490">
        <v>1896000</v>
      </c>
      <c r="M4490">
        <v>189600</v>
      </c>
    </row>
    <row r="4491" spans="1:13" x14ac:dyDescent="0.25">
      <c r="A4491" t="s">
        <v>14927</v>
      </c>
      <c r="B4491" t="s">
        <v>14928</v>
      </c>
      <c r="C4491" t="s">
        <v>387</v>
      </c>
      <c r="D4491" t="s">
        <v>14929</v>
      </c>
      <c r="E4491" t="s">
        <v>11032</v>
      </c>
      <c r="F4491" t="s">
        <v>11430</v>
      </c>
      <c r="G4491" t="s">
        <v>14930</v>
      </c>
      <c r="H4491" t="str">
        <f>HYPERLINK("https://baanknet.com/view-property/244838/7FC2E260ADC86E83693A1BFD587FA4ED15E0F3022C9B83562432F17D78151E04", "https://baanknet.com/view-property/244838/7FC2E260ADC86E83693A1BFD587FA4ED15E0F3022C9B83562432F17D78151E04")</f>
        <v>https://baanknet.com/view-property/244838/7FC2E260ADC86E83693A1BFD587FA4ED15E0F3022C9B83562432F17D78151E04</v>
      </c>
      <c r="I4491" t="str">
        <f>HYPERLINK("https://baanknet.com/view-property/244838/7FC2E260ADC86E83693A1BFD587FA4ED15E0F3022C9B83562432F17D78151E04", "Open")</f>
        <v>Open</v>
      </c>
      <c r="J4491" t="s">
        <v>3803</v>
      </c>
      <c r="L4491">
        <v>1722000</v>
      </c>
      <c r="M4491">
        <v>172200</v>
      </c>
    </row>
    <row r="4492" spans="1:13" x14ac:dyDescent="0.25">
      <c r="A4492" t="s">
        <v>14931</v>
      </c>
      <c r="B4492" t="s">
        <v>14932</v>
      </c>
      <c r="C4492" t="s">
        <v>387</v>
      </c>
      <c r="D4492" t="s">
        <v>14929</v>
      </c>
      <c r="E4492" t="s">
        <v>11032</v>
      </c>
      <c r="F4492" t="s">
        <v>11430</v>
      </c>
      <c r="G4492" t="s">
        <v>14933</v>
      </c>
      <c r="H4492" t="str">
        <f>HYPERLINK("https://baanknet.com/view-property/243643/E108192E799597653B9703230BF80377D0E61C5D0FFB882A03E2EFDECEC04611", "https://baanknet.com/view-property/243643/E108192E799597653B9703230BF80377D0E61C5D0FFB882A03E2EFDECEC04611")</f>
        <v>https://baanknet.com/view-property/243643/E108192E799597653B9703230BF80377D0E61C5D0FFB882A03E2EFDECEC04611</v>
      </c>
      <c r="I4492" t="str">
        <f>HYPERLINK("https://baanknet.com/view-property/243643/E108192E799597653B9703230BF80377D0E61C5D0FFB882A03E2EFDECEC04611", "Open")</f>
        <v>Open</v>
      </c>
      <c r="J4492" t="s">
        <v>3803</v>
      </c>
      <c r="L4492">
        <v>2354000</v>
      </c>
      <c r="M4492">
        <v>235400</v>
      </c>
    </row>
    <row r="4493" spans="1:13" x14ac:dyDescent="0.25">
      <c r="A4493" t="s">
        <v>14934</v>
      </c>
      <c r="B4493" t="s">
        <v>14935</v>
      </c>
      <c r="C4493" t="s">
        <v>387</v>
      </c>
      <c r="D4493" t="s">
        <v>282</v>
      </c>
      <c r="E4493" t="s">
        <v>11032</v>
      </c>
      <c r="F4493" t="s">
        <v>11010</v>
      </c>
      <c r="G4493" t="s">
        <v>14936</v>
      </c>
      <c r="H4493" t="str">
        <f>HYPERLINK("https://baanknet.com/view-property/259685/8FE75D51790F0FAFAECD77035D1D953B6470D65B39DD5D92921B191E8F117FF7", "https://baanknet.com/view-property/259685/8FE75D51790F0FAFAECD77035D1D953B6470D65B39DD5D92921B191E8F117FF7")</f>
        <v>https://baanknet.com/view-property/259685/8FE75D51790F0FAFAECD77035D1D953B6470D65B39DD5D92921B191E8F117FF7</v>
      </c>
      <c r="I4493" t="str">
        <f>HYPERLINK("https://baanknet.com/view-property/259685/8FE75D51790F0FAFAECD77035D1D953B6470D65B39DD5D92921B191E8F117FF7", "Open")</f>
        <v>Open</v>
      </c>
      <c r="J4493" t="s">
        <v>3803</v>
      </c>
      <c r="L4493">
        <v>925000</v>
      </c>
      <c r="M4493">
        <v>92500</v>
      </c>
    </row>
    <row r="4494" spans="1:13" x14ac:dyDescent="0.25">
      <c r="A4494" t="s">
        <v>14937</v>
      </c>
      <c r="B4494" t="s">
        <v>14938</v>
      </c>
      <c r="C4494" t="s">
        <v>387</v>
      </c>
      <c r="D4494" t="s">
        <v>282</v>
      </c>
      <c r="E4494" t="s">
        <v>11032</v>
      </c>
      <c r="F4494" t="s">
        <v>11010</v>
      </c>
      <c r="G4494" t="s">
        <v>14939</v>
      </c>
      <c r="H4494" t="str">
        <f>HYPERLINK("https://baanknet.com/view-property/259887/F20323E4B2902FD47A8A0928932D9022E64B088F168CE63E9C53DB6EE0B2EB48", "https://baanknet.com/view-property/259887/F20323E4B2902FD47A8A0928932D9022E64B088F168CE63E9C53DB6EE0B2EB48")</f>
        <v>https://baanknet.com/view-property/259887/F20323E4B2902FD47A8A0928932D9022E64B088F168CE63E9C53DB6EE0B2EB48</v>
      </c>
      <c r="I4494" t="str">
        <f>HYPERLINK("https://baanknet.com/view-property/259887/F20323E4B2902FD47A8A0928932D9022E64B088F168CE63E9C53DB6EE0B2EB48", "Open")</f>
        <v>Open</v>
      </c>
      <c r="J4494" t="s">
        <v>3803</v>
      </c>
      <c r="L4494">
        <v>2221000</v>
      </c>
      <c r="M4494">
        <v>222100</v>
      </c>
    </row>
    <row r="4495" spans="1:13" x14ac:dyDescent="0.25">
      <c r="A4495" t="s">
        <v>14940</v>
      </c>
      <c r="B4495" t="s">
        <v>14941</v>
      </c>
      <c r="C4495" t="s">
        <v>387</v>
      </c>
      <c r="D4495" t="s">
        <v>282</v>
      </c>
      <c r="E4495" t="s">
        <v>11032</v>
      </c>
      <c r="F4495" t="s">
        <v>11010</v>
      </c>
      <c r="G4495" t="s">
        <v>14942</v>
      </c>
      <c r="H4495" t="str">
        <f>HYPERLINK("https://baanknet.com/view-property/231225/7D92EFEA1C11D3D4322DF902404AAAB6F305EA913E7EC3255EDDA0006B57010F", "https://baanknet.com/view-property/231225/7D92EFEA1C11D3D4322DF902404AAAB6F305EA913E7EC3255EDDA0006B57010F")</f>
        <v>https://baanknet.com/view-property/231225/7D92EFEA1C11D3D4322DF902404AAAB6F305EA913E7EC3255EDDA0006B57010F</v>
      </c>
      <c r="I4495" t="str">
        <f>HYPERLINK("https://baanknet.com/view-property/231225/7D92EFEA1C11D3D4322DF902404AAAB6F305EA913E7EC3255EDDA0006B57010F", "Open")</f>
        <v>Open</v>
      </c>
      <c r="J4495" t="s">
        <v>3803</v>
      </c>
      <c r="L4495">
        <v>2142000</v>
      </c>
      <c r="M4495">
        <v>214200</v>
      </c>
    </row>
    <row r="4496" spans="1:13" x14ac:dyDescent="0.25">
      <c r="A4496" t="s">
        <v>14943</v>
      </c>
      <c r="B4496" t="s">
        <v>14944</v>
      </c>
      <c r="C4496" t="s">
        <v>387</v>
      </c>
      <c r="D4496" t="s">
        <v>282</v>
      </c>
      <c r="E4496" t="s">
        <v>11032</v>
      </c>
      <c r="F4496" t="s">
        <v>11010</v>
      </c>
      <c r="G4496" t="s">
        <v>14945</v>
      </c>
      <c r="H4496" t="str">
        <f>HYPERLINK("https://baanknet.com/view-property/231230/4A53A34BBDB59EA3C4D51035D11CFD57F1D8134EAEC29135178B76D683BE1C41", "https://baanknet.com/view-property/231230/4A53A34BBDB59EA3C4D51035D11CFD57F1D8134EAEC29135178B76D683BE1C41")</f>
        <v>https://baanknet.com/view-property/231230/4A53A34BBDB59EA3C4D51035D11CFD57F1D8134EAEC29135178B76D683BE1C41</v>
      </c>
      <c r="I4496" t="str">
        <f>HYPERLINK("https://baanknet.com/view-property/231230/4A53A34BBDB59EA3C4D51035D11CFD57F1D8134EAEC29135178B76D683BE1C41", "Open")</f>
        <v>Open</v>
      </c>
      <c r="J4496" t="s">
        <v>3803</v>
      </c>
      <c r="L4496">
        <v>2142000</v>
      </c>
      <c r="M4496">
        <v>214200</v>
      </c>
    </row>
    <row r="4497" spans="1:13" x14ac:dyDescent="0.25">
      <c r="A4497" t="s">
        <v>14946</v>
      </c>
      <c r="B4497" t="s">
        <v>14947</v>
      </c>
      <c r="C4497" t="s">
        <v>387</v>
      </c>
      <c r="D4497" t="s">
        <v>282</v>
      </c>
      <c r="E4497" t="s">
        <v>11032</v>
      </c>
      <c r="F4497" t="s">
        <v>11010</v>
      </c>
      <c r="G4497" t="s">
        <v>14948</v>
      </c>
      <c r="H4497" t="str">
        <f>HYPERLINK("https://baanknet.com/view-property/284369/FC8BFD77A37EA3A46E9996A6E34973B05A592DA12EC6BD8316224A21DD9A7554", "https://baanknet.com/view-property/284369/FC8BFD77A37EA3A46E9996A6E34973B05A592DA12EC6BD8316224A21DD9A7554")</f>
        <v>https://baanknet.com/view-property/284369/FC8BFD77A37EA3A46E9996A6E34973B05A592DA12EC6BD8316224A21DD9A7554</v>
      </c>
      <c r="I4497" t="str">
        <f>HYPERLINK("https://baanknet.com/view-property/284369/FC8BFD77A37EA3A46E9996A6E34973B05A592DA12EC6BD8316224A21DD9A7554", "Open")</f>
        <v>Open</v>
      </c>
      <c r="J4497" t="s">
        <v>3803</v>
      </c>
      <c r="L4497">
        <v>858000</v>
      </c>
      <c r="M4497">
        <v>85800</v>
      </c>
    </row>
    <row r="4498" spans="1:13" x14ac:dyDescent="0.25">
      <c r="A4498" t="s">
        <v>14949</v>
      </c>
      <c r="B4498" t="s">
        <v>14950</v>
      </c>
      <c r="C4498" t="s">
        <v>387</v>
      </c>
      <c r="D4498" t="s">
        <v>282</v>
      </c>
      <c r="E4498" t="s">
        <v>11032</v>
      </c>
      <c r="F4498" t="s">
        <v>11010</v>
      </c>
      <c r="G4498" t="s">
        <v>14951</v>
      </c>
      <c r="H4498" t="str">
        <f>HYPERLINK("https://baanknet.com/view-property/284358/B16732FC1FF4DDB1A2E18129AB878F2FF651CB4408CDDCC242EA0B93BF91E387", "https://baanknet.com/view-property/284358/B16732FC1FF4DDB1A2E18129AB878F2FF651CB4408CDDCC242EA0B93BF91E387")</f>
        <v>https://baanknet.com/view-property/284358/B16732FC1FF4DDB1A2E18129AB878F2FF651CB4408CDDCC242EA0B93BF91E387</v>
      </c>
      <c r="I4498" t="str">
        <f>HYPERLINK("https://baanknet.com/view-property/284358/B16732FC1FF4DDB1A2E18129AB878F2FF651CB4408CDDCC242EA0B93BF91E387", "Open")</f>
        <v>Open</v>
      </c>
      <c r="J4498" t="s">
        <v>3803</v>
      </c>
      <c r="L4498">
        <v>949500</v>
      </c>
      <c r="M4498">
        <v>94950</v>
      </c>
    </row>
    <row r="4499" spans="1:13" x14ac:dyDescent="0.25">
      <c r="A4499" t="s">
        <v>14952</v>
      </c>
      <c r="B4499" t="s">
        <v>14953</v>
      </c>
      <c r="C4499" t="s">
        <v>387</v>
      </c>
      <c r="D4499" t="s">
        <v>9101</v>
      </c>
      <c r="E4499" t="s">
        <v>11032</v>
      </c>
      <c r="F4499" t="s">
        <v>11010</v>
      </c>
      <c r="G4499" t="s">
        <v>14954</v>
      </c>
      <c r="H4499" t="str">
        <f>HYPERLINK("https://baanknet.com/view-property/221012/09F05F0F70625BD8A62727873F48636ACC46AD43EBD45FDC5078BB5438E7EEDE", "https://baanknet.com/view-property/221012/09F05F0F70625BD8A62727873F48636ACC46AD43EBD45FDC5078BB5438E7EEDE")</f>
        <v>https://baanknet.com/view-property/221012/09F05F0F70625BD8A62727873F48636ACC46AD43EBD45FDC5078BB5438E7EEDE</v>
      </c>
      <c r="I4499" t="str">
        <f>HYPERLINK("https://baanknet.com/view-property/221012/09F05F0F70625BD8A62727873F48636ACC46AD43EBD45FDC5078BB5438E7EEDE", "Open")</f>
        <v>Open</v>
      </c>
      <c r="J4499" t="s">
        <v>3803</v>
      </c>
      <c r="L4499">
        <v>2510000</v>
      </c>
      <c r="M4499">
        <v>251000</v>
      </c>
    </row>
    <row r="4500" spans="1:13" x14ac:dyDescent="0.25">
      <c r="A4500" t="s">
        <v>14955</v>
      </c>
      <c r="B4500" t="s">
        <v>14956</v>
      </c>
      <c r="C4500" t="s">
        <v>387</v>
      </c>
      <c r="D4500" t="s">
        <v>9101</v>
      </c>
      <c r="E4500" t="s">
        <v>11032</v>
      </c>
      <c r="F4500" t="s">
        <v>11010</v>
      </c>
      <c r="G4500" t="s">
        <v>14957</v>
      </c>
      <c r="H4500" t="str">
        <f>HYPERLINK("https://baanknet.com/view-property/248303/D106F0373C00CBBE36849B5B27E8856B92BE9030BA443B627DD8512B0976F2EF", "https://baanknet.com/view-property/248303/D106F0373C00CBBE36849B5B27E8856B92BE9030BA443B627DD8512B0976F2EF")</f>
        <v>https://baanknet.com/view-property/248303/D106F0373C00CBBE36849B5B27E8856B92BE9030BA443B627DD8512B0976F2EF</v>
      </c>
      <c r="I4500" t="str">
        <f>HYPERLINK("https://baanknet.com/view-property/248303/D106F0373C00CBBE36849B5B27E8856B92BE9030BA443B627DD8512B0976F2EF", "Open")</f>
        <v>Open</v>
      </c>
      <c r="J4500" t="s">
        <v>3803</v>
      </c>
      <c r="L4500">
        <v>1291000</v>
      </c>
      <c r="M4500">
        <v>129100</v>
      </c>
    </row>
    <row r="4501" spans="1:13" x14ac:dyDescent="0.25">
      <c r="A4501" t="s">
        <v>14958</v>
      </c>
      <c r="B4501" t="s">
        <v>14959</v>
      </c>
      <c r="C4501" t="s">
        <v>387</v>
      </c>
      <c r="D4501" t="s">
        <v>282</v>
      </c>
      <c r="E4501" t="s">
        <v>11032</v>
      </c>
      <c r="F4501" t="s">
        <v>11010</v>
      </c>
      <c r="G4501" t="s">
        <v>14960</v>
      </c>
      <c r="H4501" t="str">
        <f>HYPERLINK("https://baanknet.com/view-property/272271/84559CBCB2384B7C7EE4940E4D3952C714C3F1F88A5F108DFF2CDC10EA48E147", "https://baanknet.com/view-property/272271/84559CBCB2384B7C7EE4940E4D3952C714C3F1F88A5F108DFF2CDC10EA48E147")</f>
        <v>https://baanknet.com/view-property/272271/84559CBCB2384B7C7EE4940E4D3952C714C3F1F88A5F108DFF2CDC10EA48E147</v>
      </c>
      <c r="I4501" t="str">
        <f>HYPERLINK("https://baanknet.com/view-property/272271/84559CBCB2384B7C7EE4940E4D3952C714C3F1F88A5F108DFF2CDC10EA48E147", "Open")</f>
        <v>Open</v>
      </c>
      <c r="J4501" t="s">
        <v>3803</v>
      </c>
      <c r="L4501">
        <v>576000</v>
      </c>
      <c r="M4501">
        <v>57600</v>
      </c>
    </row>
    <row r="4502" spans="1:13" x14ac:dyDescent="0.25">
      <c r="A4502" t="s">
        <v>14961</v>
      </c>
      <c r="B4502" t="s">
        <v>14962</v>
      </c>
      <c r="C4502" t="s">
        <v>387</v>
      </c>
      <c r="D4502" t="s">
        <v>282</v>
      </c>
      <c r="E4502" t="s">
        <v>11032</v>
      </c>
      <c r="F4502" t="s">
        <v>11010</v>
      </c>
      <c r="G4502" t="s">
        <v>14963</v>
      </c>
      <c r="H4502" t="str">
        <f>HYPERLINK("https://baanknet.com/view-property/272379/2F27038C0B211ED6696A43B9DA1D4355D76A6983AABC9AA383A21A9C9E62A5A6", "https://baanknet.com/view-property/272379/2F27038C0B211ED6696A43B9DA1D4355D76A6983AABC9AA383A21A9C9E62A5A6")</f>
        <v>https://baanknet.com/view-property/272379/2F27038C0B211ED6696A43B9DA1D4355D76A6983AABC9AA383A21A9C9E62A5A6</v>
      </c>
      <c r="I4502" t="str">
        <f>HYPERLINK("https://baanknet.com/view-property/272379/2F27038C0B211ED6696A43B9DA1D4355D76A6983AABC9AA383A21A9C9E62A5A6", "Open")</f>
        <v>Open</v>
      </c>
      <c r="J4502" t="s">
        <v>3803</v>
      </c>
      <c r="L4502">
        <v>576000</v>
      </c>
      <c r="M4502">
        <v>57600</v>
      </c>
    </row>
    <row r="4503" spans="1:13" x14ac:dyDescent="0.25">
      <c r="A4503" t="s">
        <v>14964</v>
      </c>
      <c r="B4503" t="s">
        <v>14965</v>
      </c>
      <c r="C4503" t="s">
        <v>387</v>
      </c>
      <c r="D4503" t="s">
        <v>282</v>
      </c>
      <c r="E4503" t="s">
        <v>11032</v>
      </c>
      <c r="F4503" t="s">
        <v>11010</v>
      </c>
      <c r="G4503" t="s">
        <v>14966</v>
      </c>
      <c r="H4503" t="str">
        <f>HYPERLINK("https://baanknet.com/view-property/272370/3369BF9D333549C921AECA9FE73D3FD65F2F3788E581C3947BB5BB8CACFF9A05", "https://baanknet.com/view-property/272370/3369BF9D333549C921AECA9FE73D3FD65F2F3788E581C3947BB5BB8CACFF9A05")</f>
        <v>https://baanknet.com/view-property/272370/3369BF9D333549C921AECA9FE73D3FD65F2F3788E581C3947BB5BB8CACFF9A05</v>
      </c>
      <c r="I4503" t="str">
        <f>HYPERLINK("https://baanknet.com/view-property/272370/3369BF9D333549C921AECA9FE73D3FD65F2F3788E581C3947BB5BB8CACFF9A05", "Open")</f>
        <v>Open</v>
      </c>
      <c r="J4503" t="s">
        <v>3803</v>
      </c>
      <c r="L4503">
        <v>1482000</v>
      </c>
      <c r="M4503">
        <v>148200</v>
      </c>
    </row>
    <row r="4504" spans="1:13" x14ac:dyDescent="0.25">
      <c r="A4504" t="s">
        <v>14967</v>
      </c>
      <c r="B4504" t="s">
        <v>14968</v>
      </c>
      <c r="C4504" t="s">
        <v>387</v>
      </c>
      <c r="D4504" t="s">
        <v>282</v>
      </c>
      <c r="E4504" t="s">
        <v>11032</v>
      </c>
      <c r="F4504" t="s">
        <v>11010</v>
      </c>
      <c r="G4504" t="s">
        <v>14969</v>
      </c>
      <c r="H4504" t="str">
        <f>HYPERLINK("https://baanknet.com/view-property/250715/B7FD7EEC83DB8D093543C14C0BEF3C0E654A81BD87E5844CD63703DD74F023C4", "https://baanknet.com/view-property/250715/B7FD7EEC83DB8D093543C14C0BEF3C0E654A81BD87E5844CD63703DD74F023C4")</f>
        <v>https://baanknet.com/view-property/250715/B7FD7EEC83DB8D093543C14C0BEF3C0E654A81BD87E5844CD63703DD74F023C4</v>
      </c>
      <c r="I4504" t="str">
        <f>HYPERLINK("https://baanknet.com/view-property/250715/B7FD7EEC83DB8D093543C14C0BEF3C0E654A81BD87E5844CD63703DD74F023C4", "Open")</f>
        <v>Open</v>
      </c>
      <c r="J4504" t="s">
        <v>3803</v>
      </c>
      <c r="L4504">
        <v>766000</v>
      </c>
      <c r="M4504">
        <v>76600</v>
      </c>
    </row>
    <row r="4505" spans="1:13" x14ac:dyDescent="0.25">
      <c r="A4505" t="s">
        <v>14970</v>
      </c>
      <c r="B4505" t="s">
        <v>14971</v>
      </c>
      <c r="C4505" t="s">
        <v>387</v>
      </c>
      <c r="D4505" t="s">
        <v>518</v>
      </c>
      <c r="E4505" t="s">
        <v>11032</v>
      </c>
      <c r="F4505" t="s">
        <v>11010</v>
      </c>
      <c r="G4505" t="s">
        <v>14972</v>
      </c>
      <c r="H4505" t="str">
        <f>HYPERLINK("https://baanknet.com/view-property/249374/B6175803DF6335F8F5D0E55C3024141D6949E1D2CAA23E08EB85312D1DAF0A3A", "https://baanknet.com/view-property/249374/B6175803DF6335F8F5D0E55C3024141D6949E1D2CAA23E08EB85312D1DAF0A3A")</f>
        <v>https://baanknet.com/view-property/249374/B6175803DF6335F8F5D0E55C3024141D6949E1D2CAA23E08EB85312D1DAF0A3A</v>
      </c>
      <c r="I4505" t="str">
        <f>HYPERLINK("https://baanknet.com/view-property/249374/B6175803DF6335F8F5D0E55C3024141D6949E1D2CAA23E08EB85312D1DAF0A3A", "Open")</f>
        <v>Open</v>
      </c>
      <c r="J4505" t="s">
        <v>3803</v>
      </c>
      <c r="L4505">
        <v>764000</v>
      </c>
      <c r="M4505">
        <v>76400</v>
      </c>
    </row>
    <row r="4506" spans="1:13" x14ac:dyDescent="0.25">
      <c r="A4506" t="s">
        <v>14973</v>
      </c>
      <c r="B4506" t="s">
        <v>14974</v>
      </c>
      <c r="C4506" t="s">
        <v>387</v>
      </c>
      <c r="D4506" t="s">
        <v>14807</v>
      </c>
      <c r="E4506" t="s">
        <v>11032</v>
      </c>
      <c r="F4506" t="s">
        <v>11010</v>
      </c>
      <c r="G4506" t="s">
        <v>14975</v>
      </c>
      <c r="H4506" t="str">
        <f>HYPERLINK("https://baanknet.com/view-property/287662/3F806CB05373CCF1E0C0FD65716942497B6D9A9A93370343ECA224A1E1918349", "https://baanknet.com/view-property/287662/3F806CB05373CCF1E0C0FD65716942497B6D9A9A93370343ECA224A1E1918349")</f>
        <v>https://baanknet.com/view-property/287662/3F806CB05373CCF1E0C0FD65716942497B6D9A9A93370343ECA224A1E1918349</v>
      </c>
      <c r="I4506" t="str">
        <f>HYPERLINK("https://baanknet.com/view-property/287662/3F806CB05373CCF1E0C0FD65716942497B6D9A9A93370343ECA224A1E1918349", "Open")</f>
        <v>Open</v>
      </c>
      <c r="J4506" t="s">
        <v>3803</v>
      </c>
      <c r="L4506">
        <v>5895000</v>
      </c>
      <c r="M4506">
        <v>589500</v>
      </c>
    </row>
    <row r="4507" spans="1:13" x14ac:dyDescent="0.25">
      <c r="A4507" t="s">
        <v>14976</v>
      </c>
      <c r="B4507" t="s">
        <v>14977</v>
      </c>
      <c r="C4507" t="s">
        <v>387</v>
      </c>
      <c r="D4507" t="s">
        <v>14807</v>
      </c>
      <c r="E4507" t="s">
        <v>11032</v>
      </c>
      <c r="F4507" t="s">
        <v>11010</v>
      </c>
      <c r="G4507" t="s">
        <v>14978</v>
      </c>
      <c r="H4507" t="str">
        <f>HYPERLINK("https://baanknet.com/view-property/287659/E661436249497B8617DD0F3E805993AA0FD46D78C573231AC22978072158C33D", "https://baanknet.com/view-property/287659/E661436249497B8617DD0F3E805993AA0FD46D78C573231AC22978072158C33D")</f>
        <v>https://baanknet.com/view-property/287659/E661436249497B8617DD0F3E805993AA0FD46D78C573231AC22978072158C33D</v>
      </c>
      <c r="I4507" t="str">
        <f>HYPERLINK("https://baanknet.com/view-property/287659/E661436249497B8617DD0F3E805993AA0FD46D78C573231AC22978072158C33D", "Open")</f>
        <v>Open</v>
      </c>
      <c r="J4507" t="s">
        <v>3803</v>
      </c>
      <c r="L4507">
        <v>4275000</v>
      </c>
      <c r="M4507">
        <v>427500</v>
      </c>
    </row>
    <row r="4508" spans="1:13" x14ac:dyDescent="0.25">
      <c r="A4508" t="s">
        <v>14979</v>
      </c>
      <c r="B4508" t="s">
        <v>14980</v>
      </c>
      <c r="C4508" t="s">
        <v>387</v>
      </c>
      <c r="D4508" t="s">
        <v>1761</v>
      </c>
      <c r="E4508" t="s">
        <v>11032</v>
      </c>
      <c r="F4508" t="s">
        <v>11010</v>
      </c>
      <c r="G4508" t="s">
        <v>14981</v>
      </c>
      <c r="H4508" t="str">
        <f>HYPERLINK("https://baanknet.com/view-property/287637/1A356A8CB7F1AE7317A0BD7D389C2EE069457A2B6752563AD4685A3AF3E34470", "https://baanknet.com/view-property/287637/1A356A8CB7F1AE7317A0BD7D389C2EE069457A2B6752563AD4685A3AF3E34470")</f>
        <v>https://baanknet.com/view-property/287637/1A356A8CB7F1AE7317A0BD7D389C2EE069457A2B6752563AD4685A3AF3E34470</v>
      </c>
      <c r="I4508" t="str">
        <f>HYPERLINK("https://baanknet.com/view-property/287637/1A356A8CB7F1AE7317A0BD7D389C2EE069457A2B6752563AD4685A3AF3E34470", "Open")</f>
        <v>Open</v>
      </c>
      <c r="J4508" t="s">
        <v>3803</v>
      </c>
      <c r="L4508">
        <v>2450000</v>
      </c>
      <c r="M4508">
        <v>245000</v>
      </c>
    </row>
    <row r="4509" spans="1:13" x14ac:dyDescent="0.25">
      <c r="A4509" t="s">
        <v>14982</v>
      </c>
      <c r="B4509" t="s">
        <v>14983</v>
      </c>
      <c r="C4509" t="s">
        <v>387</v>
      </c>
      <c r="D4509" t="s">
        <v>14984</v>
      </c>
      <c r="E4509" t="s">
        <v>11032</v>
      </c>
      <c r="F4509" t="s">
        <v>11010</v>
      </c>
      <c r="G4509" t="s">
        <v>14985</v>
      </c>
      <c r="H4509" t="str">
        <f>HYPERLINK("https://baanknet.com/view-property/287633/4654328A6B1E3D4C2008673ED3A6ED564375F9339A7CFBF2DC341A251B8FFE5B", "https://baanknet.com/view-property/287633/4654328A6B1E3D4C2008673ED3A6ED564375F9339A7CFBF2DC341A251B8FFE5B")</f>
        <v>https://baanknet.com/view-property/287633/4654328A6B1E3D4C2008673ED3A6ED564375F9339A7CFBF2DC341A251B8FFE5B</v>
      </c>
      <c r="I4509" t="str">
        <f>HYPERLINK("https://baanknet.com/view-property/287633/4654328A6B1E3D4C2008673ED3A6ED564375F9339A7CFBF2DC341A251B8FFE5B", "Open")</f>
        <v>Open</v>
      </c>
      <c r="J4509" t="s">
        <v>3803</v>
      </c>
      <c r="L4509">
        <v>2230000</v>
      </c>
      <c r="M4509">
        <v>223000</v>
      </c>
    </row>
    <row r="4510" spans="1:13" x14ac:dyDescent="0.25">
      <c r="A4510" t="s">
        <v>14986</v>
      </c>
      <c r="B4510" t="s">
        <v>14987</v>
      </c>
      <c r="C4510" t="s">
        <v>387</v>
      </c>
      <c r="D4510" t="s">
        <v>14988</v>
      </c>
      <c r="E4510" t="s">
        <v>11032</v>
      </c>
      <c r="F4510" t="s">
        <v>11010</v>
      </c>
      <c r="G4510" t="s">
        <v>14989</v>
      </c>
      <c r="H4510" t="str">
        <f>HYPERLINK("https://baanknet.com/view-property/287628/2C9CB5FA29C0792AC17384051F24333141EFC7649F77287645847C77BC717D93", "https://baanknet.com/view-property/287628/2C9CB5FA29C0792AC17384051F24333141EFC7649F77287645847C77BC717D93")</f>
        <v>https://baanknet.com/view-property/287628/2C9CB5FA29C0792AC17384051F24333141EFC7649F77287645847C77BC717D93</v>
      </c>
      <c r="I4510" t="str">
        <f>HYPERLINK("https://baanknet.com/view-property/287628/2C9CB5FA29C0792AC17384051F24333141EFC7649F77287645847C77BC717D93", "Open")</f>
        <v>Open</v>
      </c>
      <c r="J4510" t="s">
        <v>3803</v>
      </c>
      <c r="L4510">
        <v>6538000</v>
      </c>
      <c r="M4510">
        <v>653800</v>
      </c>
    </row>
    <row r="4511" spans="1:13" x14ac:dyDescent="0.25">
      <c r="A4511" t="s">
        <v>14990</v>
      </c>
      <c r="B4511" t="s">
        <v>14991</v>
      </c>
      <c r="C4511" t="s">
        <v>387</v>
      </c>
      <c r="D4511" t="s">
        <v>14992</v>
      </c>
      <c r="E4511" t="s">
        <v>11032</v>
      </c>
      <c r="F4511" t="s">
        <v>11010</v>
      </c>
      <c r="G4511" t="s">
        <v>14993</v>
      </c>
      <c r="H4511" t="str">
        <f>HYPERLINK("https://baanknet.com/view-property/287618/036B319F5F4486EF89C755A22DDFDFB9130D5DCECCB44BF20FA3549A261A7DAC", "https://baanknet.com/view-property/287618/036B319F5F4486EF89C755A22DDFDFB9130D5DCECCB44BF20FA3549A261A7DAC")</f>
        <v>https://baanknet.com/view-property/287618/036B319F5F4486EF89C755A22DDFDFB9130D5DCECCB44BF20FA3549A261A7DAC</v>
      </c>
      <c r="I4511" t="str">
        <f>HYPERLINK("https://baanknet.com/view-property/287618/036B319F5F4486EF89C755A22DDFDFB9130D5DCECCB44BF20FA3549A261A7DAC", "Open")</f>
        <v>Open</v>
      </c>
      <c r="J4511" t="s">
        <v>3803</v>
      </c>
      <c r="L4511">
        <v>6497000</v>
      </c>
      <c r="M4511">
        <v>649700</v>
      </c>
    </row>
    <row r="4512" spans="1:13" x14ac:dyDescent="0.25">
      <c r="A4512" t="s">
        <v>14994</v>
      </c>
      <c r="B4512" t="s">
        <v>14995</v>
      </c>
      <c r="C4512" t="s">
        <v>387</v>
      </c>
      <c r="D4512" t="s">
        <v>14988</v>
      </c>
      <c r="E4512" t="s">
        <v>11032</v>
      </c>
      <c r="F4512" t="s">
        <v>11010</v>
      </c>
      <c r="G4512" t="s">
        <v>14996</v>
      </c>
      <c r="H4512" t="str">
        <f>HYPERLINK("https://baanknet.com/view-property/287615/FC13CF8B0D1434AB63A6B2543EAA820CBC314AA38DC7736DC56ACD341F20FBC6", "https://baanknet.com/view-property/287615/FC13CF8B0D1434AB63A6B2543EAA820CBC314AA38DC7736DC56ACD341F20FBC6")</f>
        <v>https://baanknet.com/view-property/287615/FC13CF8B0D1434AB63A6B2543EAA820CBC314AA38DC7736DC56ACD341F20FBC6</v>
      </c>
      <c r="I4512" t="str">
        <f>HYPERLINK("https://baanknet.com/view-property/287615/FC13CF8B0D1434AB63A6B2543EAA820CBC314AA38DC7736DC56ACD341F20FBC6", "Open")</f>
        <v>Open</v>
      </c>
      <c r="J4512" t="s">
        <v>3803</v>
      </c>
      <c r="L4512">
        <v>3407500</v>
      </c>
      <c r="M4512">
        <v>340750</v>
      </c>
    </row>
    <row r="4513" spans="1:13" x14ac:dyDescent="0.25">
      <c r="A4513" t="s">
        <v>14997</v>
      </c>
      <c r="B4513" t="s">
        <v>14998</v>
      </c>
      <c r="C4513" t="s">
        <v>387</v>
      </c>
      <c r="D4513" t="s">
        <v>282</v>
      </c>
      <c r="E4513" t="s">
        <v>11032</v>
      </c>
      <c r="F4513" t="s">
        <v>11010</v>
      </c>
      <c r="G4513" t="s">
        <v>14999</v>
      </c>
      <c r="H4513" t="str">
        <f>HYPERLINK("https://baanknet.com/view-property/262238/D6C457CA24645B3DCC602493DFE972D326EB0EB9EFF5508D5A4F48D00FF26700", "https://baanknet.com/view-property/262238/D6C457CA24645B3DCC602493DFE972D326EB0EB9EFF5508D5A4F48D00FF26700")</f>
        <v>https://baanknet.com/view-property/262238/D6C457CA24645B3DCC602493DFE972D326EB0EB9EFF5508D5A4F48D00FF26700</v>
      </c>
      <c r="I4513" t="str">
        <f>HYPERLINK("https://baanknet.com/view-property/262238/D6C457CA24645B3DCC602493DFE972D326EB0EB9EFF5508D5A4F48D00FF26700", "Open")</f>
        <v>Open</v>
      </c>
      <c r="J4513" t="s">
        <v>3803</v>
      </c>
      <c r="L4513">
        <v>830000</v>
      </c>
      <c r="M4513">
        <v>83000</v>
      </c>
    </row>
    <row r="4514" spans="1:13" x14ac:dyDescent="0.25">
      <c r="A4514" t="s">
        <v>15000</v>
      </c>
      <c r="B4514" t="s">
        <v>15001</v>
      </c>
      <c r="C4514" t="s">
        <v>387</v>
      </c>
      <c r="D4514" t="s">
        <v>282</v>
      </c>
      <c r="E4514" t="s">
        <v>11032</v>
      </c>
      <c r="F4514" t="s">
        <v>11010</v>
      </c>
      <c r="G4514" t="s">
        <v>15002</v>
      </c>
      <c r="H4514" t="str">
        <f>HYPERLINK("https://baanknet.com/view-property/221018/76D192D4E1B60431F16D240BFDFF3C458AC4437EE046DA066C2C48797784A20D", "https://baanknet.com/view-property/221018/76D192D4E1B60431F16D240BFDFF3C458AC4437EE046DA066C2C48797784A20D")</f>
        <v>https://baanknet.com/view-property/221018/76D192D4E1B60431F16D240BFDFF3C458AC4437EE046DA066C2C48797784A20D</v>
      </c>
      <c r="I4514" t="str">
        <f>HYPERLINK("https://baanknet.com/view-property/221018/76D192D4E1B60431F16D240BFDFF3C458AC4437EE046DA066C2C48797784A20D", "Open")</f>
        <v>Open</v>
      </c>
      <c r="J4514" t="s">
        <v>3803</v>
      </c>
      <c r="L4514">
        <v>1080000</v>
      </c>
      <c r="M4514">
        <v>108000</v>
      </c>
    </row>
    <row r="4515" spans="1:13" x14ac:dyDescent="0.25">
      <c r="A4515" t="s">
        <v>15003</v>
      </c>
      <c r="B4515" t="s">
        <v>15004</v>
      </c>
      <c r="C4515" t="s">
        <v>387</v>
      </c>
      <c r="D4515" t="s">
        <v>282</v>
      </c>
      <c r="E4515" t="s">
        <v>11032</v>
      </c>
      <c r="F4515" t="s">
        <v>11010</v>
      </c>
      <c r="G4515" t="s">
        <v>15005</v>
      </c>
      <c r="H4515" t="str">
        <f>HYPERLINK("https://baanknet.com/view-property/272251/46EBB62285F6219E39211AC983B2DF3FFBE95E1280D1D39EF1DFE0A851815B16", "https://baanknet.com/view-property/272251/46EBB62285F6219E39211AC983B2DF3FFBE95E1280D1D39EF1DFE0A851815B16")</f>
        <v>https://baanknet.com/view-property/272251/46EBB62285F6219E39211AC983B2DF3FFBE95E1280D1D39EF1DFE0A851815B16</v>
      </c>
      <c r="I4515" t="str">
        <f>HYPERLINK("https://baanknet.com/view-property/272251/46EBB62285F6219E39211AC983B2DF3FFBE95E1280D1D39EF1DFE0A851815B16", "Open")</f>
        <v>Open</v>
      </c>
      <c r="J4515" t="s">
        <v>3803</v>
      </c>
      <c r="L4515">
        <v>665000</v>
      </c>
      <c r="M4515">
        <v>66500</v>
      </c>
    </row>
    <row r="4516" spans="1:13" x14ac:dyDescent="0.25">
      <c r="A4516" t="s">
        <v>15006</v>
      </c>
      <c r="B4516" t="s">
        <v>15007</v>
      </c>
      <c r="C4516" t="s">
        <v>387</v>
      </c>
      <c r="D4516" t="s">
        <v>282</v>
      </c>
      <c r="E4516" t="s">
        <v>11032</v>
      </c>
      <c r="F4516" t="s">
        <v>11010</v>
      </c>
      <c r="G4516" t="s">
        <v>15008</v>
      </c>
      <c r="H4516" t="str">
        <f>HYPERLINK("https://baanknet.com/view-property/221019/B62D1C729ED8D07FFDE667699B78B2ACFCA0F25DDB93B9014BB2DA0056ED6AD2", "https://baanknet.com/view-property/221019/B62D1C729ED8D07FFDE667699B78B2ACFCA0F25DDB93B9014BB2DA0056ED6AD2")</f>
        <v>https://baanknet.com/view-property/221019/B62D1C729ED8D07FFDE667699B78B2ACFCA0F25DDB93B9014BB2DA0056ED6AD2</v>
      </c>
      <c r="I4516" t="str">
        <f>HYPERLINK("https://baanknet.com/view-property/221019/B62D1C729ED8D07FFDE667699B78B2ACFCA0F25DDB93B9014BB2DA0056ED6AD2", "Open")</f>
        <v>Open</v>
      </c>
      <c r="J4516" t="s">
        <v>3803</v>
      </c>
      <c r="L4516">
        <v>720000</v>
      </c>
      <c r="M4516">
        <v>72000</v>
      </c>
    </row>
    <row r="4517" spans="1:13" x14ac:dyDescent="0.25">
      <c r="A4517" t="s">
        <v>15009</v>
      </c>
      <c r="B4517" t="s">
        <v>15010</v>
      </c>
      <c r="C4517" t="s">
        <v>387</v>
      </c>
      <c r="D4517" t="s">
        <v>282</v>
      </c>
      <c r="E4517" t="s">
        <v>11032</v>
      </c>
      <c r="F4517" t="s">
        <v>11010</v>
      </c>
      <c r="G4517" t="s">
        <v>15011</v>
      </c>
      <c r="H4517" t="str">
        <f>HYPERLINK("https://baanknet.com/view-property/262187/82E1965E21D858537811A77D68F232DF6DC0492E0601873087A5F87D61E1DED0", "https://baanknet.com/view-property/262187/82E1965E21D858537811A77D68F232DF6DC0492E0601873087A5F87D61E1DED0")</f>
        <v>https://baanknet.com/view-property/262187/82E1965E21D858537811A77D68F232DF6DC0492E0601873087A5F87D61E1DED0</v>
      </c>
      <c r="I4517" t="str">
        <f>HYPERLINK("https://baanknet.com/view-property/262187/82E1965E21D858537811A77D68F232DF6DC0492E0601873087A5F87D61E1DED0", "Open")</f>
        <v>Open</v>
      </c>
      <c r="J4517" t="s">
        <v>3803</v>
      </c>
      <c r="L4517">
        <v>650000</v>
      </c>
      <c r="M4517">
        <v>65000</v>
      </c>
    </row>
    <row r="4518" spans="1:13" x14ac:dyDescent="0.25">
      <c r="A4518" t="s">
        <v>15012</v>
      </c>
      <c r="B4518" t="s">
        <v>15013</v>
      </c>
      <c r="C4518" t="s">
        <v>387</v>
      </c>
      <c r="D4518" t="s">
        <v>5627</v>
      </c>
      <c r="E4518" t="s">
        <v>11032</v>
      </c>
      <c r="F4518" t="s">
        <v>15014</v>
      </c>
      <c r="G4518" t="s">
        <v>15015</v>
      </c>
      <c r="H4518" t="str">
        <f>HYPERLINK("https://baanknet.com/view-property/214871/9C5977DA88A5C10106BF2B5BD339D7EBCAEBF8395D2AE8C954E8990223C68AE6", "https://baanknet.com/view-property/214871/9C5977DA88A5C10106BF2B5BD339D7EBCAEBF8395D2AE8C954E8990223C68AE6")</f>
        <v>https://baanknet.com/view-property/214871/9C5977DA88A5C10106BF2B5BD339D7EBCAEBF8395D2AE8C954E8990223C68AE6</v>
      </c>
      <c r="I4518" t="str">
        <f>HYPERLINK("https://baanknet.com/view-property/214871/9C5977DA88A5C10106BF2B5BD339D7EBCAEBF8395D2AE8C954E8990223C68AE6", "Open")</f>
        <v>Open</v>
      </c>
      <c r="J4518" t="s">
        <v>3803</v>
      </c>
      <c r="L4518">
        <v>1021000</v>
      </c>
      <c r="M4518">
        <v>102100</v>
      </c>
    </row>
    <row r="4519" spans="1:13" x14ac:dyDescent="0.25">
      <c r="A4519" t="s">
        <v>15016</v>
      </c>
      <c r="B4519" t="s">
        <v>15017</v>
      </c>
      <c r="C4519" t="s">
        <v>387</v>
      </c>
      <c r="D4519" t="s">
        <v>509</v>
      </c>
      <c r="E4519" t="s">
        <v>11032</v>
      </c>
      <c r="F4519" t="s">
        <v>15018</v>
      </c>
      <c r="G4519" t="s">
        <v>15019</v>
      </c>
      <c r="H4519" t="str">
        <f>HYPERLINK("https://baanknet.com/view-property/251661/C0C08584C51DFA42A2CF35C64A8FAD2248E197D501E2BF77D6671790C410A87C", "https://baanknet.com/view-property/251661/C0C08584C51DFA42A2CF35C64A8FAD2248E197D501E2BF77D6671790C410A87C")</f>
        <v>https://baanknet.com/view-property/251661/C0C08584C51DFA42A2CF35C64A8FAD2248E197D501E2BF77D6671790C410A87C</v>
      </c>
      <c r="I4519" t="str">
        <f>HYPERLINK("https://baanknet.com/view-property/251661/C0C08584C51DFA42A2CF35C64A8FAD2248E197D501E2BF77D6671790C410A87C", "Open")</f>
        <v>Open</v>
      </c>
      <c r="J4519" t="s">
        <v>3803</v>
      </c>
      <c r="L4519">
        <v>652000</v>
      </c>
      <c r="M4519">
        <v>65200</v>
      </c>
    </row>
    <row r="4520" spans="1:13" x14ac:dyDescent="0.25">
      <c r="A4520" t="s">
        <v>15020</v>
      </c>
      <c r="B4520" t="s">
        <v>15021</v>
      </c>
      <c r="C4520" t="s">
        <v>15</v>
      </c>
      <c r="D4520" t="s">
        <v>401</v>
      </c>
      <c r="E4520" t="s">
        <v>11048</v>
      </c>
      <c r="F4520" t="s">
        <v>13894</v>
      </c>
      <c r="G4520" t="s">
        <v>15022</v>
      </c>
      <c r="H4520" t="str">
        <f>HYPERLINK("https://baanknet.com/view-property/279522/AC5D4E7BEDB73E2916383B9F4491A678D4029E3F7584B0F217A21A0D409739CA", "https://baanknet.com/view-property/279522/AC5D4E7BEDB73E2916383B9F4491A678D4029E3F7584B0F217A21A0D409739CA")</f>
        <v>https://baanknet.com/view-property/279522/AC5D4E7BEDB73E2916383B9F4491A678D4029E3F7584B0F217A21A0D409739CA</v>
      </c>
      <c r="I4520" t="str">
        <f>HYPERLINK("https://baanknet.com/view-property/279522/AC5D4E7BEDB73E2916383B9F4491A678D4029E3F7584B0F217A21A0D409739CA", "Open")</f>
        <v>Open</v>
      </c>
      <c r="J4520" t="s">
        <v>3803</v>
      </c>
      <c r="L4520">
        <v>3823000</v>
      </c>
      <c r="M4520">
        <v>382300</v>
      </c>
    </row>
    <row r="4521" spans="1:13" x14ac:dyDescent="0.25">
      <c r="A4521" t="s">
        <v>15023</v>
      </c>
      <c r="B4521" t="s">
        <v>15024</v>
      </c>
      <c r="C4521" t="s">
        <v>15</v>
      </c>
      <c r="D4521" t="s">
        <v>15025</v>
      </c>
      <c r="E4521" t="s">
        <v>11048</v>
      </c>
      <c r="F4521" t="s">
        <v>13894</v>
      </c>
      <c r="G4521" t="s">
        <v>15026</v>
      </c>
      <c r="H4521" t="str">
        <f>HYPERLINK("https://baanknet.com/view-property/285536/557886CB1921CEA3BC22BA0B06DE5C4D3CB7A469AF8E13735DD73531C67BE05E", "https://baanknet.com/view-property/285536/557886CB1921CEA3BC22BA0B06DE5C4D3CB7A469AF8E13735DD73531C67BE05E")</f>
        <v>https://baanknet.com/view-property/285536/557886CB1921CEA3BC22BA0B06DE5C4D3CB7A469AF8E13735DD73531C67BE05E</v>
      </c>
      <c r="I4521" t="str">
        <f>HYPERLINK("https://baanknet.com/view-property/285536/557886CB1921CEA3BC22BA0B06DE5C4D3CB7A469AF8E13735DD73531C67BE05E", "Open")</f>
        <v>Open</v>
      </c>
      <c r="J4521" t="s">
        <v>3803</v>
      </c>
      <c r="L4521">
        <v>2648000</v>
      </c>
      <c r="M4521">
        <v>264800</v>
      </c>
    </row>
    <row r="4522" spans="1:13" x14ac:dyDescent="0.25">
      <c r="A4522" t="s">
        <v>15027</v>
      </c>
      <c r="B4522" t="s">
        <v>15028</v>
      </c>
      <c r="C4522" t="s">
        <v>15</v>
      </c>
      <c r="D4522" t="s">
        <v>15029</v>
      </c>
      <c r="E4522" t="s">
        <v>11048</v>
      </c>
      <c r="F4522" t="s">
        <v>13894</v>
      </c>
      <c r="G4522" t="s">
        <v>15030</v>
      </c>
      <c r="H4522" t="str">
        <f>HYPERLINK("https://baanknet.com/view-property/286201/69B98DCED61506965A7485CBB147F5C60F60B0B6D0FF169AFDFFEF2170CA4297", "https://baanknet.com/view-property/286201/69B98DCED61506965A7485CBB147F5C60F60B0B6D0FF169AFDFFEF2170CA4297")</f>
        <v>https://baanknet.com/view-property/286201/69B98DCED61506965A7485CBB147F5C60F60B0B6D0FF169AFDFFEF2170CA4297</v>
      </c>
      <c r="I4522" t="str">
        <f>HYPERLINK("https://baanknet.com/view-property/286201/69B98DCED61506965A7485CBB147F5C60F60B0B6D0FF169AFDFFEF2170CA4297", "Open")</f>
        <v>Open</v>
      </c>
      <c r="J4522" t="s">
        <v>3803</v>
      </c>
      <c r="L4522">
        <v>8617000</v>
      </c>
      <c r="M4522">
        <v>861700</v>
      </c>
    </row>
    <row r="4523" spans="1:13" x14ac:dyDescent="0.25">
      <c r="A4523" t="s">
        <v>15031</v>
      </c>
      <c r="B4523" t="s">
        <v>15032</v>
      </c>
      <c r="C4523" t="s">
        <v>15</v>
      </c>
      <c r="D4523" t="s">
        <v>612</v>
      </c>
      <c r="E4523" t="s">
        <v>11048</v>
      </c>
      <c r="F4523" t="s">
        <v>13894</v>
      </c>
      <c r="G4523" t="s">
        <v>15033</v>
      </c>
      <c r="H4523" t="str">
        <f>HYPERLINK("https://baanknet.com/view-property/190450/7580828425C437B2FC966EBA4D90206304667A011DF1FD06650BC26EC297C5E5", "https://baanknet.com/view-property/190450/7580828425C437B2FC966EBA4D90206304667A011DF1FD06650BC26EC297C5E5")</f>
        <v>https://baanknet.com/view-property/190450/7580828425C437B2FC966EBA4D90206304667A011DF1FD06650BC26EC297C5E5</v>
      </c>
      <c r="I4523" t="str">
        <f>HYPERLINK("https://baanknet.com/view-property/190450/7580828425C437B2FC966EBA4D90206304667A011DF1FD06650BC26EC297C5E5", "Open")</f>
        <v>Open</v>
      </c>
      <c r="J4523" t="s">
        <v>3803</v>
      </c>
      <c r="L4523">
        <v>6465000</v>
      </c>
      <c r="M4523">
        <v>646500</v>
      </c>
    </row>
    <row r="4524" spans="1:13" x14ac:dyDescent="0.25">
      <c r="A4524" t="s">
        <v>15034</v>
      </c>
      <c r="B4524" t="s">
        <v>15035</v>
      </c>
      <c r="C4524" t="s">
        <v>15</v>
      </c>
      <c r="D4524" t="s">
        <v>612</v>
      </c>
      <c r="E4524" t="s">
        <v>11048</v>
      </c>
      <c r="F4524" t="s">
        <v>13894</v>
      </c>
      <c r="G4524" t="s">
        <v>15036</v>
      </c>
      <c r="H4524" t="str">
        <f>HYPERLINK("https://baanknet.com/view-property/190457/2EE7991C65618094D7F4061446C8B8E2F65FE97940BD3211AC28C2BE42B7D326", "https://baanknet.com/view-property/190457/2EE7991C65618094D7F4061446C8B8E2F65FE97940BD3211AC28C2BE42B7D326")</f>
        <v>https://baanknet.com/view-property/190457/2EE7991C65618094D7F4061446C8B8E2F65FE97940BD3211AC28C2BE42B7D326</v>
      </c>
      <c r="I4524" t="str">
        <f>HYPERLINK("https://baanknet.com/view-property/190457/2EE7991C65618094D7F4061446C8B8E2F65FE97940BD3211AC28C2BE42B7D326", "Open")</f>
        <v>Open</v>
      </c>
      <c r="J4524" t="s">
        <v>3803</v>
      </c>
      <c r="L4524">
        <v>4977000</v>
      </c>
      <c r="M4524">
        <v>497700</v>
      </c>
    </row>
    <row r="4525" spans="1:13" x14ac:dyDescent="0.25">
      <c r="A4525" t="s">
        <v>15037</v>
      </c>
      <c r="B4525" t="s">
        <v>15038</v>
      </c>
      <c r="C4525" t="s">
        <v>15</v>
      </c>
      <c r="D4525" t="s">
        <v>545</v>
      </c>
      <c r="E4525" t="s">
        <v>11048</v>
      </c>
      <c r="F4525" t="s">
        <v>13894</v>
      </c>
      <c r="G4525" t="s">
        <v>15039</v>
      </c>
      <c r="H4525" t="str">
        <f>HYPERLINK("https://baanknet.com/view-property/249649/2BA909E25DA8A2A30AF913FC19ADCD5AE404246DEB13E89C72233A6F72CF1ED1", "https://baanknet.com/view-property/249649/2BA909E25DA8A2A30AF913FC19ADCD5AE404246DEB13E89C72233A6F72CF1ED1")</f>
        <v>https://baanknet.com/view-property/249649/2BA909E25DA8A2A30AF913FC19ADCD5AE404246DEB13E89C72233A6F72CF1ED1</v>
      </c>
      <c r="I4525" t="str">
        <f>HYPERLINK("https://baanknet.com/view-property/249649/2BA909E25DA8A2A30AF913FC19ADCD5AE404246DEB13E89C72233A6F72CF1ED1", "Open")</f>
        <v>Open</v>
      </c>
      <c r="J4525" t="s">
        <v>3803</v>
      </c>
      <c r="L4525">
        <v>1951000</v>
      </c>
      <c r="M4525">
        <v>195100</v>
      </c>
    </row>
    <row r="4526" spans="1:13" x14ac:dyDescent="0.25">
      <c r="A4526" t="s">
        <v>15040</v>
      </c>
      <c r="B4526" t="s">
        <v>15041</v>
      </c>
      <c r="C4526" t="s">
        <v>15</v>
      </c>
      <c r="D4526" t="s">
        <v>612</v>
      </c>
      <c r="E4526" t="s">
        <v>11048</v>
      </c>
      <c r="F4526" t="s">
        <v>13894</v>
      </c>
      <c r="G4526" t="s">
        <v>15042</v>
      </c>
      <c r="H4526" t="str">
        <f>HYPERLINK("https://baanknet.com/view-property/269770/9ADABE99F910775F286F35408364B46EB678A37A1BA99A16D68EBF5A51FE5A1D", "https://baanknet.com/view-property/269770/9ADABE99F910775F286F35408364B46EB678A37A1BA99A16D68EBF5A51FE5A1D")</f>
        <v>https://baanknet.com/view-property/269770/9ADABE99F910775F286F35408364B46EB678A37A1BA99A16D68EBF5A51FE5A1D</v>
      </c>
      <c r="I4526" t="str">
        <f>HYPERLINK("https://baanknet.com/view-property/269770/9ADABE99F910775F286F35408364B46EB678A37A1BA99A16D68EBF5A51FE5A1D", "Open")</f>
        <v>Open</v>
      </c>
      <c r="J4526" t="s">
        <v>3803</v>
      </c>
      <c r="L4526">
        <v>3400000</v>
      </c>
      <c r="M4526">
        <v>340000</v>
      </c>
    </row>
    <row r="4527" spans="1:13" x14ac:dyDescent="0.25">
      <c r="A4527" t="s">
        <v>15043</v>
      </c>
      <c r="B4527" t="s">
        <v>15044</v>
      </c>
      <c r="C4527" t="s">
        <v>15</v>
      </c>
      <c r="D4527" t="s">
        <v>15045</v>
      </c>
      <c r="E4527" t="s">
        <v>11048</v>
      </c>
      <c r="F4527" t="s">
        <v>13894</v>
      </c>
      <c r="G4527" t="s">
        <v>15046</v>
      </c>
      <c r="H4527" t="str">
        <f>HYPERLINK("https://baanknet.com/view-property/284357/13F315B043D1E18783DD8C36FFBEA81B8B5656B155D80C9C641824811188491B", "https://baanknet.com/view-property/284357/13F315B043D1E18783DD8C36FFBEA81B8B5656B155D80C9C641824811188491B")</f>
        <v>https://baanknet.com/view-property/284357/13F315B043D1E18783DD8C36FFBEA81B8B5656B155D80C9C641824811188491B</v>
      </c>
      <c r="I4527" t="str">
        <f>HYPERLINK("https://baanknet.com/view-property/284357/13F315B043D1E18783DD8C36FFBEA81B8B5656B155D80C9C641824811188491B", "Open")</f>
        <v>Open</v>
      </c>
      <c r="J4527" t="s">
        <v>3803</v>
      </c>
      <c r="L4527">
        <v>4200000</v>
      </c>
      <c r="M4527">
        <v>420000</v>
      </c>
    </row>
    <row r="4528" spans="1:13" x14ac:dyDescent="0.25">
      <c r="A4528" t="s">
        <v>15047</v>
      </c>
      <c r="B4528" t="s">
        <v>15048</v>
      </c>
      <c r="C4528" t="s">
        <v>15</v>
      </c>
      <c r="D4528" t="s">
        <v>533</v>
      </c>
      <c r="E4528" t="s">
        <v>11048</v>
      </c>
      <c r="F4528" t="s">
        <v>13894</v>
      </c>
      <c r="G4528" t="s">
        <v>15049</v>
      </c>
      <c r="H4528" t="str">
        <f>HYPERLINK("https://baanknet.com/view-property/252069/74FA4D16B9D89397E5D9406CDDE7172202B7274F01BEB706E5547F43CF4A217C", "https://baanknet.com/view-property/252069/74FA4D16B9D89397E5D9406CDDE7172202B7274F01BEB706E5547F43CF4A217C")</f>
        <v>https://baanknet.com/view-property/252069/74FA4D16B9D89397E5D9406CDDE7172202B7274F01BEB706E5547F43CF4A217C</v>
      </c>
      <c r="I4528" t="str">
        <f>HYPERLINK("https://baanknet.com/view-property/252069/74FA4D16B9D89397E5D9406CDDE7172202B7274F01BEB706E5547F43CF4A217C", "Open")</f>
        <v>Open</v>
      </c>
      <c r="J4528" t="s">
        <v>3803</v>
      </c>
      <c r="L4528">
        <v>4900000</v>
      </c>
      <c r="M4528">
        <v>490000</v>
      </c>
    </row>
    <row r="4529" spans="1:13" x14ac:dyDescent="0.25">
      <c r="A4529" t="s">
        <v>15050</v>
      </c>
      <c r="B4529" t="s">
        <v>15051</v>
      </c>
      <c r="C4529" t="s">
        <v>15</v>
      </c>
      <c r="D4529" t="s">
        <v>533</v>
      </c>
      <c r="E4529" t="s">
        <v>11048</v>
      </c>
      <c r="F4529" t="s">
        <v>13894</v>
      </c>
      <c r="G4529" t="s">
        <v>15052</v>
      </c>
      <c r="H4529" t="str">
        <f>HYPERLINK("https://baanknet.com/view-property/252073/91AE6B37A580F1E60EDED730EEA672483757C9C12AB5C360F84BF004FE48950C", "https://baanknet.com/view-property/252073/91AE6B37A580F1E60EDED730EEA672483757C9C12AB5C360F84BF004FE48950C")</f>
        <v>https://baanknet.com/view-property/252073/91AE6B37A580F1E60EDED730EEA672483757C9C12AB5C360F84BF004FE48950C</v>
      </c>
      <c r="I4529" t="str">
        <f>HYPERLINK("https://baanknet.com/view-property/252073/91AE6B37A580F1E60EDED730EEA672483757C9C12AB5C360F84BF004FE48950C", "Open")</f>
        <v>Open</v>
      </c>
      <c r="J4529" t="s">
        <v>3803</v>
      </c>
      <c r="L4529">
        <v>8900000</v>
      </c>
      <c r="M4529">
        <v>890000</v>
      </c>
    </row>
    <row r="4530" spans="1:13" x14ac:dyDescent="0.25">
      <c r="A4530" t="s">
        <v>15053</v>
      </c>
      <c r="B4530" t="s">
        <v>15054</v>
      </c>
      <c r="C4530" t="s">
        <v>15</v>
      </c>
      <c r="D4530" t="s">
        <v>15055</v>
      </c>
      <c r="E4530" t="s">
        <v>12108</v>
      </c>
      <c r="F4530" t="s">
        <v>11102</v>
      </c>
      <c r="G4530" t="s">
        <v>15056</v>
      </c>
      <c r="H4530" t="str">
        <f>HYPERLINK("https://baanknet.com/view-property/284111/71B3C048AAF60AF44AA151907925B4D7FA4F762CAB284992D37751CD87388443", "https://baanknet.com/view-property/284111/71B3C048AAF60AF44AA151907925B4D7FA4F762CAB284992D37751CD87388443")</f>
        <v>https://baanknet.com/view-property/284111/71B3C048AAF60AF44AA151907925B4D7FA4F762CAB284992D37751CD87388443</v>
      </c>
      <c r="I4530" t="str">
        <f>HYPERLINK("https://baanknet.com/view-property/284111/71B3C048AAF60AF44AA151907925B4D7FA4F762CAB284992D37751CD87388443", "Open")</f>
        <v>Open</v>
      </c>
      <c r="J4530" t="s">
        <v>3803</v>
      </c>
      <c r="L4530">
        <v>1600000</v>
      </c>
      <c r="M4530">
        <v>160000</v>
      </c>
    </row>
    <row r="4531" spans="1:13" x14ac:dyDescent="0.25">
      <c r="A4531" t="s">
        <v>15057</v>
      </c>
      <c r="B4531" t="s">
        <v>15058</v>
      </c>
      <c r="C4531" t="s">
        <v>15</v>
      </c>
      <c r="D4531" t="s">
        <v>15055</v>
      </c>
      <c r="E4531" t="s">
        <v>12108</v>
      </c>
      <c r="F4531" t="s">
        <v>11102</v>
      </c>
      <c r="G4531" t="s">
        <v>15059</v>
      </c>
      <c r="H4531" t="str">
        <f>HYPERLINK("https://baanknet.com/view-property/284105/A58C79AA5E3E7D241DBF0EF26503DBDC0B10284B3151E400AE38D943E57CE2FC", "https://baanknet.com/view-property/284105/A58C79AA5E3E7D241DBF0EF26503DBDC0B10284B3151E400AE38D943E57CE2FC")</f>
        <v>https://baanknet.com/view-property/284105/A58C79AA5E3E7D241DBF0EF26503DBDC0B10284B3151E400AE38D943E57CE2FC</v>
      </c>
      <c r="I4531" t="str">
        <f>HYPERLINK("https://baanknet.com/view-property/284105/A58C79AA5E3E7D241DBF0EF26503DBDC0B10284B3151E400AE38D943E57CE2FC", "Open")</f>
        <v>Open</v>
      </c>
      <c r="J4531" t="s">
        <v>3803</v>
      </c>
      <c r="L4531">
        <v>2880000</v>
      </c>
      <c r="M4531">
        <v>288000</v>
      </c>
    </row>
    <row r="4532" spans="1:13" x14ac:dyDescent="0.25">
      <c r="A4532" t="s">
        <v>15060</v>
      </c>
      <c r="B4532" t="s">
        <v>15061</v>
      </c>
      <c r="C4532" t="s">
        <v>15</v>
      </c>
      <c r="D4532" t="s">
        <v>127</v>
      </c>
      <c r="E4532" t="s">
        <v>12108</v>
      </c>
      <c r="F4532" t="s">
        <v>11102</v>
      </c>
      <c r="G4532" t="s">
        <v>15062</v>
      </c>
      <c r="H4532" t="str">
        <f>HYPERLINK("https://baanknet.com/view-property/284123/4765F03C82BF937C3E26942F41E0756D300959CB2729A718172D9BCDD112337E", "https://baanknet.com/view-property/284123/4765F03C82BF937C3E26942F41E0756D300959CB2729A718172D9BCDD112337E")</f>
        <v>https://baanknet.com/view-property/284123/4765F03C82BF937C3E26942F41E0756D300959CB2729A718172D9BCDD112337E</v>
      </c>
      <c r="I4532" t="str">
        <f>HYPERLINK("https://baanknet.com/view-property/284123/4765F03C82BF937C3E26942F41E0756D300959CB2729A718172D9BCDD112337E", "Open")</f>
        <v>Open</v>
      </c>
      <c r="J4532" t="s">
        <v>3803</v>
      </c>
      <c r="L4532">
        <v>4950000</v>
      </c>
      <c r="M4532">
        <v>495000</v>
      </c>
    </row>
    <row r="4533" spans="1:13" x14ac:dyDescent="0.25">
      <c r="A4533" t="s">
        <v>15063</v>
      </c>
      <c r="B4533" t="s">
        <v>15064</v>
      </c>
      <c r="C4533" t="s">
        <v>15</v>
      </c>
      <c r="D4533" t="s">
        <v>15065</v>
      </c>
      <c r="E4533" t="s">
        <v>12108</v>
      </c>
      <c r="F4533" t="s">
        <v>11102</v>
      </c>
      <c r="G4533" t="s">
        <v>15066</v>
      </c>
      <c r="H4533" t="str">
        <f>HYPERLINK("https://baanknet.com/view-property/284191/02F2E85DC1939DE9E1589FDD01E80DD23A3E760B10B207D6A4A98076D914B185", "https://baanknet.com/view-property/284191/02F2E85DC1939DE9E1589FDD01E80DD23A3E760B10B207D6A4A98076D914B185")</f>
        <v>https://baanknet.com/view-property/284191/02F2E85DC1939DE9E1589FDD01E80DD23A3E760B10B207D6A4A98076D914B185</v>
      </c>
      <c r="I4533" t="str">
        <f>HYPERLINK("https://baanknet.com/view-property/284191/02F2E85DC1939DE9E1589FDD01E80DD23A3E760B10B207D6A4A98076D914B185", "Open")</f>
        <v>Open</v>
      </c>
      <c r="J4533" t="s">
        <v>3803</v>
      </c>
      <c r="L4533">
        <v>1492000</v>
      </c>
      <c r="M4533">
        <v>149200</v>
      </c>
    </row>
    <row r="4534" spans="1:13" x14ac:dyDescent="0.25">
      <c r="A4534" t="s">
        <v>15067</v>
      </c>
      <c r="B4534" t="s">
        <v>15068</v>
      </c>
      <c r="C4534" t="s">
        <v>15</v>
      </c>
      <c r="D4534" t="s">
        <v>15069</v>
      </c>
      <c r="E4534" t="s">
        <v>12108</v>
      </c>
      <c r="F4534" t="s">
        <v>11102</v>
      </c>
      <c r="G4534" t="s">
        <v>15070</v>
      </c>
      <c r="H4534" t="str">
        <f>HYPERLINK("https://baanknet.com/view-property/255318/BFC424B9327B29367BA9B0ACCD4D6F8A6F188B6A96E01FE9C4527B246A01EE8E", "https://baanknet.com/view-property/255318/BFC424B9327B29367BA9B0ACCD4D6F8A6F188B6A96E01FE9C4527B246A01EE8E")</f>
        <v>https://baanknet.com/view-property/255318/BFC424B9327B29367BA9B0ACCD4D6F8A6F188B6A96E01FE9C4527B246A01EE8E</v>
      </c>
      <c r="I4534" t="str">
        <f>HYPERLINK("https://baanknet.com/view-property/255318/BFC424B9327B29367BA9B0ACCD4D6F8A6F188B6A96E01FE9C4527B246A01EE8E", "Open")</f>
        <v>Open</v>
      </c>
      <c r="J4534" t="s">
        <v>3803</v>
      </c>
      <c r="L4534">
        <v>990000</v>
      </c>
      <c r="M4534">
        <v>99000</v>
      </c>
    </row>
    <row r="4535" spans="1:13" x14ac:dyDescent="0.25">
      <c r="A4535" t="s">
        <v>15071</v>
      </c>
      <c r="B4535" t="s">
        <v>15072</v>
      </c>
      <c r="C4535" t="s">
        <v>15</v>
      </c>
      <c r="D4535" t="s">
        <v>127</v>
      </c>
      <c r="E4535" t="s">
        <v>12108</v>
      </c>
      <c r="F4535" t="s">
        <v>11102</v>
      </c>
      <c r="G4535" t="s">
        <v>15073</v>
      </c>
      <c r="H4535" t="str">
        <f>HYPERLINK("https://baanknet.com/view-property/218055/C4D21DC45AB568BCC7EFFEF2F780A88C5ABBA633761D41EA9E2643939BDAC635", "https://baanknet.com/view-property/218055/C4D21DC45AB568BCC7EFFEF2F780A88C5ABBA633761D41EA9E2643939BDAC635")</f>
        <v>https://baanknet.com/view-property/218055/C4D21DC45AB568BCC7EFFEF2F780A88C5ABBA633761D41EA9E2643939BDAC635</v>
      </c>
      <c r="I4535" t="str">
        <f>HYPERLINK("https://baanknet.com/view-property/218055/C4D21DC45AB568BCC7EFFEF2F780A88C5ABBA633761D41EA9E2643939BDAC635", "Open")</f>
        <v>Open</v>
      </c>
      <c r="J4535" t="s">
        <v>3803</v>
      </c>
      <c r="L4535">
        <v>2250000</v>
      </c>
      <c r="M4535">
        <v>225000</v>
      </c>
    </row>
    <row r="4536" spans="1:13" x14ac:dyDescent="0.25">
      <c r="A4536" t="s">
        <v>15074</v>
      </c>
      <c r="B4536" t="s">
        <v>15075</v>
      </c>
      <c r="C4536" t="s">
        <v>15</v>
      </c>
      <c r="D4536" t="s">
        <v>127</v>
      </c>
      <c r="E4536" t="s">
        <v>12108</v>
      </c>
      <c r="F4536" t="s">
        <v>11102</v>
      </c>
      <c r="G4536" t="s">
        <v>15076</v>
      </c>
      <c r="H4536" t="str">
        <f>HYPERLINK("https://baanknet.com/view-property/204859/3F4C9A8F22CC9D1FD37053D9E4B0080279D2A2C9B6B32FD9BDBBE4C033D61F9E", "https://baanknet.com/view-property/204859/3F4C9A8F22CC9D1FD37053D9E4B0080279D2A2C9B6B32FD9BDBBE4C033D61F9E")</f>
        <v>https://baanknet.com/view-property/204859/3F4C9A8F22CC9D1FD37053D9E4B0080279D2A2C9B6B32FD9BDBBE4C033D61F9E</v>
      </c>
      <c r="I4536" t="str">
        <f>HYPERLINK("https://baanknet.com/view-property/204859/3F4C9A8F22CC9D1FD37053D9E4B0080279D2A2C9B6B32FD9BDBBE4C033D61F9E", "Open")</f>
        <v>Open</v>
      </c>
      <c r="J4536" t="s">
        <v>3803</v>
      </c>
      <c r="L4536">
        <v>5400000</v>
      </c>
      <c r="M4536">
        <v>540000</v>
      </c>
    </row>
    <row r="4537" spans="1:13" x14ac:dyDescent="0.25">
      <c r="A4537" t="s">
        <v>15077</v>
      </c>
      <c r="B4537" t="s">
        <v>15078</v>
      </c>
      <c r="C4537" t="s">
        <v>15</v>
      </c>
      <c r="D4537" t="s">
        <v>15079</v>
      </c>
      <c r="E4537" t="s">
        <v>12108</v>
      </c>
      <c r="F4537" t="s">
        <v>11102</v>
      </c>
      <c r="G4537" t="s">
        <v>15080</v>
      </c>
      <c r="H4537" t="str">
        <f>HYPERLINK("https://baanknet.com/view-property/204259/24B14C6F591E4CDBAA75DB1FC8530416CFE0A46356EA0C5AD3E90147E58204E3", "https://baanknet.com/view-property/204259/24B14C6F591E4CDBAA75DB1FC8530416CFE0A46356EA0C5AD3E90147E58204E3")</f>
        <v>https://baanknet.com/view-property/204259/24B14C6F591E4CDBAA75DB1FC8530416CFE0A46356EA0C5AD3E90147E58204E3</v>
      </c>
      <c r="I4537" t="str">
        <f>HYPERLINK("https://baanknet.com/view-property/204259/24B14C6F591E4CDBAA75DB1FC8530416CFE0A46356EA0C5AD3E90147E58204E3", "Open")</f>
        <v>Open</v>
      </c>
      <c r="J4537" t="s">
        <v>3803</v>
      </c>
      <c r="L4537">
        <v>1350000</v>
      </c>
      <c r="M4537">
        <v>135000</v>
      </c>
    </row>
    <row r="4538" spans="1:13" x14ac:dyDescent="0.25">
      <c r="A4538" t="s">
        <v>15081</v>
      </c>
      <c r="B4538" t="s">
        <v>15082</v>
      </c>
      <c r="C4538" t="s">
        <v>15</v>
      </c>
      <c r="D4538" t="s">
        <v>15069</v>
      </c>
      <c r="E4538" t="s">
        <v>12108</v>
      </c>
      <c r="F4538" t="s">
        <v>11102</v>
      </c>
      <c r="G4538" t="s">
        <v>15083</v>
      </c>
      <c r="H4538" t="str">
        <f>HYPERLINK("https://baanknet.com/view-property/220157/D7DB281D46ED0C8149E46F7E06C8B1A4696A6A0DC4D13EED1D1241D4110A8256", "https://baanknet.com/view-property/220157/D7DB281D46ED0C8149E46F7E06C8B1A4696A6A0DC4D13EED1D1241D4110A8256")</f>
        <v>https://baanknet.com/view-property/220157/D7DB281D46ED0C8149E46F7E06C8B1A4696A6A0DC4D13EED1D1241D4110A8256</v>
      </c>
      <c r="I4538" t="str">
        <f>HYPERLINK("https://baanknet.com/view-property/220157/D7DB281D46ED0C8149E46F7E06C8B1A4696A6A0DC4D13EED1D1241D4110A8256", "Open")</f>
        <v>Open</v>
      </c>
      <c r="J4538" t="s">
        <v>3803</v>
      </c>
      <c r="L4538">
        <v>1350000</v>
      </c>
      <c r="M4538">
        <v>135000</v>
      </c>
    </row>
    <row r="4539" spans="1:13" x14ac:dyDescent="0.25">
      <c r="A4539" t="s">
        <v>15084</v>
      </c>
      <c r="B4539" t="s">
        <v>15085</v>
      </c>
      <c r="C4539" t="s">
        <v>15</v>
      </c>
      <c r="D4539" t="s">
        <v>127</v>
      </c>
      <c r="E4539" t="s">
        <v>12108</v>
      </c>
      <c r="F4539" t="s">
        <v>11102</v>
      </c>
      <c r="G4539" t="s">
        <v>15086</v>
      </c>
      <c r="H4539" t="str">
        <f>HYPERLINK("https://baanknet.com/view-property/190770/AE07A1549D69C38CBA1B352DA4DB0428F40FC10678BE27A19A36E7493C4542A2", "https://baanknet.com/view-property/190770/AE07A1549D69C38CBA1B352DA4DB0428F40FC10678BE27A19A36E7493C4542A2")</f>
        <v>https://baanknet.com/view-property/190770/AE07A1549D69C38CBA1B352DA4DB0428F40FC10678BE27A19A36E7493C4542A2</v>
      </c>
      <c r="I4539" t="str">
        <f>HYPERLINK("https://baanknet.com/view-property/190770/AE07A1549D69C38CBA1B352DA4DB0428F40FC10678BE27A19A36E7493C4542A2", "Open")</f>
        <v>Open</v>
      </c>
      <c r="J4539" t="s">
        <v>3803</v>
      </c>
      <c r="L4539">
        <v>1760400</v>
      </c>
      <c r="M4539">
        <v>176040</v>
      </c>
    </row>
    <row r="4540" spans="1:13" x14ac:dyDescent="0.25">
      <c r="A4540" t="s">
        <v>15087</v>
      </c>
      <c r="B4540" t="s">
        <v>15088</v>
      </c>
      <c r="C4540" t="s">
        <v>15</v>
      </c>
      <c r="D4540" t="s">
        <v>15089</v>
      </c>
      <c r="E4540" t="s">
        <v>12108</v>
      </c>
      <c r="F4540" t="s">
        <v>11102</v>
      </c>
      <c r="G4540" t="s">
        <v>15090</v>
      </c>
      <c r="H4540" t="str">
        <f>HYPERLINK("https://baanknet.com/view-property/190676/324EF3E8A575FA796A567DC5B04EA65348F64D09C3E1FBE5DA1A41F43AE25B55", "https://baanknet.com/view-property/190676/324EF3E8A575FA796A567DC5B04EA65348F64D09C3E1FBE5DA1A41F43AE25B55")</f>
        <v>https://baanknet.com/view-property/190676/324EF3E8A575FA796A567DC5B04EA65348F64D09C3E1FBE5DA1A41F43AE25B55</v>
      </c>
      <c r="I4540" t="str">
        <f>HYPERLINK("https://baanknet.com/view-property/190676/324EF3E8A575FA796A567DC5B04EA65348F64D09C3E1FBE5DA1A41F43AE25B55", "Open")</f>
        <v>Open</v>
      </c>
      <c r="J4540" t="s">
        <v>3803</v>
      </c>
      <c r="L4540">
        <v>1800000</v>
      </c>
      <c r="M4540">
        <v>180000</v>
      </c>
    </row>
    <row r="4541" spans="1:13" x14ac:dyDescent="0.25">
      <c r="A4541" t="s">
        <v>15091</v>
      </c>
      <c r="B4541" t="s">
        <v>15092</v>
      </c>
      <c r="C4541" t="s">
        <v>15</v>
      </c>
      <c r="D4541" t="s">
        <v>383</v>
      </c>
      <c r="E4541" t="s">
        <v>12108</v>
      </c>
      <c r="F4541" t="s">
        <v>11102</v>
      </c>
      <c r="G4541" t="s">
        <v>15093</v>
      </c>
      <c r="H4541" t="str">
        <f>HYPERLINK("https://baanknet.com/view-property/262677/CD8EAEA05AF760370A6F4CDF856827491977F0CECB1CC2872DB4B724494E6A2B", "https://baanknet.com/view-property/262677/CD8EAEA05AF760370A6F4CDF856827491977F0CECB1CC2872DB4B724494E6A2B")</f>
        <v>https://baanknet.com/view-property/262677/CD8EAEA05AF760370A6F4CDF856827491977F0CECB1CC2872DB4B724494E6A2B</v>
      </c>
      <c r="I4541" t="str">
        <f>HYPERLINK("https://baanknet.com/view-property/262677/CD8EAEA05AF760370A6F4CDF856827491977F0CECB1CC2872DB4B724494E6A2B", "Open")</f>
        <v>Open</v>
      </c>
      <c r="J4541" t="s">
        <v>3803</v>
      </c>
      <c r="L4541">
        <v>1273500</v>
      </c>
      <c r="M4541">
        <v>127350</v>
      </c>
    </row>
    <row r="4542" spans="1:13" x14ac:dyDescent="0.25">
      <c r="A4542" t="s">
        <v>15094</v>
      </c>
      <c r="B4542" t="s">
        <v>15095</v>
      </c>
      <c r="C4542" t="s">
        <v>15</v>
      </c>
      <c r="D4542" t="s">
        <v>383</v>
      </c>
      <c r="E4542" t="s">
        <v>12108</v>
      </c>
      <c r="F4542" t="s">
        <v>11102</v>
      </c>
      <c r="G4542" t="s">
        <v>15096</v>
      </c>
      <c r="H4542" t="str">
        <f>HYPERLINK("https://baanknet.com/view-property/202005/3553BC439073F55A3261B353565746338208586BA93BFABE7B28526DF332C86D", "https://baanknet.com/view-property/202005/3553BC439073F55A3261B353565746338208586BA93BFABE7B28526DF332C86D")</f>
        <v>https://baanknet.com/view-property/202005/3553BC439073F55A3261B353565746338208586BA93BFABE7B28526DF332C86D</v>
      </c>
      <c r="I4542" t="str">
        <f>HYPERLINK("https://baanknet.com/view-property/202005/3553BC439073F55A3261B353565746338208586BA93BFABE7B28526DF332C86D", "Open")</f>
        <v>Open</v>
      </c>
      <c r="J4542" t="s">
        <v>3803</v>
      </c>
      <c r="L4542">
        <v>720000</v>
      </c>
      <c r="M4542">
        <v>72000</v>
      </c>
    </row>
    <row r="4543" spans="1:13" x14ac:dyDescent="0.25">
      <c r="A4543" t="s">
        <v>15097</v>
      </c>
      <c r="B4543" t="s">
        <v>15098</v>
      </c>
      <c r="C4543" t="s">
        <v>15</v>
      </c>
      <c r="D4543" t="s">
        <v>15099</v>
      </c>
      <c r="E4543" t="s">
        <v>12108</v>
      </c>
      <c r="F4543" t="s">
        <v>11102</v>
      </c>
      <c r="G4543" t="s">
        <v>15100</v>
      </c>
      <c r="H4543" t="str">
        <f>HYPERLINK("https://baanknet.com/view-property/262673/D36E786525E94F103AB965D82D4A12FB2D370551F172AEE72305FD1EAEF6922F", "https://baanknet.com/view-property/262673/D36E786525E94F103AB965D82D4A12FB2D370551F172AEE72305FD1EAEF6922F")</f>
        <v>https://baanknet.com/view-property/262673/D36E786525E94F103AB965D82D4A12FB2D370551F172AEE72305FD1EAEF6922F</v>
      </c>
      <c r="I4543" t="str">
        <f>HYPERLINK("https://baanknet.com/view-property/262673/D36E786525E94F103AB965D82D4A12FB2D370551F172AEE72305FD1EAEF6922F", "Open")</f>
        <v>Open</v>
      </c>
      <c r="J4543" t="s">
        <v>3803</v>
      </c>
      <c r="L4543">
        <v>2160000</v>
      </c>
      <c r="M4543">
        <v>216000</v>
      </c>
    </row>
    <row r="4544" spans="1:13" x14ac:dyDescent="0.25">
      <c r="A4544" t="s">
        <v>15101</v>
      </c>
      <c r="B4544" t="s">
        <v>15102</v>
      </c>
      <c r="C4544" t="s">
        <v>15</v>
      </c>
      <c r="D4544" t="s">
        <v>15099</v>
      </c>
      <c r="E4544" t="s">
        <v>12108</v>
      </c>
      <c r="F4544" t="s">
        <v>11102</v>
      </c>
      <c r="G4544" t="s">
        <v>15103</v>
      </c>
      <c r="H4544" t="str">
        <f>HYPERLINK("https://baanknet.com/view-property/204056/7C7B7A8E8D73C7D5B2087345BAA1FFE1581F0D23B50C9577C31F208558FDB732", "https://baanknet.com/view-property/204056/7C7B7A8E8D73C7D5B2087345BAA1FFE1581F0D23B50C9577C31F208558FDB732")</f>
        <v>https://baanknet.com/view-property/204056/7C7B7A8E8D73C7D5B2087345BAA1FFE1581F0D23B50C9577C31F208558FDB732</v>
      </c>
      <c r="I4544" t="str">
        <f>HYPERLINK("https://baanknet.com/view-property/204056/7C7B7A8E8D73C7D5B2087345BAA1FFE1581F0D23B50C9577C31F208558FDB732", "Open")</f>
        <v>Open</v>
      </c>
      <c r="J4544" t="s">
        <v>3803</v>
      </c>
      <c r="L4544">
        <v>1235000</v>
      </c>
      <c r="M4544">
        <v>123500</v>
      </c>
    </row>
    <row r="4545" spans="1:13" x14ac:dyDescent="0.25">
      <c r="A4545" t="s">
        <v>15104</v>
      </c>
      <c r="B4545" t="s">
        <v>15105</v>
      </c>
      <c r="C4545" t="s">
        <v>15</v>
      </c>
      <c r="D4545" t="s">
        <v>15106</v>
      </c>
      <c r="E4545" t="s">
        <v>12108</v>
      </c>
      <c r="F4545" t="s">
        <v>11102</v>
      </c>
      <c r="G4545" t="s">
        <v>15107</v>
      </c>
      <c r="H4545" t="str">
        <f>HYPERLINK("https://baanknet.com/view-property/255977/6338C265B181E4985BFFA23ADE205665B3D9A217D49D35463ED996FE2EE07C5D", "https://baanknet.com/view-property/255977/6338C265B181E4985BFFA23ADE205665B3D9A217D49D35463ED996FE2EE07C5D")</f>
        <v>https://baanknet.com/view-property/255977/6338C265B181E4985BFFA23ADE205665B3D9A217D49D35463ED996FE2EE07C5D</v>
      </c>
      <c r="I4545" t="str">
        <f>HYPERLINK("https://baanknet.com/view-property/255977/6338C265B181E4985BFFA23ADE205665B3D9A217D49D35463ED996FE2EE07C5D", "Open")</f>
        <v>Open</v>
      </c>
      <c r="J4545" t="s">
        <v>3803</v>
      </c>
      <c r="L4545">
        <v>1398250</v>
      </c>
      <c r="M4545">
        <v>139825</v>
      </c>
    </row>
    <row r="4546" spans="1:13" x14ac:dyDescent="0.25">
      <c r="A4546" t="s">
        <v>15108</v>
      </c>
      <c r="B4546" t="s">
        <v>15109</v>
      </c>
      <c r="C4546" t="s">
        <v>15</v>
      </c>
      <c r="D4546" t="s">
        <v>15110</v>
      </c>
      <c r="E4546" t="s">
        <v>12108</v>
      </c>
      <c r="F4546" t="s">
        <v>11102</v>
      </c>
      <c r="G4546" t="s">
        <v>15111</v>
      </c>
      <c r="H4546" t="str">
        <f>HYPERLINK("https://baanknet.com/view-property/199423/3D9164E88DA5FEACEEA067A872A3BD2A620BB50D3AEDAF96E702C58922A8C37E", "https://baanknet.com/view-property/199423/3D9164E88DA5FEACEEA067A872A3BD2A620BB50D3AEDAF96E702C58922A8C37E")</f>
        <v>https://baanknet.com/view-property/199423/3D9164E88DA5FEACEEA067A872A3BD2A620BB50D3AEDAF96E702C58922A8C37E</v>
      </c>
      <c r="I4546" t="str">
        <f>HYPERLINK("https://baanknet.com/view-property/199423/3D9164E88DA5FEACEEA067A872A3BD2A620BB50D3AEDAF96E702C58922A8C37E", "Open")</f>
        <v>Open</v>
      </c>
      <c r="J4546" t="s">
        <v>3803</v>
      </c>
      <c r="L4546">
        <v>689350</v>
      </c>
      <c r="M4546">
        <v>68935</v>
      </c>
    </row>
    <row r="4547" spans="1:13" x14ac:dyDescent="0.25">
      <c r="A4547" t="s">
        <v>15112</v>
      </c>
      <c r="B4547" t="s">
        <v>15113</v>
      </c>
      <c r="C4547" t="s">
        <v>15</v>
      </c>
      <c r="D4547" t="s">
        <v>383</v>
      </c>
      <c r="E4547" t="s">
        <v>12108</v>
      </c>
      <c r="F4547" t="s">
        <v>11102</v>
      </c>
      <c r="G4547" t="s">
        <v>15114</v>
      </c>
      <c r="H4547" t="str">
        <f>HYPERLINK("https://baanknet.com/view-property/187444/42C9BF167573DC4D643F6EAF68A11A7ECAA6A7EC8E185CA1B750AA601BD09E13", "https://baanknet.com/view-property/187444/42C9BF167573DC4D643F6EAF68A11A7ECAA6A7EC8E185CA1B750AA601BD09E13")</f>
        <v>https://baanknet.com/view-property/187444/42C9BF167573DC4D643F6EAF68A11A7ECAA6A7EC8E185CA1B750AA601BD09E13</v>
      </c>
      <c r="I4547" t="str">
        <f>HYPERLINK("https://baanknet.com/view-property/187444/42C9BF167573DC4D643F6EAF68A11A7ECAA6A7EC8E185CA1B750AA601BD09E13", "Open")</f>
        <v>Open</v>
      </c>
      <c r="J4547" t="s">
        <v>3803</v>
      </c>
      <c r="L4547">
        <v>620000</v>
      </c>
      <c r="M4547">
        <v>62000</v>
      </c>
    </row>
    <row r="4548" spans="1:13" x14ac:dyDescent="0.25">
      <c r="A4548" t="s">
        <v>15115</v>
      </c>
      <c r="B4548" t="s">
        <v>15116</v>
      </c>
      <c r="C4548" t="s">
        <v>15</v>
      </c>
      <c r="D4548" t="s">
        <v>6054</v>
      </c>
      <c r="E4548" t="s">
        <v>12108</v>
      </c>
      <c r="F4548" t="s">
        <v>12405</v>
      </c>
      <c r="G4548" t="s">
        <v>15117</v>
      </c>
      <c r="H4548" t="str">
        <f>HYPERLINK("https://baanknet.com/view-property/279332/4B1E1A9672DA3B2BFCD9B2274918B8E3ECBAE7DB830B49C5DD1DCEA2F7004723", "https://baanknet.com/view-property/279332/4B1E1A9672DA3B2BFCD9B2274918B8E3ECBAE7DB830B49C5DD1DCEA2F7004723")</f>
        <v>https://baanknet.com/view-property/279332/4B1E1A9672DA3B2BFCD9B2274918B8E3ECBAE7DB830B49C5DD1DCEA2F7004723</v>
      </c>
      <c r="I4548" t="str">
        <f>HYPERLINK("https://baanknet.com/view-property/279332/4B1E1A9672DA3B2BFCD9B2274918B8E3ECBAE7DB830B49C5DD1DCEA2F7004723", "Open")</f>
        <v>Open</v>
      </c>
      <c r="J4548" t="s">
        <v>3803</v>
      </c>
      <c r="L4548">
        <v>1510000</v>
      </c>
      <c r="M4548">
        <v>151000</v>
      </c>
    </row>
    <row r="4549" spans="1:13" x14ac:dyDescent="0.25">
      <c r="A4549" t="s">
        <v>15118</v>
      </c>
      <c r="B4549" t="s">
        <v>15119</v>
      </c>
      <c r="C4549" t="s">
        <v>15</v>
      </c>
      <c r="D4549" t="s">
        <v>15120</v>
      </c>
      <c r="E4549" t="s">
        <v>12108</v>
      </c>
      <c r="F4549" t="s">
        <v>12405</v>
      </c>
      <c r="G4549" t="s">
        <v>15121</v>
      </c>
      <c r="H4549" t="str">
        <f>HYPERLINK("https://baanknet.com/view-property/191363/51D43742228EA4ADD304AF7D41678553EE3A2BBBF2F77C53EDBC533CB319351F", "https://baanknet.com/view-property/191363/51D43742228EA4ADD304AF7D41678553EE3A2BBBF2F77C53EDBC533CB319351F")</f>
        <v>https://baanknet.com/view-property/191363/51D43742228EA4ADD304AF7D41678553EE3A2BBBF2F77C53EDBC533CB319351F</v>
      </c>
      <c r="I4549" t="str">
        <f>HYPERLINK("https://baanknet.com/view-property/191363/51D43742228EA4ADD304AF7D41678553EE3A2BBBF2F77C53EDBC533CB319351F", "Open")</f>
        <v>Open</v>
      </c>
      <c r="J4549" t="s">
        <v>3803</v>
      </c>
      <c r="L4549">
        <v>1240000</v>
      </c>
      <c r="M4549">
        <v>124000</v>
      </c>
    </row>
    <row r="4550" spans="1:13" x14ac:dyDescent="0.25">
      <c r="A4550" t="s">
        <v>15122</v>
      </c>
      <c r="B4550" t="s">
        <v>15123</v>
      </c>
      <c r="C4550" t="s">
        <v>15</v>
      </c>
      <c r="D4550" t="s">
        <v>15120</v>
      </c>
      <c r="E4550" t="s">
        <v>12108</v>
      </c>
      <c r="F4550" t="s">
        <v>12405</v>
      </c>
      <c r="G4550" t="s">
        <v>15124</v>
      </c>
      <c r="H4550" t="str">
        <f>HYPERLINK("https://baanknet.com/view-property/204633/B3207567EB2FD2D398D28FB249291248FB480D2213075B86343BAB7470E85BCB", "https://baanknet.com/view-property/204633/B3207567EB2FD2D398D28FB249291248FB480D2213075B86343BAB7470E85BCB")</f>
        <v>https://baanknet.com/view-property/204633/B3207567EB2FD2D398D28FB249291248FB480D2213075B86343BAB7470E85BCB</v>
      </c>
      <c r="I4550" t="str">
        <f>HYPERLINK("https://baanknet.com/view-property/204633/B3207567EB2FD2D398D28FB249291248FB480D2213075B86343BAB7470E85BCB", "Open")</f>
        <v>Open</v>
      </c>
      <c r="J4550" t="s">
        <v>3803</v>
      </c>
      <c r="L4550">
        <v>5710000</v>
      </c>
      <c r="M4550">
        <v>571000</v>
      </c>
    </row>
    <row r="4551" spans="1:13" x14ac:dyDescent="0.25">
      <c r="A4551" t="s">
        <v>15125</v>
      </c>
      <c r="B4551" t="s">
        <v>15126</v>
      </c>
      <c r="C4551" t="s">
        <v>15</v>
      </c>
      <c r="D4551" t="s">
        <v>15127</v>
      </c>
      <c r="E4551" t="s">
        <v>12108</v>
      </c>
      <c r="F4551" t="s">
        <v>12405</v>
      </c>
      <c r="G4551" t="s">
        <v>15128</v>
      </c>
      <c r="H4551" t="str">
        <f>HYPERLINK("https://baanknet.com/view-property/198012/26369E941396E77EC0140D20548F1613FB800B98D03D3B7CFBEFBC3146070416", "https://baanknet.com/view-property/198012/26369E941396E77EC0140D20548F1613FB800B98D03D3B7CFBEFBC3146070416")</f>
        <v>https://baanknet.com/view-property/198012/26369E941396E77EC0140D20548F1613FB800B98D03D3B7CFBEFBC3146070416</v>
      </c>
      <c r="I4551" t="str">
        <f>HYPERLINK("https://baanknet.com/view-property/198012/26369E941396E77EC0140D20548F1613FB800B98D03D3B7CFBEFBC3146070416", "Open")</f>
        <v>Open</v>
      </c>
      <c r="J4551" t="s">
        <v>3803</v>
      </c>
      <c r="L4551">
        <v>920000</v>
      </c>
      <c r="M4551">
        <v>92000</v>
      </c>
    </row>
    <row r="4552" spans="1:13" x14ac:dyDescent="0.25">
      <c r="A4552" t="s">
        <v>15129</v>
      </c>
      <c r="B4552" t="s">
        <v>15130</v>
      </c>
      <c r="C4552" t="s">
        <v>15</v>
      </c>
      <c r="D4552" t="s">
        <v>15127</v>
      </c>
      <c r="E4552" t="s">
        <v>12108</v>
      </c>
      <c r="F4552" t="s">
        <v>12405</v>
      </c>
      <c r="G4552" t="s">
        <v>15131</v>
      </c>
      <c r="H4552" t="str">
        <f>HYPERLINK("https://baanknet.com/view-property/201094/F534138FC6E114193EBA1D13FF5FFC0BE7BBE047689FE30FE4714686848FFA17", "https://baanknet.com/view-property/201094/F534138FC6E114193EBA1D13FF5FFC0BE7BBE047689FE30FE4714686848FFA17")</f>
        <v>https://baanknet.com/view-property/201094/F534138FC6E114193EBA1D13FF5FFC0BE7BBE047689FE30FE4714686848FFA17</v>
      </c>
      <c r="I4552" t="str">
        <f>HYPERLINK("https://baanknet.com/view-property/201094/F534138FC6E114193EBA1D13FF5FFC0BE7BBE047689FE30FE4714686848FFA17", "Open")</f>
        <v>Open</v>
      </c>
      <c r="J4552" t="s">
        <v>3803</v>
      </c>
      <c r="L4552">
        <v>1210000</v>
      </c>
      <c r="M4552">
        <v>121000</v>
      </c>
    </row>
    <row r="4553" spans="1:13" x14ac:dyDescent="0.25">
      <c r="A4553" t="s">
        <v>15132</v>
      </c>
      <c r="B4553" t="s">
        <v>15133</v>
      </c>
      <c r="C4553" t="s">
        <v>15</v>
      </c>
      <c r="D4553" t="s">
        <v>6058</v>
      </c>
      <c r="E4553" t="s">
        <v>12108</v>
      </c>
      <c r="F4553" t="s">
        <v>12405</v>
      </c>
      <c r="G4553" t="s">
        <v>15134</v>
      </c>
      <c r="H4553" t="str">
        <f>HYPERLINK("https://baanknet.com/view-property/187546/68D3FB8AA9A1E230C2FE79B1F6854634A6B6B82A6706780187CE11FBA0636AC7", "https://baanknet.com/view-property/187546/68D3FB8AA9A1E230C2FE79B1F6854634A6B6B82A6706780187CE11FBA0636AC7")</f>
        <v>https://baanknet.com/view-property/187546/68D3FB8AA9A1E230C2FE79B1F6854634A6B6B82A6706780187CE11FBA0636AC7</v>
      </c>
      <c r="I4553" t="str">
        <f>HYPERLINK("https://baanknet.com/view-property/187546/68D3FB8AA9A1E230C2FE79B1F6854634A6B6B82A6706780187CE11FBA0636AC7", "Open")</f>
        <v>Open</v>
      </c>
      <c r="J4553" t="s">
        <v>3803</v>
      </c>
      <c r="L4553">
        <v>3210000</v>
      </c>
      <c r="M4553">
        <v>321000</v>
      </c>
    </row>
    <row r="4554" spans="1:13" x14ac:dyDescent="0.25">
      <c r="A4554" t="s">
        <v>15135</v>
      </c>
      <c r="B4554" t="s">
        <v>15136</v>
      </c>
      <c r="C4554" t="s">
        <v>15</v>
      </c>
      <c r="D4554" t="s">
        <v>6026</v>
      </c>
      <c r="E4554" t="s">
        <v>12108</v>
      </c>
      <c r="F4554" t="s">
        <v>12405</v>
      </c>
      <c r="G4554" t="s">
        <v>15137</v>
      </c>
      <c r="H4554" t="str">
        <f>HYPERLINK("https://baanknet.com/view-property/279306/FAE5D932050C71B5C435080A334F111A7D3E0BE0830A6AD763FF1BE0F371E9B8", "https://baanknet.com/view-property/279306/FAE5D932050C71B5C435080A334F111A7D3E0BE0830A6AD763FF1BE0F371E9B8")</f>
        <v>https://baanknet.com/view-property/279306/FAE5D932050C71B5C435080A334F111A7D3E0BE0830A6AD763FF1BE0F371E9B8</v>
      </c>
      <c r="I4554" t="str">
        <f>HYPERLINK("https://baanknet.com/view-property/279306/FAE5D932050C71B5C435080A334F111A7D3E0BE0830A6AD763FF1BE0F371E9B8", "Open")</f>
        <v>Open</v>
      </c>
      <c r="J4554" t="s">
        <v>3803</v>
      </c>
      <c r="L4554">
        <v>1710000</v>
      </c>
      <c r="M4554">
        <v>171000</v>
      </c>
    </row>
    <row r="4555" spans="1:13" x14ac:dyDescent="0.25">
      <c r="A4555" t="s">
        <v>15138</v>
      </c>
      <c r="B4555" t="s">
        <v>15139</v>
      </c>
      <c r="C4555" t="s">
        <v>15</v>
      </c>
      <c r="D4555" t="s">
        <v>1190</v>
      </c>
      <c r="E4555" t="s">
        <v>12108</v>
      </c>
      <c r="F4555" t="s">
        <v>12405</v>
      </c>
      <c r="G4555" t="s">
        <v>15140</v>
      </c>
      <c r="H4555" t="str">
        <f>HYPERLINK("https://baanknet.com/view-property/232882/9090992042C44A701F3806A49B53EE6F77FD49C9D544231B1C345EFF5B036140", "https://baanknet.com/view-property/232882/9090992042C44A701F3806A49B53EE6F77FD49C9D544231B1C345EFF5B036140")</f>
        <v>https://baanknet.com/view-property/232882/9090992042C44A701F3806A49B53EE6F77FD49C9D544231B1C345EFF5B036140</v>
      </c>
      <c r="I4555" t="str">
        <f>HYPERLINK("https://baanknet.com/view-property/232882/9090992042C44A701F3806A49B53EE6F77FD49C9D544231B1C345EFF5B036140", "Open")</f>
        <v>Open</v>
      </c>
      <c r="J4555" t="s">
        <v>3803</v>
      </c>
      <c r="L4555">
        <v>3410000</v>
      </c>
      <c r="M4555">
        <v>341000</v>
      </c>
    </row>
    <row r="4556" spans="1:13" x14ac:dyDescent="0.25">
      <c r="A4556" t="s">
        <v>15141</v>
      </c>
      <c r="B4556" t="s">
        <v>15142</v>
      </c>
      <c r="C4556" t="s">
        <v>15</v>
      </c>
      <c r="D4556" t="s">
        <v>15143</v>
      </c>
      <c r="E4556" t="s">
        <v>12108</v>
      </c>
      <c r="F4556" t="s">
        <v>12405</v>
      </c>
      <c r="G4556" t="s">
        <v>15144</v>
      </c>
      <c r="H4556" t="str">
        <f>HYPERLINK("https://baanknet.com/view-property/279227/93B7F81FB1967DE52D56021434E0A1A490A7A6B014A57603C7F909F86C66E181", "https://baanknet.com/view-property/279227/93B7F81FB1967DE52D56021434E0A1A490A7A6B014A57603C7F909F86C66E181")</f>
        <v>https://baanknet.com/view-property/279227/93B7F81FB1967DE52D56021434E0A1A490A7A6B014A57603C7F909F86C66E181</v>
      </c>
      <c r="I4556" t="str">
        <f>HYPERLINK("https://baanknet.com/view-property/279227/93B7F81FB1967DE52D56021434E0A1A490A7A6B014A57603C7F909F86C66E181", "Open")</f>
        <v>Open</v>
      </c>
      <c r="J4556" t="s">
        <v>3803</v>
      </c>
      <c r="L4556">
        <v>2630000</v>
      </c>
      <c r="M4556">
        <v>263000</v>
      </c>
    </row>
    <row r="4557" spans="1:13" x14ac:dyDescent="0.25">
      <c r="A4557" t="s">
        <v>15145</v>
      </c>
      <c r="B4557" t="s">
        <v>15146</v>
      </c>
      <c r="C4557" t="s">
        <v>15</v>
      </c>
      <c r="D4557" t="s">
        <v>15147</v>
      </c>
      <c r="E4557" t="s">
        <v>12108</v>
      </c>
      <c r="F4557" t="s">
        <v>12405</v>
      </c>
      <c r="G4557" t="s">
        <v>15148</v>
      </c>
      <c r="H4557" t="str">
        <f>HYPERLINK("https://baanknet.com/view-property/230407/134ECD994E32D852A675A196DF264BC83544300C5DD34AA1D600825861194919", "https://baanknet.com/view-property/230407/134ECD994E32D852A675A196DF264BC83544300C5DD34AA1D600825861194919")</f>
        <v>https://baanknet.com/view-property/230407/134ECD994E32D852A675A196DF264BC83544300C5DD34AA1D600825861194919</v>
      </c>
      <c r="I4557" t="str">
        <f>HYPERLINK("https://baanknet.com/view-property/230407/134ECD994E32D852A675A196DF264BC83544300C5DD34AA1D600825861194919", "Open")</f>
        <v>Open</v>
      </c>
      <c r="J4557" t="s">
        <v>3803</v>
      </c>
      <c r="L4557">
        <v>300000</v>
      </c>
      <c r="M4557">
        <v>30000</v>
      </c>
    </row>
    <row r="4558" spans="1:13" x14ac:dyDescent="0.25">
      <c r="A4558" t="s">
        <v>15149</v>
      </c>
      <c r="B4558" t="s">
        <v>15150</v>
      </c>
      <c r="C4558" t="s">
        <v>15</v>
      </c>
      <c r="D4558" t="s">
        <v>1190</v>
      </c>
      <c r="E4558" t="s">
        <v>12108</v>
      </c>
      <c r="F4558" t="s">
        <v>12405</v>
      </c>
      <c r="G4558" t="s">
        <v>15151</v>
      </c>
      <c r="H4558" t="str">
        <f>HYPERLINK("https://baanknet.com/view-property/278569/B62CF73C38233D30B1EBBC10F2E38B53BA78481DFA66951C18723F164DE59793", "https://baanknet.com/view-property/278569/B62CF73C38233D30B1EBBC10F2E38B53BA78481DFA66951C18723F164DE59793")</f>
        <v>https://baanknet.com/view-property/278569/B62CF73C38233D30B1EBBC10F2E38B53BA78481DFA66951C18723F164DE59793</v>
      </c>
      <c r="I4558" t="str">
        <f>HYPERLINK("https://baanknet.com/view-property/278569/B62CF73C38233D30B1EBBC10F2E38B53BA78481DFA66951C18723F164DE59793", "Open")</f>
        <v>Open</v>
      </c>
      <c r="J4558" t="s">
        <v>3803</v>
      </c>
      <c r="L4558">
        <v>1250000</v>
      </c>
      <c r="M4558">
        <v>125000</v>
      </c>
    </row>
    <row r="4559" spans="1:13" x14ac:dyDescent="0.25">
      <c r="A4559" t="s">
        <v>15152</v>
      </c>
      <c r="B4559" t="s">
        <v>15153</v>
      </c>
      <c r="C4559" t="s">
        <v>15</v>
      </c>
      <c r="D4559" t="s">
        <v>6034</v>
      </c>
      <c r="E4559" t="s">
        <v>12108</v>
      </c>
      <c r="F4559" t="s">
        <v>12405</v>
      </c>
      <c r="G4559" t="s">
        <v>15154</v>
      </c>
      <c r="H4559" t="str">
        <f>HYPERLINK("https://baanknet.com/view-property/181923/3A0FCE90BA1A3885C534870B6289694515261EB4E5AEC7DC25E1F5D88ECA19A2", "https://baanknet.com/view-property/181923/3A0FCE90BA1A3885C534870B6289694515261EB4E5AEC7DC25E1F5D88ECA19A2")</f>
        <v>https://baanknet.com/view-property/181923/3A0FCE90BA1A3885C534870B6289694515261EB4E5AEC7DC25E1F5D88ECA19A2</v>
      </c>
      <c r="I4559" t="str">
        <f>HYPERLINK("https://baanknet.com/view-property/181923/3A0FCE90BA1A3885C534870B6289694515261EB4E5AEC7DC25E1F5D88ECA19A2", "Open")</f>
        <v>Open</v>
      </c>
      <c r="J4559" t="s">
        <v>3803</v>
      </c>
      <c r="L4559">
        <v>1810000</v>
      </c>
      <c r="M4559">
        <v>181000</v>
      </c>
    </row>
    <row r="4560" spans="1:13" x14ac:dyDescent="0.25">
      <c r="A4560" t="s">
        <v>15155</v>
      </c>
      <c r="B4560" t="s">
        <v>15156</v>
      </c>
      <c r="C4560" t="s">
        <v>15</v>
      </c>
      <c r="D4560" t="s">
        <v>15157</v>
      </c>
      <c r="E4560" t="s">
        <v>12108</v>
      </c>
      <c r="F4560" t="s">
        <v>12405</v>
      </c>
      <c r="G4560" t="s">
        <v>15158</v>
      </c>
      <c r="H4560" t="str">
        <f>HYPERLINK("https://baanknet.com/view-property/279226/336A8D4FAAFC72934AA58F3323BE158AFF0CB9223069EFC2F611043ACBE5ECC3", "https://baanknet.com/view-property/279226/336A8D4FAAFC72934AA58F3323BE158AFF0CB9223069EFC2F611043ACBE5ECC3")</f>
        <v>https://baanknet.com/view-property/279226/336A8D4FAAFC72934AA58F3323BE158AFF0CB9223069EFC2F611043ACBE5ECC3</v>
      </c>
      <c r="I4560" t="str">
        <f>HYPERLINK("https://baanknet.com/view-property/279226/336A8D4FAAFC72934AA58F3323BE158AFF0CB9223069EFC2F611043ACBE5ECC3", "Open")</f>
        <v>Open</v>
      </c>
      <c r="J4560" t="s">
        <v>3803</v>
      </c>
      <c r="L4560">
        <v>850000</v>
      </c>
      <c r="M4560">
        <v>85000</v>
      </c>
    </row>
    <row r="4561" spans="1:13" x14ac:dyDescent="0.25">
      <c r="A4561" t="s">
        <v>15159</v>
      </c>
      <c r="B4561" t="s">
        <v>15160</v>
      </c>
      <c r="C4561" t="s">
        <v>15</v>
      </c>
      <c r="D4561" t="s">
        <v>1190</v>
      </c>
      <c r="E4561" t="s">
        <v>12108</v>
      </c>
      <c r="F4561" t="s">
        <v>12405</v>
      </c>
      <c r="G4561" t="s">
        <v>15161</v>
      </c>
      <c r="H4561" t="str">
        <f>HYPERLINK("https://baanknet.com/view-property/186092/568EE24BC7C350F3AC07021207E3C7923DA6E915A65A0EDFE8090D3F9E2EE9DB", "https://baanknet.com/view-property/186092/568EE24BC7C350F3AC07021207E3C7923DA6E915A65A0EDFE8090D3F9E2EE9DB")</f>
        <v>https://baanknet.com/view-property/186092/568EE24BC7C350F3AC07021207E3C7923DA6E915A65A0EDFE8090D3F9E2EE9DB</v>
      </c>
      <c r="I4561" t="str">
        <f>HYPERLINK("https://baanknet.com/view-property/186092/568EE24BC7C350F3AC07021207E3C7923DA6E915A65A0EDFE8090D3F9E2EE9DB", "Open")</f>
        <v>Open</v>
      </c>
      <c r="J4561" t="s">
        <v>3803</v>
      </c>
      <c r="L4561">
        <v>3710000</v>
      </c>
      <c r="M4561">
        <v>371000</v>
      </c>
    </row>
    <row r="4562" spans="1:13" x14ac:dyDescent="0.25">
      <c r="A4562" t="s">
        <v>15162</v>
      </c>
      <c r="B4562" t="s">
        <v>15163</v>
      </c>
      <c r="C4562" t="s">
        <v>15</v>
      </c>
      <c r="D4562" t="s">
        <v>1190</v>
      </c>
      <c r="E4562" t="s">
        <v>12108</v>
      </c>
      <c r="F4562" t="s">
        <v>12405</v>
      </c>
      <c r="G4562" t="s">
        <v>15164</v>
      </c>
      <c r="H4562" t="str">
        <f>HYPERLINK("https://baanknet.com/view-property/187727/841242FF7C0C87EA68EA26D097CC80C47DF1EFC30065930887F829F52D618599", "https://baanknet.com/view-property/187727/841242FF7C0C87EA68EA26D097CC80C47DF1EFC30065930887F829F52D618599")</f>
        <v>https://baanknet.com/view-property/187727/841242FF7C0C87EA68EA26D097CC80C47DF1EFC30065930887F829F52D618599</v>
      </c>
      <c r="I4562" t="str">
        <f>HYPERLINK("https://baanknet.com/view-property/187727/841242FF7C0C87EA68EA26D097CC80C47DF1EFC30065930887F829F52D618599", "Open")</f>
        <v>Open</v>
      </c>
      <c r="J4562" t="s">
        <v>3803</v>
      </c>
      <c r="L4562">
        <v>1740000</v>
      </c>
      <c r="M4562">
        <v>174000</v>
      </c>
    </row>
    <row r="4563" spans="1:13" x14ac:dyDescent="0.25">
      <c r="A4563" t="s">
        <v>15165</v>
      </c>
      <c r="B4563" t="s">
        <v>15166</v>
      </c>
      <c r="C4563" t="s">
        <v>15</v>
      </c>
      <c r="D4563" t="s">
        <v>15127</v>
      </c>
      <c r="E4563" t="s">
        <v>12108</v>
      </c>
      <c r="F4563" t="s">
        <v>12405</v>
      </c>
      <c r="G4563" t="s">
        <v>15167</v>
      </c>
      <c r="H4563" t="str">
        <f>HYPERLINK("https://baanknet.com/view-property/198019/BA18D2BA7B6A0FEC37E7882A53649B8C3BF1945DAA58378394361C0497481AC1", "https://baanknet.com/view-property/198019/BA18D2BA7B6A0FEC37E7882A53649B8C3BF1945DAA58378394361C0497481AC1")</f>
        <v>https://baanknet.com/view-property/198019/BA18D2BA7B6A0FEC37E7882A53649B8C3BF1945DAA58378394361C0497481AC1</v>
      </c>
      <c r="I4563" t="str">
        <f>HYPERLINK("https://baanknet.com/view-property/198019/BA18D2BA7B6A0FEC37E7882A53649B8C3BF1945DAA58378394361C0497481AC1", "Open")</f>
        <v>Open</v>
      </c>
      <c r="J4563" t="s">
        <v>3803</v>
      </c>
      <c r="L4563">
        <v>750000</v>
      </c>
      <c r="M4563">
        <v>75000</v>
      </c>
    </row>
    <row r="4564" spans="1:13" x14ac:dyDescent="0.25">
      <c r="A4564" t="s">
        <v>15168</v>
      </c>
      <c r="B4564" t="s">
        <v>15169</v>
      </c>
      <c r="C4564" t="s">
        <v>15</v>
      </c>
      <c r="D4564" t="s">
        <v>15120</v>
      </c>
      <c r="E4564" t="s">
        <v>12108</v>
      </c>
      <c r="F4564" t="s">
        <v>12405</v>
      </c>
      <c r="G4564" t="s">
        <v>15170</v>
      </c>
      <c r="H4564" t="str">
        <f>HYPERLINK("https://baanknet.com/view-property/232874/A3DBA05DCA92B673F122F23E1782FCD392D0831C5B4CC7EC6E678EFBED9DFE19", "https://baanknet.com/view-property/232874/A3DBA05DCA92B673F122F23E1782FCD392D0831C5B4CC7EC6E678EFBED9DFE19")</f>
        <v>https://baanknet.com/view-property/232874/A3DBA05DCA92B673F122F23E1782FCD392D0831C5B4CC7EC6E678EFBED9DFE19</v>
      </c>
      <c r="I4564" t="str">
        <f>HYPERLINK("https://baanknet.com/view-property/232874/A3DBA05DCA92B673F122F23E1782FCD392D0831C5B4CC7EC6E678EFBED9DFE19", "Open")</f>
        <v>Open</v>
      </c>
      <c r="J4564" t="s">
        <v>3803</v>
      </c>
      <c r="L4564">
        <v>1810000</v>
      </c>
      <c r="M4564">
        <v>181000</v>
      </c>
    </row>
    <row r="4565" spans="1:13" x14ac:dyDescent="0.25">
      <c r="A4565" t="s">
        <v>15171</v>
      </c>
      <c r="B4565" t="s">
        <v>15172</v>
      </c>
      <c r="C4565" t="s">
        <v>15</v>
      </c>
      <c r="D4565" t="s">
        <v>15147</v>
      </c>
      <c r="E4565" t="s">
        <v>12108</v>
      </c>
      <c r="F4565" t="s">
        <v>12405</v>
      </c>
      <c r="G4565" t="s">
        <v>15173</v>
      </c>
      <c r="H4565" t="str">
        <f>HYPERLINK("https://baanknet.com/view-property/188476/9D66DFE817F25A45B9DDF46CD31573E540384FA91EF5BCF19EA7E0D92A93BE9F", "https://baanknet.com/view-property/188476/9D66DFE817F25A45B9DDF46CD31573E540384FA91EF5BCF19EA7E0D92A93BE9F")</f>
        <v>https://baanknet.com/view-property/188476/9D66DFE817F25A45B9DDF46CD31573E540384FA91EF5BCF19EA7E0D92A93BE9F</v>
      </c>
      <c r="I4565" t="str">
        <f>HYPERLINK("https://baanknet.com/view-property/188476/9D66DFE817F25A45B9DDF46CD31573E540384FA91EF5BCF19EA7E0D92A93BE9F", "Open")</f>
        <v>Open</v>
      </c>
      <c r="J4565" t="s">
        <v>3803</v>
      </c>
      <c r="L4565">
        <v>1300000</v>
      </c>
      <c r="M4565">
        <v>130000</v>
      </c>
    </row>
    <row r="4566" spans="1:13" x14ac:dyDescent="0.25">
      <c r="A4566" t="s">
        <v>15174</v>
      </c>
      <c r="B4566" t="s">
        <v>15175</v>
      </c>
      <c r="C4566" t="s">
        <v>15</v>
      </c>
      <c r="D4566" t="s">
        <v>4280</v>
      </c>
      <c r="E4566" t="s">
        <v>12108</v>
      </c>
      <c r="F4566" t="s">
        <v>12405</v>
      </c>
      <c r="G4566" t="s">
        <v>15176</v>
      </c>
      <c r="H4566" t="str">
        <f>HYPERLINK("https://baanknet.com/view-property/279215/1A18F12D69515877AF290B76C95E75E4544A1D293D1A5AE3B5F8562C359BF6D8", "https://baanknet.com/view-property/279215/1A18F12D69515877AF290B76C95E75E4544A1D293D1A5AE3B5F8562C359BF6D8")</f>
        <v>https://baanknet.com/view-property/279215/1A18F12D69515877AF290B76C95E75E4544A1D293D1A5AE3B5F8562C359BF6D8</v>
      </c>
      <c r="I4566" t="str">
        <f>HYPERLINK("https://baanknet.com/view-property/279215/1A18F12D69515877AF290B76C95E75E4544A1D293D1A5AE3B5F8562C359BF6D8", "Open")</f>
        <v>Open</v>
      </c>
      <c r="J4566" t="s">
        <v>3803</v>
      </c>
      <c r="L4566">
        <v>1010000</v>
      </c>
      <c r="M4566">
        <v>101000</v>
      </c>
    </row>
    <row r="4567" spans="1:13" x14ac:dyDescent="0.25">
      <c r="A4567" t="s">
        <v>15177</v>
      </c>
      <c r="B4567" t="s">
        <v>15178</v>
      </c>
      <c r="C4567" t="s">
        <v>15</v>
      </c>
      <c r="D4567" t="s">
        <v>15147</v>
      </c>
      <c r="E4567" t="s">
        <v>12108</v>
      </c>
      <c r="F4567" t="s">
        <v>12405</v>
      </c>
      <c r="G4567" t="s">
        <v>15179</v>
      </c>
      <c r="H4567" t="str">
        <f>HYPERLINK("https://baanknet.com/view-property/187710/85F387905B2BEE6E7AC41906CC789CCD34A59C5F678DDBEA0156B5AD513F9434", "https://baanknet.com/view-property/187710/85F387905B2BEE6E7AC41906CC789CCD34A59C5F678DDBEA0156B5AD513F9434")</f>
        <v>https://baanknet.com/view-property/187710/85F387905B2BEE6E7AC41906CC789CCD34A59C5F678DDBEA0156B5AD513F9434</v>
      </c>
      <c r="I4567" t="str">
        <f>HYPERLINK("https://baanknet.com/view-property/187710/85F387905B2BEE6E7AC41906CC789CCD34A59C5F678DDBEA0156B5AD513F9434", "Open")</f>
        <v>Open</v>
      </c>
      <c r="J4567" t="s">
        <v>3803</v>
      </c>
      <c r="L4567">
        <v>5610000</v>
      </c>
      <c r="M4567">
        <v>561000</v>
      </c>
    </row>
    <row r="4568" spans="1:13" x14ac:dyDescent="0.25">
      <c r="A4568" t="s">
        <v>15180</v>
      </c>
      <c r="B4568" t="s">
        <v>15181</v>
      </c>
      <c r="C4568" t="s">
        <v>15</v>
      </c>
      <c r="D4568" t="s">
        <v>8798</v>
      </c>
      <c r="E4568" t="s">
        <v>12108</v>
      </c>
      <c r="F4568" t="s">
        <v>12405</v>
      </c>
      <c r="G4568" t="s">
        <v>15182</v>
      </c>
      <c r="H4568" t="str">
        <f>HYPERLINK("https://baanknet.com/view-property/278609/3BA8EFAD9692C468154C9032CA73DDB1826DAC58DBFADA8FEABD417038403688", "https://baanknet.com/view-property/278609/3BA8EFAD9692C468154C9032CA73DDB1826DAC58DBFADA8FEABD417038403688")</f>
        <v>https://baanknet.com/view-property/278609/3BA8EFAD9692C468154C9032CA73DDB1826DAC58DBFADA8FEABD417038403688</v>
      </c>
      <c r="I4568" t="str">
        <f>HYPERLINK("https://baanknet.com/view-property/278609/3BA8EFAD9692C468154C9032CA73DDB1826DAC58DBFADA8FEABD417038403688", "Open")</f>
        <v>Open</v>
      </c>
      <c r="J4568" t="s">
        <v>3803</v>
      </c>
      <c r="L4568">
        <v>1610000</v>
      </c>
      <c r="M4568">
        <v>161000</v>
      </c>
    </row>
    <row r="4569" spans="1:13" x14ac:dyDescent="0.25">
      <c r="A4569" t="s">
        <v>15183</v>
      </c>
      <c r="B4569" t="s">
        <v>15184</v>
      </c>
      <c r="C4569" t="s">
        <v>15</v>
      </c>
      <c r="D4569" t="s">
        <v>15143</v>
      </c>
      <c r="E4569" t="s">
        <v>12108</v>
      </c>
      <c r="F4569" t="s">
        <v>12405</v>
      </c>
      <c r="G4569" t="s">
        <v>15185</v>
      </c>
      <c r="H4569" t="str">
        <f>HYPERLINK("https://baanknet.com/view-property/278616/69E6C7B699759872B2364CEB08771072A32AD599FAB6E15683207D4C4930234F", "https://baanknet.com/view-property/278616/69E6C7B699759872B2364CEB08771072A32AD599FAB6E15683207D4C4930234F")</f>
        <v>https://baanknet.com/view-property/278616/69E6C7B699759872B2364CEB08771072A32AD599FAB6E15683207D4C4930234F</v>
      </c>
      <c r="I4569" t="str">
        <f>HYPERLINK("https://baanknet.com/view-property/278616/69E6C7B699759872B2364CEB08771072A32AD599FAB6E15683207D4C4930234F", "Open")</f>
        <v>Open</v>
      </c>
      <c r="J4569" t="s">
        <v>3803</v>
      </c>
      <c r="L4569">
        <v>2510000</v>
      </c>
      <c r="M4569">
        <v>251000</v>
      </c>
    </row>
    <row r="4570" spans="1:13" x14ac:dyDescent="0.25">
      <c r="A4570" t="s">
        <v>15186</v>
      </c>
      <c r="B4570" t="s">
        <v>15187</v>
      </c>
      <c r="C4570" t="s">
        <v>15</v>
      </c>
      <c r="D4570" t="s">
        <v>6058</v>
      </c>
      <c r="E4570" t="s">
        <v>12108</v>
      </c>
      <c r="F4570" t="s">
        <v>12405</v>
      </c>
      <c r="G4570" t="s">
        <v>15188</v>
      </c>
      <c r="H4570" t="str">
        <f>HYPERLINK("https://baanknet.com/view-property/186108/C84141A206C8FA3E89D1BC7C42A09729FD84DAA7934F24D0EAED3839E00D44DA", "https://baanknet.com/view-property/186108/C84141A206C8FA3E89D1BC7C42A09729FD84DAA7934F24D0EAED3839E00D44DA")</f>
        <v>https://baanknet.com/view-property/186108/C84141A206C8FA3E89D1BC7C42A09729FD84DAA7934F24D0EAED3839E00D44DA</v>
      </c>
      <c r="I4570" t="str">
        <f>HYPERLINK("https://baanknet.com/view-property/186108/C84141A206C8FA3E89D1BC7C42A09729FD84DAA7934F24D0EAED3839E00D44DA", "Open")</f>
        <v>Open</v>
      </c>
      <c r="J4570" t="s">
        <v>3803</v>
      </c>
      <c r="L4570">
        <v>860000</v>
      </c>
      <c r="M4570">
        <v>86000</v>
      </c>
    </row>
    <row r="4571" spans="1:13" x14ac:dyDescent="0.25">
      <c r="A4571" t="s">
        <v>15189</v>
      </c>
      <c r="B4571" t="s">
        <v>15190</v>
      </c>
      <c r="C4571" t="s">
        <v>15</v>
      </c>
      <c r="D4571" t="s">
        <v>5873</v>
      </c>
      <c r="E4571" t="s">
        <v>12108</v>
      </c>
      <c r="F4571" t="s">
        <v>12405</v>
      </c>
      <c r="G4571" t="s">
        <v>15191</v>
      </c>
      <c r="H4571" t="str">
        <f>HYPERLINK("https://baanknet.com/view-property/279340/46ACDAB48D35FFC680F66FFD52072AA1E9F431CBF3868E110BD66661EF7653D9", "https://baanknet.com/view-property/279340/46ACDAB48D35FFC680F66FFD52072AA1E9F431CBF3868E110BD66661EF7653D9")</f>
        <v>https://baanknet.com/view-property/279340/46ACDAB48D35FFC680F66FFD52072AA1E9F431CBF3868E110BD66661EF7653D9</v>
      </c>
      <c r="I4571" t="str">
        <f>HYPERLINK("https://baanknet.com/view-property/279340/46ACDAB48D35FFC680F66FFD52072AA1E9F431CBF3868E110BD66661EF7653D9", "Open")</f>
        <v>Open</v>
      </c>
      <c r="J4571" t="s">
        <v>3803</v>
      </c>
      <c r="L4571">
        <v>1510000</v>
      </c>
      <c r="M4571">
        <v>151000</v>
      </c>
    </row>
    <row r="4572" spans="1:13" x14ac:dyDescent="0.25">
      <c r="A4572" t="s">
        <v>15192</v>
      </c>
      <c r="B4572" t="s">
        <v>15193</v>
      </c>
      <c r="C4572" t="s">
        <v>15</v>
      </c>
      <c r="D4572" t="s">
        <v>4876</v>
      </c>
      <c r="E4572" t="s">
        <v>12108</v>
      </c>
      <c r="F4572" t="s">
        <v>12405</v>
      </c>
      <c r="G4572" t="s">
        <v>15194</v>
      </c>
      <c r="H4572" t="str">
        <f>HYPERLINK("https://baanknet.com/view-property/266303/A272F199AFF16AB9C33C5BBDC23844B702DFC795457C9A60EC9F00C6A50B56D1", "https://baanknet.com/view-property/266303/A272F199AFF16AB9C33C5BBDC23844B702DFC795457C9A60EC9F00C6A50B56D1")</f>
        <v>https://baanknet.com/view-property/266303/A272F199AFF16AB9C33C5BBDC23844B702DFC795457C9A60EC9F00C6A50B56D1</v>
      </c>
      <c r="I4572" t="str">
        <f>HYPERLINK("https://baanknet.com/view-property/266303/A272F199AFF16AB9C33C5BBDC23844B702DFC795457C9A60EC9F00C6A50B56D1", "Open")</f>
        <v>Open</v>
      </c>
      <c r="J4572" t="s">
        <v>3803</v>
      </c>
      <c r="L4572">
        <v>3418000</v>
      </c>
      <c r="M4572">
        <v>341800</v>
      </c>
    </row>
    <row r="4573" spans="1:13" x14ac:dyDescent="0.25">
      <c r="A4573" t="s">
        <v>15195</v>
      </c>
      <c r="B4573" t="s">
        <v>15196</v>
      </c>
      <c r="C4573" t="s">
        <v>15</v>
      </c>
      <c r="D4573" t="s">
        <v>608</v>
      </c>
      <c r="E4573" t="s">
        <v>12108</v>
      </c>
      <c r="F4573" t="s">
        <v>12405</v>
      </c>
      <c r="G4573" t="s">
        <v>15197</v>
      </c>
      <c r="H4573" t="str">
        <f>HYPERLINK("https://baanknet.com/view-property/247258/0ED6097BCC7D5D6C21E8B71A58E3CD93FD1F19647A67648A3EE3AE59EDDD3F13", "https://baanknet.com/view-property/247258/0ED6097BCC7D5D6C21E8B71A58E3CD93FD1F19647A67648A3EE3AE59EDDD3F13")</f>
        <v>https://baanknet.com/view-property/247258/0ED6097BCC7D5D6C21E8B71A58E3CD93FD1F19647A67648A3EE3AE59EDDD3F13</v>
      </c>
      <c r="I4573" t="str">
        <f>HYPERLINK("https://baanknet.com/view-property/247258/0ED6097BCC7D5D6C21E8B71A58E3CD93FD1F19647A67648A3EE3AE59EDDD3F13", "Open")</f>
        <v>Open</v>
      </c>
      <c r="J4573" t="s">
        <v>3803</v>
      </c>
      <c r="L4573">
        <v>7033000</v>
      </c>
      <c r="M4573">
        <v>703300</v>
      </c>
    </row>
    <row r="4574" spans="1:13" x14ac:dyDescent="0.25">
      <c r="A4574" t="s">
        <v>15198</v>
      </c>
      <c r="B4574" t="s">
        <v>15199</v>
      </c>
      <c r="C4574" t="s">
        <v>15</v>
      </c>
      <c r="D4574" t="s">
        <v>608</v>
      </c>
      <c r="E4574" t="s">
        <v>12108</v>
      </c>
      <c r="F4574" t="s">
        <v>12405</v>
      </c>
      <c r="G4574" t="s">
        <v>15200</v>
      </c>
      <c r="H4574" t="str">
        <f>HYPERLINK("https://baanknet.com/view-property/243839/78D825E9E49F0E5AC32E57909D0F2604716F524416746416830D1EFBDF046809", "https://baanknet.com/view-property/243839/78D825E9E49F0E5AC32E57909D0F2604716F524416746416830D1EFBDF046809")</f>
        <v>https://baanknet.com/view-property/243839/78D825E9E49F0E5AC32E57909D0F2604716F524416746416830D1EFBDF046809</v>
      </c>
      <c r="I4574" t="str">
        <f>HYPERLINK("https://baanknet.com/view-property/243839/78D825E9E49F0E5AC32E57909D0F2604716F524416746416830D1EFBDF046809", "Open")</f>
        <v>Open</v>
      </c>
      <c r="J4574" t="s">
        <v>3803</v>
      </c>
      <c r="L4574">
        <v>2200000</v>
      </c>
      <c r="M4574">
        <v>220000</v>
      </c>
    </row>
    <row r="4575" spans="1:13" x14ac:dyDescent="0.25">
      <c r="A4575" t="s">
        <v>15201</v>
      </c>
      <c r="B4575" t="s">
        <v>15202</v>
      </c>
      <c r="C4575" t="s">
        <v>15</v>
      </c>
      <c r="D4575" t="s">
        <v>608</v>
      </c>
      <c r="E4575" t="s">
        <v>12108</v>
      </c>
      <c r="F4575" t="s">
        <v>12405</v>
      </c>
      <c r="G4575" t="s">
        <v>15203</v>
      </c>
      <c r="H4575" t="str">
        <f>HYPERLINK("https://baanknet.com/view-property/243846/D4CF498A5D7092D3FB018A93C1B156FDB062D0B972608401AE24A9B11EE12A19", "https://baanknet.com/view-property/243846/D4CF498A5D7092D3FB018A93C1B156FDB062D0B972608401AE24A9B11EE12A19")</f>
        <v>https://baanknet.com/view-property/243846/D4CF498A5D7092D3FB018A93C1B156FDB062D0B972608401AE24A9B11EE12A19</v>
      </c>
      <c r="I4575" t="str">
        <f>HYPERLINK("https://baanknet.com/view-property/243846/D4CF498A5D7092D3FB018A93C1B156FDB062D0B972608401AE24A9B11EE12A19", "Open")</f>
        <v>Open</v>
      </c>
      <c r="J4575" t="s">
        <v>3803</v>
      </c>
      <c r="L4575">
        <v>2200000</v>
      </c>
      <c r="M4575">
        <v>220000</v>
      </c>
    </row>
    <row r="4576" spans="1:13" x14ac:dyDescent="0.25">
      <c r="A4576" t="s">
        <v>15204</v>
      </c>
      <c r="B4576" t="s">
        <v>15205</v>
      </c>
      <c r="C4576" t="s">
        <v>15</v>
      </c>
      <c r="D4576" t="s">
        <v>15206</v>
      </c>
      <c r="E4576" t="s">
        <v>12108</v>
      </c>
      <c r="F4576" t="s">
        <v>12405</v>
      </c>
      <c r="G4576" t="s">
        <v>15207</v>
      </c>
      <c r="H4576" t="str">
        <f>HYPERLINK("https://baanknet.com/view-property/250878/8E38831D1E0B80D78DD3F836A11A50F34DE1C8D8BDCC2D81DF2311E5AC817BB2", "https://baanknet.com/view-property/250878/8E38831D1E0B80D78DD3F836A11A50F34DE1C8D8BDCC2D81DF2311E5AC817BB2")</f>
        <v>https://baanknet.com/view-property/250878/8E38831D1E0B80D78DD3F836A11A50F34DE1C8D8BDCC2D81DF2311E5AC817BB2</v>
      </c>
      <c r="I4576" t="str">
        <f>HYPERLINK("https://baanknet.com/view-property/250878/8E38831D1E0B80D78DD3F836A11A50F34DE1C8D8BDCC2D81DF2311E5AC817BB2", "Open")</f>
        <v>Open</v>
      </c>
      <c r="J4576" t="s">
        <v>3803</v>
      </c>
      <c r="L4576">
        <v>2755000</v>
      </c>
      <c r="M4576">
        <v>275500</v>
      </c>
    </row>
    <row r="4577" spans="1:13" x14ac:dyDescent="0.25">
      <c r="A4577" t="s">
        <v>15208</v>
      </c>
      <c r="B4577" t="s">
        <v>15209</v>
      </c>
      <c r="C4577" t="s">
        <v>15</v>
      </c>
      <c r="D4577" t="s">
        <v>608</v>
      </c>
      <c r="E4577" t="s">
        <v>12108</v>
      </c>
      <c r="F4577" t="s">
        <v>12405</v>
      </c>
      <c r="G4577" t="s">
        <v>15210</v>
      </c>
      <c r="H4577" t="str">
        <f>HYPERLINK("https://baanknet.com/view-property/283544/8EF910B7FB69CB98B7130B980B11BC38AFB02BF99D05AD4D6EA9CBE87DC4421F", "https://baanknet.com/view-property/283544/8EF910B7FB69CB98B7130B980B11BC38AFB02BF99D05AD4D6EA9CBE87DC4421F")</f>
        <v>https://baanknet.com/view-property/283544/8EF910B7FB69CB98B7130B980B11BC38AFB02BF99D05AD4D6EA9CBE87DC4421F</v>
      </c>
      <c r="I4577" t="str">
        <f>HYPERLINK("https://baanknet.com/view-property/283544/8EF910B7FB69CB98B7130B980B11BC38AFB02BF99D05AD4D6EA9CBE87DC4421F", "Open")</f>
        <v>Open</v>
      </c>
      <c r="J4577" t="s">
        <v>3803</v>
      </c>
      <c r="L4577">
        <v>19056000</v>
      </c>
      <c r="M4577">
        <v>1905600</v>
      </c>
    </row>
    <row r="4578" spans="1:13" x14ac:dyDescent="0.25">
      <c r="A4578" t="s">
        <v>15211</v>
      </c>
      <c r="B4578" t="s">
        <v>15212</v>
      </c>
      <c r="C4578" t="s">
        <v>15</v>
      </c>
      <c r="D4578" t="s">
        <v>608</v>
      </c>
      <c r="E4578" t="s">
        <v>12108</v>
      </c>
      <c r="F4578" t="s">
        <v>12405</v>
      </c>
      <c r="G4578" t="s">
        <v>15213</v>
      </c>
      <c r="H4578" t="str">
        <f>HYPERLINK("https://baanknet.com/view-property/253554/587EC47A1D1B96EF93D8E5FE52C02153CF7E450E299B5B3C258A1AA46B66E345", "https://baanknet.com/view-property/253554/587EC47A1D1B96EF93D8E5FE52C02153CF7E450E299B5B3C258A1AA46B66E345")</f>
        <v>https://baanknet.com/view-property/253554/587EC47A1D1B96EF93D8E5FE52C02153CF7E450E299B5B3C258A1AA46B66E345</v>
      </c>
      <c r="I4578" t="str">
        <f>HYPERLINK("https://baanknet.com/view-property/253554/587EC47A1D1B96EF93D8E5FE52C02153CF7E450E299B5B3C258A1AA46B66E345", "Open")</f>
        <v>Open</v>
      </c>
      <c r="J4578" t="s">
        <v>3803</v>
      </c>
      <c r="L4578">
        <v>10400000</v>
      </c>
      <c r="M4578">
        <v>1040000</v>
      </c>
    </row>
    <row r="4579" spans="1:13" x14ac:dyDescent="0.25">
      <c r="A4579" t="s">
        <v>15214</v>
      </c>
      <c r="B4579" t="s">
        <v>15215</v>
      </c>
      <c r="C4579" t="s">
        <v>15</v>
      </c>
      <c r="D4579" t="s">
        <v>9101</v>
      </c>
      <c r="E4579" t="s">
        <v>12108</v>
      </c>
      <c r="F4579" t="s">
        <v>12405</v>
      </c>
      <c r="G4579" t="s">
        <v>15216</v>
      </c>
      <c r="H4579" t="str">
        <f>HYPERLINK("https://baanknet.com/view-property/257364/A9A6FA31DDA430A4C624A5A490B3E8E98D926BE77F4518650A47772BD85EB846", "https://baanknet.com/view-property/257364/A9A6FA31DDA430A4C624A5A490B3E8E98D926BE77F4518650A47772BD85EB846")</f>
        <v>https://baanknet.com/view-property/257364/A9A6FA31DDA430A4C624A5A490B3E8E98D926BE77F4518650A47772BD85EB846</v>
      </c>
      <c r="I4579" t="str">
        <f>HYPERLINK("https://baanknet.com/view-property/257364/A9A6FA31DDA430A4C624A5A490B3E8E98D926BE77F4518650A47772BD85EB846", "Open")</f>
        <v>Open</v>
      </c>
      <c r="J4579" t="s">
        <v>3803</v>
      </c>
      <c r="L4579">
        <v>18500000</v>
      </c>
      <c r="M4579">
        <v>1850000</v>
      </c>
    </row>
    <row r="4580" spans="1:13" x14ac:dyDescent="0.25">
      <c r="A4580" t="s">
        <v>15217</v>
      </c>
      <c r="B4580" t="s">
        <v>15218</v>
      </c>
      <c r="C4580" t="s">
        <v>15</v>
      </c>
      <c r="D4580" t="s">
        <v>595</v>
      </c>
      <c r="E4580" t="s">
        <v>12108</v>
      </c>
      <c r="F4580" t="s">
        <v>12405</v>
      </c>
      <c r="G4580" t="s">
        <v>15219</v>
      </c>
      <c r="H4580" t="str">
        <f>HYPERLINK("https://baanknet.com/view-property/275948/6F615E6417F0FA5FE0233E39C3A662766A97E207BFB77056E7F5C3C6BEAB9130", "https://baanknet.com/view-property/275948/6F615E6417F0FA5FE0233E39C3A662766A97E207BFB77056E7F5C3C6BEAB9130")</f>
        <v>https://baanknet.com/view-property/275948/6F615E6417F0FA5FE0233E39C3A662766A97E207BFB77056E7F5C3C6BEAB9130</v>
      </c>
      <c r="I4580" t="str">
        <f>HYPERLINK("https://baanknet.com/view-property/275948/6F615E6417F0FA5FE0233E39C3A662766A97E207BFB77056E7F5C3C6BEAB9130", "Open")</f>
        <v>Open</v>
      </c>
      <c r="J4580" t="s">
        <v>3803</v>
      </c>
      <c r="L4580">
        <v>1660000</v>
      </c>
      <c r="M4580">
        <v>166000</v>
      </c>
    </row>
    <row r="4581" spans="1:13" x14ac:dyDescent="0.25">
      <c r="A4581" t="s">
        <v>15220</v>
      </c>
      <c r="B4581" t="s">
        <v>15221</v>
      </c>
      <c r="C4581" t="s">
        <v>15</v>
      </c>
      <c r="D4581" t="s">
        <v>4085</v>
      </c>
      <c r="E4581" t="s">
        <v>12108</v>
      </c>
      <c r="F4581" t="s">
        <v>12405</v>
      </c>
      <c r="G4581" t="s">
        <v>15222</v>
      </c>
      <c r="H4581" t="str">
        <f>HYPERLINK("https://baanknet.com/view-property/282957/FA3E1F9903744B736E1A0EE8BD7AECDC30E015AD5D9DCE90FC86F8BBE1B3AC72", "https://baanknet.com/view-property/282957/FA3E1F9903744B736E1A0EE8BD7AECDC30E015AD5D9DCE90FC86F8BBE1B3AC72")</f>
        <v>https://baanknet.com/view-property/282957/FA3E1F9903744B736E1A0EE8BD7AECDC30E015AD5D9DCE90FC86F8BBE1B3AC72</v>
      </c>
      <c r="I4581" t="str">
        <f>HYPERLINK("https://baanknet.com/view-property/282957/FA3E1F9903744B736E1A0EE8BD7AECDC30E015AD5D9DCE90FC86F8BBE1B3AC72", "Open")</f>
        <v>Open</v>
      </c>
      <c r="J4581" t="s">
        <v>3803</v>
      </c>
      <c r="L4581">
        <v>2850000</v>
      </c>
      <c r="M4581">
        <v>285000</v>
      </c>
    </row>
    <row r="4582" spans="1:13" x14ac:dyDescent="0.25">
      <c r="A4582" t="s">
        <v>15223</v>
      </c>
      <c r="B4582" t="s">
        <v>15224</v>
      </c>
      <c r="C4582" t="s">
        <v>15</v>
      </c>
      <c r="D4582" t="s">
        <v>282</v>
      </c>
      <c r="E4582" t="s">
        <v>12108</v>
      </c>
      <c r="F4582" t="s">
        <v>12405</v>
      </c>
      <c r="G4582" t="s">
        <v>15225</v>
      </c>
      <c r="H4582" t="str">
        <f>HYPERLINK("https://baanknet.com/view-property/275956/D20ADECB1034D00F9309C3C13A77E10D764995F0C256895DE4993E4B69C2FC4A", "https://baanknet.com/view-property/275956/D20ADECB1034D00F9309C3C13A77E10D764995F0C256895DE4993E4B69C2FC4A")</f>
        <v>https://baanknet.com/view-property/275956/D20ADECB1034D00F9309C3C13A77E10D764995F0C256895DE4993E4B69C2FC4A</v>
      </c>
      <c r="I4582" t="str">
        <f>HYPERLINK("https://baanknet.com/view-property/275956/D20ADECB1034D00F9309C3C13A77E10D764995F0C256895DE4993E4B69C2FC4A", "Open")</f>
        <v>Open</v>
      </c>
      <c r="J4582" t="s">
        <v>3803</v>
      </c>
      <c r="L4582">
        <v>4410000</v>
      </c>
      <c r="M4582">
        <v>441000</v>
      </c>
    </row>
    <row r="4583" spans="1:13" x14ac:dyDescent="0.25">
      <c r="A4583" t="s">
        <v>15226</v>
      </c>
      <c r="B4583" t="s">
        <v>15227</v>
      </c>
      <c r="C4583" t="s">
        <v>15</v>
      </c>
      <c r="D4583" t="s">
        <v>15228</v>
      </c>
      <c r="E4583" t="s">
        <v>12108</v>
      </c>
      <c r="F4583" t="s">
        <v>12405</v>
      </c>
      <c r="G4583" t="s">
        <v>15229</v>
      </c>
      <c r="H4583" t="str">
        <f>HYPERLINK("https://baanknet.com/view-property/278597/81388A41EEFB3042CD0A251B1C826C78D69D38BB62338366B7F73359A5A09CBE", "https://baanknet.com/view-property/278597/81388A41EEFB3042CD0A251B1C826C78D69D38BB62338366B7F73359A5A09CBE")</f>
        <v>https://baanknet.com/view-property/278597/81388A41EEFB3042CD0A251B1C826C78D69D38BB62338366B7F73359A5A09CBE</v>
      </c>
      <c r="I4583" t="str">
        <f>HYPERLINK("https://baanknet.com/view-property/278597/81388A41EEFB3042CD0A251B1C826C78D69D38BB62338366B7F73359A5A09CBE", "Open")</f>
        <v>Open</v>
      </c>
      <c r="J4583" t="s">
        <v>3803</v>
      </c>
      <c r="L4583">
        <v>415000</v>
      </c>
      <c r="M4583">
        <v>41500</v>
      </c>
    </row>
    <row r="4584" spans="1:13" x14ac:dyDescent="0.25">
      <c r="A4584" t="s">
        <v>15230</v>
      </c>
      <c r="B4584" t="s">
        <v>15231</v>
      </c>
      <c r="C4584" t="s">
        <v>15</v>
      </c>
      <c r="D4584" t="s">
        <v>15232</v>
      </c>
      <c r="E4584" t="s">
        <v>12108</v>
      </c>
      <c r="F4584" t="s">
        <v>12405</v>
      </c>
      <c r="G4584" t="s">
        <v>15233</v>
      </c>
      <c r="H4584" t="str">
        <f>HYPERLINK("https://baanknet.com/view-property/278600/25B44E83D9E3B81F148A06590385BDC1989F3170E9A51CE0859C951B21EE66C4", "https://baanknet.com/view-property/278600/25B44E83D9E3B81F148A06590385BDC1989F3170E9A51CE0859C951B21EE66C4")</f>
        <v>https://baanknet.com/view-property/278600/25B44E83D9E3B81F148A06590385BDC1989F3170E9A51CE0859C951B21EE66C4</v>
      </c>
      <c r="I4584" t="str">
        <f>HYPERLINK("https://baanknet.com/view-property/278600/25B44E83D9E3B81F148A06590385BDC1989F3170E9A51CE0859C951B21EE66C4", "Open")</f>
        <v>Open</v>
      </c>
      <c r="J4584" t="s">
        <v>3803</v>
      </c>
      <c r="L4584">
        <v>820000</v>
      </c>
      <c r="M4584">
        <v>82000</v>
      </c>
    </row>
    <row r="4585" spans="1:13" x14ac:dyDescent="0.25">
      <c r="A4585" t="s">
        <v>15234</v>
      </c>
      <c r="B4585" t="s">
        <v>15235</v>
      </c>
      <c r="C4585" t="s">
        <v>15</v>
      </c>
      <c r="D4585" t="s">
        <v>6058</v>
      </c>
      <c r="E4585" t="s">
        <v>12108</v>
      </c>
      <c r="F4585" t="s">
        <v>12405</v>
      </c>
      <c r="G4585" t="s">
        <v>15236</v>
      </c>
      <c r="H4585" t="str">
        <f>HYPERLINK("https://baanknet.com/view-property/187315/B4A72F258016B4A6D39EC64AD7155AB7F60353BD460008EC5BA50741AC0735C5", "https://baanknet.com/view-property/187315/B4A72F258016B4A6D39EC64AD7155AB7F60353BD460008EC5BA50741AC0735C5")</f>
        <v>https://baanknet.com/view-property/187315/B4A72F258016B4A6D39EC64AD7155AB7F60353BD460008EC5BA50741AC0735C5</v>
      </c>
      <c r="I4585" t="str">
        <f>HYPERLINK("https://baanknet.com/view-property/187315/B4A72F258016B4A6D39EC64AD7155AB7F60353BD460008EC5BA50741AC0735C5", "Open")</f>
        <v>Open</v>
      </c>
      <c r="J4585" t="s">
        <v>3803</v>
      </c>
      <c r="L4585">
        <v>1600000</v>
      </c>
      <c r="M4585">
        <v>160000</v>
      </c>
    </row>
    <row r="4586" spans="1:13" x14ac:dyDescent="0.25">
      <c r="A4586" t="s">
        <v>15237</v>
      </c>
      <c r="B4586" t="s">
        <v>15238</v>
      </c>
      <c r="C4586" t="s">
        <v>832</v>
      </c>
      <c r="D4586" t="s">
        <v>4317</v>
      </c>
      <c r="E4586" t="s">
        <v>12108</v>
      </c>
      <c r="F4586" t="s">
        <v>11430</v>
      </c>
      <c r="G4586" t="s">
        <v>15239</v>
      </c>
      <c r="H4586" t="str">
        <f>HYPERLINK("https://baanknet.com/view-property/285926/8F7E0E49C0EEFAEC881277348A503776FFC758301DCE15F1B77FD6CBD434C90B", "https://baanknet.com/view-property/285926/8F7E0E49C0EEFAEC881277348A503776FFC758301DCE15F1B77FD6CBD434C90B")</f>
        <v>https://baanknet.com/view-property/285926/8F7E0E49C0EEFAEC881277348A503776FFC758301DCE15F1B77FD6CBD434C90B</v>
      </c>
      <c r="I4586" t="str">
        <f>HYPERLINK("https://baanknet.com/view-property/285926/8F7E0E49C0EEFAEC881277348A503776FFC758301DCE15F1B77FD6CBD434C90B", "Open")</f>
        <v>Open</v>
      </c>
      <c r="J4586" t="s">
        <v>3803</v>
      </c>
      <c r="L4586">
        <v>1977000</v>
      </c>
      <c r="M4586">
        <v>197700</v>
      </c>
    </row>
    <row r="4587" spans="1:13" x14ac:dyDescent="0.25">
      <c r="A4587" t="s">
        <v>15240</v>
      </c>
      <c r="B4587" t="s">
        <v>15241</v>
      </c>
      <c r="C4587" t="s">
        <v>832</v>
      </c>
      <c r="D4587" t="s">
        <v>4317</v>
      </c>
      <c r="E4587" t="s">
        <v>12108</v>
      </c>
      <c r="F4587" t="s">
        <v>11430</v>
      </c>
      <c r="G4587" t="s">
        <v>15242</v>
      </c>
      <c r="H4587" t="str">
        <f>HYPERLINK("https://baanknet.com/view-property/285938/78C9EB0DF18EB9A1A6E8D0BB40608E8E8704AB11922B421CAE308AAF8A578C27", "https://baanknet.com/view-property/285938/78C9EB0DF18EB9A1A6E8D0BB40608E8E8704AB11922B421CAE308AAF8A578C27")</f>
        <v>https://baanknet.com/view-property/285938/78C9EB0DF18EB9A1A6E8D0BB40608E8E8704AB11922B421CAE308AAF8A578C27</v>
      </c>
      <c r="I4587" t="str">
        <f>HYPERLINK("https://baanknet.com/view-property/285938/78C9EB0DF18EB9A1A6E8D0BB40608E8E8704AB11922B421CAE308AAF8A578C27", "Open")</f>
        <v>Open</v>
      </c>
      <c r="J4587" t="s">
        <v>3803</v>
      </c>
      <c r="L4587">
        <v>25570000</v>
      </c>
      <c r="M4587">
        <v>2557000</v>
      </c>
    </row>
    <row r="4588" spans="1:13" x14ac:dyDescent="0.25">
      <c r="A4588" t="s">
        <v>15243</v>
      </c>
      <c r="B4588" t="s">
        <v>15244</v>
      </c>
      <c r="C4588" t="s">
        <v>832</v>
      </c>
      <c r="D4588" t="s">
        <v>4317</v>
      </c>
      <c r="E4588" t="s">
        <v>12108</v>
      </c>
      <c r="F4588" t="s">
        <v>11430</v>
      </c>
      <c r="G4588" t="s">
        <v>15245</v>
      </c>
      <c r="H4588" t="str">
        <f>HYPERLINK("https://baanknet.com/view-property/285937/92BB63710BEBC9E1ECE2840DE3EE767FE184F34C3D91980C04D9060220BC9A3D", "https://baanknet.com/view-property/285937/92BB63710BEBC9E1ECE2840DE3EE767FE184F34C3D91980C04D9060220BC9A3D")</f>
        <v>https://baanknet.com/view-property/285937/92BB63710BEBC9E1ECE2840DE3EE767FE184F34C3D91980C04D9060220BC9A3D</v>
      </c>
      <c r="I4588" t="str">
        <f>HYPERLINK("https://baanknet.com/view-property/285937/92BB63710BEBC9E1ECE2840DE3EE767FE184F34C3D91980C04D9060220BC9A3D", "Open")</f>
        <v>Open</v>
      </c>
      <c r="J4588" t="s">
        <v>3803</v>
      </c>
      <c r="L4588">
        <v>9888000</v>
      </c>
      <c r="M4588">
        <v>988800</v>
      </c>
    </row>
    <row r="4589" spans="1:13" x14ac:dyDescent="0.25">
      <c r="A4589" t="s">
        <v>15246</v>
      </c>
      <c r="B4589" t="s">
        <v>15247</v>
      </c>
      <c r="C4589" t="s">
        <v>832</v>
      </c>
      <c r="D4589" t="s">
        <v>4317</v>
      </c>
      <c r="E4589" t="s">
        <v>12108</v>
      </c>
      <c r="F4589" t="s">
        <v>11430</v>
      </c>
      <c r="G4589" t="s">
        <v>15248</v>
      </c>
      <c r="H4589" t="str">
        <f>HYPERLINK("https://baanknet.com/view-property/285927/5E15F7A793A0A93AC9D6D7CC4ECA5B1D6783900B803A72682E63DB514FB09AE3", "https://baanknet.com/view-property/285927/5E15F7A793A0A93AC9D6D7CC4ECA5B1D6783900B803A72682E63DB514FB09AE3")</f>
        <v>https://baanknet.com/view-property/285927/5E15F7A793A0A93AC9D6D7CC4ECA5B1D6783900B803A72682E63DB514FB09AE3</v>
      </c>
      <c r="I4589" t="str">
        <f>HYPERLINK("https://baanknet.com/view-property/285927/5E15F7A793A0A93AC9D6D7CC4ECA5B1D6783900B803A72682E63DB514FB09AE3", "Open")</f>
        <v>Open</v>
      </c>
      <c r="J4589" t="s">
        <v>3803</v>
      </c>
      <c r="L4589">
        <v>3750000</v>
      </c>
      <c r="M4589">
        <v>375000</v>
      </c>
    </row>
    <row r="4590" spans="1:13" x14ac:dyDescent="0.25">
      <c r="A4590" t="s">
        <v>15249</v>
      </c>
      <c r="B4590" t="s">
        <v>15250</v>
      </c>
      <c r="C4590" t="s">
        <v>832</v>
      </c>
      <c r="D4590" t="s">
        <v>15251</v>
      </c>
      <c r="E4590" t="s">
        <v>12108</v>
      </c>
      <c r="F4590" t="s">
        <v>11430</v>
      </c>
      <c r="G4590" t="s">
        <v>15252</v>
      </c>
      <c r="H4590" t="str">
        <f>HYPERLINK("https://baanknet.com/view-property/286151/3AB4420157FA720D4B5BDBEF23C170DA2FFC38C243C06F49E14B35D2ED867E37", "https://baanknet.com/view-property/286151/3AB4420157FA720D4B5BDBEF23C170DA2FFC38C243C06F49E14B35D2ED867E37")</f>
        <v>https://baanknet.com/view-property/286151/3AB4420157FA720D4B5BDBEF23C170DA2FFC38C243C06F49E14B35D2ED867E37</v>
      </c>
      <c r="I4590" t="str">
        <f>HYPERLINK("https://baanknet.com/view-property/286151/3AB4420157FA720D4B5BDBEF23C170DA2FFC38C243C06F49E14B35D2ED867E37", "Open")</f>
        <v>Open</v>
      </c>
      <c r="J4590" t="s">
        <v>3803</v>
      </c>
      <c r="L4590">
        <v>2276000</v>
      </c>
      <c r="M4590">
        <v>227600</v>
      </c>
    </row>
    <row r="4591" spans="1:13" x14ac:dyDescent="0.25">
      <c r="A4591" t="s">
        <v>15253</v>
      </c>
      <c r="B4591" t="s">
        <v>15254</v>
      </c>
      <c r="C4591" t="s">
        <v>832</v>
      </c>
      <c r="D4591" t="s">
        <v>4297</v>
      </c>
      <c r="E4591" t="s">
        <v>12108</v>
      </c>
      <c r="F4591" t="s">
        <v>11430</v>
      </c>
      <c r="G4591" t="s">
        <v>15255</v>
      </c>
      <c r="H4591" t="str">
        <f>HYPERLINK("https://baanknet.com/view-property/285939/2A81052AA38B6F9C59AF60167B494FFF5F9A8A1FA982A52375B0B45E1349E0C9", "https://baanknet.com/view-property/285939/2A81052AA38B6F9C59AF60167B494FFF5F9A8A1FA982A52375B0B45E1349E0C9")</f>
        <v>https://baanknet.com/view-property/285939/2A81052AA38B6F9C59AF60167B494FFF5F9A8A1FA982A52375B0B45E1349E0C9</v>
      </c>
      <c r="I4591" t="str">
        <f>HYPERLINK("https://baanknet.com/view-property/285939/2A81052AA38B6F9C59AF60167B494FFF5F9A8A1FA982A52375B0B45E1349E0C9", "Open")</f>
        <v>Open</v>
      </c>
      <c r="J4591" t="s">
        <v>3803</v>
      </c>
      <c r="L4591">
        <v>7640000</v>
      </c>
      <c r="M4591">
        <v>764000</v>
      </c>
    </row>
    <row r="4592" spans="1:13" x14ac:dyDescent="0.25">
      <c r="A4592" t="s">
        <v>15256</v>
      </c>
      <c r="B4592" t="s">
        <v>15257</v>
      </c>
      <c r="C4592" t="s">
        <v>832</v>
      </c>
      <c r="D4592" t="s">
        <v>533</v>
      </c>
      <c r="E4592" t="s">
        <v>12108</v>
      </c>
      <c r="F4592" t="s">
        <v>11430</v>
      </c>
      <c r="G4592" t="s">
        <v>15258</v>
      </c>
      <c r="H4592" t="str">
        <f>HYPERLINK("https://baanknet.com/view-property/285943/1593ED1C91CBFFF47EA0EC0D00FE4A0351BDE2C41EC18537109557AA31CB134D", "https://baanknet.com/view-property/285943/1593ED1C91CBFFF47EA0EC0D00FE4A0351BDE2C41EC18537109557AA31CB134D")</f>
        <v>https://baanknet.com/view-property/285943/1593ED1C91CBFFF47EA0EC0D00FE4A0351BDE2C41EC18537109557AA31CB134D</v>
      </c>
      <c r="I4592" t="str">
        <f>HYPERLINK("https://baanknet.com/view-property/285943/1593ED1C91CBFFF47EA0EC0D00FE4A0351BDE2C41EC18537109557AA31CB134D", "Open")</f>
        <v>Open</v>
      </c>
      <c r="J4592" t="s">
        <v>3803</v>
      </c>
      <c r="L4592">
        <v>5998000</v>
      </c>
      <c r="M4592">
        <v>599800</v>
      </c>
    </row>
    <row r="4593" spans="1:13" x14ac:dyDescent="0.25">
      <c r="A4593" t="s">
        <v>15259</v>
      </c>
      <c r="B4593" t="s">
        <v>15260</v>
      </c>
      <c r="C4593" t="s">
        <v>7449</v>
      </c>
      <c r="D4593" t="s">
        <v>15261</v>
      </c>
      <c r="E4593" t="s">
        <v>12108</v>
      </c>
      <c r="F4593" t="s">
        <v>11430</v>
      </c>
      <c r="G4593" t="s">
        <v>15262</v>
      </c>
      <c r="H4593" t="str">
        <f>HYPERLINK("https://baanknet.com/view-property/286830/B07BE8C566FD4709F0F253B1DF5B06CBFCDDBE36F4A96D5936AE96041FAA90A6", "https://baanknet.com/view-property/286830/B07BE8C566FD4709F0F253B1DF5B06CBFCDDBE36F4A96D5936AE96041FAA90A6")</f>
        <v>https://baanknet.com/view-property/286830/B07BE8C566FD4709F0F253B1DF5B06CBFCDDBE36F4A96D5936AE96041FAA90A6</v>
      </c>
      <c r="I4593" t="str">
        <f>HYPERLINK("https://baanknet.com/view-property/286830/B07BE8C566FD4709F0F253B1DF5B06CBFCDDBE36F4A96D5936AE96041FAA90A6", "Open")</f>
        <v>Open</v>
      </c>
      <c r="J4593" t="s">
        <v>3803</v>
      </c>
      <c r="L4593">
        <v>18972203</v>
      </c>
      <c r="M4593">
        <v>1897220.3</v>
      </c>
    </row>
    <row r="4594" spans="1:13" x14ac:dyDescent="0.25">
      <c r="A4594" t="s">
        <v>15263</v>
      </c>
      <c r="B4594" t="s">
        <v>15264</v>
      </c>
      <c r="C4594" t="s">
        <v>7449</v>
      </c>
      <c r="D4594" t="s">
        <v>5266</v>
      </c>
      <c r="E4594" t="s">
        <v>12108</v>
      </c>
      <c r="F4594" t="s">
        <v>11430</v>
      </c>
      <c r="G4594" t="s">
        <v>15265</v>
      </c>
      <c r="H4594" t="str">
        <f>HYPERLINK("https://baanknet.com/view-property/286764/55A72B8069429B6727B26083347D4EBCC21D1868936DA810B3F637CDA26A9013", "https://baanknet.com/view-property/286764/55A72B8069429B6727B26083347D4EBCC21D1868936DA810B3F637CDA26A9013")</f>
        <v>https://baanknet.com/view-property/286764/55A72B8069429B6727B26083347D4EBCC21D1868936DA810B3F637CDA26A9013</v>
      </c>
      <c r="I4594" t="str">
        <f>HYPERLINK("https://baanknet.com/view-property/286764/55A72B8069429B6727B26083347D4EBCC21D1868936DA810B3F637CDA26A9013", "Open")</f>
        <v>Open</v>
      </c>
      <c r="J4594" t="s">
        <v>3803</v>
      </c>
      <c r="L4594">
        <v>1279836</v>
      </c>
      <c r="M4594">
        <v>127983.6</v>
      </c>
    </row>
    <row r="4595" spans="1:13" x14ac:dyDescent="0.25">
      <c r="A4595" t="s">
        <v>15266</v>
      </c>
      <c r="B4595" t="s">
        <v>15267</v>
      </c>
      <c r="C4595" t="s">
        <v>7449</v>
      </c>
      <c r="D4595" t="s">
        <v>4481</v>
      </c>
      <c r="E4595" t="s">
        <v>12108</v>
      </c>
      <c r="F4595" t="s">
        <v>11430</v>
      </c>
      <c r="G4595" t="s">
        <v>15268</v>
      </c>
      <c r="H4595" t="str">
        <f>HYPERLINK("https://baanknet.com/view-property/286756/C4A21027AFF5BF3DB822F560B48AC04D83EF95DCFDEB97711B7849CF2DD45FF3", "https://baanknet.com/view-property/286756/C4A21027AFF5BF3DB822F560B48AC04D83EF95DCFDEB97711B7849CF2DD45FF3")</f>
        <v>https://baanknet.com/view-property/286756/C4A21027AFF5BF3DB822F560B48AC04D83EF95DCFDEB97711B7849CF2DD45FF3</v>
      </c>
      <c r="I4595" t="str">
        <f>HYPERLINK("https://baanknet.com/view-property/286756/C4A21027AFF5BF3DB822F560B48AC04D83EF95DCFDEB97711B7849CF2DD45FF3", "Open")</f>
        <v>Open</v>
      </c>
      <c r="J4595" t="s">
        <v>3803</v>
      </c>
      <c r="L4595">
        <v>4706000</v>
      </c>
      <c r="M4595">
        <v>470600</v>
      </c>
    </row>
    <row r="4596" spans="1:13" x14ac:dyDescent="0.25">
      <c r="A4596" t="s">
        <v>15269</v>
      </c>
      <c r="B4596" t="s">
        <v>15270</v>
      </c>
      <c r="C4596" t="s">
        <v>7449</v>
      </c>
      <c r="D4596" t="s">
        <v>1003</v>
      </c>
      <c r="E4596" t="s">
        <v>12108</v>
      </c>
      <c r="F4596" t="s">
        <v>11430</v>
      </c>
      <c r="G4596" t="s">
        <v>15271</v>
      </c>
      <c r="H4596" t="str">
        <f>HYPERLINK("https://baanknet.com/view-property/286820/96F2DF5501629F6E4B794A9424C587A0023088B5B35026FA5FAA69836572ECBB", "https://baanknet.com/view-property/286820/96F2DF5501629F6E4B794A9424C587A0023088B5B35026FA5FAA69836572ECBB")</f>
        <v>https://baanknet.com/view-property/286820/96F2DF5501629F6E4B794A9424C587A0023088B5B35026FA5FAA69836572ECBB</v>
      </c>
      <c r="I4596" t="str">
        <f>HYPERLINK("https://baanknet.com/view-property/286820/96F2DF5501629F6E4B794A9424C587A0023088B5B35026FA5FAA69836572ECBB", "Open")</f>
        <v>Open</v>
      </c>
      <c r="J4596" t="s">
        <v>3803</v>
      </c>
      <c r="L4596">
        <v>3446750</v>
      </c>
      <c r="M4596">
        <v>344675</v>
      </c>
    </row>
    <row r="4597" spans="1:13" x14ac:dyDescent="0.25">
      <c r="A4597" t="s">
        <v>15272</v>
      </c>
      <c r="B4597" t="s">
        <v>15273</v>
      </c>
      <c r="C4597" t="s">
        <v>7449</v>
      </c>
      <c r="D4597" t="s">
        <v>10880</v>
      </c>
      <c r="E4597" t="s">
        <v>12108</v>
      </c>
      <c r="F4597" t="s">
        <v>11430</v>
      </c>
      <c r="G4597" t="s">
        <v>15274</v>
      </c>
      <c r="H4597" t="str">
        <f>HYPERLINK("https://baanknet.com/view-property/286813/72F88D06D468B531BC9BEBE193849E28D3F4F3B2D29B5CCD8B115DB54D954256", "https://baanknet.com/view-property/286813/72F88D06D468B531BC9BEBE193849E28D3F4F3B2D29B5CCD8B115DB54D954256")</f>
        <v>https://baanknet.com/view-property/286813/72F88D06D468B531BC9BEBE193849E28D3F4F3B2D29B5CCD8B115DB54D954256</v>
      </c>
      <c r="I4597" t="str">
        <f>HYPERLINK("https://baanknet.com/view-property/286813/72F88D06D468B531BC9BEBE193849E28D3F4F3B2D29B5CCD8B115DB54D954256", "Open")</f>
        <v>Open</v>
      </c>
      <c r="J4597" t="s">
        <v>3803</v>
      </c>
      <c r="L4597">
        <v>2252000</v>
      </c>
      <c r="M4597">
        <v>225200</v>
      </c>
    </row>
    <row r="4598" spans="1:13" x14ac:dyDescent="0.25">
      <c r="A4598" t="s">
        <v>15275</v>
      </c>
      <c r="B4598" t="s">
        <v>15276</v>
      </c>
      <c r="C4598" t="s">
        <v>7449</v>
      </c>
      <c r="D4598" t="s">
        <v>15277</v>
      </c>
      <c r="E4598" t="s">
        <v>12108</v>
      </c>
      <c r="F4598" t="s">
        <v>11430</v>
      </c>
      <c r="G4598" t="s">
        <v>15278</v>
      </c>
      <c r="H4598" t="str">
        <f>HYPERLINK("https://baanknet.com/view-property/286866/71BD2A3E1F7A63A7C1146B843C29C54384A4EE2C2BAF8EAB944BF77DD37D93A2", "https://baanknet.com/view-property/286866/71BD2A3E1F7A63A7C1146B843C29C54384A4EE2C2BAF8EAB944BF77DD37D93A2")</f>
        <v>https://baanknet.com/view-property/286866/71BD2A3E1F7A63A7C1146B843C29C54384A4EE2C2BAF8EAB944BF77DD37D93A2</v>
      </c>
      <c r="I4598" t="str">
        <f>HYPERLINK("https://baanknet.com/view-property/286866/71BD2A3E1F7A63A7C1146B843C29C54384A4EE2C2BAF8EAB944BF77DD37D93A2", "Open")</f>
        <v>Open</v>
      </c>
      <c r="J4598" t="s">
        <v>3803</v>
      </c>
      <c r="L4598">
        <v>1620000</v>
      </c>
      <c r="M4598">
        <v>162000</v>
      </c>
    </row>
    <row r="4599" spans="1:13" x14ac:dyDescent="0.25">
      <c r="A4599" t="s">
        <v>15279</v>
      </c>
      <c r="B4599" t="s">
        <v>15280</v>
      </c>
      <c r="C4599" t="s">
        <v>7449</v>
      </c>
      <c r="D4599" t="s">
        <v>15277</v>
      </c>
      <c r="E4599" t="s">
        <v>12108</v>
      </c>
      <c r="F4599" t="s">
        <v>11430</v>
      </c>
      <c r="G4599" t="s">
        <v>15281</v>
      </c>
      <c r="H4599" t="str">
        <f>HYPERLINK("https://baanknet.com/view-property/286839/A7A2758B012E71201191C19EA5F51580DA456F608AF3A6A08D5CA578FD36C98E", "https://baanknet.com/view-property/286839/A7A2758B012E71201191C19EA5F51580DA456F608AF3A6A08D5CA578FD36C98E")</f>
        <v>https://baanknet.com/view-property/286839/A7A2758B012E71201191C19EA5F51580DA456F608AF3A6A08D5CA578FD36C98E</v>
      </c>
      <c r="I4599" t="str">
        <f>HYPERLINK("https://baanknet.com/view-property/286839/A7A2758B012E71201191C19EA5F51580DA456F608AF3A6A08D5CA578FD36C98E", "Open")</f>
        <v>Open</v>
      </c>
      <c r="J4599" t="s">
        <v>3803</v>
      </c>
      <c r="L4599">
        <v>1620000</v>
      </c>
      <c r="M4599">
        <v>162000</v>
      </c>
    </row>
    <row r="4600" spans="1:13" x14ac:dyDescent="0.25">
      <c r="A4600" t="s">
        <v>15282</v>
      </c>
      <c r="B4600" t="s">
        <v>15283</v>
      </c>
      <c r="C4600" t="s">
        <v>7449</v>
      </c>
      <c r="D4600" t="s">
        <v>15277</v>
      </c>
      <c r="E4600" t="s">
        <v>12108</v>
      </c>
      <c r="F4600" t="s">
        <v>11430</v>
      </c>
      <c r="G4600" t="s">
        <v>15284</v>
      </c>
      <c r="H4600" t="str">
        <f>HYPERLINK("https://baanknet.com/view-property/286861/83E3B45E2BABBAFCBC76A42EFD1A2742B9420D058413B330421784F72F861D0E", "https://baanknet.com/view-property/286861/83E3B45E2BABBAFCBC76A42EFD1A2742B9420D058413B330421784F72F861D0E")</f>
        <v>https://baanknet.com/view-property/286861/83E3B45E2BABBAFCBC76A42EFD1A2742B9420D058413B330421784F72F861D0E</v>
      </c>
      <c r="I4600" t="str">
        <f>HYPERLINK("https://baanknet.com/view-property/286861/83E3B45E2BABBAFCBC76A42EFD1A2742B9420D058413B330421784F72F861D0E", "Open")</f>
        <v>Open</v>
      </c>
      <c r="J4600" t="s">
        <v>3803</v>
      </c>
      <c r="L4600">
        <v>594000</v>
      </c>
      <c r="M4600">
        <v>59400</v>
      </c>
    </row>
    <row r="4601" spans="1:13" x14ac:dyDescent="0.25">
      <c r="A4601" t="s">
        <v>15285</v>
      </c>
      <c r="B4601" t="s">
        <v>15286</v>
      </c>
      <c r="C4601" t="s">
        <v>7449</v>
      </c>
      <c r="D4601" t="s">
        <v>15277</v>
      </c>
      <c r="E4601" t="s">
        <v>12108</v>
      </c>
      <c r="F4601" t="s">
        <v>11430</v>
      </c>
      <c r="G4601" t="s">
        <v>15287</v>
      </c>
      <c r="H4601" t="str">
        <f>HYPERLINK("https://baanknet.com/view-property/286854/23E2351F6E54CA3DF78D87ACB0BEF7A33D8C0BE6BBC0240C44B79B1EC94D8B3B", "https://baanknet.com/view-property/286854/23E2351F6E54CA3DF78D87ACB0BEF7A33D8C0BE6BBC0240C44B79B1EC94D8B3B")</f>
        <v>https://baanknet.com/view-property/286854/23E2351F6E54CA3DF78D87ACB0BEF7A33D8C0BE6BBC0240C44B79B1EC94D8B3B</v>
      </c>
      <c r="I4601" t="str">
        <f>HYPERLINK("https://baanknet.com/view-property/286854/23E2351F6E54CA3DF78D87ACB0BEF7A33D8C0BE6BBC0240C44B79B1EC94D8B3B", "Open")</f>
        <v>Open</v>
      </c>
      <c r="J4601" t="s">
        <v>3803</v>
      </c>
      <c r="L4601">
        <v>594000</v>
      </c>
      <c r="M4601">
        <v>59400</v>
      </c>
    </row>
    <row r="4602" spans="1:13" x14ac:dyDescent="0.25">
      <c r="A4602" t="s">
        <v>15288</v>
      </c>
      <c r="B4602" t="s">
        <v>15289</v>
      </c>
      <c r="C4602" t="s">
        <v>7449</v>
      </c>
      <c r="D4602" t="s">
        <v>15277</v>
      </c>
      <c r="E4602" t="s">
        <v>12108</v>
      </c>
      <c r="F4602" t="s">
        <v>11430</v>
      </c>
      <c r="G4602" t="s">
        <v>15290</v>
      </c>
      <c r="H4602" t="str">
        <f>HYPERLINK("https://baanknet.com/view-property/286851/77CFAD026EE2099F407DE13C09F86C4A760185710E8F0E0D3DD12BEDF26E078D", "https://baanknet.com/view-property/286851/77CFAD026EE2099F407DE13C09F86C4A760185710E8F0E0D3DD12BEDF26E078D")</f>
        <v>https://baanknet.com/view-property/286851/77CFAD026EE2099F407DE13C09F86C4A760185710E8F0E0D3DD12BEDF26E078D</v>
      </c>
      <c r="I4602" t="str">
        <f>HYPERLINK("https://baanknet.com/view-property/286851/77CFAD026EE2099F407DE13C09F86C4A760185710E8F0E0D3DD12BEDF26E078D", "Open")</f>
        <v>Open</v>
      </c>
      <c r="J4602" t="s">
        <v>3803</v>
      </c>
      <c r="L4602">
        <v>1620000</v>
      </c>
      <c r="M4602">
        <v>162000</v>
      </c>
    </row>
    <row r="4603" spans="1:13" x14ac:dyDescent="0.25">
      <c r="A4603" t="s">
        <v>15291</v>
      </c>
      <c r="B4603" t="s">
        <v>15292</v>
      </c>
      <c r="C4603" t="s">
        <v>7449</v>
      </c>
      <c r="D4603" t="s">
        <v>15293</v>
      </c>
      <c r="E4603" t="s">
        <v>12108</v>
      </c>
      <c r="F4603" t="s">
        <v>11430</v>
      </c>
      <c r="G4603" t="s">
        <v>15294</v>
      </c>
      <c r="H4603" t="str">
        <f>HYPERLINK("https://baanknet.com/view-property/204156/DD174251B33B41FF0E6A500430A64F29FE19A3DBEFDD24B0B5AA3C4FFB06DE7A", "https://baanknet.com/view-property/204156/DD174251B33B41FF0E6A500430A64F29FE19A3DBEFDD24B0B5AA3C4FFB06DE7A")</f>
        <v>https://baanknet.com/view-property/204156/DD174251B33B41FF0E6A500430A64F29FE19A3DBEFDD24B0B5AA3C4FFB06DE7A</v>
      </c>
      <c r="I4603" t="str">
        <f>HYPERLINK("https://baanknet.com/view-property/204156/DD174251B33B41FF0E6A500430A64F29FE19A3DBEFDD24B0B5AA3C4FFB06DE7A", "Open")</f>
        <v>Open</v>
      </c>
      <c r="J4603" t="s">
        <v>3803</v>
      </c>
      <c r="L4603">
        <v>3682000</v>
      </c>
      <c r="M4603">
        <v>368200</v>
      </c>
    </row>
    <row r="4604" spans="1:13" x14ac:dyDescent="0.25">
      <c r="A4604" t="s">
        <v>15295</v>
      </c>
      <c r="B4604" t="s">
        <v>15296</v>
      </c>
      <c r="C4604" t="s">
        <v>7449</v>
      </c>
      <c r="D4604" t="s">
        <v>15293</v>
      </c>
      <c r="E4604" t="s">
        <v>12108</v>
      </c>
      <c r="F4604" t="s">
        <v>11430</v>
      </c>
      <c r="G4604" t="s">
        <v>15297</v>
      </c>
      <c r="H4604" t="str">
        <f>HYPERLINK("https://baanknet.com/view-property/204181/58469DA64702B302A6F61083C59418CA40D1E8B3350134E8D35F1B0A06CEA378", "https://baanknet.com/view-property/204181/58469DA64702B302A6F61083C59418CA40D1E8B3350134E8D35F1B0A06CEA378")</f>
        <v>https://baanknet.com/view-property/204181/58469DA64702B302A6F61083C59418CA40D1E8B3350134E8D35F1B0A06CEA378</v>
      </c>
      <c r="I4604" t="str">
        <f>HYPERLINK("https://baanknet.com/view-property/204181/58469DA64702B302A6F61083C59418CA40D1E8B3350134E8D35F1B0A06CEA378", "Open")</f>
        <v>Open</v>
      </c>
      <c r="J4604" t="s">
        <v>3803</v>
      </c>
      <c r="L4604">
        <v>3508000</v>
      </c>
      <c r="M4604">
        <v>350800</v>
      </c>
    </row>
    <row r="4605" spans="1:13" x14ac:dyDescent="0.25">
      <c r="A4605" t="s">
        <v>15298</v>
      </c>
      <c r="B4605" t="s">
        <v>15299</v>
      </c>
      <c r="C4605" t="s">
        <v>7449</v>
      </c>
      <c r="D4605" t="s">
        <v>15293</v>
      </c>
      <c r="E4605" t="s">
        <v>12108</v>
      </c>
      <c r="F4605" t="s">
        <v>11430</v>
      </c>
      <c r="G4605" t="s">
        <v>15300</v>
      </c>
      <c r="H4605" t="str">
        <f>HYPERLINK("https://baanknet.com/view-property/204178/28F1B993B54973D3E625A69BBF38A52B439C75BAF22B512D01089583E49C6A2A", "https://baanknet.com/view-property/204178/28F1B993B54973D3E625A69BBF38A52B439C75BAF22B512D01089583E49C6A2A")</f>
        <v>https://baanknet.com/view-property/204178/28F1B993B54973D3E625A69BBF38A52B439C75BAF22B512D01089583E49C6A2A</v>
      </c>
      <c r="I4605" t="str">
        <f>HYPERLINK("https://baanknet.com/view-property/204178/28F1B993B54973D3E625A69BBF38A52B439C75BAF22B512D01089583E49C6A2A", "Open")</f>
        <v>Open</v>
      </c>
      <c r="J4605" t="s">
        <v>3803</v>
      </c>
      <c r="L4605">
        <v>3682000</v>
      </c>
      <c r="M4605">
        <v>368200</v>
      </c>
    </row>
    <row r="4606" spans="1:13" x14ac:dyDescent="0.25">
      <c r="A4606" t="s">
        <v>15301</v>
      </c>
      <c r="B4606" t="s">
        <v>15302</v>
      </c>
      <c r="C4606" t="s">
        <v>7449</v>
      </c>
      <c r="D4606" t="s">
        <v>15293</v>
      </c>
      <c r="E4606" t="s">
        <v>12108</v>
      </c>
      <c r="F4606" t="s">
        <v>11430</v>
      </c>
      <c r="G4606" t="s">
        <v>15303</v>
      </c>
      <c r="H4606" t="str">
        <f>HYPERLINK("https://baanknet.com/view-property/204176/782B525F4FF9F6D5278B732955EE3664BE276A39CFF3A7272AC454FFECBDF228", "https://baanknet.com/view-property/204176/782B525F4FF9F6D5278B732955EE3664BE276A39CFF3A7272AC454FFECBDF228")</f>
        <v>https://baanknet.com/view-property/204176/782B525F4FF9F6D5278B732955EE3664BE276A39CFF3A7272AC454FFECBDF228</v>
      </c>
      <c r="I4606" t="str">
        <f>HYPERLINK("https://baanknet.com/view-property/204176/782B525F4FF9F6D5278B732955EE3664BE276A39CFF3A7272AC454FFECBDF228", "Open")</f>
        <v>Open</v>
      </c>
      <c r="J4606" t="s">
        <v>3803</v>
      </c>
      <c r="L4606">
        <v>3508000</v>
      </c>
      <c r="M4606">
        <v>350800</v>
      </c>
    </row>
    <row r="4607" spans="1:13" x14ac:dyDescent="0.25">
      <c r="A4607" t="s">
        <v>15304</v>
      </c>
      <c r="B4607" t="s">
        <v>15305</v>
      </c>
      <c r="C4607" t="s">
        <v>7449</v>
      </c>
      <c r="D4607" t="s">
        <v>15293</v>
      </c>
      <c r="E4607" t="s">
        <v>12108</v>
      </c>
      <c r="F4607" t="s">
        <v>11430</v>
      </c>
      <c r="G4607" t="s">
        <v>15306</v>
      </c>
      <c r="H4607" t="str">
        <f>HYPERLINK("https://baanknet.com/view-property/204167/B610DD835B2584308F16C41CBED0031E9E4FA9F858291B793673E2CEC0F7BEF1", "https://baanknet.com/view-property/204167/B610DD835B2584308F16C41CBED0031E9E4FA9F858291B793673E2CEC0F7BEF1")</f>
        <v>https://baanknet.com/view-property/204167/B610DD835B2584308F16C41CBED0031E9E4FA9F858291B793673E2CEC0F7BEF1</v>
      </c>
      <c r="I4607" t="str">
        <f>HYPERLINK("https://baanknet.com/view-property/204167/B610DD835B2584308F16C41CBED0031E9E4FA9F858291B793673E2CEC0F7BEF1", "Open")</f>
        <v>Open</v>
      </c>
      <c r="J4607" t="s">
        <v>3803</v>
      </c>
      <c r="L4607">
        <v>3682000</v>
      </c>
      <c r="M4607">
        <v>368200</v>
      </c>
    </row>
    <row r="4608" spans="1:13" x14ac:dyDescent="0.25">
      <c r="A4608" t="s">
        <v>15307</v>
      </c>
      <c r="B4608" t="s">
        <v>15308</v>
      </c>
      <c r="C4608" t="s">
        <v>7449</v>
      </c>
      <c r="D4608" t="s">
        <v>15293</v>
      </c>
      <c r="E4608" t="s">
        <v>12108</v>
      </c>
      <c r="F4608" t="s">
        <v>11430</v>
      </c>
      <c r="G4608" t="s">
        <v>15309</v>
      </c>
      <c r="H4608" t="str">
        <f>HYPERLINK("https://baanknet.com/view-property/204160/9354FBACF4E6F4E6948CDBE35FD3A672FB017217279B41A0AE1C993A96C66F41", "https://baanknet.com/view-property/204160/9354FBACF4E6F4E6948CDBE35FD3A672FB017217279B41A0AE1C993A96C66F41")</f>
        <v>https://baanknet.com/view-property/204160/9354FBACF4E6F4E6948CDBE35FD3A672FB017217279B41A0AE1C993A96C66F41</v>
      </c>
      <c r="I4608" t="str">
        <f>HYPERLINK("https://baanknet.com/view-property/204160/9354FBACF4E6F4E6948CDBE35FD3A672FB017217279B41A0AE1C993A96C66F41", "Open")</f>
        <v>Open</v>
      </c>
      <c r="J4608" t="s">
        <v>3803</v>
      </c>
      <c r="L4608">
        <v>3508000</v>
      </c>
      <c r="M4608">
        <v>350800</v>
      </c>
    </row>
    <row r="4609" spans="1:13" x14ac:dyDescent="0.25">
      <c r="A4609" t="s">
        <v>15310</v>
      </c>
      <c r="B4609" t="s">
        <v>15311</v>
      </c>
      <c r="C4609" t="s">
        <v>7449</v>
      </c>
      <c r="D4609" t="s">
        <v>8454</v>
      </c>
      <c r="E4609" t="s">
        <v>12108</v>
      </c>
      <c r="F4609" t="s">
        <v>11430</v>
      </c>
      <c r="G4609" t="s">
        <v>15312</v>
      </c>
      <c r="H4609" t="str">
        <f>HYPERLINK("https://baanknet.com/view-property/132723/827CB73386CDCDA42BCE61764C1794D8913A7C8B7A3D081B7649197BF30B17F6", "https://baanknet.com/view-property/132723/827CB73386CDCDA42BCE61764C1794D8913A7C8B7A3D081B7649197BF30B17F6")</f>
        <v>https://baanknet.com/view-property/132723/827CB73386CDCDA42BCE61764C1794D8913A7C8B7A3D081B7649197BF30B17F6</v>
      </c>
      <c r="I4609" t="str">
        <f>HYPERLINK("https://baanknet.com/view-property/132723/827CB73386CDCDA42BCE61764C1794D8913A7C8B7A3D081B7649197BF30B17F6", "Open")</f>
        <v>Open</v>
      </c>
      <c r="J4609" t="s">
        <v>3803</v>
      </c>
      <c r="L4609">
        <v>1499000</v>
      </c>
      <c r="M4609">
        <v>149900</v>
      </c>
    </row>
    <row r="4610" spans="1:13" x14ac:dyDescent="0.25">
      <c r="A4610" t="s">
        <v>15313</v>
      </c>
      <c r="B4610" t="s">
        <v>15314</v>
      </c>
      <c r="C4610" t="s">
        <v>7449</v>
      </c>
      <c r="D4610" t="s">
        <v>608</v>
      </c>
      <c r="E4610" t="s">
        <v>12108</v>
      </c>
      <c r="F4610" t="s">
        <v>11430</v>
      </c>
      <c r="G4610" t="s">
        <v>15315</v>
      </c>
      <c r="H4610" t="str">
        <f>HYPERLINK("https://baanknet.com/view-property/280749/B9829AF4AE0A4C7F0A3A35A58261B1F428A5C329F2D8917895B3E1FA20166660", "https://baanknet.com/view-property/280749/B9829AF4AE0A4C7F0A3A35A58261B1F428A5C329F2D8917895B3E1FA20166660")</f>
        <v>https://baanknet.com/view-property/280749/B9829AF4AE0A4C7F0A3A35A58261B1F428A5C329F2D8917895B3E1FA20166660</v>
      </c>
      <c r="I4610" t="str">
        <f>HYPERLINK("https://baanknet.com/view-property/280749/B9829AF4AE0A4C7F0A3A35A58261B1F428A5C329F2D8917895B3E1FA20166660", "Open")</f>
        <v>Open</v>
      </c>
      <c r="J4610" t="s">
        <v>3803</v>
      </c>
      <c r="L4610">
        <v>4149000</v>
      </c>
      <c r="M4610">
        <v>414900</v>
      </c>
    </row>
    <row r="4611" spans="1:13" x14ac:dyDescent="0.25">
      <c r="A4611" t="s">
        <v>15316</v>
      </c>
      <c r="B4611" t="s">
        <v>15317</v>
      </c>
      <c r="C4611" t="s">
        <v>7449</v>
      </c>
      <c r="D4611" t="s">
        <v>608</v>
      </c>
      <c r="E4611" t="s">
        <v>12108</v>
      </c>
      <c r="F4611" t="s">
        <v>11430</v>
      </c>
      <c r="G4611" t="s">
        <v>15318</v>
      </c>
      <c r="H4611" t="str">
        <f>HYPERLINK("https://baanknet.com/view-property/280752/189132FDFCC5EAB01EED9D8D59E8192B5ADE8605EB26D8313B4135EF84088D66", "https://baanknet.com/view-property/280752/189132FDFCC5EAB01EED9D8D59E8192B5ADE8605EB26D8313B4135EF84088D66")</f>
        <v>https://baanknet.com/view-property/280752/189132FDFCC5EAB01EED9D8D59E8192B5ADE8605EB26D8313B4135EF84088D66</v>
      </c>
      <c r="I4611" t="str">
        <f>HYPERLINK("https://baanknet.com/view-property/280752/189132FDFCC5EAB01EED9D8D59E8192B5ADE8605EB26D8313B4135EF84088D66", "Open")</f>
        <v>Open</v>
      </c>
      <c r="J4611" t="s">
        <v>3803</v>
      </c>
      <c r="L4611">
        <v>4229900</v>
      </c>
      <c r="M4611">
        <v>422990</v>
      </c>
    </row>
    <row r="4612" spans="1:13" x14ac:dyDescent="0.25">
      <c r="A4612" t="s">
        <v>15319</v>
      </c>
      <c r="B4612" t="s">
        <v>15320</v>
      </c>
      <c r="C4612" t="s">
        <v>7449</v>
      </c>
      <c r="D4612" t="s">
        <v>1481</v>
      </c>
      <c r="E4612" t="s">
        <v>12108</v>
      </c>
      <c r="F4612" t="s">
        <v>11430</v>
      </c>
      <c r="G4612" t="s">
        <v>15321</v>
      </c>
      <c r="H4612" t="str">
        <f>HYPERLINK("https://baanknet.com/view-property/273301/844E2D5A44C425C3763951EFD83BD5DCC833F34F8CD43554C40BC4E0D2D26683", "https://baanknet.com/view-property/273301/844E2D5A44C425C3763951EFD83BD5DCC833F34F8CD43554C40BC4E0D2D26683")</f>
        <v>https://baanknet.com/view-property/273301/844E2D5A44C425C3763951EFD83BD5DCC833F34F8CD43554C40BC4E0D2D26683</v>
      </c>
      <c r="I4612" t="str">
        <f>HYPERLINK("https://baanknet.com/view-property/273301/844E2D5A44C425C3763951EFD83BD5DCC833F34F8CD43554C40BC4E0D2D26683", "Open")</f>
        <v>Open</v>
      </c>
      <c r="J4612" t="s">
        <v>3803</v>
      </c>
      <c r="L4612">
        <v>6721000</v>
      </c>
      <c r="M4612">
        <v>672100</v>
      </c>
    </row>
    <row r="4613" spans="1:13" x14ac:dyDescent="0.25">
      <c r="A4613" t="s">
        <v>15322</v>
      </c>
      <c r="B4613" t="s">
        <v>15323</v>
      </c>
      <c r="C4613" t="s">
        <v>7449</v>
      </c>
      <c r="D4613" t="s">
        <v>1300</v>
      </c>
      <c r="E4613" t="s">
        <v>12108</v>
      </c>
      <c r="F4613" t="s">
        <v>11430</v>
      </c>
      <c r="G4613" t="s">
        <v>15324</v>
      </c>
      <c r="H4613" t="str">
        <f>HYPERLINK("https://baanknet.com/view-property/270210/280A81EE611E187F0B17DE88BF82A47C2F111353AB0F2AF0217B79BDDB79D884", "https://baanknet.com/view-property/270210/280A81EE611E187F0B17DE88BF82A47C2F111353AB0F2AF0217B79BDDB79D884")</f>
        <v>https://baanknet.com/view-property/270210/280A81EE611E187F0B17DE88BF82A47C2F111353AB0F2AF0217B79BDDB79D884</v>
      </c>
      <c r="I4613" t="str">
        <f>HYPERLINK("https://baanknet.com/view-property/270210/280A81EE611E187F0B17DE88BF82A47C2F111353AB0F2AF0217B79BDDB79D884", "Open")</f>
        <v>Open</v>
      </c>
      <c r="J4613" t="s">
        <v>3803</v>
      </c>
      <c r="L4613">
        <v>2907000</v>
      </c>
      <c r="M4613">
        <v>290700</v>
      </c>
    </row>
    <row r="4614" spans="1:13" x14ac:dyDescent="0.25">
      <c r="A4614" t="s">
        <v>15325</v>
      </c>
      <c r="B4614" t="s">
        <v>15326</v>
      </c>
      <c r="C4614" t="s">
        <v>7449</v>
      </c>
      <c r="D4614" t="s">
        <v>6245</v>
      </c>
      <c r="E4614" t="s">
        <v>12108</v>
      </c>
      <c r="F4614" t="s">
        <v>11430</v>
      </c>
      <c r="G4614" t="s">
        <v>15327</v>
      </c>
      <c r="H4614" t="str">
        <f>HYPERLINK("https://baanknet.com/view-property/283788/98520649D225F6A00DB67BA3CF6B93306D4F0E737A705FA02865FA7D9DEA2267", "https://baanknet.com/view-property/283788/98520649D225F6A00DB67BA3CF6B93306D4F0E737A705FA02865FA7D9DEA2267")</f>
        <v>https://baanknet.com/view-property/283788/98520649D225F6A00DB67BA3CF6B93306D4F0E737A705FA02865FA7D9DEA2267</v>
      </c>
      <c r="I4614" t="str">
        <f>HYPERLINK("https://baanknet.com/view-property/283788/98520649D225F6A00DB67BA3CF6B93306D4F0E737A705FA02865FA7D9DEA2267", "Open")</f>
        <v>Open</v>
      </c>
      <c r="J4614" t="s">
        <v>3803</v>
      </c>
      <c r="L4614">
        <v>7024000</v>
      </c>
      <c r="M4614">
        <v>702400</v>
      </c>
    </row>
    <row r="4615" spans="1:13" x14ac:dyDescent="0.25">
      <c r="A4615" t="s">
        <v>15328</v>
      </c>
      <c r="B4615" t="s">
        <v>15329</v>
      </c>
      <c r="C4615" t="s">
        <v>7449</v>
      </c>
      <c r="D4615" t="s">
        <v>422</v>
      </c>
      <c r="E4615" t="s">
        <v>12108</v>
      </c>
      <c r="F4615" t="s">
        <v>11430</v>
      </c>
      <c r="G4615" t="s">
        <v>15330</v>
      </c>
      <c r="H4615" t="str">
        <f>HYPERLINK("https://baanknet.com/view-property/21222/DFB0CD2BBA5323104A6C6CD72A101F41AE6DC8EBA33DD97104589C8E6A93E911", "https://baanknet.com/view-property/21222/DFB0CD2BBA5323104A6C6CD72A101F41AE6DC8EBA33DD97104589C8E6A93E911")</f>
        <v>https://baanknet.com/view-property/21222/DFB0CD2BBA5323104A6C6CD72A101F41AE6DC8EBA33DD97104589C8E6A93E911</v>
      </c>
      <c r="I4615" t="str">
        <f>HYPERLINK("https://baanknet.com/view-property/21222/DFB0CD2BBA5323104A6C6CD72A101F41AE6DC8EBA33DD97104589C8E6A93E911", "Open")</f>
        <v>Open</v>
      </c>
      <c r="J4615" t="s">
        <v>3803</v>
      </c>
      <c r="L4615">
        <v>6800000</v>
      </c>
      <c r="M4615">
        <v>680000</v>
      </c>
    </row>
    <row r="4616" spans="1:13" x14ac:dyDescent="0.25">
      <c r="A4616" t="s">
        <v>15331</v>
      </c>
      <c r="B4616" t="s">
        <v>15332</v>
      </c>
      <c r="C4616" t="s">
        <v>7449</v>
      </c>
      <c r="D4616" t="s">
        <v>15333</v>
      </c>
      <c r="E4616" t="s">
        <v>12108</v>
      </c>
      <c r="F4616" t="s">
        <v>11430</v>
      </c>
      <c r="G4616" t="s">
        <v>15334</v>
      </c>
      <c r="H4616" t="str">
        <f>HYPERLINK("https://baanknet.com/view-property/280785/F63D495A8FF730789120A1CA7765B6901515C109823A43F0B3D7FFAAE1FB3DCA", "https://baanknet.com/view-property/280785/F63D495A8FF730789120A1CA7765B6901515C109823A43F0B3D7FFAAE1FB3DCA")</f>
        <v>https://baanknet.com/view-property/280785/F63D495A8FF730789120A1CA7765B6901515C109823A43F0B3D7FFAAE1FB3DCA</v>
      </c>
      <c r="I4616" t="str">
        <f>HYPERLINK("https://baanknet.com/view-property/280785/F63D495A8FF730789120A1CA7765B6901515C109823A43F0B3D7FFAAE1FB3DCA", "Open")</f>
        <v>Open</v>
      </c>
      <c r="J4616" t="s">
        <v>3803</v>
      </c>
      <c r="L4616">
        <v>4382000</v>
      </c>
      <c r="M4616">
        <v>438200</v>
      </c>
    </row>
    <row r="4617" spans="1:13" x14ac:dyDescent="0.25">
      <c r="A4617" t="s">
        <v>15335</v>
      </c>
      <c r="B4617" t="s">
        <v>15336</v>
      </c>
      <c r="C4617" t="s">
        <v>15</v>
      </c>
      <c r="D4617" t="s">
        <v>15337</v>
      </c>
      <c r="E4617" t="s">
        <v>11102</v>
      </c>
      <c r="F4617" t="s">
        <v>12405</v>
      </c>
      <c r="G4617" t="s">
        <v>15338</v>
      </c>
      <c r="H4617" t="str">
        <f>HYPERLINK("https://baanknet.com/view-property/282721/F887B65AC91B7618A9746D90DD58620B4644898A547084D2F39C344E6871469A", "https://baanknet.com/view-property/282721/F887B65AC91B7618A9746D90DD58620B4644898A547084D2F39C344E6871469A")</f>
        <v>https://baanknet.com/view-property/282721/F887B65AC91B7618A9746D90DD58620B4644898A547084D2F39C344E6871469A</v>
      </c>
      <c r="I4617" t="str">
        <f>HYPERLINK("https://baanknet.com/view-property/282721/F887B65AC91B7618A9746D90DD58620B4644898A547084D2F39C344E6871469A", "Open")</f>
        <v>Open</v>
      </c>
      <c r="J4617" t="s">
        <v>3803</v>
      </c>
      <c r="L4617">
        <v>2660000</v>
      </c>
      <c r="M4617">
        <v>266000</v>
      </c>
    </row>
    <row r="4618" spans="1:13" x14ac:dyDescent="0.25">
      <c r="A4618" t="s">
        <v>15339</v>
      </c>
      <c r="B4618" t="s">
        <v>15340</v>
      </c>
      <c r="C4618" t="s">
        <v>387</v>
      </c>
      <c r="D4618" t="s">
        <v>15341</v>
      </c>
      <c r="E4618" t="s">
        <v>11102</v>
      </c>
      <c r="F4618" t="s">
        <v>11004</v>
      </c>
      <c r="G4618" t="s">
        <v>15342</v>
      </c>
      <c r="H4618" t="str">
        <f>HYPERLINK("https://baanknet.com/view-property/261989/91BD612AEC7F3DBA35DC71528E6DD491F9119623E4E5573EAF792CFBB768AD34", "https://baanknet.com/view-property/261989/91BD612AEC7F3DBA35DC71528E6DD491F9119623E4E5573EAF792CFBB768AD34")</f>
        <v>https://baanknet.com/view-property/261989/91BD612AEC7F3DBA35DC71528E6DD491F9119623E4E5573EAF792CFBB768AD34</v>
      </c>
      <c r="I4618" t="str">
        <f>HYPERLINK("https://baanknet.com/view-property/261989/91BD612AEC7F3DBA35DC71528E6DD491F9119623E4E5573EAF792CFBB768AD34", "Open")</f>
        <v>Open</v>
      </c>
      <c r="J4618" t="s">
        <v>3803</v>
      </c>
      <c r="L4618">
        <v>5400000</v>
      </c>
      <c r="M4618">
        <v>540000</v>
      </c>
    </row>
    <row r="4619" spans="1:13" x14ac:dyDescent="0.25">
      <c r="A4619" t="s">
        <v>15343</v>
      </c>
      <c r="B4619" t="s">
        <v>15344</v>
      </c>
      <c r="C4619" t="s">
        <v>387</v>
      </c>
      <c r="D4619" t="s">
        <v>15345</v>
      </c>
      <c r="E4619" t="s">
        <v>11102</v>
      </c>
      <c r="F4619" t="s">
        <v>11004</v>
      </c>
      <c r="G4619" t="s">
        <v>15346</v>
      </c>
      <c r="H4619" t="str">
        <f>HYPERLINK("https://baanknet.com/view-property/261986/BBCE57D21FEA109D1A20CFAC00ECEE208A50C1176B319F4ABCFFD3EFFBAA8855", "https://baanknet.com/view-property/261986/BBCE57D21FEA109D1A20CFAC00ECEE208A50C1176B319F4ABCFFD3EFFBAA8855")</f>
        <v>https://baanknet.com/view-property/261986/BBCE57D21FEA109D1A20CFAC00ECEE208A50C1176B319F4ABCFFD3EFFBAA8855</v>
      </c>
      <c r="I4619" t="str">
        <f>HYPERLINK("https://baanknet.com/view-property/261986/BBCE57D21FEA109D1A20CFAC00ECEE208A50C1176B319F4ABCFFD3EFFBAA8855", "Open")</f>
        <v>Open</v>
      </c>
      <c r="J4619" t="s">
        <v>3803</v>
      </c>
      <c r="L4619">
        <v>1910000</v>
      </c>
      <c r="M4619">
        <v>191000</v>
      </c>
    </row>
    <row r="4620" spans="1:13" x14ac:dyDescent="0.25">
      <c r="A4620" t="s">
        <v>15347</v>
      </c>
      <c r="B4620" t="s">
        <v>15348</v>
      </c>
      <c r="C4620" t="s">
        <v>387</v>
      </c>
      <c r="D4620" t="s">
        <v>533</v>
      </c>
      <c r="E4620" t="s">
        <v>11102</v>
      </c>
      <c r="F4620" t="s">
        <v>11004</v>
      </c>
      <c r="G4620" t="s">
        <v>15349</v>
      </c>
      <c r="H4620" t="str">
        <f>HYPERLINK("https://baanknet.com/view-property/252025/6D6268F238E4799E59564C33C0D35FEC688783B276084FD80E54D05D7EE79A43", "https://baanknet.com/view-property/252025/6D6268F238E4799E59564C33C0D35FEC688783B276084FD80E54D05D7EE79A43")</f>
        <v>https://baanknet.com/view-property/252025/6D6268F238E4799E59564C33C0D35FEC688783B276084FD80E54D05D7EE79A43</v>
      </c>
      <c r="I4620" t="str">
        <f>HYPERLINK("https://baanknet.com/view-property/252025/6D6268F238E4799E59564C33C0D35FEC688783B276084FD80E54D05D7EE79A43", "Open")</f>
        <v>Open</v>
      </c>
      <c r="J4620" t="s">
        <v>3803</v>
      </c>
      <c r="L4620">
        <v>1721000</v>
      </c>
      <c r="M4620">
        <v>172100</v>
      </c>
    </row>
    <row r="4621" spans="1:13" x14ac:dyDescent="0.25">
      <c r="A4621" t="s">
        <v>15350</v>
      </c>
      <c r="B4621" t="s">
        <v>15351</v>
      </c>
      <c r="C4621" t="s">
        <v>387</v>
      </c>
      <c r="D4621" t="s">
        <v>15352</v>
      </c>
      <c r="E4621" t="s">
        <v>11102</v>
      </c>
      <c r="F4621" t="s">
        <v>11004</v>
      </c>
      <c r="G4621" t="s">
        <v>15353</v>
      </c>
      <c r="H4621" t="str">
        <f>HYPERLINK("https://baanknet.com/view-property/236205/69B9AD3B164BFAFF297D064DA9600DD70865B34AEBFD852F73504CCDCA812A0B", "https://baanknet.com/view-property/236205/69B9AD3B164BFAFF297D064DA9600DD70865B34AEBFD852F73504CCDCA812A0B")</f>
        <v>https://baanknet.com/view-property/236205/69B9AD3B164BFAFF297D064DA9600DD70865B34AEBFD852F73504CCDCA812A0B</v>
      </c>
      <c r="I4621" t="str">
        <f>HYPERLINK("https://baanknet.com/view-property/236205/69B9AD3B164BFAFF297D064DA9600DD70865B34AEBFD852F73504CCDCA812A0B", "Open")</f>
        <v>Open</v>
      </c>
      <c r="J4621" t="s">
        <v>3803</v>
      </c>
      <c r="L4621">
        <v>2016000</v>
      </c>
      <c r="M4621">
        <v>201600</v>
      </c>
    </row>
    <row r="4622" spans="1:13" x14ac:dyDescent="0.25">
      <c r="A4622" t="s">
        <v>15354</v>
      </c>
      <c r="B4622" t="s">
        <v>15355</v>
      </c>
      <c r="C4622" t="s">
        <v>15</v>
      </c>
      <c r="D4622" t="s">
        <v>4972</v>
      </c>
      <c r="E4622" t="s">
        <v>11102</v>
      </c>
      <c r="F4622" t="s">
        <v>11004</v>
      </c>
      <c r="G4622" t="s">
        <v>15356</v>
      </c>
      <c r="H4622" t="str">
        <f>HYPERLINK("https://baanknet.com/view-property/192078/FA1C2676AF6BAEDC32A9A080E65F86AADCBF6DEEF561752658DE1C0F0E2818D7", "https://baanknet.com/view-property/192078/FA1C2676AF6BAEDC32A9A080E65F86AADCBF6DEEF561752658DE1C0F0E2818D7")</f>
        <v>https://baanknet.com/view-property/192078/FA1C2676AF6BAEDC32A9A080E65F86AADCBF6DEEF561752658DE1C0F0E2818D7</v>
      </c>
      <c r="I4622" t="str">
        <f>HYPERLINK("https://baanknet.com/view-property/192078/FA1C2676AF6BAEDC32A9A080E65F86AADCBF6DEEF561752658DE1C0F0E2818D7", "Open")</f>
        <v>Open</v>
      </c>
      <c r="J4622" t="s">
        <v>3803</v>
      </c>
      <c r="L4622">
        <v>4118000</v>
      </c>
      <c r="M4622">
        <v>411800</v>
      </c>
    </row>
    <row r="4623" spans="1:13" x14ac:dyDescent="0.25">
      <c r="A4623" t="s">
        <v>15357</v>
      </c>
      <c r="B4623" t="s">
        <v>15358</v>
      </c>
      <c r="C4623" t="s">
        <v>15</v>
      </c>
      <c r="D4623" t="s">
        <v>4972</v>
      </c>
      <c r="E4623" t="s">
        <v>11102</v>
      </c>
      <c r="F4623" t="s">
        <v>11004</v>
      </c>
      <c r="G4623" t="s">
        <v>15359</v>
      </c>
      <c r="H4623" t="str">
        <f>HYPERLINK("https://baanknet.com/view-property/192082/5CAD952EF2F001B8C6AAC956A1AE201EE88559E959491DA682E792B6AA1E8D39", "https://baanknet.com/view-property/192082/5CAD952EF2F001B8C6AAC956A1AE201EE88559E959491DA682E792B6AA1E8D39")</f>
        <v>https://baanknet.com/view-property/192082/5CAD952EF2F001B8C6AAC956A1AE201EE88559E959491DA682E792B6AA1E8D39</v>
      </c>
      <c r="I4623" t="str">
        <f>HYPERLINK("https://baanknet.com/view-property/192082/5CAD952EF2F001B8C6AAC956A1AE201EE88559E959491DA682E792B6AA1E8D39", "Open")</f>
        <v>Open</v>
      </c>
      <c r="J4623" t="s">
        <v>3803</v>
      </c>
      <c r="L4623">
        <v>3627000</v>
      </c>
      <c r="M4623">
        <v>362700</v>
      </c>
    </row>
    <row r="4624" spans="1:13" x14ac:dyDescent="0.25">
      <c r="A4624" t="s">
        <v>15360</v>
      </c>
      <c r="B4624" t="s">
        <v>15361</v>
      </c>
      <c r="C4624" t="s">
        <v>15</v>
      </c>
      <c r="D4624" t="s">
        <v>4972</v>
      </c>
      <c r="E4624" t="s">
        <v>11102</v>
      </c>
      <c r="F4624" t="s">
        <v>11004</v>
      </c>
      <c r="G4624" t="s">
        <v>15362</v>
      </c>
      <c r="H4624" t="str">
        <f>HYPERLINK("https://baanknet.com/view-property/192091/0444C5D20B3B37AE90646FEC1B5E0B705A6C40C8E1FE4C637F804CF930504CBF", "https://baanknet.com/view-property/192091/0444C5D20B3B37AE90646FEC1B5E0B705A6C40C8E1FE4C637F804CF930504CBF")</f>
        <v>https://baanknet.com/view-property/192091/0444C5D20B3B37AE90646FEC1B5E0B705A6C40C8E1FE4C637F804CF930504CBF</v>
      </c>
      <c r="I4624" t="str">
        <f>HYPERLINK("https://baanknet.com/view-property/192091/0444C5D20B3B37AE90646FEC1B5E0B705A6C40C8E1FE4C637F804CF930504CBF", "Open")</f>
        <v>Open</v>
      </c>
      <c r="J4624" t="s">
        <v>3803</v>
      </c>
      <c r="L4624">
        <v>1392000</v>
      </c>
      <c r="M4624">
        <v>139200</v>
      </c>
    </row>
    <row r="4625" spans="1:13" x14ac:dyDescent="0.25">
      <c r="A4625" t="s">
        <v>15363</v>
      </c>
      <c r="B4625" t="s">
        <v>15364</v>
      </c>
      <c r="C4625" t="s">
        <v>15</v>
      </c>
      <c r="D4625" t="s">
        <v>4542</v>
      </c>
      <c r="E4625" t="s">
        <v>11102</v>
      </c>
      <c r="F4625" t="s">
        <v>11004</v>
      </c>
      <c r="G4625" t="s">
        <v>15365</v>
      </c>
      <c r="H4625" t="str">
        <f>HYPERLINK("https://baanknet.com/view-property/287893/FF22728B9D359E12214E9A1DD1459876DD227E4174DD408D8B12F53F4EA466CE", "https://baanknet.com/view-property/287893/FF22728B9D359E12214E9A1DD1459876DD227E4174DD408D8B12F53F4EA466CE")</f>
        <v>https://baanknet.com/view-property/287893/FF22728B9D359E12214E9A1DD1459876DD227E4174DD408D8B12F53F4EA466CE</v>
      </c>
      <c r="I4625" t="str">
        <f>HYPERLINK("https://baanknet.com/view-property/287893/FF22728B9D359E12214E9A1DD1459876DD227E4174DD408D8B12F53F4EA466CE", "Open")</f>
        <v>Open</v>
      </c>
      <c r="J4625" t="s">
        <v>3803</v>
      </c>
      <c r="L4625">
        <v>3398000</v>
      </c>
      <c r="M4625">
        <v>339800</v>
      </c>
    </row>
    <row r="4626" spans="1:13" x14ac:dyDescent="0.25">
      <c r="A4626" t="s">
        <v>15366</v>
      </c>
      <c r="B4626" t="s">
        <v>15367</v>
      </c>
      <c r="C4626" t="s">
        <v>15</v>
      </c>
      <c r="D4626" t="s">
        <v>4876</v>
      </c>
      <c r="E4626" t="s">
        <v>11102</v>
      </c>
      <c r="F4626" t="s">
        <v>11004</v>
      </c>
      <c r="G4626" t="s">
        <v>15368</v>
      </c>
      <c r="H4626" t="str">
        <f>HYPERLINK("https://baanknet.com/view-property/288182/7FEB55847FE28A978174B97018ACDA1876A42D112BF0C184C97916DF1556B516", "https://baanknet.com/view-property/288182/7FEB55847FE28A978174B97018ACDA1876A42D112BF0C184C97916DF1556B516")</f>
        <v>https://baanknet.com/view-property/288182/7FEB55847FE28A978174B97018ACDA1876A42D112BF0C184C97916DF1556B516</v>
      </c>
      <c r="I4626" t="str">
        <f>HYPERLINK("https://baanknet.com/view-property/288182/7FEB55847FE28A978174B97018ACDA1876A42D112BF0C184C97916DF1556B516", "Open")</f>
        <v>Open</v>
      </c>
      <c r="J4626" t="s">
        <v>3803</v>
      </c>
      <c r="L4626">
        <v>2381000</v>
      </c>
      <c r="M4626">
        <v>238100</v>
      </c>
    </row>
    <row r="4627" spans="1:13" x14ac:dyDescent="0.25">
      <c r="A4627" t="s">
        <v>15369</v>
      </c>
      <c r="B4627" t="s">
        <v>15370</v>
      </c>
      <c r="C4627" t="s">
        <v>387</v>
      </c>
      <c r="D4627" t="s">
        <v>13812</v>
      </c>
      <c r="E4627" t="s">
        <v>11102</v>
      </c>
      <c r="F4627" t="s">
        <v>11430</v>
      </c>
      <c r="G4627" t="s">
        <v>15371</v>
      </c>
      <c r="H4627" t="str">
        <f>HYPERLINK("https://baanknet.com/view-property/247195/4920ED5FD13D5DCB2CAFF015A37613A30AAB41DE6A1F5AC55866A9EF2A8AD636", "https://baanknet.com/view-property/247195/4920ED5FD13D5DCB2CAFF015A37613A30AAB41DE6A1F5AC55866A9EF2A8AD636")</f>
        <v>https://baanknet.com/view-property/247195/4920ED5FD13D5DCB2CAFF015A37613A30AAB41DE6A1F5AC55866A9EF2A8AD636</v>
      </c>
      <c r="I4627" t="str">
        <f>HYPERLINK("https://baanknet.com/view-property/247195/4920ED5FD13D5DCB2CAFF015A37613A30AAB41DE6A1F5AC55866A9EF2A8AD636", "Open")</f>
        <v>Open</v>
      </c>
      <c r="J4627" t="s">
        <v>3803</v>
      </c>
      <c r="L4627">
        <v>4320700</v>
      </c>
      <c r="M4627">
        <v>432070</v>
      </c>
    </row>
    <row r="4628" spans="1:13" x14ac:dyDescent="0.25">
      <c r="A4628" t="s">
        <v>15372</v>
      </c>
      <c r="B4628" t="s">
        <v>15373</v>
      </c>
      <c r="C4628" t="s">
        <v>387</v>
      </c>
      <c r="D4628" t="s">
        <v>32</v>
      </c>
      <c r="E4628" t="s">
        <v>11102</v>
      </c>
      <c r="F4628" t="s">
        <v>11430</v>
      </c>
      <c r="G4628" t="s">
        <v>15374</v>
      </c>
      <c r="H4628" t="str">
        <f>HYPERLINK("https://baanknet.com/view-property/279483/9DE689DF4311AD1C48E241D3AE07EFEA6E75E312A07D6DD11BB965FC2DF2965E", "https://baanknet.com/view-property/279483/9DE689DF4311AD1C48E241D3AE07EFEA6E75E312A07D6DD11BB965FC2DF2965E")</f>
        <v>https://baanknet.com/view-property/279483/9DE689DF4311AD1C48E241D3AE07EFEA6E75E312A07D6DD11BB965FC2DF2965E</v>
      </c>
      <c r="I4628" t="str">
        <f>HYPERLINK("https://baanknet.com/view-property/279483/9DE689DF4311AD1C48E241D3AE07EFEA6E75E312A07D6DD11BB965FC2DF2965E", "Open")</f>
        <v>Open</v>
      </c>
      <c r="J4628" t="s">
        <v>3803</v>
      </c>
      <c r="L4628">
        <v>14782400</v>
      </c>
      <c r="M4628">
        <v>1478240</v>
      </c>
    </row>
    <row r="4629" spans="1:13" x14ac:dyDescent="0.25">
      <c r="A4629" t="s">
        <v>15375</v>
      </c>
      <c r="B4629" t="s">
        <v>15376</v>
      </c>
      <c r="C4629" t="s">
        <v>387</v>
      </c>
      <c r="D4629" t="s">
        <v>32</v>
      </c>
      <c r="E4629" t="s">
        <v>11102</v>
      </c>
      <c r="F4629" t="s">
        <v>11430</v>
      </c>
      <c r="G4629" t="s">
        <v>15377</v>
      </c>
      <c r="H4629" t="str">
        <f>HYPERLINK("https://baanknet.com/view-property/280768/E44C68CF7B0DB767D0F757C911FB1A7474FD9DB45D00AAC3877ECB8141EFE093", "https://baanknet.com/view-property/280768/E44C68CF7B0DB767D0F757C911FB1A7474FD9DB45D00AAC3877ECB8141EFE093")</f>
        <v>https://baanknet.com/view-property/280768/E44C68CF7B0DB767D0F757C911FB1A7474FD9DB45D00AAC3877ECB8141EFE093</v>
      </c>
      <c r="I4629" t="str">
        <f>HYPERLINK("https://baanknet.com/view-property/280768/E44C68CF7B0DB767D0F757C911FB1A7474FD9DB45D00AAC3877ECB8141EFE093", "Open")</f>
        <v>Open</v>
      </c>
      <c r="J4629" t="s">
        <v>3803</v>
      </c>
      <c r="L4629">
        <v>8100000</v>
      </c>
      <c r="M4629">
        <v>810000</v>
      </c>
    </row>
    <row r="4630" spans="1:13" x14ac:dyDescent="0.25">
      <c r="A4630" t="s">
        <v>15378</v>
      </c>
      <c r="B4630" t="s">
        <v>15379</v>
      </c>
      <c r="C4630" t="s">
        <v>387</v>
      </c>
      <c r="D4630" t="s">
        <v>32</v>
      </c>
      <c r="E4630" t="s">
        <v>11102</v>
      </c>
      <c r="F4630" t="s">
        <v>11430</v>
      </c>
      <c r="G4630" t="s">
        <v>15380</v>
      </c>
      <c r="H4630" t="str">
        <f>HYPERLINK("https://baanknet.com/view-property/253373/88983C03F6453A0DAA1CED83F59A771895BA844E505CEE38EBC33EDE78600B83", "https://baanknet.com/view-property/253373/88983C03F6453A0DAA1CED83F59A771895BA844E505CEE38EBC33EDE78600B83")</f>
        <v>https://baanknet.com/view-property/253373/88983C03F6453A0DAA1CED83F59A771895BA844E505CEE38EBC33EDE78600B83</v>
      </c>
      <c r="I4630" t="str">
        <f>HYPERLINK("https://baanknet.com/view-property/253373/88983C03F6453A0DAA1CED83F59A771895BA844E505CEE38EBC33EDE78600B83", "Open")</f>
        <v>Open</v>
      </c>
      <c r="J4630" t="s">
        <v>3803</v>
      </c>
      <c r="L4630">
        <v>9690000</v>
      </c>
      <c r="M4630">
        <v>969000</v>
      </c>
    </row>
    <row r="4631" spans="1:13" x14ac:dyDescent="0.25">
      <c r="A4631" t="s">
        <v>15381</v>
      </c>
      <c r="B4631" t="s">
        <v>15382</v>
      </c>
      <c r="C4631" t="s">
        <v>83</v>
      </c>
      <c r="D4631" t="s">
        <v>518</v>
      </c>
      <c r="E4631" t="s">
        <v>11102</v>
      </c>
      <c r="F4631" t="s">
        <v>11010</v>
      </c>
      <c r="G4631" t="s">
        <v>15383</v>
      </c>
      <c r="H4631" t="str">
        <f>HYPERLINK("https://baanknet.com/view-property/283916/8C95D0DFC972CD7A9C4F4092520BEF3819F152978734F7E7C3F545DCB802F05E", "https://baanknet.com/view-property/283916/8C95D0DFC972CD7A9C4F4092520BEF3819F152978734F7E7C3F545DCB802F05E")</f>
        <v>https://baanknet.com/view-property/283916/8C95D0DFC972CD7A9C4F4092520BEF3819F152978734F7E7C3F545DCB802F05E</v>
      </c>
      <c r="I4631" t="str">
        <f>HYPERLINK("https://baanknet.com/view-property/283916/8C95D0DFC972CD7A9C4F4092520BEF3819F152978734F7E7C3F545DCB802F05E", "Open")</f>
        <v>Open</v>
      </c>
      <c r="J4631" t="s">
        <v>3803</v>
      </c>
      <c r="L4631">
        <v>6050000</v>
      </c>
      <c r="M4631">
        <v>605000</v>
      </c>
    </row>
    <row r="4632" spans="1:13" x14ac:dyDescent="0.25">
      <c r="A4632" t="s">
        <v>15384</v>
      </c>
      <c r="B4632" t="s">
        <v>15385</v>
      </c>
      <c r="C4632" t="s">
        <v>83</v>
      </c>
      <c r="D4632" t="s">
        <v>595</v>
      </c>
      <c r="E4632" t="s">
        <v>11102</v>
      </c>
      <c r="F4632" t="s">
        <v>11010</v>
      </c>
      <c r="G4632" t="s">
        <v>15386</v>
      </c>
      <c r="H4632" t="str">
        <f>HYPERLINK("https://baanknet.com/view-property/283996/2FA40762BC0B48AA63BE0624B4B681CC84E5557BEFB3B90C56C8CB443D20E91E", "https://baanknet.com/view-property/283996/2FA40762BC0B48AA63BE0624B4B681CC84E5557BEFB3B90C56C8CB443D20E91E")</f>
        <v>https://baanknet.com/view-property/283996/2FA40762BC0B48AA63BE0624B4B681CC84E5557BEFB3B90C56C8CB443D20E91E</v>
      </c>
      <c r="I4632" t="str">
        <f>HYPERLINK("https://baanknet.com/view-property/283996/2FA40762BC0B48AA63BE0624B4B681CC84E5557BEFB3B90C56C8CB443D20E91E", "Open")</f>
        <v>Open</v>
      </c>
      <c r="J4632" t="s">
        <v>3803</v>
      </c>
      <c r="L4632">
        <v>3003553</v>
      </c>
      <c r="M4632">
        <v>300355.3</v>
      </c>
    </row>
    <row r="4633" spans="1:13" x14ac:dyDescent="0.25">
      <c r="A4633" t="s">
        <v>15387</v>
      </c>
      <c r="B4633" t="s">
        <v>15388</v>
      </c>
      <c r="C4633" t="s">
        <v>83</v>
      </c>
      <c r="D4633" t="s">
        <v>15389</v>
      </c>
      <c r="E4633" t="s">
        <v>11102</v>
      </c>
      <c r="F4633" t="s">
        <v>11010</v>
      </c>
      <c r="G4633" t="s">
        <v>15390</v>
      </c>
      <c r="H4633" t="str">
        <f>HYPERLINK("https://baanknet.com/view-property/283997/0ADBB4C33F497AF69BE0EF60656001F01A8BAC5B7A52A4596CF39BB6F70B6A33", "https://baanknet.com/view-property/283997/0ADBB4C33F497AF69BE0EF60656001F01A8BAC5B7A52A4596CF39BB6F70B6A33")</f>
        <v>https://baanknet.com/view-property/283997/0ADBB4C33F497AF69BE0EF60656001F01A8BAC5B7A52A4596CF39BB6F70B6A33</v>
      </c>
      <c r="I4633" t="str">
        <f>HYPERLINK("https://baanknet.com/view-property/283997/0ADBB4C33F497AF69BE0EF60656001F01A8BAC5B7A52A4596CF39BB6F70B6A33", "Open")</f>
        <v>Open</v>
      </c>
      <c r="J4633" t="s">
        <v>3803</v>
      </c>
      <c r="L4633">
        <v>3207600</v>
      </c>
      <c r="M4633">
        <v>320760</v>
      </c>
    </row>
    <row r="4634" spans="1:13" x14ac:dyDescent="0.25">
      <c r="A4634" t="s">
        <v>15391</v>
      </c>
      <c r="B4634" t="s">
        <v>15392</v>
      </c>
      <c r="C4634" t="s">
        <v>83</v>
      </c>
      <c r="D4634" t="s">
        <v>595</v>
      </c>
      <c r="E4634" t="s">
        <v>11102</v>
      </c>
      <c r="F4634" t="s">
        <v>11010</v>
      </c>
      <c r="G4634" t="s">
        <v>15393</v>
      </c>
      <c r="H4634" t="str">
        <f>HYPERLINK("https://baanknet.com/view-property/283995/AAEA217386562F3176A96F4A83D26559B3387A12686CFC0AFA40E496D1671898", "https://baanknet.com/view-property/283995/AAEA217386562F3176A96F4A83D26559B3387A12686CFC0AFA40E496D1671898")</f>
        <v>https://baanknet.com/view-property/283995/AAEA217386562F3176A96F4A83D26559B3387A12686CFC0AFA40E496D1671898</v>
      </c>
      <c r="I4634" t="str">
        <f>HYPERLINK("https://baanknet.com/view-property/283995/AAEA217386562F3176A96F4A83D26559B3387A12686CFC0AFA40E496D1671898", "Open")</f>
        <v>Open</v>
      </c>
      <c r="J4634" t="s">
        <v>3803</v>
      </c>
      <c r="L4634">
        <v>1873530</v>
      </c>
      <c r="M4634">
        <v>187353</v>
      </c>
    </row>
    <row r="4635" spans="1:13" x14ac:dyDescent="0.25">
      <c r="A4635" t="s">
        <v>15394</v>
      </c>
      <c r="B4635" t="s">
        <v>15395</v>
      </c>
      <c r="C4635" t="s">
        <v>83</v>
      </c>
      <c r="D4635" t="s">
        <v>595</v>
      </c>
      <c r="E4635" t="s">
        <v>11102</v>
      </c>
      <c r="F4635" t="s">
        <v>11010</v>
      </c>
      <c r="G4635" t="s">
        <v>15396</v>
      </c>
      <c r="H4635" t="str">
        <f>HYPERLINK("https://baanknet.com/view-property/283994/EC8321106128E94E325AAE04412542FEF11B46284C640BB17082316E74FCBBFE", "https://baanknet.com/view-property/283994/EC8321106128E94E325AAE04412542FEF11B46284C640BB17082316E74FCBBFE")</f>
        <v>https://baanknet.com/view-property/283994/EC8321106128E94E325AAE04412542FEF11B46284C640BB17082316E74FCBBFE</v>
      </c>
      <c r="I4635" t="str">
        <f>HYPERLINK("https://baanknet.com/view-property/283994/EC8321106128E94E325AAE04412542FEF11B46284C640BB17082316E74FCBBFE", "Open")</f>
        <v>Open</v>
      </c>
      <c r="J4635" t="s">
        <v>3803</v>
      </c>
      <c r="L4635">
        <v>3001135</v>
      </c>
      <c r="M4635">
        <v>300113.5</v>
      </c>
    </row>
    <row r="4636" spans="1:13" x14ac:dyDescent="0.25">
      <c r="A4636" t="s">
        <v>15397</v>
      </c>
      <c r="B4636" t="s">
        <v>15398</v>
      </c>
      <c r="C4636" t="s">
        <v>83</v>
      </c>
      <c r="D4636" t="s">
        <v>595</v>
      </c>
      <c r="E4636" t="s">
        <v>11102</v>
      </c>
      <c r="F4636" t="s">
        <v>11010</v>
      </c>
      <c r="G4636" t="s">
        <v>15399</v>
      </c>
      <c r="H4636" t="str">
        <f>HYPERLINK("https://baanknet.com/view-property/272501/1A77D69593825ABD70687B2AA26F0F1A611D76C1DE71BC305A2283831152AA1C", "https://baanknet.com/view-property/272501/1A77D69593825ABD70687B2AA26F0F1A611D76C1DE71BC305A2283831152AA1C")</f>
        <v>https://baanknet.com/view-property/272501/1A77D69593825ABD70687B2AA26F0F1A611D76C1DE71BC305A2283831152AA1C</v>
      </c>
      <c r="I4636" t="str">
        <f>HYPERLINK("https://baanknet.com/view-property/272501/1A77D69593825ABD70687B2AA26F0F1A611D76C1DE71BC305A2283831152AA1C", "Open")</f>
        <v>Open</v>
      </c>
      <c r="J4636" t="s">
        <v>3803</v>
      </c>
      <c r="L4636">
        <v>1589445</v>
      </c>
      <c r="M4636">
        <v>158944.5</v>
      </c>
    </row>
    <row r="4637" spans="1:13" x14ac:dyDescent="0.25">
      <c r="A4637" t="s">
        <v>15400</v>
      </c>
      <c r="B4637" t="s">
        <v>15401</v>
      </c>
      <c r="C4637" t="s">
        <v>83</v>
      </c>
      <c r="D4637" t="s">
        <v>595</v>
      </c>
      <c r="E4637" t="s">
        <v>11102</v>
      </c>
      <c r="F4637" t="s">
        <v>11010</v>
      </c>
      <c r="G4637" t="s">
        <v>15402</v>
      </c>
      <c r="H4637" t="str">
        <f>HYPERLINK("https://baanknet.com/view-property/272502/83BFA92B9946EB6B9F40E6352A20645542FC373367544FB23AFE8FBB18E6F073", "https://baanknet.com/view-property/272502/83BFA92B9946EB6B9F40E6352A20645542FC373367544FB23AFE8FBB18E6F073")</f>
        <v>https://baanknet.com/view-property/272502/83BFA92B9946EB6B9F40E6352A20645542FC373367544FB23AFE8FBB18E6F073</v>
      </c>
      <c r="I4637" t="str">
        <f>HYPERLINK("https://baanknet.com/view-property/272502/83BFA92B9946EB6B9F40E6352A20645542FC373367544FB23AFE8FBB18E6F073", "Open")</f>
        <v>Open</v>
      </c>
      <c r="J4637" t="s">
        <v>3803</v>
      </c>
      <c r="L4637">
        <v>1196370</v>
      </c>
      <c r="M4637">
        <v>119637</v>
      </c>
    </row>
    <row r="4638" spans="1:13" x14ac:dyDescent="0.25">
      <c r="A4638" t="s">
        <v>15403</v>
      </c>
      <c r="B4638" t="s">
        <v>15404</v>
      </c>
      <c r="C4638" t="s">
        <v>83</v>
      </c>
      <c r="D4638" t="s">
        <v>595</v>
      </c>
      <c r="E4638" t="s">
        <v>11102</v>
      </c>
      <c r="F4638" t="s">
        <v>11010</v>
      </c>
      <c r="G4638" t="s">
        <v>15405</v>
      </c>
      <c r="H4638" t="str">
        <f>HYPERLINK("https://baanknet.com/view-property/275135/35670C5B6902015748A895304006305BB3771D308CA01C3878985F71D44779CF", "https://baanknet.com/view-property/275135/35670C5B6902015748A895304006305BB3771D308CA01C3878985F71D44779CF")</f>
        <v>https://baanknet.com/view-property/275135/35670C5B6902015748A895304006305BB3771D308CA01C3878985F71D44779CF</v>
      </c>
      <c r="I4638" t="str">
        <f>HYPERLINK("https://baanknet.com/view-property/275135/35670C5B6902015748A895304006305BB3771D308CA01C3878985F71D44779CF", "Open")</f>
        <v>Open</v>
      </c>
      <c r="J4638" t="s">
        <v>3803</v>
      </c>
      <c r="L4638">
        <v>1530000</v>
      </c>
      <c r="M4638">
        <v>153000</v>
      </c>
    </row>
    <row r="4639" spans="1:13" x14ac:dyDescent="0.25">
      <c r="A4639" t="s">
        <v>15406</v>
      </c>
      <c r="B4639" t="s">
        <v>15407</v>
      </c>
      <c r="C4639" t="s">
        <v>83</v>
      </c>
      <c r="D4639" t="s">
        <v>3460</v>
      </c>
      <c r="E4639" t="s">
        <v>11102</v>
      </c>
      <c r="F4639" t="s">
        <v>11010</v>
      </c>
      <c r="G4639" t="s">
        <v>15408</v>
      </c>
      <c r="H4639" t="str">
        <f>HYPERLINK("https://baanknet.com/view-property/286735/47B0A8EAB7C64D7E6A2DBC3FC4D9891A8B47D14DFDD86FA0207ABF946C8CF9EB", "https://baanknet.com/view-property/286735/47B0A8EAB7C64D7E6A2DBC3FC4D9891A8B47D14DFDD86FA0207ABF946C8CF9EB")</f>
        <v>https://baanknet.com/view-property/286735/47B0A8EAB7C64D7E6A2DBC3FC4D9891A8B47D14DFDD86FA0207ABF946C8CF9EB</v>
      </c>
      <c r="I4639" t="str">
        <f>HYPERLINK("https://baanknet.com/view-property/286735/47B0A8EAB7C64D7E6A2DBC3FC4D9891A8B47D14DFDD86FA0207ABF946C8CF9EB", "Open")</f>
        <v>Open</v>
      </c>
      <c r="J4639" t="s">
        <v>3803</v>
      </c>
      <c r="L4639">
        <v>3943000</v>
      </c>
      <c r="M4639">
        <v>394300</v>
      </c>
    </row>
    <row r="4640" spans="1:13" x14ac:dyDescent="0.25">
      <c r="A4640" t="s">
        <v>15409</v>
      </c>
      <c r="B4640" t="s">
        <v>15410</v>
      </c>
      <c r="C4640" t="s">
        <v>83</v>
      </c>
      <c r="D4640" t="s">
        <v>1602</v>
      </c>
      <c r="E4640" t="s">
        <v>11102</v>
      </c>
      <c r="F4640" t="s">
        <v>11010</v>
      </c>
      <c r="G4640" t="s">
        <v>15411</v>
      </c>
      <c r="H4640" t="str">
        <f>HYPERLINK("https://baanknet.com/view-property/275977/A7C31C6EDC7689CDF4B9AC82BF21003E86FA80ED333C97455BCF1DA69DE43E33", "https://baanknet.com/view-property/275977/A7C31C6EDC7689CDF4B9AC82BF21003E86FA80ED333C97455BCF1DA69DE43E33")</f>
        <v>https://baanknet.com/view-property/275977/A7C31C6EDC7689CDF4B9AC82BF21003E86FA80ED333C97455BCF1DA69DE43E33</v>
      </c>
      <c r="I4640" t="str">
        <f>HYPERLINK("https://baanknet.com/view-property/275977/A7C31C6EDC7689CDF4B9AC82BF21003E86FA80ED333C97455BCF1DA69DE43E33", "Open")</f>
        <v>Open</v>
      </c>
      <c r="J4640" t="s">
        <v>3803</v>
      </c>
      <c r="L4640">
        <v>3610000</v>
      </c>
      <c r="M4640">
        <v>361000</v>
      </c>
    </row>
    <row r="4641" spans="1:13" x14ac:dyDescent="0.25">
      <c r="A4641" t="s">
        <v>15412</v>
      </c>
      <c r="B4641" t="s">
        <v>15413</v>
      </c>
      <c r="C4641" t="s">
        <v>83</v>
      </c>
      <c r="D4641" t="s">
        <v>12547</v>
      </c>
      <c r="E4641" t="s">
        <v>11102</v>
      </c>
      <c r="F4641" t="s">
        <v>11010</v>
      </c>
      <c r="G4641" t="s">
        <v>15414</v>
      </c>
      <c r="H4641" t="str">
        <f>HYPERLINK("https://baanknet.com/view-property/255167/308F739170C98CE3771462F8C2667BF0ADC6302C70FFCC0DC03B88BCA5F6D81C", "https://baanknet.com/view-property/255167/308F739170C98CE3771462F8C2667BF0ADC6302C70FFCC0DC03B88BCA5F6D81C")</f>
        <v>https://baanknet.com/view-property/255167/308F739170C98CE3771462F8C2667BF0ADC6302C70FFCC0DC03B88BCA5F6D81C</v>
      </c>
      <c r="I4641" t="str">
        <f>HYPERLINK("https://baanknet.com/view-property/255167/308F739170C98CE3771462F8C2667BF0ADC6302C70FFCC0DC03B88BCA5F6D81C", "Open")</f>
        <v>Open</v>
      </c>
      <c r="J4641" t="s">
        <v>3803</v>
      </c>
      <c r="L4641">
        <v>2600000</v>
      </c>
      <c r="M4641">
        <v>260000</v>
      </c>
    </row>
    <row r="4642" spans="1:13" x14ac:dyDescent="0.25">
      <c r="A4642" t="s">
        <v>15415</v>
      </c>
      <c r="B4642" t="s">
        <v>15416</v>
      </c>
      <c r="C4642" t="s">
        <v>83</v>
      </c>
      <c r="D4642" t="s">
        <v>1602</v>
      </c>
      <c r="E4642" t="s">
        <v>11102</v>
      </c>
      <c r="F4642" t="s">
        <v>11010</v>
      </c>
      <c r="G4642" t="s">
        <v>15417</v>
      </c>
      <c r="H4642" t="str">
        <f>HYPERLINK("https://baanknet.com/view-property/284534/D29162BFCF5CE2263FE01A9D344B95E018E7724BFF2F2A32C1C1E5064098A194", "https://baanknet.com/view-property/284534/D29162BFCF5CE2263FE01A9D344B95E018E7724BFF2F2A32C1C1E5064098A194")</f>
        <v>https://baanknet.com/view-property/284534/D29162BFCF5CE2263FE01A9D344B95E018E7724BFF2F2A32C1C1E5064098A194</v>
      </c>
      <c r="I4642" t="str">
        <f>HYPERLINK("https://baanknet.com/view-property/284534/D29162BFCF5CE2263FE01A9D344B95E018E7724BFF2F2A32C1C1E5064098A194", "Open")</f>
        <v>Open</v>
      </c>
      <c r="J4642" t="s">
        <v>3803</v>
      </c>
      <c r="L4642">
        <v>3250000</v>
      </c>
      <c r="M4642">
        <v>325000</v>
      </c>
    </row>
    <row r="4643" spans="1:13" x14ac:dyDescent="0.25">
      <c r="A4643" t="s">
        <v>15418</v>
      </c>
      <c r="B4643" t="s">
        <v>15419</v>
      </c>
      <c r="C4643" t="s">
        <v>83</v>
      </c>
      <c r="D4643" t="s">
        <v>1310</v>
      </c>
      <c r="E4643" t="s">
        <v>11102</v>
      </c>
      <c r="F4643" t="s">
        <v>11010</v>
      </c>
      <c r="G4643" t="s">
        <v>15420</v>
      </c>
      <c r="H4643" t="str">
        <f>HYPERLINK("https://baanknet.com/view-property/69894/B38F18180D413193DA8505FCBFF7C06D43B4A7FC6DBCA513FF6AF9CA8CCC77D9", "https://baanknet.com/view-property/69894/B38F18180D413193DA8505FCBFF7C06D43B4A7FC6DBCA513FF6AF9CA8CCC77D9")</f>
        <v>https://baanknet.com/view-property/69894/B38F18180D413193DA8505FCBFF7C06D43B4A7FC6DBCA513FF6AF9CA8CCC77D9</v>
      </c>
      <c r="I4643" t="str">
        <f>HYPERLINK("https://baanknet.com/view-property/69894/B38F18180D413193DA8505FCBFF7C06D43B4A7FC6DBCA513FF6AF9CA8CCC77D9", "Open")</f>
        <v>Open</v>
      </c>
      <c r="J4643" t="s">
        <v>3803</v>
      </c>
      <c r="L4643">
        <v>11000000</v>
      </c>
      <c r="M4643">
        <v>1100000</v>
      </c>
    </row>
    <row r="4644" spans="1:13" x14ac:dyDescent="0.25">
      <c r="A4644" t="s">
        <v>15421</v>
      </c>
      <c r="B4644" t="s">
        <v>15422</v>
      </c>
      <c r="C4644" t="s">
        <v>83</v>
      </c>
      <c r="D4644" t="s">
        <v>1310</v>
      </c>
      <c r="E4644" t="s">
        <v>11102</v>
      </c>
      <c r="F4644" t="s">
        <v>11010</v>
      </c>
      <c r="G4644" t="s">
        <v>15423</v>
      </c>
      <c r="H4644" t="str">
        <f>HYPERLINK("https://baanknet.com/view-property/64203/70A7FD12FEBDB2F322312A540CCB8FB5D9C4C209638F214B82A5ED025530C876", "https://baanknet.com/view-property/64203/70A7FD12FEBDB2F322312A540CCB8FB5D9C4C209638F214B82A5ED025530C876")</f>
        <v>https://baanknet.com/view-property/64203/70A7FD12FEBDB2F322312A540CCB8FB5D9C4C209638F214B82A5ED025530C876</v>
      </c>
      <c r="I4644" t="str">
        <f>HYPERLINK("https://baanknet.com/view-property/64203/70A7FD12FEBDB2F322312A540CCB8FB5D9C4C209638F214B82A5ED025530C876", "Open")</f>
        <v>Open</v>
      </c>
      <c r="J4644" t="s">
        <v>3803</v>
      </c>
      <c r="L4644">
        <v>45000000</v>
      </c>
      <c r="M4644">
        <v>4500000</v>
      </c>
    </row>
    <row r="4645" spans="1:13" x14ac:dyDescent="0.25">
      <c r="A4645" t="s">
        <v>15424</v>
      </c>
      <c r="B4645" t="s">
        <v>15425</v>
      </c>
      <c r="C4645" t="s">
        <v>83</v>
      </c>
      <c r="D4645" t="s">
        <v>1619</v>
      </c>
      <c r="E4645" t="s">
        <v>11102</v>
      </c>
      <c r="F4645" t="s">
        <v>11010</v>
      </c>
      <c r="G4645" t="s">
        <v>15426</v>
      </c>
      <c r="H4645" t="str">
        <f>HYPERLINK("https://baanknet.com/view-property/242620/F67C2BAAC56A74C0A204101041D3959A096E870CB18B4EF134AD0D89AC09C6E1", "https://baanknet.com/view-property/242620/F67C2BAAC56A74C0A204101041D3959A096E870CB18B4EF134AD0D89AC09C6E1")</f>
        <v>https://baanknet.com/view-property/242620/F67C2BAAC56A74C0A204101041D3959A096E870CB18B4EF134AD0D89AC09C6E1</v>
      </c>
      <c r="I4645" t="str">
        <f>HYPERLINK("https://baanknet.com/view-property/242620/F67C2BAAC56A74C0A204101041D3959A096E870CB18B4EF134AD0D89AC09C6E1", "Open")</f>
        <v>Open</v>
      </c>
      <c r="J4645" t="s">
        <v>3803</v>
      </c>
      <c r="L4645">
        <v>1735000</v>
      </c>
      <c r="M4645">
        <v>173500</v>
      </c>
    </row>
    <row r="4646" spans="1:13" x14ac:dyDescent="0.25">
      <c r="A4646" t="s">
        <v>15427</v>
      </c>
      <c r="B4646" t="s">
        <v>15428</v>
      </c>
      <c r="C4646" t="s">
        <v>83</v>
      </c>
      <c r="D4646" t="s">
        <v>1246</v>
      </c>
      <c r="E4646" t="s">
        <v>11102</v>
      </c>
      <c r="F4646" t="s">
        <v>11010</v>
      </c>
      <c r="G4646" t="s">
        <v>15429</v>
      </c>
      <c r="H4646" t="str">
        <f>HYPERLINK("https://baanknet.com/view-property/284696/AF1F42FF4F9E1525E2975EF6A33CF54F8BAB7339E5850D582E0335C005806C40", "https://baanknet.com/view-property/284696/AF1F42FF4F9E1525E2975EF6A33CF54F8BAB7339E5850D582E0335C005806C40")</f>
        <v>https://baanknet.com/view-property/284696/AF1F42FF4F9E1525E2975EF6A33CF54F8BAB7339E5850D582E0335C005806C40</v>
      </c>
      <c r="I4646" t="str">
        <f>HYPERLINK("https://baanknet.com/view-property/284696/AF1F42FF4F9E1525E2975EF6A33CF54F8BAB7339E5850D582E0335C005806C40", "Open")</f>
        <v>Open</v>
      </c>
      <c r="J4646" t="s">
        <v>3803</v>
      </c>
      <c r="L4646">
        <v>9450000</v>
      </c>
      <c r="M4646">
        <v>945000</v>
      </c>
    </row>
    <row r="4647" spans="1:13" x14ac:dyDescent="0.25">
      <c r="A4647" t="s">
        <v>15430</v>
      </c>
      <c r="B4647" t="s">
        <v>15431</v>
      </c>
      <c r="C4647" t="s">
        <v>83</v>
      </c>
      <c r="D4647" t="s">
        <v>1619</v>
      </c>
      <c r="E4647" t="s">
        <v>11102</v>
      </c>
      <c r="F4647" t="s">
        <v>11010</v>
      </c>
      <c r="G4647" t="s">
        <v>15432</v>
      </c>
      <c r="H4647" t="str">
        <f>HYPERLINK("https://baanknet.com/view-property/281958/D7800CDB7C5BE8D26B345E13C1BA827A0D536E8F8FA668295C5C5DF1C6FDE3EE", "https://baanknet.com/view-property/281958/D7800CDB7C5BE8D26B345E13C1BA827A0D536E8F8FA668295C5C5DF1C6FDE3EE")</f>
        <v>https://baanknet.com/view-property/281958/D7800CDB7C5BE8D26B345E13C1BA827A0D536E8F8FA668295C5C5DF1C6FDE3EE</v>
      </c>
      <c r="I4647" t="str">
        <f>HYPERLINK("https://baanknet.com/view-property/281958/D7800CDB7C5BE8D26B345E13C1BA827A0D536E8F8FA668295C5C5DF1C6FDE3EE", "Open")</f>
        <v>Open</v>
      </c>
      <c r="J4647" t="s">
        <v>3803</v>
      </c>
      <c r="L4647">
        <v>8400000</v>
      </c>
      <c r="M4647">
        <v>840000</v>
      </c>
    </row>
    <row r="4648" spans="1:13" x14ac:dyDescent="0.25">
      <c r="A4648" t="s">
        <v>15433</v>
      </c>
      <c r="B4648" t="s">
        <v>15434</v>
      </c>
      <c r="C4648" t="s">
        <v>83</v>
      </c>
      <c r="D4648" t="s">
        <v>608</v>
      </c>
      <c r="E4648" t="s">
        <v>11102</v>
      </c>
      <c r="F4648" t="s">
        <v>11010</v>
      </c>
      <c r="G4648" t="s">
        <v>15435</v>
      </c>
      <c r="H4648" t="str">
        <f>HYPERLINK("https://baanknet.com/view-property/286235/87893487975A4301D9E51BC8B9EC43BD62E20C284A3A7063EDB51FA2B8630BEA", "https://baanknet.com/view-property/286235/87893487975A4301D9E51BC8B9EC43BD62E20C284A3A7063EDB51FA2B8630BEA")</f>
        <v>https://baanknet.com/view-property/286235/87893487975A4301D9E51BC8B9EC43BD62E20C284A3A7063EDB51FA2B8630BEA</v>
      </c>
      <c r="I4648" t="str">
        <f>HYPERLINK("https://baanknet.com/view-property/286235/87893487975A4301D9E51BC8B9EC43BD62E20C284A3A7063EDB51FA2B8630BEA", "Open")</f>
        <v>Open</v>
      </c>
      <c r="J4648" t="s">
        <v>3803</v>
      </c>
      <c r="L4648">
        <v>4300000</v>
      </c>
      <c r="M4648">
        <v>430000</v>
      </c>
    </row>
    <row r="4649" spans="1:13" x14ac:dyDescent="0.25">
      <c r="A4649" t="s">
        <v>15436</v>
      </c>
      <c r="B4649" t="s">
        <v>15437</v>
      </c>
      <c r="C4649" t="s">
        <v>83</v>
      </c>
      <c r="D4649" t="s">
        <v>608</v>
      </c>
      <c r="E4649" t="s">
        <v>11102</v>
      </c>
      <c r="F4649" t="s">
        <v>11010</v>
      </c>
      <c r="G4649" t="s">
        <v>15438</v>
      </c>
      <c r="H4649" t="str">
        <f>HYPERLINK("https://baanknet.com/view-property/285869/12862595AEB468D477DF8841B085FDCDA2C488C700C5D49921B85DE853DBB953", "https://baanknet.com/view-property/285869/12862595AEB468D477DF8841B085FDCDA2C488C700C5D49921B85DE853DBB953")</f>
        <v>https://baanknet.com/view-property/285869/12862595AEB468D477DF8841B085FDCDA2C488C700C5D49921B85DE853DBB953</v>
      </c>
      <c r="I4649" t="str">
        <f>HYPERLINK("https://baanknet.com/view-property/285869/12862595AEB468D477DF8841B085FDCDA2C488C700C5D49921B85DE853DBB953", "Open")</f>
        <v>Open</v>
      </c>
      <c r="J4649" t="s">
        <v>3803</v>
      </c>
      <c r="L4649">
        <v>4444000</v>
      </c>
      <c r="M4649">
        <v>444400</v>
      </c>
    </row>
    <row r="4650" spans="1:13" x14ac:dyDescent="0.25">
      <c r="A4650" t="s">
        <v>15439</v>
      </c>
      <c r="B4650" t="s">
        <v>15440</v>
      </c>
      <c r="C4650" t="s">
        <v>387</v>
      </c>
      <c r="D4650" t="s">
        <v>84</v>
      </c>
      <c r="E4650" t="s">
        <v>11102</v>
      </c>
      <c r="F4650" t="s">
        <v>11010</v>
      </c>
      <c r="G4650" t="s">
        <v>15441</v>
      </c>
      <c r="H4650" t="str">
        <f>HYPERLINK("https://baanknet.com/view-property/203646/44E2A3AB5836C972F918701390AB6A095AF7EC20BB8F386483B889516B2147DF", "https://baanknet.com/view-property/203646/44E2A3AB5836C972F918701390AB6A095AF7EC20BB8F386483B889516B2147DF")</f>
        <v>https://baanknet.com/view-property/203646/44E2A3AB5836C972F918701390AB6A095AF7EC20BB8F386483B889516B2147DF</v>
      </c>
      <c r="I4650" t="str">
        <f>HYPERLINK("https://baanknet.com/view-property/203646/44E2A3AB5836C972F918701390AB6A095AF7EC20BB8F386483B889516B2147DF", "Open")</f>
        <v>Open</v>
      </c>
      <c r="J4650" t="s">
        <v>3803</v>
      </c>
      <c r="L4650">
        <v>1166000</v>
      </c>
      <c r="M4650">
        <v>116600</v>
      </c>
    </row>
    <row r="4651" spans="1:13" x14ac:dyDescent="0.25">
      <c r="A4651" t="s">
        <v>15442</v>
      </c>
      <c r="B4651" t="s">
        <v>15443</v>
      </c>
      <c r="C4651" t="s">
        <v>387</v>
      </c>
      <c r="D4651" t="s">
        <v>84</v>
      </c>
      <c r="E4651" t="s">
        <v>11102</v>
      </c>
      <c r="F4651" t="s">
        <v>11010</v>
      </c>
      <c r="G4651" t="s">
        <v>15444</v>
      </c>
      <c r="H4651" t="str">
        <f>HYPERLINK("https://baanknet.com/view-property/203643/F02C02CC0E1DD15161BE5D1C8F7FC61C6DA16EB0BEA9A5AEA112688BD6238173", "https://baanknet.com/view-property/203643/F02C02CC0E1DD15161BE5D1C8F7FC61C6DA16EB0BEA9A5AEA112688BD6238173")</f>
        <v>https://baanknet.com/view-property/203643/F02C02CC0E1DD15161BE5D1C8F7FC61C6DA16EB0BEA9A5AEA112688BD6238173</v>
      </c>
      <c r="I4651" t="str">
        <f>HYPERLINK("https://baanknet.com/view-property/203643/F02C02CC0E1DD15161BE5D1C8F7FC61C6DA16EB0BEA9A5AEA112688BD6238173", "Open")</f>
        <v>Open</v>
      </c>
      <c r="J4651" t="s">
        <v>3803</v>
      </c>
      <c r="L4651">
        <v>1629000</v>
      </c>
      <c r="M4651">
        <v>162900</v>
      </c>
    </row>
    <row r="4652" spans="1:13" x14ac:dyDescent="0.25">
      <c r="A4652" t="s">
        <v>15445</v>
      </c>
      <c r="B4652" t="s">
        <v>15446</v>
      </c>
      <c r="C4652" t="s">
        <v>83</v>
      </c>
      <c r="D4652" t="s">
        <v>608</v>
      </c>
      <c r="E4652" t="s">
        <v>11102</v>
      </c>
      <c r="F4652" t="s">
        <v>11010</v>
      </c>
      <c r="G4652" t="s">
        <v>15447</v>
      </c>
      <c r="H4652" t="str">
        <f>HYPERLINK("https://baanknet.com/view-property/286722/6654D2770C951ACCC4FFCB0653C0CC514E9BD648D594F18D0EC469FB57F06BE1", "https://baanknet.com/view-property/286722/6654D2770C951ACCC4FFCB0653C0CC514E9BD648D594F18D0EC469FB57F06BE1")</f>
        <v>https://baanknet.com/view-property/286722/6654D2770C951ACCC4FFCB0653C0CC514E9BD648D594F18D0EC469FB57F06BE1</v>
      </c>
      <c r="I4652" t="str">
        <f>HYPERLINK("https://baanknet.com/view-property/286722/6654D2770C951ACCC4FFCB0653C0CC514E9BD648D594F18D0EC469FB57F06BE1", "Open")</f>
        <v>Open</v>
      </c>
      <c r="J4652" t="s">
        <v>3803</v>
      </c>
      <c r="L4652">
        <v>29160000</v>
      </c>
      <c r="M4652">
        <v>2916000</v>
      </c>
    </row>
    <row r="4653" spans="1:13" x14ac:dyDescent="0.25">
      <c r="A4653" t="s">
        <v>15448</v>
      </c>
      <c r="B4653" t="s">
        <v>15449</v>
      </c>
      <c r="C4653" t="s">
        <v>83</v>
      </c>
      <c r="D4653" t="s">
        <v>12804</v>
      </c>
      <c r="E4653" t="s">
        <v>11102</v>
      </c>
      <c r="F4653" t="s">
        <v>11010</v>
      </c>
      <c r="G4653" t="s">
        <v>15450</v>
      </c>
      <c r="H4653" t="str">
        <f>HYPERLINK("https://baanknet.com/view-property/286723/85AC0C4465AFF7255673364F6FACBC75FB7D4E6ECBC54C22A644D9467C518432", "https://baanknet.com/view-property/286723/85AC0C4465AFF7255673364F6FACBC75FB7D4E6ECBC54C22A644D9467C518432")</f>
        <v>https://baanknet.com/view-property/286723/85AC0C4465AFF7255673364F6FACBC75FB7D4E6ECBC54C22A644D9467C518432</v>
      </c>
      <c r="I4653" t="str">
        <f>HYPERLINK("https://baanknet.com/view-property/286723/85AC0C4465AFF7255673364F6FACBC75FB7D4E6ECBC54C22A644D9467C518432", "Open")</f>
        <v>Open</v>
      </c>
      <c r="J4653" t="s">
        <v>3803</v>
      </c>
      <c r="L4653">
        <v>4050000</v>
      </c>
      <c r="M4653">
        <v>405000</v>
      </c>
    </row>
    <row r="4654" spans="1:13" x14ac:dyDescent="0.25">
      <c r="A4654" t="s">
        <v>15451</v>
      </c>
      <c r="B4654" t="s">
        <v>15452</v>
      </c>
      <c r="C4654" t="s">
        <v>83</v>
      </c>
      <c r="D4654" t="s">
        <v>12804</v>
      </c>
      <c r="E4654" t="s">
        <v>11102</v>
      </c>
      <c r="F4654" t="s">
        <v>11010</v>
      </c>
      <c r="G4654" t="s">
        <v>15453</v>
      </c>
      <c r="H4654" t="str">
        <f>HYPERLINK("https://baanknet.com/view-property/286724/EFA06E762389DCC5DD7640E588642208B60A9947771A99DBD95C7D404F9F2C04", "https://baanknet.com/view-property/286724/EFA06E762389DCC5DD7640E588642208B60A9947771A99DBD95C7D404F9F2C04")</f>
        <v>https://baanknet.com/view-property/286724/EFA06E762389DCC5DD7640E588642208B60A9947771A99DBD95C7D404F9F2C04</v>
      </c>
      <c r="I4654" t="str">
        <f>HYPERLINK("https://baanknet.com/view-property/286724/EFA06E762389DCC5DD7640E588642208B60A9947771A99DBD95C7D404F9F2C04", "Open")</f>
        <v>Open</v>
      </c>
      <c r="J4654" t="s">
        <v>3803</v>
      </c>
      <c r="L4654">
        <v>4050000</v>
      </c>
      <c r="M4654">
        <v>405000</v>
      </c>
    </row>
    <row r="4655" spans="1:13" x14ac:dyDescent="0.25">
      <c r="A4655" t="s">
        <v>15454</v>
      </c>
      <c r="B4655" t="s">
        <v>15455</v>
      </c>
      <c r="C4655" t="s">
        <v>83</v>
      </c>
      <c r="D4655" t="s">
        <v>12804</v>
      </c>
      <c r="E4655" t="s">
        <v>11102</v>
      </c>
      <c r="F4655" t="s">
        <v>11010</v>
      </c>
      <c r="G4655" t="s">
        <v>15456</v>
      </c>
      <c r="H4655" t="str">
        <f>HYPERLINK("https://baanknet.com/view-property/286708/A1F3268EE71EB39849C8456FDF02198672B1952533198D8677087E60AE708C87", "https://baanknet.com/view-property/286708/A1F3268EE71EB39849C8456FDF02198672B1952533198D8677087E60AE708C87")</f>
        <v>https://baanknet.com/view-property/286708/A1F3268EE71EB39849C8456FDF02198672B1952533198D8677087E60AE708C87</v>
      </c>
      <c r="I4655" t="str">
        <f>HYPERLINK("https://baanknet.com/view-property/286708/A1F3268EE71EB39849C8456FDF02198672B1952533198D8677087E60AE708C87", "Open")</f>
        <v>Open</v>
      </c>
      <c r="J4655" t="s">
        <v>3803</v>
      </c>
      <c r="L4655">
        <v>4643700</v>
      </c>
      <c r="M4655">
        <v>464370</v>
      </c>
    </row>
    <row r="4656" spans="1:13" x14ac:dyDescent="0.25">
      <c r="A4656" t="s">
        <v>15457</v>
      </c>
      <c r="B4656" t="s">
        <v>15458</v>
      </c>
      <c r="C4656" t="s">
        <v>83</v>
      </c>
      <c r="D4656" t="s">
        <v>12804</v>
      </c>
      <c r="E4656" t="s">
        <v>11102</v>
      </c>
      <c r="F4656" t="s">
        <v>11010</v>
      </c>
      <c r="G4656" t="s">
        <v>15459</v>
      </c>
      <c r="H4656" t="str">
        <f>HYPERLINK("https://baanknet.com/view-property/286707/A536B0651DAB9C74249A36D70F305A9A92871C417FA5AD0DB6059DD628A1D5FC", "https://baanknet.com/view-property/286707/A536B0651DAB9C74249A36D70F305A9A92871C417FA5AD0DB6059DD628A1D5FC")</f>
        <v>https://baanknet.com/view-property/286707/A536B0651DAB9C74249A36D70F305A9A92871C417FA5AD0DB6059DD628A1D5FC</v>
      </c>
      <c r="I4656" t="str">
        <f>HYPERLINK("https://baanknet.com/view-property/286707/A536B0651DAB9C74249A36D70F305A9A92871C417FA5AD0DB6059DD628A1D5FC", "Open")</f>
        <v>Open</v>
      </c>
      <c r="J4656" t="s">
        <v>3803</v>
      </c>
      <c r="L4656">
        <v>4643730</v>
      </c>
      <c r="M4656">
        <v>464373</v>
      </c>
    </row>
    <row r="4657" spans="1:13" x14ac:dyDescent="0.25">
      <c r="A4657" t="s">
        <v>15460</v>
      </c>
      <c r="B4657" t="s">
        <v>15461</v>
      </c>
      <c r="C4657" t="s">
        <v>83</v>
      </c>
      <c r="D4657" t="s">
        <v>12804</v>
      </c>
      <c r="E4657" t="s">
        <v>11102</v>
      </c>
      <c r="F4657" t="s">
        <v>11010</v>
      </c>
      <c r="G4657" t="s">
        <v>15462</v>
      </c>
      <c r="H4657" t="str">
        <f>HYPERLINK("https://baanknet.com/view-property/286730/BF194D360D45F01F8838783FD8FBEFA06B2BE4BED70B23D69EA1CE6360F82DBB", "https://baanknet.com/view-property/286730/BF194D360D45F01F8838783FD8FBEFA06B2BE4BED70B23D69EA1CE6360F82DBB")</f>
        <v>https://baanknet.com/view-property/286730/BF194D360D45F01F8838783FD8FBEFA06B2BE4BED70B23D69EA1CE6360F82DBB</v>
      </c>
      <c r="I4657" t="str">
        <f>HYPERLINK("https://baanknet.com/view-property/286730/BF194D360D45F01F8838783FD8FBEFA06B2BE4BED70B23D69EA1CE6360F82DBB", "Open")</f>
        <v>Open</v>
      </c>
      <c r="J4657" t="s">
        <v>3803</v>
      </c>
      <c r="L4657">
        <v>4643730</v>
      </c>
      <c r="M4657">
        <v>464373</v>
      </c>
    </row>
    <row r="4658" spans="1:13" x14ac:dyDescent="0.25">
      <c r="A4658" t="s">
        <v>15463</v>
      </c>
      <c r="B4658" t="s">
        <v>15464</v>
      </c>
      <c r="C4658" t="s">
        <v>83</v>
      </c>
      <c r="D4658" t="s">
        <v>15465</v>
      </c>
      <c r="E4658" t="s">
        <v>11102</v>
      </c>
      <c r="F4658" t="s">
        <v>11010</v>
      </c>
      <c r="G4658" t="s">
        <v>15466</v>
      </c>
      <c r="H4658" t="str">
        <f>HYPERLINK("https://baanknet.com/view-property/273171/3042CF8171AC6CE283A99A55672D73226814C9DD3EB26B88A6BE6734013A8F16", "https://baanknet.com/view-property/273171/3042CF8171AC6CE283A99A55672D73226814C9DD3EB26B88A6BE6734013A8F16")</f>
        <v>https://baanknet.com/view-property/273171/3042CF8171AC6CE283A99A55672D73226814C9DD3EB26B88A6BE6734013A8F16</v>
      </c>
      <c r="I4658" t="str">
        <f>HYPERLINK("https://baanknet.com/view-property/273171/3042CF8171AC6CE283A99A55672D73226814C9DD3EB26B88A6BE6734013A8F16", "Open")</f>
        <v>Open</v>
      </c>
      <c r="J4658" t="s">
        <v>3803</v>
      </c>
      <c r="L4658">
        <v>4075000</v>
      </c>
      <c r="M4658">
        <v>407500</v>
      </c>
    </row>
    <row r="4659" spans="1:13" x14ac:dyDescent="0.25">
      <c r="A4659" t="s">
        <v>15467</v>
      </c>
      <c r="B4659" t="s">
        <v>15468</v>
      </c>
      <c r="C4659" t="s">
        <v>83</v>
      </c>
      <c r="D4659" t="s">
        <v>15469</v>
      </c>
      <c r="E4659" t="s">
        <v>11102</v>
      </c>
      <c r="F4659" t="s">
        <v>11010</v>
      </c>
      <c r="G4659" t="s">
        <v>15470</v>
      </c>
      <c r="H4659" t="str">
        <f>HYPERLINK("https://baanknet.com/view-property/213050/1DAE7375A842FDA3A02F6F814DD6539DD8EA1A3445BD90812B4AFCD227F4016C", "https://baanknet.com/view-property/213050/1DAE7375A842FDA3A02F6F814DD6539DD8EA1A3445BD90812B4AFCD227F4016C")</f>
        <v>https://baanknet.com/view-property/213050/1DAE7375A842FDA3A02F6F814DD6539DD8EA1A3445BD90812B4AFCD227F4016C</v>
      </c>
      <c r="I4659" t="str">
        <f>HYPERLINK("https://baanknet.com/view-property/213050/1DAE7375A842FDA3A02F6F814DD6539DD8EA1A3445BD90812B4AFCD227F4016C", "Open")</f>
        <v>Open</v>
      </c>
      <c r="J4659" t="s">
        <v>3803</v>
      </c>
      <c r="L4659">
        <v>3070000</v>
      </c>
      <c r="M4659">
        <v>307000</v>
      </c>
    </row>
    <row r="4660" spans="1:13" x14ac:dyDescent="0.25">
      <c r="A4660" t="s">
        <v>15471</v>
      </c>
      <c r="B4660" t="s">
        <v>15472</v>
      </c>
      <c r="C4660" t="s">
        <v>83</v>
      </c>
      <c r="D4660" t="s">
        <v>4317</v>
      </c>
      <c r="E4660" t="s">
        <v>11102</v>
      </c>
      <c r="F4660" t="s">
        <v>11010</v>
      </c>
      <c r="G4660" t="s">
        <v>15473</v>
      </c>
      <c r="H4660" t="str">
        <f>HYPERLINK("https://baanknet.com/view-property/281761/AF56B1C293EE4134F4A8F4665B0923F100BDF2AD899D500B987E3DB9E3788419", "https://baanknet.com/view-property/281761/AF56B1C293EE4134F4A8F4665B0923F100BDF2AD899D500B987E3DB9E3788419")</f>
        <v>https://baanknet.com/view-property/281761/AF56B1C293EE4134F4A8F4665B0923F100BDF2AD899D500B987E3DB9E3788419</v>
      </c>
      <c r="I4660" t="str">
        <f>HYPERLINK("https://baanknet.com/view-property/281761/AF56B1C293EE4134F4A8F4665B0923F100BDF2AD899D500B987E3DB9E3788419", "Open")</f>
        <v>Open</v>
      </c>
      <c r="J4660" t="s">
        <v>3803</v>
      </c>
      <c r="L4660">
        <v>14340600</v>
      </c>
      <c r="M4660">
        <v>1434060</v>
      </c>
    </row>
    <row r="4661" spans="1:13" x14ac:dyDescent="0.25">
      <c r="A4661" t="s">
        <v>15474</v>
      </c>
      <c r="B4661" t="s">
        <v>15475</v>
      </c>
      <c r="C4661" t="s">
        <v>83</v>
      </c>
      <c r="D4661" t="s">
        <v>15476</v>
      </c>
      <c r="E4661" t="s">
        <v>11102</v>
      </c>
      <c r="F4661" t="s">
        <v>11010</v>
      </c>
      <c r="G4661" t="s">
        <v>15477</v>
      </c>
      <c r="H4661" t="str">
        <f>HYPERLINK("https://baanknet.com/view-property/274285/CFB700A8259F1BA5FD824C2166CE0FD6ABAA4EBD71F23BAEAED89790D01A92DC", "https://baanknet.com/view-property/274285/CFB700A8259F1BA5FD824C2166CE0FD6ABAA4EBD71F23BAEAED89790D01A92DC")</f>
        <v>https://baanknet.com/view-property/274285/CFB700A8259F1BA5FD824C2166CE0FD6ABAA4EBD71F23BAEAED89790D01A92DC</v>
      </c>
      <c r="I4661" t="str">
        <f>HYPERLINK("https://baanknet.com/view-property/274285/CFB700A8259F1BA5FD824C2166CE0FD6ABAA4EBD71F23BAEAED89790D01A92DC", "Open")</f>
        <v>Open</v>
      </c>
      <c r="J4661" t="s">
        <v>3803</v>
      </c>
      <c r="L4661">
        <v>6350400</v>
      </c>
      <c r="M4661">
        <v>635040</v>
      </c>
    </row>
    <row r="4662" spans="1:13" x14ac:dyDescent="0.25">
      <c r="A4662" t="s">
        <v>15478</v>
      </c>
      <c r="B4662" t="s">
        <v>15479</v>
      </c>
      <c r="C4662" t="s">
        <v>83</v>
      </c>
      <c r="D4662" t="s">
        <v>13473</v>
      </c>
      <c r="E4662" t="s">
        <v>11102</v>
      </c>
      <c r="F4662" t="s">
        <v>11010</v>
      </c>
      <c r="G4662" t="s">
        <v>15480</v>
      </c>
      <c r="H4662" t="str">
        <f>HYPERLINK("https://baanknet.com/view-property/242478/36DC65FB827DBDEA1CC19084B23D430476552D9BDBA8B36C00A40FC590A2495B", "https://baanknet.com/view-property/242478/36DC65FB827DBDEA1CC19084B23D430476552D9BDBA8B36C00A40FC590A2495B")</f>
        <v>https://baanknet.com/view-property/242478/36DC65FB827DBDEA1CC19084B23D430476552D9BDBA8B36C00A40FC590A2495B</v>
      </c>
      <c r="I4662" t="str">
        <f>HYPERLINK("https://baanknet.com/view-property/242478/36DC65FB827DBDEA1CC19084B23D430476552D9BDBA8B36C00A40FC590A2495B", "Open")</f>
        <v>Open</v>
      </c>
      <c r="J4662" t="s">
        <v>3803</v>
      </c>
      <c r="L4662">
        <v>8469900</v>
      </c>
      <c r="M4662">
        <v>846990</v>
      </c>
    </row>
    <row r="4663" spans="1:13" x14ac:dyDescent="0.25">
      <c r="A4663" t="s">
        <v>15481</v>
      </c>
      <c r="B4663" t="s">
        <v>15482</v>
      </c>
      <c r="C4663" t="s">
        <v>83</v>
      </c>
      <c r="D4663" t="s">
        <v>9005</v>
      </c>
      <c r="E4663" t="s">
        <v>11102</v>
      </c>
      <c r="F4663" t="s">
        <v>11010</v>
      </c>
      <c r="G4663" t="s">
        <v>15483</v>
      </c>
      <c r="H4663" t="str">
        <f>HYPERLINK("https://baanknet.com/view-property/287666/BA50C169C02C5FAAC3D5FD21AB88A15378F6D4321C8E3CFBE0ADE9168ED4AEC7", "https://baanknet.com/view-property/287666/BA50C169C02C5FAAC3D5FD21AB88A15378F6D4321C8E3CFBE0ADE9168ED4AEC7")</f>
        <v>https://baanknet.com/view-property/287666/BA50C169C02C5FAAC3D5FD21AB88A15378F6D4321C8E3CFBE0ADE9168ED4AEC7</v>
      </c>
      <c r="I4663" t="str">
        <f>HYPERLINK("https://baanknet.com/view-property/287666/BA50C169C02C5FAAC3D5FD21AB88A15378F6D4321C8E3CFBE0ADE9168ED4AEC7", "Open")</f>
        <v>Open</v>
      </c>
      <c r="J4663" t="s">
        <v>3803</v>
      </c>
      <c r="L4663">
        <v>2655000</v>
      </c>
      <c r="M4663">
        <v>265500</v>
      </c>
    </row>
    <row r="4664" spans="1:13" x14ac:dyDescent="0.25">
      <c r="A4664" t="s">
        <v>15484</v>
      </c>
      <c r="B4664" t="s">
        <v>15485</v>
      </c>
      <c r="C4664" t="s">
        <v>525</v>
      </c>
      <c r="D4664" t="s">
        <v>4876</v>
      </c>
      <c r="E4664" t="s">
        <v>12405</v>
      </c>
      <c r="F4664" t="s">
        <v>13958</v>
      </c>
      <c r="G4664" t="s">
        <v>15486</v>
      </c>
      <c r="H4664" t="str">
        <f>HYPERLINK("https://baanknet.com/view-property/256546/61E213A77B2387333C5F095BD2462E58816DC984281A9323B30A12DC1218C32B", "https://baanknet.com/view-property/256546/61E213A77B2387333C5F095BD2462E58816DC984281A9323B30A12DC1218C32B")</f>
        <v>https://baanknet.com/view-property/256546/61E213A77B2387333C5F095BD2462E58816DC984281A9323B30A12DC1218C32B</v>
      </c>
      <c r="I4664" t="str">
        <f>HYPERLINK("https://baanknet.com/view-property/256546/61E213A77B2387333C5F095BD2462E58816DC984281A9323B30A12DC1218C32B", "Open")</f>
        <v>Open</v>
      </c>
      <c r="J4664" t="s">
        <v>3803</v>
      </c>
      <c r="L4664">
        <v>2031000</v>
      </c>
      <c r="M4664">
        <v>203100</v>
      </c>
    </row>
    <row r="4665" spans="1:13" x14ac:dyDescent="0.25">
      <c r="A4665" t="s">
        <v>15487</v>
      </c>
      <c r="B4665" t="s">
        <v>15488</v>
      </c>
      <c r="C4665" t="s">
        <v>15</v>
      </c>
      <c r="D4665" t="s">
        <v>2282</v>
      </c>
      <c r="E4665" t="s">
        <v>12405</v>
      </c>
      <c r="F4665" t="s">
        <v>11004</v>
      </c>
      <c r="G4665" t="s">
        <v>15489</v>
      </c>
      <c r="H4665" t="str">
        <f>HYPERLINK("https://baanknet.com/view-property/273795/FBF5C85250140121B1C6AC36EDE41A50B2F401220FBC661FE719159B2C351A04", "https://baanknet.com/view-property/273795/FBF5C85250140121B1C6AC36EDE41A50B2F401220FBC661FE719159B2C351A04")</f>
        <v>https://baanknet.com/view-property/273795/FBF5C85250140121B1C6AC36EDE41A50B2F401220FBC661FE719159B2C351A04</v>
      </c>
      <c r="I4665" t="str">
        <f>HYPERLINK("https://baanknet.com/view-property/273795/FBF5C85250140121B1C6AC36EDE41A50B2F401220FBC661FE719159B2C351A04", "Open")</f>
        <v>Open</v>
      </c>
      <c r="J4665" t="s">
        <v>3803</v>
      </c>
      <c r="L4665">
        <v>972000</v>
      </c>
      <c r="M4665">
        <v>97200</v>
      </c>
    </row>
    <row r="4666" spans="1:13" x14ac:dyDescent="0.25">
      <c r="A4666" t="s">
        <v>15490</v>
      </c>
      <c r="B4666" t="s">
        <v>15491</v>
      </c>
      <c r="C4666" t="s">
        <v>15</v>
      </c>
      <c r="D4666" t="s">
        <v>15492</v>
      </c>
      <c r="E4666" t="s">
        <v>12405</v>
      </c>
      <c r="F4666" t="s">
        <v>11004</v>
      </c>
      <c r="G4666" t="s">
        <v>15493</v>
      </c>
      <c r="H4666" t="str">
        <f>HYPERLINK("https://baanknet.com/view-property/279978/597DA97930EECB34DCDD9FC19849EEC0B1A67C77BCBEFB6C69946A0F9059A09F", "https://baanknet.com/view-property/279978/597DA97930EECB34DCDD9FC19849EEC0B1A67C77BCBEFB6C69946A0F9059A09F")</f>
        <v>https://baanknet.com/view-property/279978/597DA97930EECB34DCDD9FC19849EEC0B1A67C77BCBEFB6C69946A0F9059A09F</v>
      </c>
      <c r="I4666" t="str">
        <f>HYPERLINK("https://baanknet.com/view-property/279978/597DA97930EECB34DCDD9FC19849EEC0B1A67C77BCBEFB6C69946A0F9059A09F", "Open")</f>
        <v>Open</v>
      </c>
      <c r="J4666" t="s">
        <v>3803</v>
      </c>
      <c r="L4666">
        <v>483000</v>
      </c>
      <c r="M4666">
        <v>48300</v>
      </c>
    </row>
    <row r="4667" spans="1:13" x14ac:dyDescent="0.25">
      <c r="A4667" t="s">
        <v>15494</v>
      </c>
      <c r="B4667" t="s">
        <v>15495</v>
      </c>
      <c r="C4667" t="s">
        <v>144</v>
      </c>
      <c r="D4667" t="s">
        <v>2425</v>
      </c>
      <c r="E4667" t="s">
        <v>15496</v>
      </c>
      <c r="F4667" t="s">
        <v>15497</v>
      </c>
      <c r="G4667" t="s">
        <v>15498</v>
      </c>
      <c r="H4667" t="str">
        <f>HYPERLINK("https://baanknet.com/view-property/229198/AFC207C0D02EB05ABDBD759C8EDCD956432143401048B1399DD7C5E7ECB47763", "https://baanknet.com/view-property/229198/AFC207C0D02EB05ABDBD759C8EDCD956432143401048B1399DD7C5E7ECB47763")</f>
        <v>https://baanknet.com/view-property/229198/AFC207C0D02EB05ABDBD759C8EDCD956432143401048B1399DD7C5E7ECB47763</v>
      </c>
      <c r="I4667" t="str">
        <f>HYPERLINK("https://baanknet.com/view-property/229198/AFC207C0D02EB05ABDBD759C8EDCD956432143401048B1399DD7C5E7ECB47763", "Open")</f>
        <v>Open</v>
      </c>
      <c r="J4667" t="s">
        <v>3803</v>
      </c>
      <c r="L4667">
        <v>2106400</v>
      </c>
      <c r="M4667">
        <v>210640</v>
      </c>
    </row>
    <row r="4668" spans="1:13" x14ac:dyDescent="0.25">
      <c r="A4668" t="s">
        <v>15499</v>
      </c>
      <c r="B4668" t="s">
        <v>15500</v>
      </c>
      <c r="C4668" t="s">
        <v>15</v>
      </c>
      <c r="D4668" t="s">
        <v>15501</v>
      </c>
      <c r="E4668" t="s">
        <v>15502</v>
      </c>
      <c r="F4668" t="s">
        <v>15503</v>
      </c>
      <c r="G4668" t="s">
        <v>15504</v>
      </c>
      <c r="H4668" t="str">
        <f>HYPERLINK("https://baanknet.com/view-property/278454/07E41D861E73ECF81371525779C7C029FCB586AFC3CA19115DC401A53AF04B03", "https://baanknet.com/view-property/278454/07E41D861E73ECF81371525779C7C029FCB586AFC3CA19115DC401A53AF04B03")</f>
        <v>https://baanknet.com/view-property/278454/07E41D861E73ECF81371525779C7C029FCB586AFC3CA19115DC401A53AF04B03</v>
      </c>
      <c r="I4668" t="str">
        <f>HYPERLINK("https://baanknet.com/view-property/278454/07E41D861E73ECF81371525779C7C029FCB586AFC3CA19115DC401A53AF04B03", "Open")</f>
        <v>Open</v>
      </c>
      <c r="J4668" t="s">
        <v>3803</v>
      </c>
      <c r="L4668">
        <v>3600000</v>
      </c>
      <c r="M4668">
        <v>360000</v>
      </c>
    </row>
    <row r="4669" spans="1:13" x14ac:dyDescent="0.25">
      <c r="A4669" t="s">
        <v>15505</v>
      </c>
      <c r="B4669" t="s">
        <v>15506</v>
      </c>
      <c r="C4669" t="s">
        <v>15</v>
      </c>
      <c r="D4669" t="s">
        <v>608</v>
      </c>
      <c r="E4669" t="s">
        <v>15502</v>
      </c>
      <c r="F4669" t="s">
        <v>15507</v>
      </c>
      <c r="G4669" t="s">
        <v>15508</v>
      </c>
      <c r="H4669" t="str">
        <f>HYPERLINK("https://baanknet.com/view-property/250969/6943A6780D99DA575A1960FF5BE33E2D0231787C6C68B82C142C3180F7E58EDD", "https://baanknet.com/view-property/250969/6943A6780D99DA575A1960FF5BE33E2D0231787C6C68B82C142C3180F7E58EDD")</f>
        <v>https://baanknet.com/view-property/250969/6943A6780D99DA575A1960FF5BE33E2D0231787C6C68B82C142C3180F7E58EDD</v>
      </c>
      <c r="I4669" t="str">
        <f>HYPERLINK("https://baanknet.com/view-property/250969/6943A6780D99DA575A1960FF5BE33E2D0231787C6C68B82C142C3180F7E58EDD", "Open")</f>
        <v>Open</v>
      </c>
      <c r="J4669" t="s">
        <v>3803</v>
      </c>
      <c r="L4669">
        <v>7452000</v>
      </c>
      <c r="M4669">
        <v>745200</v>
      </c>
    </row>
    <row r="4670" spans="1:13" x14ac:dyDescent="0.25">
      <c r="A4670" t="s">
        <v>15509</v>
      </c>
      <c r="B4670" t="s">
        <v>15510</v>
      </c>
      <c r="C4670" t="s">
        <v>15</v>
      </c>
      <c r="D4670" t="s">
        <v>3645</v>
      </c>
      <c r="E4670" t="s">
        <v>15502</v>
      </c>
      <c r="F4670" t="s">
        <v>15507</v>
      </c>
      <c r="G4670" t="s">
        <v>15511</v>
      </c>
      <c r="H4670" t="str">
        <f>HYPERLINK("https://baanknet.com/view-property/205344/AA3B47435EF77DB3C2C64F40299FDA8BCF7788BF4039216DB456BD9D3247F197", "https://baanknet.com/view-property/205344/AA3B47435EF77DB3C2C64F40299FDA8BCF7788BF4039216DB456BD9D3247F197")</f>
        <v>https://baanknet.com/view-property/205344/AA3B47435EF77DB3C2C64F40299FDA8BCF7788BF4039216DB456BD9D3247F197</v>
      </c>
      <c r="I4670" t="str">
        <f>HYPERLINK("https://baanknet.com/view-property/205344/AA3B47435EF77DB3C2C64F40299FDA8BCF7788BF4039216DB456BD9D3247F197", "Open")</f>
        <v>Open</v>
      </c>
      <c r="J4670" t="s">
        <v>3803</v>
      </c>
      <c r="L4670">
        <v>6800000</v>
      </c>
      <c r="M4670">
        <v>680000</v>
      </c>
    </row>
    <row r="4671" spans="1:13" x14ac:dyDescent="0.25">
      <c r="A4671" t="s">
        <v>15512</v>
      </c>
      <c r="B4671" t="s">
        <v>15513</v>
      </c>
      <c r="C4671" t="s">
        <v>15</v>
      </c>
      <c r="D4671" t="s">
        <v>15514</v>
      </c>
      <c r="E4671" t="s">
        <v>15502</v>
      </c>
      <c r="F4671" t="s">
        <v>15515</v>
      </c>
      <c r="G4671" t="s">
        <v>15516</v>
      </c>
      <c r="H4671" t="str">
        <f>HYPERLINK("https://baanknet.com/view-property/263284/B670E22A024E9EE8210157EC1BBB6B3D731EF2AB54606929C55503156896ABF0", "https://baanknet.com/view-property/263284/B670E22A024E9EE8210157EC1BBB6B3D731EF2AB54606929C55503156896ABF0")</f>
        <v>https://baanknet.com/view-property/263284/B670E22A024E9EE8210157EC1BBB6B3D731EF2AB54606929C55503156896ABF0</v>
      </c>
      <c r="I4671" t="str">
        <f>HYPERLINK("https://baanknet.com/view-property/263284/B670E22A024E9EE8210157EC1BBB6B3D731EF2AB54606929C55503156896ABF0", "Open")</f>
        <v>Open</v>
      </c>
      <c r="J4671" t="s">
        <v>3803</v>
      </c>
      <c r="L4671">
        <v>1470000</v>
      </c>
      <c r="M4671">
        <v>147000</v>
      </c>
    </row>
    <row r="4672" spans="1:13" x14ac:dyDescent="0.25">
      <c r="A4672" t="s">
        <v>15517</v>
      </c>
      <c r="B4672" t="s">
        <v>15518</v>
      </c>
      <c r="C4672" t="s">
        <v>15</v>
      </c>
      <c r="D4672" t="s">
        <v>15519</v>
      </c>
      <c r="E4672" t="s">
        <v>15502</v>
      </c>
      <c r="F4672" t="s">
        <v>15515</v>
      </c>
      <c r="G4672" t="s">
        <v>15520</v>
      </c>
      <c r="H4672" t="str">
        <f>HYPERLINK("https://baanknet.com/view-property/230501/3FF5F7252CE7A9125F82642B38A64D5CF8CA4E79F078CFE67B1BF4B08DC3DCD2", "https://baanknet.com/view-property/230501/3FF5F7252CE7A9125F82642B38A64D5CF8CA4E79F078CFE67B1BF4B08DC3DCD2")</f>
        <v>https://baanknet.com/view-property/230501/3FF5F7252CE7A9125F82642B38A64D5CF8CA4E79F078CFE67B1BF4B08DC3DCD2</v>
      </c>
      <c r="I4672" t="str">
        <f>HYPERLINK("https://baanknet.com/view-property/230501/3FF5F7252CE7A9125F82642B38A64D5CF8CA4E79F078CFE67B1BF4B08DC3DCD2", "Open")</f>
        <v>Open</v>
      </c>
      <c r="J4672" t="s">
        <v>3803</v>
      </c>
      <c r="L4672">
        <v>2770000</v>
      </c>
      <c r="M4672">
        <v>277000</v>
      </c>
    </row>
    <row r="4673" spans="1:13" x14ac:dyDescent="0.25">
      <c r="A4673" t="s">
        <v>15521</v>
      </c>
      <c r="B4673" t="s">
        <v>15522</v>
      </c>
      <c r="C4673" t="s">
        <v>15</v>
      </c>
      <c r="D4673" t="s">
        <v>15523</v>
      </c>
      <c r="E4673" t="s">
        <v>15502</v>
      </c>
      <c r="F4673" t="s">
        <v>15515</v>
      </c>
      <c r="G4673" t="s">
        <v>15524</v>
      </c>
      <c r="H4673" t="str">
        <f>HYPERLINK("https://baanknet.com/view-property/223837/FAB6F888D46876769C7157AE109F58A31EFCE647BA8D57E3A92860C9335B6708", "https://baanknet.com/view-property/223837/FAB6F888D46876769C7157AE109F58A31EFCE647BA8D57E3A92860C9335B6708")</f>
        <v>https://baanknet.com/view-property/223837/FAB6F888D46876769C7157AE109F58A31EFCE647BA8D57E3A92860C9335B6708</v>
      </c>
      <c r="I4673" t="str">
        <f>HYPERLINK("https://baanknet.com/view-property/223837/FAB6F888D46876769C7157AE109F58A31EFCE647BA8D57E3A92860C9335B6708", "Open")</f>
        <v>Open</v>
      </c>
      <c r="J4673" t="s">
        <v>3803</v>
      </c>
      <c r="L4673">
        <v>2270000</v>
      </c>
      <c r="M4673">
        <v>227000</v>
      </c>
    </row>
    <row r="4674" spans="1:13" x14ac:dyDescent="0.25">
      <c r="A4674" t="s">
        <v>15525</v>
      </c>
      <c r="B4674" t="s">
        <v>15526</v>
      </c>
      <c r="C4674" t="s">
        <v>15</v>
      </c>
      <c r="D4674" t="s">
        <v>2817</v>
      </c>
      <c r="E4674" t="s">
        <v>15502</v>
      </c>
      <c r="F4674" t="s">
        <v>15527</v>
      </c>
      <c r="G4674" t="s">
        <v>15528</v>
      </c>
      <c r="H4674" t="str">
        <f>HYPERLINK("https://baanknet.com/view-property/285785/9D855AAD771FDF309D56B3C099973CDAD4A0FFC2BA4D1856D010838ADBE5FA97", "https://baanknet.com/view-property/285785/9D855AAD771FDF309D56B3C099973CDAD4A0FFC2BA4D1856D010838ADBE5FA97")</f>
        <v>https://baanknet.com/view-property/285785/9D855AAD771FDF309D56B3C099973CDAD4A0FFC2BA4D1856D010838ADBE5FA97</v>
      </c>
      <c r="I4674" t="str">
        <f>HYPERLINK("https://baanknet.com/view-property/285785/9D855AAD771FDF309D56B3C099973CDAD4A0FFC2BA4D1856D010838ADBE5FA97", "Open")</f>
        <v>Open</v>
      </c>
      <c r="J4674" t="s">
        <v>3803</v>
      </c>
      <c r="L4674">
        <v>3233000</v>
      </c>
      <c r="M4674">
        <v>323300</v>
      </c>
    </row>
    <row r="4675" spans="1:13" x14ac:dyDescent="0.25">
      <c r="A4675" t="s">
        <v>15529</v>
      </c>
      <c r="B4675" t="s">
        <v>15530</v>
      </c>
      <c r="C4675" t="s">
        <v>15</v>
      </c>
      <c r="D4675" t="s">
        <v>2684</v>
      </c>
      <c r="E4675" t="s">
        <v>15502</v>
      </c>
      <c r="F4675" t="s">
        <v>15527</v>
      </c>
      <c r="G4675" t="s">
        <v>15531</v>
      </c>
      <c r="H4675" t="str">
        <f>HYPERLINK("https://baanknet.com/view-property/278805/B966DA60FAB67D4E3A548DB35BF774327CA0CB6109908B8D6A79A73028DF3590", "https://baanknet.com/view-property/278805/B966DA60FAB67D4E3A548DB35BF774327CA0CB6109908B8D6A79A73028DF3590")</f>
        <v>https://baanknet.com/view-property/278805/B966DA60FAB67D4E3A548DB35BF774327CA0CB6109908B8D6A79A73028DF3590</v>
      </c>
      <c r="I4675" t="str">
        <f>HYPERLINK("https://baanknet.com/view-property/278805/B966DA60FAB67D4E3A548DB35BF774327CA0CB6109908B8D6A79A73028DF3590", "Open")</f>
        <v>Open</v>
      </c>
      <c r="J4675" t="s">
        <v>3803</v>
      </c>
      <c r="L4675">
        <v>759000</v>
      </c>
      <c r="M4675">
        <v>75900</v>
      </c>
    </row>
    <row r="4676" spans="1:13" x14ac:dyDescent="0.25">
      <c r="A4676" t="s">
        <v>15532</v>
      </c>
      <c r="B4676" t="s">
        <v>15533</v>
      </c>
      <c r="C4676" t="s">
        <v>15</v>
      </c>
      <c r="D4676" t="s">
        <v>2220</v>
      </c>
      <c r="E4676" t="s">
        <v>15502</v>
      </c>
      <c r="F4676" t="s">
        <v>15527</v>
      </c>
      <c r="G4676" t="s">
        <v>15534</v>
      </c>
      <c r="H4676" t="str">
        <f>HYPERLINK("https://baanknet.com/view-property/240058/0CF28623249B39EF7755D1157B6DCF5B33A633A7B0AB1F4E7ECC4D7F9B7DD77C", "https://baanknet.com/view-property/240058/0CF28623249B39EF7755D1157B6DCF5B33A633A7B0AB1F4E7ECC4D7F9B7DD77C")</f>
        <v>https://baanknet.com/view-property/240058/0CF28623249B39EF7755D1157B6DCF5B33A633A7B0AB1F4E7ECC4D7F9B7DD77C</v>
      </c>
      <c r="I4676" t="str">
        <f>HYPERLINK("https://baanknet.com/view-property/240058/0CF28623249B39EF7755D1157B6DCF5B33A633A7B0AB1F4E7ECC4D7F9B7DD77C", "Open")</f>
        <v>Open</v>
      </c>
      <c r="J4676" t="s">
        <v>3803</v>
      </c>
      <c r="L4676">
        <v>757000</v>
      </c>
      <c r="M4676">
        <v>75700</v>
      </c>
    </row>
    <row r="4677" spans="1:13" x14ac:dyDescent="0.25">
      <c r="A4677" t="s">
        <v>15535</v>
      </c>
      <c r="B4677" t="s">
        <v>15536</v>
      </c>
      <c r="C4677" t="s">
        <v>15</v>
      </c>
      <c r="D4677" t="s">
        <v>2220</v>
      </c>
      <c r="E4677" t="s">
        <v>15502</v>
      </c>
      <c r="F4677" t="s">
        <v>15527</v>
      </c>
      <c r="G4677" t="s">
        <v>15537</v>
      </c>
      <c r="H4677" t="str">
        <f>HYPERLINK("https://baanknet.com/view-property/239890/563850FD2A34B12C3D549EA6C593F45FC778067424F27DE91F81CFAF008A9569", "https://baanknet.com/view-property/239890/563850FD2A34B12C3D549EA6C593F45FC778067424F27DE91F81CFAF008A9569")</f>
        <v>https://baanknet.com/view-property/239890/563850FD2A34B12C3D549EA6C593F45FC778067424F27DE91F81CFAF008A9569</v>
      </c>
      <c r="I4677" t="str">
        <f>HYPERLINK("https://baanknet.com/view-property/239890/563850FD2A34B12C3D549EA6C593F45FC778067424F27DE91F81CFAF008A9569", "Open")</f>
        <v>Open</v>
      </c>
      <c r="J4677" t="s">
        <v>3803</v>
      </c>
      <c r="L4677">
        <v>1032000</v>
      </c>
      <c r="M4677">
        <v>103200</v>
      </c>
    </row>
    <row r="4678" spans="1:13" x14ac:dyDescent="0.25">
      <c r="A4678" t="s">
        <v>15538</v>
      </c>
      <c r="B4678" t="s">
        <v>15539</v>
      </c>
      <c r="C4678" t="s">
        <v>15</v>
      </c>
      <c r="D4678" t="s">
        <v>2238</v>
      </c>
      <c r="E4678" t="s">
        <v>15502</v>
      </c>
      <c r="F4678" t="s">
        <v>15527</v>
      </c>
      <c r="G4678" t="s">
        <v>15540</v>
      </c>
      <c r="H4678" t="str">
        <f>HYPERLINK("https://baanknet.com/view-property/242176/F2A61DCF0B4F57B7316AFB5179BD83EAD354C1D176DDAC171FF6731808DFE6F1", "https://baanknet.com/view-property/242176/F2A61DCF0B4F57B7316AFB5179BD83EAD354C1D176DDAC171FF6731808DFE6F1")</f>
        <v>https://baanknet.com/view-property/242176/F2A61DCF0B4F57B7316AFB5179BD83EAD354C1D176DDAC171FF6731808DFE6F1</v>
      </c>
      <c r="I4678" t="str">
        <f>HYPERLINK("https://baanknet.com/view-property/242176/F2A61DCF0B4F57B7316AFB5179BD83EAD354C1D176DDAC171FF6731808DFE6F1", "Open")</f>
        <v>Open</v>
      </c>
      <c r="J4678" t="s">
        <v>3803</v>
      </c>
      <c r="L4678">
        <v>968000</v>
      </c>
      <c r="M4678">
        <v>96800</v>
      </c>
    </row>
    <row r="4679" spans="1:13" x14ac:dyDescent="0.25">
      <c r="A4679" t="s">
        <v>15541</v>
      </c>
      <c r="B4679" t="s">
        <v>15542</v>
      </c>
      <c r="C4679" t="s">
        <v>15</v>
      </c>
      <c r="D4679" t="s">
        <v>2220</v>
      </c>
      <c r="E4679" t="s">
        <v>15502</v>
      </c>
      <c r="F4679" t="s">
        <v>15527</v>
      </c>
      <c r="G4679" t="s">
        <v>15543</v>
      </c>
      <c r="H4679" t="str">
        <f>HYPERLINK("https://baanknet.com/view-property/205244/1BC42B9E58402D1082162AE9F7B431D9B442F51C5828DC2656C3FC537E8B721D", "https://baanknet.com/view-property/205244/1BC42B9E58402D1082162AE9F7B431D9B442F51C5828DC2656C3FC537E8B721D")</f>
        <v>https://baanknet.com/view-property/205244/1BC42B9E58402D1082162AE9F7B431D9B442F51C5828DC2656C3FC537E8B721D</v>
      </c>
      <c r="I4679" t="str">
        <f>HYPERLINK("https://baanknet.com/view-property/205244/1BC42B9E58402D1082162AE9F7B431D9B442F51C5828DC2656C3FC537E8B721D", "Open")</f>
        <v>Open</v>
      </c>
      <c r="J4679" t="s">
        <v>3803</v>
      </c>
      <c r="L4679">
        <v>3377000</v>
      </c>
      <c r="M4679">
        <v>337700</v>
      </c>
    </row>
    <row r="4680" spans="1:13" x14ac:dyDescent="0.25">
      <c r="A4680" t="s">
        <v>15544</v>
      </c>
      <c r="B4680" t="s">
        <v>15545</v>
      </c>
      <c r="C4680" t="s">
        <v>15</v>
      </c>
      <c r="D4680" t="s">
        <v>15546</v>
      </c>
      <c r="E4680" t="s">
        <v>15502</v>
      </c>
      <c r="F4680" t="s">
        <v>15527</v>
      </c>
      <c r="G4680" t="s">
        <v>15547</v>
      </c>
      <c r="H4680" t="str">
        <f>HYPERLINK("https://baanknet.com/view-property/228237/C9720FB034F7C77D4415CE99C361EB8EE38FAAB24F3B1D8F8EFA91315DAB34AF", "https://baanknet.com/view-property/228237/C9720FB034F7C77D4415CE99C361EB8EE38FAAB24F3B1D8F8EFA91315DAB34AF")</f>
        <v>https://baanknet.com/view-property/228237/C9720FB034F7C77D4415CE99C361EB8EE38FAAB24F3B1D8F8EFA91315DAB34AF</v>
      </c>
      <c r="I4680" t="str">
        <f>HYPERLINK("https://baanknet.com/view-property/228237/C9720FB034F7C77D4415CE99C361EB8EE38FAAB24F3B1D8F8EFA91315DAB34AF", "Open")</f>
        <v>Open</v>
      </c>
      <c r="J4680" t="s">
        <v>3803</v>
      </c>
      <c r="L4680">
        <v>1167000</v>
      </c>
      <c r="M4680">
        <v>116700</v>
      </c>
    </row>
    <row r="4681" spans="1:13" x14ac:dyDescent="0.25">
      <c r="A4681" t="s">
        <v>15548</v>
      </c>
      <c r="B4681" t="s">
        <v>15549</v>
      </c>
      <c r="C4681" t="s">
        <v>15</v>
      </c>
      <c r="D4681" t="s">
        <v>15550</v>
      </c>
      <c r="E4681" t="s">
        <v>15502</v>
      </c>
      <c r="F4681" t="s">
        <v>15527</v>
      </c>
      <c r="G4681" t="s">
        <v>15551</v>
      </c>
      <c r="H4681" t="str">
        <f>HYPERLINK("https://baanknet.com/view-property/278813/4970BC3C46A676B692F94DB8AB9ECCC5875EEE54A14BEDA81E282087E4AE7BAB", "https://baanknet.com/view-property/278813/4970BC3C46A676B692F94DB8AB9ECCC5875EEE54A14BEDA81E282087E4AE7BAB")</f>
        <v>https://baanknet.com/view-property/278813/4970BC3C46A676B692F94DB8AB9ECCC5875EEE54A14BEDA81E282087E4AE7BAB</v>
      </c>
      <c r="I4681" t="str">
        <f>HYPERLINK("https://baanknet.com/view-property/278813/4970BC3C46A676B692F94DB8AB9ECCC5875EEE54A14BEDA81E282087E4AE7BAB", "Open")</f>
        <v>Open</v>
      </c>
      <c r="J4681" t="s">
        <v>3803</v>
      </c>
      <c r="L4681">
        <v>2552000</v>
      </c>
      <c r="M4681">
        <v>255200</v>
      </c>
    </row>
    <row r="4682" spans="1:13" x14ac:dyDescent="0.25">
      <c r="A4682" t="s">
        <v>15552</v>
      </c>
      <c r="B4682" t="s">
        <v>15553</v>
      </c>
      <c r="C4682" t="s">
        <v>15</v>
      </c>
      <c r="D4682" t="s">
        <v>2891</v>
      </c>
      <c r="E4682" t="s">
        <v>15502</v>
      </c>
      <c r="F4682" t="s">
        <v>15527</v>
      </c>
      <c r="G4682" t="s">
        <v>15554</v>
      </c>
      <c r="H4682" t="str">
        <f>HYPERLINK("https://baanknet.com/view-property/219341/FB09D108A135849A3B9489FBB3A24015AA9ACF40CD27544D29351E668723BBF3", "https://baanknet.com/view-property/219341/FB09D108A135849A3B9489FBB3A24015AA9ACF40CD27544D29351E668723BBF3")</f>
        <v>https://baanknet.com/view-property/219341/FB09D108A135849A3B9489FBB3A24015AA9ACF40CD27544D29351E668723BBF3</v>
      </c>
      <c r="I4682" t="str">
        <f>HYPERLINK("https://baanknet.com/view-property/219341/FB09D108A135849A3B9489FBB3A24015AA9ACF40CD27544D29351E668723BBF3", "Open")</f>
        <v>Open</v>
      </c>
      <c r="J4682" t="s">
        <v>3803</v>
      </c>
      <c r="L4682">
        <v>1359000</v>
      </c>
      <c r="M4682">
        <v>135900</v>
      </c>
    </row>
    <row r="4683" spans="1:13" x14ac:dyDescent="0.25">
      <c r="A4683" t="s">
        <v>15555</v>
      </c>
      <c r="B4683" t="s">
        <v>15556</v>
      </c>
      <c r="C4683" t="s">
        <v>83</v>
      </c>
      <c r="D4683" t="s">
        <v>3460</v>
      </c>
      <c r="E4683" t="s">
        <v>15502</v>
      </c>
      <c r="F4683" t="s">
        <v>15527</v>
      </c>
      <c r="G4683" t="s">
        <v>15557</v>
      </c>
      <c r="H4683" t="str">
        <f>HYPERLINK("https://baanknet.com/view-property/273994/B34368398A674C36FC166DF95C60A25B314223869F7CFAB11D0165655B59A8E3", "https://baanknet.com/view-property/273994/B34368398A674C36FC166DF95C60A25B314223869F7CFAB11D0165655B59A8E3")</f>
        <v>https://baanknet.com/view-property/273994/B34368398A674C36FC166DF95C60A25B314223869F7CFAB11D0165655B59A8E3</v>
      </c>
      <c r="I4683" t="str">
        <f>HYPERLINK("https://baanknet.com/view-property/273994/B34368398A674C36FC166DF95C60A25B314223869F7CFAB11D0165655B59A8E3", "Open")</f>
        <v>Open</v>
      </c>
      <c r="J4683" t="s">
        <v>3803</v>
      </c>
      <c r="L4683">
        <v>7681000</v>
      </c>
      <c r="M4683">
        <v>768100</v>
      </c>
    </row>
    <row r="4684" spans="1:13" x14ac:dyDescent="0.25">
      <c r="A4684" t="s">
        <v>15558</v>
      </c>
      <c r="B4684" t="s">
        <v>15559</v>
      </c>
      <c r="C4684" t="s">
        <v>121</v>
      </c>
      <c r="D4684" t="s">
        <v>1481</v>
      </c>
      <c r="E4684" t="s">
        <v>15502</v>
      </c>
      <c r="F4684" t="s">
        <v>15560</v>
      </c>
      <c r="G4684" t="s">
        <v>15561</v>
      </c>
      <c r="H4684" t="str">
        <f>HYPERLINK("https://baanknet.com/view-property/266344/3AAF9B75BD880B2BA2C371171530CDD56869C6AEF9BF017665698DF80596AF4A", "https://baanknet.com/view-property/266344/3AAF9B75BD880B2BA2C371171530CDD56869C6AEF9BF017665698DF80596AF4A")</f>
        <v>https://baanknet.com/view-property/266344/3AAF9B75BD880B2BA2C371171530CDD56869C6AEF9BF017665698DF80596AF4A</v>
      </c>
      <c r="I4684" t="str">
        <f>HYPERLINK("https://baanknet.com/view-property/266344/3AAF9B75BD880B2BA2C371171530CDD56869C6AEF9BF017665698DF80596AF4A", "Open")</f>
        <v>Open</v>
      </c>
      <c r="J4684" t="s">
        <v>3803</v>
      </c>
      <c r="L4684">
        <v>13937000</v>
      </c>
      <c r="M4684">
        <v>1393700</v>
      </c>
    </row>
    <row r="4685" spans="1:13" x14ac:dyDescent="0.25">
      <c r="A4685" t="s">
        <v>15562</v>
      </c>
      <c r="B4685" t="s">
        <v>15563</v>
      </c>
      <c r="C4685" t="s">
        <v>332</v>
      </c>
      <c r="D4685" t="s">
        <v>608</v>
      </c>
      <c r="E4685" t="s">
        <v>15502</v>
      </c>
      <c r="F4685" t="s">
        <v>15560</v>
      </c>
      <c r="G4685" t="s">
        <v>15564</v>
      </c>
      <c r="H4685" t="str">
        <f>HYPERLINK("https://baanknet.com/view-property/284848/01107078F50507F6BAB26C89086DB651CEECF817B5025504B19479DDE2981000", "https://baanknet.com/view-property/284848/01107078F50507F6BAB26C89086DB651CEECF817B5025504B19479DDE2981000")</f>
        <v>https://baanknet.com/view-property/284848/01107078F50507F6BAB26C89086DB651CEECF817B5025504B19479DDE2981000</v>
      </c>
      <c r="I4685" t="str">
        <f>HYPERLINK("https://baanknet.com/view-property/284848/01107078F50507F6BAB26C89086DB651CEECF817B5025504B19479DDE2981000", "Open")</f>
        <v>Open</v>
      </c>
      <c r="J4685" t="s">
        <v>3803</v>
      </c>
      <c r="L4685">
        <v>7304000</v>
      </c>
      <c r="M4685">
        <v>730400</v>
      </c>
    </row>
    <row r="4686" spans="1:13" x14ac:dyDescent="0.25">
      <c r="A4686" t="s">
        <v>15565</v>
      </c>
      <c r="B4686" t="s">
        <v>15566</v>
      </c>
      <c r="C4686" t="s">
        <v>571</v>
      </c>
      <c r="D4686" t="s">
        <v>2984</v>
      </c>
      <c r="E4686" t="s">
        <v>15502</v>
      </c>
      <c r="F4686" t="s">
        <v>15560</v>
      </c>
      <c r="G4686" t="s">
        <v>15567</v>
      </c>
      <c r="H4686" t="str">
        <f>HYPERLINK("https://baanknet.com/view-property/285788/0A77336DD9F2B6DDC81A1F9568AF749CA255A5EE770C68166923159CF60C12CA", "https://baanknet.com/view-property/285788/0A77336DD9F2B6DDC81A1F9568AF749CA255A5EE770C68166923159CF60C12CA")</f>
        <v>https://baanknet.com/view-property/285788/0A77336DD9F2B6DDC81A1F9568AF749CA255A5EE770C68166923159CF60C12CA</v>
      </c>
      <c r="I4686" t="str">
        <f>HYPERLINK("https://baanknet.com/view-property/285788/0A77336DD9F2B6DDC81A1F9568AF749CA255A5EE770C68166923159CF60C12CA", "Open")</f>
        <v>Open</v>
      </c>
      <c r="J4686" t="s">
        <v>3803</v>
      </c>
      <c r="L4686">
        <v>2664000</v>
      </c>
      <c r="M4686">
        <v>266400</v>
      </c>
    </row>
    <row r="4687" spans="1:13" x14ac:dyDescent="0.25">
      <c r="A4687" t="s">
        <v>15568</v>
      </c>
      <c r="B4687" t="s">
        <v>15569</v>
      </c>
      <c r="C4687" t="s">
        <v>15</v>
      </c>
      <c r="D4687" t="s">
        <v>15570</v>
      </c>
      <c r="E4687" t="s">
        <v>15502</v>
      </c>
      <c r="F4687" t="s">
        <v>15560</v>
      </c>
      <c r="G4687" t="s">
        <v>15571</v>
      </c>
      <c r="H4687" t="str">
        <f>HYPERLINK("https://baanknet.com/view-property/255644/41B715F43B5DCBAC85864CDB78CEE49DA2FF9593F7BE71E64F86F6D133AFE03A", "https://baanknet.com/view-property/255644/41B715F43B5DCBAC85864CDB78CEE49DA2FF9593F7BE71E64F86F6D133AFE03A")</f>
        <v>https://baanknet.com/view-property/255644/41B715F43B5DCBAC85864CDB78CEE49DA2FF9593F7BE71E64F86F6D133AFE03A</v>
      </c>
      <c r="I4687" t="str">
        <f>HYPERLINK("https://baanknet.com/view-property/255644/41B715F43B5DCBAC85864CDB78CEE49DA2FF9593F7BE71E64F86F6D133AFE03A", "Open")</f>
        <v>Open</v>
      </c>
      <c r="J4687" t="s">
        <v>3803</v>
      </c>
      <c r="L4687">
        <v>844000</v>
      </c>
      <c r="M4687">
        <v>84400</v>
      </c>
    </row>
    <row r="4688" spans="1:13" x14ac:dyDescent="0.25">
      <c r="A4688" t="s">
        <v>15572</v>
      </c>
      <c r="B4688" t="s">
        <v>15573</v>
      </c>
      <c r="C4688" t="s">
        <v>332</v>
      </c>
      <c r="D4688" t="s">
        <v>2163</v>
      </c>
      <c r="E4688" t="s">
        <v>15502</v>
      </c>
      <c r="F4688" t="s">
        <v>15560</v>
      </c>
      <c r="G4688" t="s">
        <v>15574</v>
      </c>
      <c r="H4688" t="str">
        <f>HYPERLINK("https://baanknet.com/view-property/286066/F58F9FEEB3B3774D000B6CD3AF3B0408115116D5995B068D31BA792D539D977B", "https://baanknet.com/view-property/286066/F58F9FEEB3B3774D000B6CD3AF3B0408115116D5995B068D31BA792D539D977B")</f>
        <v>https://baanknet.com/view-property/286066/F58F9FEEB3B3774D000B6CD3AF3B0408115116D5995B068D31BA792D539D977B</v>
      </c>
      <c r="I4688" t="str">
        <f>HYPERLINK("https://baanknet.com/view-property/286066/F58F9FEEB3B3774D000B6CD3AF3B0408115116D5995B068D31BA792D539D977B", "Open")</f>
        <v>Open</v>
      </c>
      <c r="J4688" t="s">
        <v>3803</v>
      </c>
      <c r="L4688">
        <v>5600000</v>
      </c>
      <c r="M4688">
        <v>560000</v>
      </c>
    </row>
    <row r="4689" spans="1:13" x14ac:dyDescent="0.25">
      <c r="A4689" t="s">
        <v>15575</v>
      </c>
      <c r="B4689" t="s">
        <v>15576</v>
      </c>
      <c r="C4689" t="s">
        <v>332</v>
      </c>
      <c r="D4689" t="s">
        <v>1481</v>
      </c>
      <c r="E4689" t="s">
        <v>15502</v>
      </c>
      <c r="F4689" t="s">
        <v>15560</v>
      </c>
      <c r="G4689" t="s">
        <v>15577</v>
      </c>
      <c r="H4689" t="str">
        <f>HYPERLINK("https://baanknet.com/view-property/286078/687CD1357F0C17F772A6150E26EBFC547FEAAEAFD79CF455572D32183AFDF430", "https://baanknet.com/view-property/286078/687CD1357F0C17F772A6150E26EBFC547FEAAEAFD79CF455572D32183AFDF430")</f>
        <v>https://baanknet.com/view-property/286078/687CD1357F0C17F772A6150E26EBFC547FEAAEAFD79CF455572D32183AFDF430</v>
      </c>
      <c r="I4689" t="str">
        <f>HYPERLINK("https://baanknet.com/view-property/286078/687CD1357F0C17F772A6150E26EBFC547FEAAEAFD79CF455572D32183AFDF430", "Open")</f>
        <v>Open</v>
      </c>
      <c r="J4689" t="s">
        <v>3803</v>
      </c>
      <c r="L4689">
        <v>7500000</v>
      </c>
      <c r="M4689">
        <v>750000</v>
      </c>
    </row>
    <row r="4690" spans="1:13" x14ac:dyDescent="0.25">
      <c r="A4690" t="s">
        <v>15578</v>
      </c>
      <c r="B4690" t="s">
        <v>15579</v>
      </c>
      <c r="C4690" t="s">
        <v>332</v>
      </c>
      <c r="D4690" t="s">
        <v>853</v>
      </c>
      <c r="E4690" t="s">
        <v>15502</v>
      </c>
      <c r="F4690" t="s">
        <v>15560</v>
      </c>
      <c r="G4690" t="s">
        <v>15580</v>
      </c>
      <c r="H4690" t="str">
        <f>HYPERLINK("https://baanknet.com/view-property/286074/ECB61E1459080E7B7CB6C792B21E34A70703885F68EA6E47F280828401CE5A8F", "https://baanknet.com/view-property/286074/ECB61E1459080E7B7CB6C792B21E34A70703885F68EA6E47F280828401CE5A8F")</f>
        <v>https://baanknet.com/view-property/286074/ECB61E1459080E7B7CB6C792B21E34A70703885F68EA6E47F280828401CE5A8F</v>
      </c>
      <c r="I4690" t="str">
        <f>HYPERLINK("https://baanknet.com/view-property/286074/ECB61E1459080E7B7CB6C792B21E34A70703885F68EA6E47F280828401CE5A8F", "Open")</f>
        <v>Open</v>
      </c>
      <c r="J4690" t="s">
        <v>3803</v>
      </c>
      <c r="L4690">
        <v>2600000</v>
      </c>
      <c r="M4690">
        <v>260000</v>
      </c>
    </row>
    <row r="4691" spans="1:13" x14ac:dyDescent="0.25">
      <c r="A4691" t="s">
        <v>15581</v>
      </c>
      <c r="B4691" t="s">
        <v>15582</v>
      </c>
      <c r="C4691" t="s">
        <v>332</v>
      </c>
      <c r="D4691" t="s">
        <v>849</v>
      </c>
      <c r="E4691" t="s">
        <v>15502</v>
      </c>
      <c r="F4691" t="s">
        <v>15560</v>
      </c>
      <c r="G4691" t="s">
        <v>15583</v>
      </c>
      <c r="H4691" t="str">
        <f>HYPERLINK("https://baanknet.com/view-property/251943/4DE20C0D217E3E16E673C2806B96112FD9353B4494AA34CDB63B3F781906FCFD", "https://baanknet.com/view-property/251943/4DE20C0D217E3E16E673C2806B96112FD9353B4494AA34CDB63B3F781906FCFD")</f>
        <v>https://baanknet.com/view-property/251943/4DE20C0D217E3E16E673C2806B96112FD9353B4494AA34CDB63B3F781906FCFD</v>
      </c>
      <c r="I4691" t="str">
        <f>HYPERLINK("https://baanknet.com/view-property/251943/4DE20C0D217E3E16E673C2806B96112FD9353B4494AA34CDB63B3F781906FCFD", "Open")</f>
        <v>Open</v>
      </c>
      <c r="J4691" t="s">
        <v>3803</v>
      </c>
      <c r="L4691">
        <v>1900000</v>
      </c>
      <c r="M4691">
        <v>190000</v>
      </c>
    </row>
    <row r="4692" spans="1:13" x14ac:dyDescent="0.25">
      <c r="A4692" t="s">
        <v>15584</v>
      </c>
      <c r="B4692" t="s">
        <v>15585</v>
      </c>
      <c r="C4692" t="s">
        <v>144</v>
      </c>
      <c r="D4692" t="s">
        <v>15586</v>
      </c>
      <c r="E4692" t="s">
        <v>15502</v>
      </c>
      <c r="F4692" t="s">
        <v>15560</v>
      </c>
      <c r="G4692" t="s">
        <v>15587</v>
      </c>
      <c r="H4692" t="str">
        <f>HYPERLINK("https://baanknet.com/view-property/286672/BEF40BE61D4FE8AB655338EF0ED79FFEE847229AA4E7F51588FCEE1AB5489921", "https://baanknet.com/view-property/286672/BEF40BE61D4FE8AB655338EF0ED79FFEE847229AA4E7F51588FCEE1AB5489921")</f>
        <v>https://baanknet.com/view-property/286672/BEF40BE61D4FE8AB655338EF0ED79FFEE847229AA4E7F51588FCEE1AB5489921</v>
      </c>
      <c r="I4692" t="str">
        <f>HYPERLINK("https://baanknet.com/view-property/286672/BEF40BE61D4FE8AB655338EF0ED79FFEE847229AA4E7F51588FCEE1AB5489921", "Open")</f>
        <v>Open</v>
      </c>
      <c r="J4692" t="s">
        <v>3803</v>
      </c>
      <c r="L4692">
        <v>3747750</v>
      </c>
      <c r="M4692">
        <v>374775</v>
      </c>
    </row>
    <row r="4693" spans="1:13" x14ac:dyDescent="0.25">
      <c r="A4693" t="s">
        <v>15588</v>
      </c>
      <c r="B4693" t="s">
        <v>15589</v>
      </c>
      <c r="C4693" t="s">
        <v>144</v>
      </c>
      <c r="D4693" t="s">
        <v>7106</v>
      </c>
      <c r="E4693" t="s">
        <v>15502</v>
      </c>
      <c r="F4693" t="s">
        <v>15560</v>
      </c>
      <c r="G4693" t="s">
        <v>15590</v>
      </c>
      <c r="H4693" t="str">
        <f>HYPERLINK("https://baanknet.com/view-property/256247/EADC6CE38BD94745A10D29F665592CC4CCBABBC93E4E85729C0A5C24029727EE", "https://baanknet.com/view-property/256247/EADC6CE38BD94745A10D29F665592CC4CCBABBC93E4E85729C0A5C24029727EE")</f>
        <v>https://baanknet.com/view-property/256247/EADC6CE38BD94745A10D29F665592CC4CCBABBC93E4E85729C0A5C24029727EE</v>
      </c>
      <c r="I4693" t="str">
        <f>HYPERLINK("https://baanknet.com/view-property/256247/EADC6CE38BD94745A10D29F665592CC4CCBABBC93E4E85729C0A5C24029727EE", "Open")</f>
        <v>Open</v>
      </c>
      <c r="J4693" t="s">
        <v>3803</v>
      </c>
      <c r="L4693">
        <v>1012500</v>
      </c>
      <c r="M4693">
        <v>101250</v>
      </c>
    </row>
    <row r="4694" spans="1:13" x14ac:dyDescent="0.25">
      <c r="A4694" t="s">
        <v>15591</v>
      </c>
      <c r="B4694" t="s">
        <v>15592</v>
      </c>
      <c r="C4694" t="s">
        <v>144</v>
      </c>
      <c r="D4694" t="s">
        <v>9979</v>
      </c>
      <c r="E4694" t="s">
        <v>15502</v>
      </c>
      <c r="F4694" t="s">
        <v>15560</v>
      </c>
      <c r="G4694" t="s">
        <v>15593</v>
      </c>
      <c r="H4694" t="str">
        <f>HYPERLINK("https://baanknet.com/view-property/71816/EAA7FE07E2C8F17EE2F8A61BC7B14C7C9BB5DC4E2B59A30FFAB3E6F698BC8479", "https://baanknet.com/view-property/71816/EAA7FE07E2C8F17EE2F8A61BC7B14C7C9BB5DC4E2B59A30FFAB3E6F698BC8479")</f>
        <v>https://baanknet.com/view-property/71816/EAA7FE07E2C8F17EE2F8A61BC7B14C7C9BB5DC4E2B59A30FFAB3E6F698BC8479</v>
      </c>
      <c r="I4694" t="str">
        <f>HYPERLINK("https://baanknet.com/view-property/71816/EAA7FE07E2C8F17EE2F8A61BC7B14C7C9BB5DC4E2B59A30FFAB3E6F698BC8479", "Open")</f>
        <v>Open</v>
      </c>
      <c r="J4694" t="s">
        <v>3803</v>
      </c>
    </row>
    <row r="4695" spans="1:13" x14ac:dyDescent="0.25">
      <c r="A4695" t="s">
        <v>15594</v>
      </c>
      <c r="B4695" t="s">
        <v>15595</v>
      </c>
      <c r="C4695" t="s">
        <v>144</v>
      </c>
      <c r="D4695" t="s">
        <v>9925</v>
      </c>
      <c r="E4695" t="s">
        <v>15502</v>
      </c>
      <c r="F4695" t="s">
        <v>15560</v>
      </c>
      <c r="G4695" t="s">
        <v>15596</v>
      </c>
      <c r="H4695" t="str">
        <f>HYPERLINK("https://baanknet.com/view-property/287405/76D9AD4C7A8AF6856F71587AE828AFEB04717791B3FE99EF79E76D74111A4D99", "https://baanknet.com/view-property/287405/76D9AD4C7A8AF6856F71587AE828AFEB04717791B3FE99EF79E76D74111A4D99")</f>
        <v>https://baanknet.com/view-property/287405/76D9AD4C7A8AF6856F71587AE828AFEB04717791B3FE99EF79E76D74111A4D99</v>
      </c>
      <c r="I4695" t="str">
        <f>HYPERLINK("https://baanknet.com/view-property/287405/76D9AD4C7A8AF6856F71587AE828AFEB04717791B3FE99EF79E76D74111A4D99", "Open")</f>
        <v>Open</v>
      </c>
      <c r="J4695" t="s">
        <v>3803</v>
      </c>
      <c r="L4695">
        <v>7604798</v>
      </c>
      <c r="M4695">
        <v>760479.8</v>
      </c>
    </row>
    <row r="4696" spans="1:13" x14ac:dyDescent="0.25">
      <c r="A4696" t="s">
        <v>15597</v>
      </c>
      <c r="B4696" t="s">
        <v>15598</v>
      </c>
      <c r="C4696" t="s">
        <v>144</v>
      </c>
      <c r="D4696" t="s">
        <v>653</v>
      </c>
      <c r="E4696" t="s">
        <v>15502</v>
      </c>
      <c r="F4696" t="s">
        <v>15560</v>
      </c>
      <c r="G4696" t="s">
        <v>15599</v>
      </c>
      <c r="H4696" t="str">
        <f>HYPERLINK("https://baanknet.com/view-property/265057/916843A27392608030D627E445A62FE1586597556E8B47BB53FA8075A0AE057A", "https://baanknet.com/view-property/265057/916843A27392608030D627E445A62FE1586597556E8B47BB53FA8075A0AE057A")</f>
        <v>https://baanknet.com/view-property/265057/916843A27392608030D627E445A62FE1586597556E8B47BB53FA8075A0AE057A</v>
      </c>
      <c r="I4696" t="str">
        <f>HYPERLINK("https://baanknet.com/view-property/265057/916843A27392608030D627E445A62FE1586597556E8B47BB53FA8075A0AE057A", "Open")</f>
        <v>Open</v>
      </c>
      <c r="J4696" t="s">
        <v>3803</v>
      </c>
      <c r="L4696">
        <v>7345000</v>
      </c>
      <c r="M4696">
        <v>734500</v>
      </c>
    </row>
    <row r="4697" spans="1:13" x14ac:dyDescent="0.25">
      <c r="A4697" t="s">
        <v>15600</v>
      </c>
      <c r="B4697" t="s">
        <v>15601</v>
      </c>
      <c r="C4697" t="s">
        <v>332</v>
      </c>
      <c r="D4697" t="s">
        <v>1310</v>
      </c>
      <c r="E4697" t="s">
        <v>15502</v>
      </c>
      <c r="F4697" t="s">
        <v>15560</v>
      </c>
      <c r="G4697" t="s">
        <v>15602</v>
      </c>
      <c r="H4697" t="str">
        <f>HYPERLINK("https://baanknet.com/view-property/286762/027FAF61F7F15CC87394D06F8EE959B888FB6754F00C0F4CC670BAAFEA38EB9D", "https://baanknet.com/view-property/286762/027FAF61F7F15CC87394D06F8EE959B888FB6754F00C0F4CC670BAAFEA38EB9D")</f>
        <v>https://baanknet.com/view-property/286762/027FAF61F7F15CC87394D06F8EE959B888FB6754F00C0F4CC670BAAFEA38EB9D</v>
      </c>
      <c r="I4697" t="str">
        <f>HYPERLINK("https://baanknet.com/view-property/286762/027FAF61F7F15CC87394D06F8EE959B888FB6754F00C0F4CC670BAAFEA38EB9D", "Open")</f>
        <v>Open</v>
      </c>
      <c r="J4697" t="s">
        <v>3803</v>
      </c>
      <c r="L4697">
        <v>30600000</v>
      </c>
      <c r="M4697">
        <v>3060000</v>
      </c>
    </row>
    <row r="4698" spans="1:13" x14ac:dyDescent="0.25">
      <c r="A4698" t="s">
        <v>15603</v>
      </c>
      <c r="B4698" t="s">
        <v>15604</v>
      </c>
      <c r="C4698" t="s">
        <v>332</v>
      </c>
      <c r="D4698" t="s">
        <v>706</v>
      </c>
      <c r="E4698" t="s">
        <v>15502</v>
      </c>
      <c r="F4698" t="s">
        <v>15560</v>
      </c>
      <c r="G4698" t="s">
        <v>15605</v>
      </c>
      <c r="H4698" t="str">
        <f>HYPERLINK("https://baanknet.com/view-property/262299/1487E5BAB432D44739770E5760C6197DA53496AD25F44C36439D97011B9F32FD", "https://baanknet.com/view-property/262299/1487E5BAB432D44739770E5760C6197DA53496AD25F44C36439D97011B9F32FD")</f>
        <v>https://baanknet.com/view-property/262299/1487E5BAB432D44739770E5760C6197DA53496AD25F44C36439D97011B9F32FD</v>
      </c>
      <c r="I4698" t="str">
        <f>HYPERLINK("https://baanknet.com/view-property/262299/1487E5BAB432D44739770E5760C6197DA53496AD25F44C36439D97011B9F32FD", "Open")</f>
        <v>Open</v>
      </c>
      <c r="J4698" t="s">
        <v>3803</v>
      </c>
      <c r="L4698">
        <v>3600000</v>
      </c>
      <c r="M4698">
        <v>360000</v>
      </c>
    </row>
    <row r="4699" spans="1:13" x14ac:dyDescent="0.25">
      <c r="A4699" t="s">
        <v>15606</v>
      </c>
      <c r="B4699" t="s">
        <v>15607</v>
      </c>
      <c r="C4699" t="s">
        <v>571</v>
      </c>
      <c r="D4699" t="s">
        <v>324</v>
      </c>
      <c r="E4699" t="s">
        <v>15502</v>
      </c>
      <c r="F4699" t="s">
        <v>15608</v>
      </c>
      <c r="G4699" t="s">
        <v>15609</v>
      </c>
      <c r="H4699" t="str">
        <f>HYPERLINK("https://baanknet.com/view-property/278168/A4B8DCAB1187DFBF4D37370D22E0FBDA9B31FA1D8774BF866CF349E39583A8CD", "https://baanknet.com/view-property/278168/A4B8DCAB1187DFBF4D37370D22E0FBDA9B31FA1D8774BF866CF349E39583A8CD")</f>
        <v>https://baanknet.com/view-property/278168/A4B8DCAB1187DFBF4D37370D22E0FBDA9B31FA1D8774BF866CF349E39583A8CD</v>
      </c>
      <c r="I4699" t="str">
        <f>HYPERLINK("https://baanknet.com/view-property/278168/A4B8DCAB1187DFBF4D37370D22E0FBDA9B31FA1D8774BF866CF349E39583A8CD", "Open")</f>
        <v>Open</v>
      </c>
      <c r="J4699" t="s">
        <v>3803</v>
      </c>
      <c r="L4699">
        <v>9700000</v>
      </c>
      <c r="M4699">
        <v>970000</v>
      </c>
    </row>
    <row r="4700" spans="1:13" x14ac:dyDescent="0.25">
      <c r="A4700" t="s">
        <v>15610</v>
      </c>
      <c r="B4700" t="s">
        <v>15611</v>
      </c>
      <c r="C4700" t="s">
        <v>387</v>
      </c>
      <c r="D4700" t="s">
        <v>5316</v>
      </c>
      <c r="E4700" t="s">
        <v>15502</v>
      </c>
      <c r="F4700" t="s">
        <v>15608</v>
      </c>
      <c r="G4700" t="s">
        <v>15612</v>
      </c>
      <c r="H4700" t="str">
        <f>HYPERLINK("https://baanknet.com/view-property/286262/FC011E1ECBF3B8F0AFBE85C3E0656A16E4882BE9C966284D985903358A55028B", "https://baanknet.com/view-property/286262/FC011E1ECBF3B8F0AFBE85C3E0656A16E4882BE9C966284D985903358A55028B")</f>
        <v>https://baanknet.com/view-property/286262/FC011E1ECBF3B8F0AFBE85C3E0656A16E4882BE9C966284D985903358A55028B</v>
      </c>
      <c r="I4700" t="str">
        <f>HYPERLINK("https://baanknet.com/view-property/286262/FC011E1ECBF3B8F0AFBE85C3E0656A16E4882BE9C966284D985903358A55028B", "Open")</f>
        <v>Open</v>
      </c>
      <c r="J4700" t="s">
        <v>3803</v>
      </c>
      <c r="L4700">
        <v>438000</v>
      </c>
      <c r="M4700">
        <v>43800</v>
      </c>
    </row>
    <row r="4701" spans="1:13" x14ac:dyDescent="0.25">
      <c r="A4701" t="s">
        <v>15613</v>
      </c>
      <c r="B4701" t="s">
        <v>15614</v>
      </c>
      <c r="C4701" t="s">
        <v>15</v>
      </c>
      <c r="D4701" t="s">
        <v>9943</v>
      </c>
      <c r="E4701" t="s">
        <v>15502</v>
      </c>
      <c r="F4701" t="s">
        <v>15608</v>
      </c>
      <c r="G4701" t="s">
        <v>15615</v>
      </c>
      <c r="H4701" t="str">
        <f>HYPERLINK("https://baanknet.com/view-property/211857/73A4395EB70AAE4A288205FC84AD1735F7535A1B4754FFAFF9DBBEA9C250EBDF", "https://baanknet.com/view-property/211857/73A4395EB70AAE4A288205FC84AD1735F7535A1B4754FFAFF9DBBEA9C250EBDF")</f>
        <v>https://baanknet.com/view-property/211857/73A4395EB70AAE4A288205FC84AD1735F7535A1B4754FFAFF9DBBEA9C250EBDF</v>
      </c>
      <c r="I4701" t="str">
        <f>HYPERLINK("https://baanknet.com/view-property/211857/73A4395EB70AAE4A288205FC84AD1735F7535A1B4754FFAFF9DBBEA9C250EBDF", "Open")</f>
        <v>Open</v>
      </c>
      <c r="J4701" t="s">
        <v>3803</v>
      </c>
      <c r="L4701">
        <v>790000</v>
      </c>
      <c r="M4701">
        <v>79000</v>
      </c>
    </row>
    <row r="4702" spans="1:13" x14ac:dyDescent="0.25">
      <c r="A4702" t="s">
        <v>15616</v>
      </c>
      <c r="B4702" t="s">
        <v>15617</v>
      </c>
      <c r="C4702" t="s">
        <v>387</v>
      </c>
      <c r="D4702" t="s">
        <v>1190</v>
      </c>
      <c r="E4702" t="s">
        <v>15502</v>
      </c>
      <c r="F4702" t="s">
        <v>15608</v>
      </c>
      <c r="G4702" t="s">
        <v>15618</v>
      </c>
      <c r="H4702" t="str">
        <f>HYPERLINK("https://baanknet.com/view-property/279504/039BFA80132E3D9D7B41B2C798F243573C089D4F834F8CC61CC8E7E73BDFA7F3", "https://baanknet.com/view-property/279504/039BFA80132E3D9D7B41B2C798F243573C089D4F834F8CC61CC8E7E73BDFA7F3")</f>
        <v>https://baanknet.com/view-property/279504/039BFA80132E3D9D7B41B2C798F243573C089D4F834F8CC61CC8E7E73BDFA7F3</v>
      </c>
      <c r="I4702" t="str">
        <f>HYPERLINK("https://baanknet.com/view-property/279504/039BFA80132E3D9D7B41B2C798F243573C089D4F834F8CC61CC8E7E73BDFA7F3", "Open")</f>
        <v>Open</v>
      </c>
      <c r="J4702" t="s">
        <v>3803</v>
      </c>
      <c r="L4702">
        <v>925000</v>
      </c>
      <c r="M4702">
        <v>92500</v>
      </c>
    </row>
    <row r="4703" spans="1:13" x14ac:dyDescent="0.25">
      <c r="A4703" t="s">
        <v>15619</v>
      </c>
      <c r="B4703" t="s">
        <v>15620</v>
      </c>
      <c r="C4703" t="s">
        <v>387</v>
      </c>
      <c r="D4703" t="s">
        <v>6123</v>
      </c>
      <c r="E4703" t="s">
        <v>15502</v>
      </c>
      <c r="F4703" t="s">
        <v>15608</v>
      </c>
      <c r="G4703" t="s">
        <v>15621</v>
      </c>
      <c r="H4703" t="str">
        <f>HYPERLINK("https://baanknet.com/view-property/279370/B7930370D0B1F3F85B90A2A79B215EC8C6E86924E1A874A2C8A70F640BEA0E79", "https://baanknet.com/view-property/279370/B7930370D0B1F3F85B90A2A79B215EC8C6E86924E1A874A2C8A70F640BEA0E79")</f>
        <v>https://baanknet.com/view-property/279370/B7930370D0B1F3F85B90A2A79B215EC8C6E86924E1A874A2C8A70F640BEA0E79</v>
      </c>
      <c r="I4703" t="str">
        <f>HYPERLINK("https://baanknet.com/view-property/279370/B7930370D0B1F3F85B90A2A79B215EC8C6E86924E1A874A2C8A70F640BEA0E79", "Open")</f>
        <v>Open</v>
      </c>
      <c r="J4703" t="s">
        <v>3803</v>
      </c>
      <c r="L4703">
        <v>1410000</v>
      </c>
      <c r="M4703">
        <v>141000</v>
      </c>
    </row>
    <row r="4704" spans="1:13" x14ac:dyDescent="0.25">
      <c r="A4704" t="s">
        <v>15622</v>
      </c>
      <c r="B4704" t="s">
        <v>15623</v>
      </c>
      <c r="C4704" t="s">
        <v>387</v>
      </c>
      <c r="D4704" t="s">
        <v>6123</v>
      </c>
      <c r="E4704" t="s">
        <v>15502</v>
      </c>
      <c r="F4704" t="s">
        <v>15608</v>
      </c>
      <c r="G4704" t="s">
        <v>15624</v>
      </c>
      <c r="H4704" t="str">
        <f>HYPERLINK("https://baanknet.com/view-property/279345/AFDA6B0A1E4D7417AD10259C484BB6F9445CE53DBB9DCC05E88C7CA4B029287F", "https://baanknet.com/view-property/279345/AFDA6B0A1E4D7417AD10259C484BB6F9445CE53DBB9DCC05E88C7CA4B029287F")</f>
        <v>https://baanknet.com/view-property/279345/AFDA6B0A1E4D7417AD10259C484BB6F9445CE53DBB9DCC05E88C7CA4B029287F</v>
      </c>
      <c r="I4704" t="str">
        <f>HYPERLINK("https://baanknet.com/view-property/279345/AFDA6B0A1E4D7417AD10259C484BB6F9445CE53DBB9DCC05E88C7CA4B029287F", "Open")</f>
        <v>Open</v>
      </c>
      <c r="J4704" t="s">
        <v>3803</v>
      </c>
      <c r="L4704">
        <v>1378000</v>
      </c>
      <c r="M4704">
        <v>137800</v>
      </c>
    </row>
    <row r="4705" spans="1:13" x14ac:dyDescent="0.25">
      <c r="A4705" t="s">
        <v>15625</v>
      </c>
      <c r="B4705" t="s">
        <v>15626</v>
      </c>
      <c r="C4705" t="s">
        <v>387</v>
      </c>
      <c r="D4705" t="s">
        <v>1190</v>
      </c>
      <c r="E4705" t="s">
        <v>15502</v>
      </c>
      <c r="F4705" t="s">
        <v>15608</v>
      </c>
      <c r="G4705" t="s">
        <v>15627</v>
      </c>
      <c r="H4705" t="str">
        <f>HYPERLINK("https://baanknet.com/view-property/199176/3AAE1F384F173B723F1715BC2FCF169958A552934CD697EDCB325193C49DE06D", "https://baanknet.com/view-property/199176/3AAE1F384F173B723F1715BC2FCF169958A552934CD697EDCB325193C49DE06D")</f>
        <v>https://baanknet.com/view-property/199176/3AAE1F384F173B723F1715BC2FCF169958A552934CD697EDCB325193C49DE06D</v>
      </c>
      <c r="I4705" t="str">
        <f>HYPERLINK("https://baanknet.com/view-property/199176/3AAE1F384F173B723F1715BC2FCF169958A552934CD697EDCB325193C49DE06D", "Open")</f>
        <v>Open</v>
      </c>
      <c r="J4705" t="s">
        <v>3803</v>
      </c>
      <c r="L4705">
        <v>2382000</v>
      </c>
      <c r="M4705">
        <v>238200</v>
      </c>
    </row>
    <row r="4706" spans="1:13" x14ac:dyDescent="0.25">
      <c r="A4706" t="s">
        <v>15628</v>
      </c>
      <c r="B4706" t="s">
        <v>15629</v>
      </c>
      <c r="C4706" t="s">
        <v>387</v>
      </c>
      <c r="D4706" t="s">
        <v>1190</v>
      </c>
      <c r="E4706" t="s">
        <v>15502</v>
      </c>
      <c r="F4706" t="s">
        <v>15608</v>
      </c>
      <c r="G4706" t="s">
        <v>15630</v>
      </c>
      <c r="H4706" t="str">
        <f>HYPERLINK("https://baanknet.com/view-property/185746/2AFC607428FA6EC1ACAE62BB8D6E5DE6345BB3C163F14105BF519516740AD3A9", "https://baanknet.com/view-property/185746/2AFC607428FA6EC1ACAE62BB8D6E5DE6345BB3C163F14105BF519516740AD3A9")</f>
        <v>https://baanknet.com/view-property/185746/2AFC607428FA6EC1ACAE62BB8D6E5DE6345BB3C163F14105BF519516740AD3A9</v>
      </c>
      <c r="I4706" t="str">
        <f>HYPERLINK("https://baanknet.com/view-property/185746/2AFC607428FA6EC1ACAE62BB8D6E5DE6345BB3C163F14105BF519516740AD3A9", "Open")</f>
        <v>Open</v>
      </c>
      <c r="J4706" t="s">
        <v>3803</v>
      </c>
      <c r="L4706">
        <v>1664000</v>
      </c>
      <c r="M4706">
        <v>166400</v>
      </c>
    </row>
    <row r="4707" spans="1:13" x14ac:dyDescent="0.25">
      <c r="A4707" t="s">
        <v>15631</v>
      </c>
      <c r="B4707" t="s">
        <v>15632</v>
      </c>
      <c r="C4707" t="s">
        <v>144</v>
      </c>
      <c r="D4707" t="s">
        <v>2425</v>
      </c>
      <c r="E4707" t="s">
        <v>15502</v>
      </c>
      <c r="F4707" t="s">
        <v>15633</v>
      </c>
      <c r="G4707" t="s">
        <v>15634</v>
      </c>
      <c r="H4707" t="str">
        <f>HYPERLINK("https://baanknet.com/view-property/229210/2653A3FF56DBD7436B070621AF97F6933D6EB7147C54EB115294F02768757835", "https://baanknet.com/view-property/229210/2653A3FF56DBD7436B070621AF97F6933D6EB7147C54EB115294F02768757835")</f>
        <v>https://baanknet.com/view-property/229210/2653A3FF56DBD7436B070621AF97F6933D6EB7147C54EB115294F02768757835</v>
      </c>
      <c r="I4707" t="str">
        <f>HYPERLINK("https://baanknet.com/view-property/229210/2653A3FF56DBD7436B070621AF97F6933D6EB7147C54EB115294F02768757835", "Open")</f>
        <v>Open</v>
      </c>
      <c r="J4707" t="s">
        <v>3803</v>
      </c>
      <c r="L4707">
        <v>1952800</v>
      </c>
      <c r="M4707">
        <v>195280</v>
      </c>
    </row>
    <row r="4708" spans="1:13" x14ac:dyDescent="0.25">
      <c r="A4708" t="s">
        <v>15635</v>
      </c>
      <c r="B4708" t="s">
        <v>15636</v>
      </c>
      <c r="C4708" t="s">
        <v>144</v>
      </c>
      <c r="D4708" t="s">
        <v>1246</v>
      </c>
      <c r="E4708" t="s">
        <v>15502</v>
      </c>
      <c r="F4708" t="s">
        <v>15633</v>
      </c>
      <c r="G4708" t="s">
        <v>15637</v>
      </c>
      <c r="H4708" t="str">
        <f>HYPERLINK("https://baanknet.com/view-property/276928/20FC006EFAACA6C6DA6FD067E49F03EA72ADD02510D6FF7FE3F7CEFDECCDB433", "https://baanknet.com/view-property/276928/20FC006EFAACA6C6DA6FD067E49F03EA72ADD02510D6FF7FE3F7CEFDECCDB433")</f>
        <v>https://baanknet.com/view-property/276928/20FC006EFAACA6C6DA6FD067E49F03EA72ADD02510D6FF7FE3F7CEFDECCDB433</v>
      </c>
      <c r="I4708" t="str">
        <f>HYPERLINK("https://baanknet.com/view-property/276928/20FC006EFAACA6C6DA6FD067E49F03EA72ADD02510D6FF7FE3F7CEFDECCDB433", "Open")</f>
        <v>Open</v>
      </c>
      <c r="J4708" t="s">
        <v>3803</v>
      </c>
      <c r="L4708">
        <v>17422300</v>
      </c>
      <c r="M4708">
        <v>1742230</v>
      </c>
    </row>
    <row r="4709" spans="1:13" x14ac:dyDescent="0.25">
      <c r="A4709" t="s">
        <v>15638</v>
      </c>
      <c r="B4709" t="s">
        <v>15639</v>
      </c>
      <c r="C4709" t="s">
        <v>144</v>
      </c>
      <c r="D4709" t="s">
        <v>1246</v>
      </c>
      <c r="E4709" t="s">
        <v>15502</v>
      </c>
      <c r="F4709" t="s">
        <v>15633</v>
      </c>
      <c r="G4709" t="s">
        <v>15640</v>
      </c>
      <c r="H4709" t="str">
        <f>HYPERLINK("https://baanknet.com/view-property/276918/13A6D506A75EEF525DAA7C0E9A8B2E58B89B83883D1EAF20A865F46EFABD41D6", "https://baanknet.com/view-property/276918/13A6D506A75EEF525DAA7C0E9A8B2E58B89B83883D1EAF20A865F46EFABD41D6")</f>
        <v>https://baanknet.com/view-property/276918/13A6D506A75EEF525DAA7C0E9A8B2E58B89B83883D1EAF20A865F46EFABD41D6</v>
      </c>
      <c r="I4709" t="str">
        <f>HYPERLINK("https://baanknet.com/view-property/276918/13A6D506A75EEF525DAA7C0E9A8B2E58B89B83883D1EAF20A865F46EFABD41D6", "Open")</f>
        <v>Open</v>
      </c>
      <c r="J4709" t="s">
        <v>3803</v>
      </c>
      <c r="L4709">
        <v>17422300</v>
      </c>
      <c r="M4709">
        <v>1742230</v>
      </c>
    </row>
    <row r="4710" spans="1:13" x14ac:dyDescent="0.25">
      <c r="A4710" t="s">
        <v>15641</v>
      </c>
      <c r="B4710" t="s">
        <v>15642</v>
      </c>
      <c r="C4710" t="s">
        <v>144</v>
      </c>
      <c r="D4710" t="s">
        <v>4430</v>
      </c>
      <c r="E4710" t="s">
        <v>15502</v>
      </c>
      <c r="F4710" t="s">
        <v>15633</v>
      </c>
      <c r="G4710" t="s">
        <v>15643</v>
      </c>
      <c r="H4710" t="str">
        <f>HYPERLINK("https://baanknet.com/view-property/263493/67AA8C6D6ACDBA4AD0CF8FC78C3F554F89F4D783C025B9771ADF770C66F45297", "https://baanknet.com/view-property/263493/67AA8C6D6ACDBA4AD0CF8FC78C3F554F89F4D783C025B9771ADF770C66F45297")</f>
        <v>https://baanknet.com/view-property/263493/67AA8C6D6ACDBA4AD0CF8FC78C3F554F89F4D783C025B9771ADF770C66F45297</v>
      </c>
      <c r="I4710" t="str">
        <f>HYPERLINK("https://baanknet.com/view-property/263493/67AA8C6D6ACDBA4AD0CF8FC78C3F554F89F4D783C025B9771ADF770C66F45297", "Open")</f>
        <v>Open</v>
      </c>
      <c r="J4710" t="s">
        <v>3803</v>
      </c>
      <c r="L4710">
        <v>21979800</v>
      </c>
      <c r="M4710">
        <v>2197980</v>
      </c>
    </row>
    <row r="4711" spans="1:13" x14ac:dyDescent="0.25">
      <c r="A4711" t="s">
        <v>15644</v>
      </c>
      <c r="B4711" t="s">
        <v>15645</v>
      </c>
      <c r="C4711" t="s">
        <v>15</v>
      </c>
      <c r="D4711" t="s">
        <v>12210</v>
      </c>
      <c r="E4711" t="s">
        <v>15503</v>
      </c>
      <c r="F4711" t="s">
        <v>15646</v>
      </c>
      <c r="G4711" t="s">
        <v>15647</v>
      </c>
      <c r="H4711" t="str">
        <f>HYPERLINK("https://baanknet.com/view-property/254526/7379084B011F4C5018560BE134A522752A998BC2659687D2FC654D5F22D8EEF1", "https://baanknet.com/view-property/254526/7379084B011F4C5018560BE134A522752A998BC2659687D2FC654D5F22D8EEF1")</f>
        <v>https://baanknet.com/view-property/254526/7379084B011F4C5018560BE134A522752A998BC2659687D2FC654D5F22D8EEF1</v>
      </c>
      <c r="I4711" t="str">
        <f>HYPERLINK("https://baanknet.com/view-property/254526/7379084B011F4C5018560BE134A522752A998BC2659687D2FC654D5F22D8EEF1", "Open")</f>
        <v>Open</v>
      </c>
      <c r="J4711" t="s">
        <v>3803</v>
      </c>
      <c r="L4711">
        <v>1863000</v>
      </c>
      <c r="M4711">
        <v>186300</v>
      </c>
    </row>
    <row r="4712" spans="1:13" x14ac:dyDescent="0.25">
      <c r="A4712" t="s">
        <v>15648</v>
      </c>
      <c r="B4712" t="s">
        <v>15649</v>
      </c>
      <c r="C4712" t="s">
        <v>15</v>
      </c>
      <c r="D4712" t="s">
        <v>5829</v>
      </c>
      <c r="E4712" t="s">
        <v>15503</v>
      </c>
      <c r="F4712" t="s">
        <v>15646</v>
      </c>
      <c r="G4712" t="s">
        <v>15650</v>
      </c>
      <c r="H4712" t="str">
        <f>HYPERLINK("https://baanknet.com/view-property/188756/0CDEE5DB372F05853B495F6DDE78E635976909A0BE2950441B3EC7006E9F9D22", "https://baanknet.com/view-property/188756/0CDEE5DB372F05853B495F6DDE78E635976909A0BE2950441B3EC7006E9F9D22")</f>
        <v>https://baanknet.com/view-property/188756/0CDEE5DB372F05853B495F6DDE78E635976909A0BE2950441B3EC7006E9F9D22</v>
      </c>
      <c r="I4712" t="str">
        <f>HYPERLINK("https://baanknet.com/view-property/188756/0CDEE5DB372F05853B495F6DDE78E635976909A0BE2950441B3EC7006E9F9D22", "Open")</f>
        <v>Open</v>
      </c>
      <c r="J4712" t="s">
        <v>3803</v>
      </c>
      <c r="L4712">
        <v>1764000</v>
      </c>
      <c r="M4712">
        <v>176400</v>
      </c>
    </row>
    <row r="4713" spans="1:13" x14ac:dyDescent="0.25">
      <c r="A4713" t="s">
        <v>15651</v>
      </c>
      <c r="B4713" t="s">
        <v>15652</v>
      </c>
      <c r="C4713" t="s">
        <v>15</v>
      </c>
      <c r="D4713" t="s">
        <v>15653</v>
      </c>
      <c r="E4713" t="s">
        <v>15503</v>
      </c>
      <c r="F4713" t="s">
        <v>15646</v>
      </c>
      <c r="G4713" t="s">
        <v>15654</v>
      </c>
      <c r="H4713" t="str">
        <f>HYPERLINK("https://baanknet.com/view-property/278072/0F307CB086C2DC087CF801207323B54F31BA744A06CEDCF85B578634150165A2", "https://baanknet.com/view-property/278072/0F307CB086C2DC087CF801207323B54F31BA744A06CEDCF85B578634150165A2")</f>
        <v>https://baanknet.com/view-property/278072/0F307CB086C2DC087CF801207323B54F31BA744A06CEDCF85B578634150165A2</v>
      </c>
      <c r="I4713" t="str">
        <f>HYPERLINK("https://baanknet.com/view-property/278072/0F307CB086C2DC087CF801207323B54F31BA744A06CEDCF85B578634150165A2", "Open")</f>
        <v>Open</v>
      </c>
      <c r="J4713" t="s">
        <v>3803</v>
      </c>
      <c r="L4713">
        <v>13050000</v>
      </c>
      <c r="M4713">
        <v>1305000</v>
      </c>
    </row>
    <row r="4714" spans="1:13" x14ac:dyDescent="0.25">
      <c r="A4714" t="s">
        <v>15655</v>
      </c>
      <c r="B4714" t="s">
        <v>15656</v>
      </c>
      <c r="C4714" t="s">
        <v>15</v>
      </c>
      <c r="D4714" t="s">
        <v>813</v>
      </c>
      <c r="E4714" t="s">
        <v>15503</v>
      </c>
      <c r="F4714" t="s">
        <v>15646</v>
      </c>
      <c r="G4714" t="s">
        <v>15657</v>
      </c>
      <c r="H4714" t="str">
        <f>HYPERLINK("https://baanknet.com/view-property/272664/05797DD1B9E36F64E1978F3F803324A28E855B0F8E99194D5F834B3F837B5AD7", "https://baanknet.com/view-property/272664/05797DD1B9E36F64E1978F3F803324A28E855B0F8E99194D5F834B3F837B5AD7")</f>
        <v>https://baanknet.com/view-property/272664/05797DD1B9E36F64E1978F3F803324A28E855B0F8E99194D5F834B3F837B5AD7</v>
      </c>
      <c r="I4714" t="str">
        <f>HYPERLINK("https://baanknet.com/view-property/272664/05797DD1B9E36F64E1978F3F803324A28E855B0F8E99194D5F834B3F837B5AD7", "Open")</f>
        <v>Open</v>
      </c>
      <c r="J4714" t="s">
        <v>3803</v>
      </c>
      <c r="L4714">
        <v>1138000</v>
      </c>
      <c r="M4714">
        <v>113800</v>
      </c>
    </row>
    <row r="4715" spans="1:13" x14ac:dyDescent="0.25">
      <c r="A4715" t="s">
        <v>15658</v>
      </c>
      <c r="B4715" t="s">
        <v>15659</v>
      </c>
      <c r="C4715" t="s">
        <v>15</v>
      </c>
      <c r="D4715" t="s">
        <v>15660</v>
      </c>
      <c r="E4715" t="s">
        <v>15503</v>
      </c>
      <c r="F4715" t="s">
        <v>15646</v>
      </c>
      <c r="G4715" t="s">
        <v>15661</v>
      </c>
      <c r="H4715" t="str">
        <f>HYPERLINK("https://baanknet.com/view-property/207797/323C80534078F4BE0FEB98709B2215956F3636A75E33D948F8C4220A14729EE3", "https://baanknet.com/view-property/207797/323C80534078F4BE0FEB98709B2215956F3636A75E33D948F8C4220A14729EE3")</f>
        <v>https://baanknet.com/view-property/207797/323C80534078F4BE0FEB98709B2215956F3636A75E33D948F8C4220A14729EE3</v>
      </c>
      <c r="I4715" t="str">
        <f>HYPERLINK("https://baanknet.com/view-property/207797/323C80534078F4BE0FEB98709B2215956F3636A75E33D948F8C4220A14729EE3", "Open")</f>
        <v>Open</v>
      </c>
      <c r="J4715" t="s">
        <v>3803</v>
      </c>
      <c r="L4715">
        <v>1344000</v>
      </c>
      <c r="M4715">
        <v>134400</v>
      </c>
    </row>
    <row r="4716" spans="1:13" x14ac:dyDescent="0.25">
      <c r="A4716" t="s">
        <v>15662</v>
      </c>
      <c r="B4716" t="s">
        <v>15663</v>
      </c>
      <c r="C4716" t="s">
        <v>15</v>
      </c>
      <c r="D4716" t="s">
        <v>7832</v>
      </c>
      <c r="E4716" t="s">
        <v>15503</v>
      </c>
      <c r="F4716" t="s">
        <v>15646</v>
      </c>
      <c r="G4716" t="s">
        <v>15664</v>
      </c>
      <c r="H4716" t="str">
        <f>HYPERLINK("https://baanknet.com/view-property/279411/677F54D079EA987BAF6BF48A46E7436AAB41ABE2EBBF230CB63B6AE883ED6C24", "https://baanknet.com/view-property/279411/677F54D079EA987BAF6BF48A46E7436AAB41ABE2EBBF230CB63B6AE883ED6C24")</f>
        <v>https://baanknet.com/view-property/279411/677F54D079EA987BAF6BF48A46E7436AAB41ABE2EBBF230CB63B6AE883ED6C24</v>
      </c>
      <c r="I4716" t="str">
        <f>HYPERLINK("https://baanknet.com/view-property/279411/677F54D079EA987BAF6BF48A46E7436AAB41ABE2EBBF230CB63B6AE883ED6C24", "Open")</f>
        <v>Open</v>
      </c>
      <c r="J4716" t="s">
        <v>3803</v>
      </c>
      <c r="L4716">
        <v>10000000</v>
      </c>
      <c r="M4716">
        <v>1000000</v>
      </c>
    </row>
    <row r="4717" spans="1:13" x14ac:dyDescent="0.25">
      <c r="A4717" t="s">
        <v>15665</v>
      </c>
      <c r="B4717" t="s">
        <v>15666</v>
      </c>
      <c r="C4717" t="s">
        <v>15</v>
      </c>
      <c r="D4717" t="s">
        <v>5572</v>
      </c>
      <c r="E4717" t="s">
        <v>15503</v>
      </c>
      <c r="F4717" t="s">
        <v>15646</v>
      </c>
      <c r="G4717" t="s">
        <v>15667</v>
      </c>
      <c r="H4717" t="str">
        <f>HYPERLINK("https://baanknet.com/view-property/259741/E7D1A8C6D146C62351484E5803DCEC9B8464CF57AD019AC80024AD985693A868", "https://baanknet.com/view-property/259741/E7D1A8C6D146C62351484E5803DCEC9B8464CF57AD019AC80024AD985693A868")</f>
        <v>https://baanknet.com/view-property/259741/E7D1A8C6D146C62351484E5803DCEC9B8464CF57AD019AC80024AD985693A868</v>
      </c>
      <c r="I4717" t="str">
        <f>HYPERLINK("https://baanknet.com/view-property/259741/E7D1A8C6D146C62351484E5803DCEC9B8464CF57AD019AC80024AD985693A868", "Open")</f>
        <v>Open</v>
      </c>
      <c r="J4717" t="s">
        <v>3803</v>
      </c>
      <c r="L4717">
        <v>5900000</v>
      </c>
      <c r="M4717">
        <v>590000</v>
      </c>
    </row>
    <row r="4718" spans="1:13" x14ac:dyDescent="0.25">
      <c r="A4718" t="s">
        <v>15668</v>
      </c>
      <c r="B4718" t="s">
        <v>15669</v>
      </c>
      <c r="C4718" t="s">
        <v>15</v>
      </c>
      <c r="D4718" t="s">
        <v>15670</v>
      </c>
      <c r="E4718" t="s">
        <v>15503</v>
      </c>
      <c r="F4718" t="s">
        <v>15646</v>
      </c>
      <c r="G4718" t="s">
        <v>15671</v>
      </c>
      <c r="H4718" t="str">
        <f>HYPERLINK("https://baanknet.com/view-property/268445/BCD66317C27EB2E51015C19E7CB01C29C2BD9DB53B629633B948191A1CD644A3", "https://baanknet.com/view-property/268445/BCD66317C27EB2E51015C19E7CB01C29C2BD9DB53B629633B948191A1CD644A3")</f>
        <v>https://baanknet.com/view-property/268445/BCD66317C27EB2E51015C19E7CB01C29C2BD9DB53B629633B948191A1CD644A3</v>
      </c>
      <c r="I4718" t="str">
        <f>HYPERLINK("https://baanknet.com/view-property/268445/BCD66317C27EB2E51015C19E7CB01C29C2BD9DB53B629633B948191A1CD644A3", "Open")</f>
        <v>Open</v>
      </c>
      <c r="J4718" t="s">
        <v>3803</v>
      </c>
      <c r="L4718">
        <v>2775000</v>
      </c>
      <c r="M4718">
        <v>277500</v>
      </c>
    </row>
    <row r="4719" spans="1:13" x14ac:dyDescent="0.25">
      <c r="A4719" t="s">
        <v>15672</v>
      </c>
      <c r="B4719" t="s">
        <v>15673</v>
      </c>
      <c r="C4719" t="s">
        <v>15</v>
      </c>
      <c r="D4719" t="s">
        <v>3225</v>
      </c>
      <c r="E4719" t="s">
        <v>15503</v>
      </c>
      <c r="F4719" t="s">
        <v>15646</v>
      </c>
      <c r="G4719" t="s">
        <v>15674</v>
      </c>
      <c r="H4719" t="str">
        <f>HYPERLINK("https://baanknet.com/view-property/271259/F4487500B1302D7462038A740B96C62AF262601349FD4E006278B91DA24DBB01", "https://baanknet.com/view-property/271259/F4487500B1302D7462038A740B96C62AF262601349FD4E006278B91DA24DBB01")</f>
        <v>https://baanknet.com/view-property/271259/F4487500B1302D7462038A740B96C62AF262601349FD4E006278B91DA24DBB01</v>
      </c>
      <c r="I4719" t="str">
        <f>HYPERLINK("https://baanknet.com/view-property/271259/F4487500B1302D7462038A740B96C62AF262601349FD4E006278B91DA24DBB01", "Open")</f>
        <v>Open</v>
      </c>
      <c r="J4719" t="s">
        <v>3803</v>
      </c>
      <c r="L4719">
        <v>9300000</v>
      </c>
      <c r="M4719">
        <v>930000</v>
      </c>
    </row>
    <row r="4720" spans="1:13" x14ac:dyDescent="0.25">
      <c r="A4720" t="s">
        <v>15675</v>
      </c>
      <c r="B4720" t="s">
        <v>15676</v>
      </c>
      <c r="C4720" t="s">
        <v>15</v>
      </c>
      <c r="D4720" t="s">
        <v>15677</v>
      </c>
      <c r="E4720" t="s">
        <v>15503</v>
      </c>
      <c r="F4720" t="s">
        <v>15646</v>
      </c>
      <c r="G4720" t="s">
        <v>15678</v>
      </c>
      <c r="H4720" t="str">
        <f>HYPERLINK("https://baanknet.com/view-property/268888/BD27FE3728F2AFD076BDD86892443F8D3FA45443EB6F3433EE47B7CF3211F529", "https://baanknet.com/view-property/268888/BD27FE3728F2AFD076BDD86892443F8D3FA45443EB6F3433EE47B7CF3211F529")</f>
        <v>https://baanknet.com/view-property/268888/BD27FE3728F2AFD076BDD86892443F8D3FA45443EB6F3433EE47B7CF3211F529</v>
      </c>
      <c r="I4720" t="str">
        <f>HYPERLINK("https://baanknet.com/view-property/268888/BD27FE3728F2AFD076BDD86892443F8D3FA45443EB6F3433EE47B7CF3211F529", "Open")</f>
        <v>Open</v>
      </c>
      <c r="J4720" t="s">
        <v>3803</v>
      </c>
      <c r="L4720">
        <v>9842000</v>
      </c>
      <c r="M4720">
        <v>984200</v>
      </c>
    </row>
    <row r="4721" spans="1:13" x14ac:dyDescent="0.25">
      <c r="A4721" t="s">
        <v>15679</v>
      </c>
      <c r="B4721" t="s">
        <v>15680</v>
      </c>
      <c r="C4721" t="s">
        <v>15</v>
      </c>
      <c r="D4721" t="s">
        <v>3221</v>
      </c>
      <c r="E4721" t="s">
        <v>15503</v>
      </c>
      <c r="F4721" t="s">
        <v>15646</v>
      </c>
      <c r="G4721" t="s">
        <v>15681</v>
      </c>
      <c r="H4721" t="str">
        <f>HYPERLINK("https://baanknet.com/view-property/256525/71F0AC8E0BEF3F6237C77AA0A88E9562428073A376F44D2F09C38E73AC6B4BB1", "https://baanknet.com/view-property/256525/71F0AC8E0BEF3F6237C77AA0A88E9562428073A376F44D2F09C38E73AC6B4BB1")</f>
        <v>https://baanknet.com/view-property/256525/71F0AC8E0BEF3F6237C77AA0A88E9562428073A376F44D2F09C38E73AC6B4BB1</v>
      </c>
      <c r="I4721" t="str">
        <f>HYPERLINK("https://baanknet.com/view-property/256525/71F0AC8E0BEF3F6237C77AA0A88E9562428073A376F44D2F09C38E73AC6B4BB1", "Open")</f>
        <v>Open</v>
      </c>
      <c r="J4721" t="s">
        <v>3803</v>
      </c>
      <c r="L4721">
        <v>2240000</v>
      </c>
      <c r="M4721">
        <v>224000</v>
      </c>
    </row>
    <row r="4722" spans="1:13" x14ac:dyDescent="0.25">
      <c r="A4722" t="s">
        <v>15682</v>
      </c>
      <c r="B4722" t="s">
        <v>15683</v>
      </c>
      <c r="C4722" t="s">
        <v>15</v>
      </c>
      <c r="D4722" t="s">
        <v>12244</v>
      </c>
      <c r="E4722" t="s">
        <v>15503</v>
      </c>
      <c r="F4722" t="s">
        <v>15646</v>
      </c>
      <c r="G4722" t="s">
        <v>15684</v>
      </c>
      <c r="H4722" t="str">
        <f>HYPERLINK("https://baanknet.com/view-property/254547/9F990B10DA0161E6008D2926AB87002899CD7318556F8AB58A278AC507D0C998", "https://baanknet.com/view-property/254547/9F990B10DA0161E6008D2926AB87002899CD7318556F8AB58A278AC507D0C998")</f>
        <v>https://baanknet.com/view-property/254547/9F990B10DA0161E6008D2926AB87002899CD7318556F8AB58A278AC507D0C998</v>
      </c>
      <c r="I4722" t="str">
        <f>HYPERLINK("https://baanknet.com/view-property/254547/9F990B10DA0161E6008D2926AB87002899CD7318556F8AB58A278AC507D0C998", "Open")</f>
        <v>Open</v>
      </c>
      <c r="J4722" t="s">
        <v>3803</v>
      </c>
      <c r="L4722">
        <v>4810000</v>
      </c>
      <c r="M4722">
        <v>481000</v>
      </c>
    </row>
    <row r="4723" spans="1:13" x14ac:dyDescent="0.25">
      <c r="A4723" t="s">
        <v>15685</v>
      </c>
      <c r="B4723" t="s">
        <v>15686</v>
      </c>
      <c r="C4723" t="s">
        <v>15</v>
      </c>
      <c r="D4723" t="s">
        <v>15687</v>
      </c>
      <c r="E4723" t="s">
        <v>15503</v>
      </c>
      <c r="F4723" t="s">
        <v>15646</v>
      </c>
      <c r="G4723" t="s">
        <v>15688</v>
      </c>
      <c r="H4723" t="str">
        <f>HYPERLINK("https://baanknet.com/view-property/208586/6AB9FEDD7B167E32463B0F0F6FFCE0814F331D4D758EF12FBB7D7B9BCADAE5C2", "https://baanknet.com/view-property/208586/6AB9FEDD7B167E32463B0F0F6FFCE0814F331D4D758EF12FBB7D7B9BCADAE5C2")</f>
        <v>https://baanknet.com/view-property/208586/6AB9FEDD7B167E32463B0F0F6FFCE0814F331D4D758EF12FBB7D7B9BCADAE5C2</v>
      </c>
      <c r="I4723" t="str">
        <f>HYPERLINK("https://baanknet.com/view-property/208586/6AB9FEDD7B167E32463B0F0F6FFCE0814F331D4D758EF12FBB7D7B9BCADAE5C2", "Open")</f>
        <v>Open</v>
      </c>
      <c r="J4723" t="s">
        <v>3803</v>
      </c>
      <c r="L4723">
        <v>6315000</v>
      </c>
      <c r="M4723">
        <v>631500</v>
      </c>
    </row>
    <row r="4724" spans="1:13" x14ac:dyDescent="0.25">
      <c r="A4724" t="s">
        <v>15689</v>
      </c>
      <c r="B4724" t="s">
        <v>15690</v>
      </c>
      <c r="C4724" t="s">
        <v>15</v>
      </c>
      <c r="D4724" t="s">
        <v>15691</v>
      </c>
      <c r="E4724" t="s">
        <v>15503</v>
      </c>
      <c r="F4724" t="s">
        <v>15646</v>
      </c>
      <c r="G4724" t="s">
        <v>15692</v>
      </c>
      <c r="H4724" t="str">
        <f>HYPERLINK("https://baanknet.com/view-property/250327/C017E58FBB79D68CD2D7B6C37641FFD3EBD14317384B1214EF00587BD5EA861D", "https://baanknet.com/view-property/250327/C017E58FBB79D68CD2D7B6C37641FFD3EBD14317384B1214EF00587BD5EA861D")</f>
        <v>https://baanknet.com/view-property/250327/C017E58FBB79D68CD2D7B6C37641FFD3EBD14317384B1214EF00587BD5EA861D</v>
      </c>
      <c r="I4724" t="str">
        <f>HYPERLINK("https://baanknet.com/view-property/250327/C017E58FBB79D68CD2D7B6C37641FFD3EBD14317384B1214EF00587BD5EA861D", "Open")</f>
        <v>Open</v>
      </c>
      <c r="J4724" t="s">
        <v>3803</v>
      </c>
      <c r="L4724">
        <v>3900000</v>
      </c>
      <c r="M4724">
        <v>390000</v>
      </c>
    </row>
    <row r="4725" spans="1:13" x14ac:dyDescent="0.25">
      <c r="A4725" t="s">
        <v>15693</v>
      </c>
      <c r="B4725" t="s">
        <v>15694</v>
      </c>
      <c r="C4725" t="s">
        <v>15</v>
      </c>
      <c r="D4725" t="s">
        <v>7857</v>
      </c>
      <c r="E4725" t="s">
        <v>15503</v>
      </c>
      <c r="F4725" t="s">
        <v>15646</v>
      </c>
      <c r="G4725" t="s">
        <v>15695</v>
      </c>
      <c r="H4725" t="str">
        <f>HYPERLINK("https://baanknet.com/view-property/247801/4CE37DB5A434F7382558086FE878A3847865E99B8FE5172509B005468D6AA227", "https://baanknet.com/view-property/247801/4CE37DB5A434F7382558086FE878A3847865E99B8FE5172509B005468D6AA227")</f>
        <v>https://baanknet.com/view-property/247801/4CE37DB5A434F7382558086FE878A3847865E99B8FE5172509B005468D6AA227</v>
      </c>
      <c r="I4725" t="str">
        <f>HYPERLINK("https://baanknet.com/view-property/247801/4CE37DB5A434F7382558086FE878A3847865E99B8FE5172509B005468D6AA227", "Open")</f>
        <v>Open</v>
      </c>
      <c r="J4725" t="s">
        <v>3803</v>
      </c>
      <c r="L4725">
        <v>2720000</v>
      </c>
      <c r="M4725">
        <v>272000</v>
      </c>
    </row>
    <row r="4726" spans="1:13" x14ac:dyDescent="0.25">
      <c r="A4726" t="s">
        <v>15696</v>
      </c>
      <c r="B4726" t="s">
        <v>15697</v>
      </c>
      <c r="C4726" t="s">
        <v>15</v>
      </c>
      <c r="D4726" t="s">
        <v>7857</v>
      </c>
      <c r="E4726" t="s">
        <v>15503</v>
      </c>
      <c r="F4726" t="s">
        <v>15646</v>
      </c>
      <c r="G4726" t="s">
        <v>15698</v>
      </c>
      <c r="H4726" t="str">
        <f>HYPERLINK("https://baanknet.com/view-property/247802/E94A4DB3B18EE551BB114FAAC6FEF8DE2635C88584E24239725617B5D67850CD", "https://baanknet.com/view-property/247802/E94A4DB3B18EE551BB114FAAC6FEF8DE2635C88584E24239725617B5D67850CD")</f>
        <v>https://baanknet.com/view-property/247802/E94A4DB3B18EE551BB114FAAC6FEF8DE2635C88584E24239725617B5D67850CD</v>
      </c>
      <c r="I4726" t="str">
        <f>HYPERLINK("https://baanknet.com/view-property/247802/E94A4DB3B18EE551BB114FAAC6FEF8DE2635C88584E24239725617B5D67850CD", "Open")</f>
        <v>Open</v>
      </c>
      <c r="J4726" t="s">
        <v>3803</v>
      </c>
      <c r="L4726">
        <v>3610000</v>
      </c>
      <c r="M4726">
        <v>361000</v>
      </c>
    </row>
    <row r="4727" spans="1:13" x14ac:dyDescent="0.25">
      <c r="A4727" t="s">
        <v>15699</v>
      </c>
      <c r="B4727" t="s">
        <v>15700</v>
      </c>
      <c r="C4727" t="s">
        <v>15</v>
      </c>
      <c r="D4727" t="s">
        <v>7857</v>
      </c>
      <c r="E4727" t="s">
        <v>15503</v>
      </c>
      <c r="F4727" t="s">
        <v>15646</v>
      </c>
      <c r="G4727" t="s">
        <v>15701</v>
      </c>
      <c r="H4727" t="str">
        <f>HYPERLINK("https://baanknet.com/view-property/247803/70C71044CE03C1B012E97A6EC8759B175AD93DC5A56366A9A9AC96718CC31CCE", "https://baanknet.com/view-property/247803/70C71044CE03C1B012E97A6EC8759B175AD93DC5A56366A9A9AC96718CC31CCE")</f>
        <v>https://baanknet.com/view-property/247803/70C71044CE03C1B012E97A6EC8759B175AD93DC5A56366A9A9AC96718CC31CCE</v>
      </c>
      <c r="I4727" t="str">
        <f>HYPERLINK("https://baanknet.com/view-property/247803/70C71044CE03C1B012E97A6EC8759B175AD93DC5A56366A9A9AC96718CC31CCE", "Open")</f>
        <v>Open</v>
      </c>
      <c r="J4727" t="s">
        <v>3803</v>
      </c>
      <c r="L4727">
        <v>3495000</v>
      </c>
      <c r="M4727">
        <v>349500</v>
      </c>
    </row>
    <row r="4728" spans="1:13" x14ac:dyDescent="0.25">
      <c r="A4728" t="s">
        <v>15702</v>
      </c>
      <c r="B4728" t="s">
        <v>15703</v>
      </c>
      <c r="C4728" t="s">
        <v>15</v>
      </c>
      <c r="D4728" t="s">
        <v>1246</v>
      </c>
      <c r="E4728" t="s">
        <v>15503</v>
      </c>
      <c r="F4728" t="s">
        <v>15646</v>
      </c>
      <c r="G4728" t="s">
        <v>15704</v>
      </c>
      <c r="H4728" t="str">
        <f>HYPERLINK("https://baanknet.com/view-property/265942/253D6B388F4E5FD8A5568F62FCBCE6C50679D73EBD2B781F5E23D72A1F5BFEAA", "https://baanknet.com/view-property/265942/253D6B388F4E5FD8A5568F62FCBCE6C50679D73EBD2B781F5E23D72A1F5BFEAA")</f>
        <v>https://baanknet.com/view-property/265942/253D6B388F4E5FD8A5568F62FCBCE6C50679D73EBD2B781F5E23D72A1F5BFEAA</v>
      </c>
      <c r="I4728" t="str">
        <f>HYPERLINK("https://baanknet.com/view-property/265942/253D6B388F4E5FD8A5568F62FCBCE6C50679D73EBD2B781F5E23D72A1F5BFEAA", "Open")</f>
        <v>Open</v>
      </c>
      <c r="J4728" t="s">
        <v>3803</v>
      </c>
      <c r="L4728">
        <v>4500000</v>
      </c>
      <c r="M4728">
        <v>450000</v>
      </c>
    </row>
    <row r="4729" spans="1:13" x14ac:dyDescent="0.25">
      <c r="A4729" t="s">
        <v>15705</v>
      </c>
      <c r="B4729" t="s">
        <v>15706</v>
      </c>
      <c r="C4729" t="s">
        <v>15</v>
      </c>
      <c r="D4729" t="s">
        <v>10791</v>
      </c>
      <c r="E4729" t="s">
        <v>15503</v>
      </c>
      <c r="F4729" t="s">
        <v>15646</v>
      </c>
      <c r="G4729" t="s">
        <v>15707</v>
      </c>
      <c r="H4729" t="str">
        <f>HYPERLINK("https://baanknet.com/view-property/249204/5F9C870CE8537021E1364CF0C2E0DF6C4815C01ECCBF2EB1A7AD52BCA433677B", "https://baanknet.com/view-property/249204/5F9C870CE8537021E1364CF0C2E0DF6C4815C01ECCBF2EB1A7AD52BCA433677B")</f>
        <v>https://baanknet.com/view-property/249204/5F9C870CE8537021E1364CF0C2E0DF6C4815C01ECCBF2EB1A7AD52BCA433677B</v>
      </c>
      <c r="I4729" t="str">
        <f>HYPERLINK("https://baanknet.com/view-property/249204/5F9C870CE8537021E1364CF0C2E0DF6C4815C01ECCBF2EB1A7AD52BCA433677B", "Open")</f>
        <v>Open</v>
      </c>
      <c r="J4729" t="s">
        <v>3803</v>
      </c>
      <c r="L4729">
        <v>13750000</v>
      </c>
      <c r="M4729">
        <v>1375000</v>
      </c>
    </row>
    <row r="4730" spans="1:13" x14ac:dyDescent="0.25">
      <c r="A4730" t="s">
        <v>15708</v>
      </c>
      <c r="B4730" t="s">
        <v>15709</v>
      </c>
      <c r="C4730" t="s">
        <v>15</v>
      </c>
      <c r="D4730" t="s">
        <v>15710</v>
      </c>
      <c r="E4730" t="s">
        <v>15503</v>
      </c>
      <c r="F4730" t="s">
        <v>15646</v>
      </c>
      <c r="G4730" t="s">
        <v>15711</v>
      </c>
      <c r="H4730" t="str">
        <f>HYPERLINK("https://baanknet.com/view-property/248307/9B6588EB95CDD76E68E77F5E572AE593D5BF35D413699AD94979219C3AB18E82", "https://baanknet.com/view-property/248307/9B6588EB95CDD76E68E77F5E572AE593D5BF35D413699AD94979219C3AB18E82")</f>
        <v>https://baanknet.com/view-property/248307/9B6588EB95CDD76E68E77F5E572AE593D5BF35D413699AD94979219C3AB18E82</v>
      </c>
      <c r="I4730" t="str">
        <f>HYPERLINK("https://baanknet.com/view-property/248307/9B6588EB95CDD76E68E77F5E572AE593D5BF35D413699AD94979219C3AB18E82", "Open")</f>
        <v>Open</v>
      </c>
      <c r="J4730" t="s">
        <v>3803</v>
      </c>
      <c r="L4730">
        <v>20800000</v>
      </c>
      <c r="M4730">
        <v>2080000</v>
      </c>
    </row>
    <row r="4731" spans="1:13" x14ac:dyDescent="0.25">
      <c r="A4731" t="s">
        <v>15712</v>
      </c>
      <c r="B4731" t="s">
        <v>15713</v>
      </c>
      <c r="C4731" t="s">
        <v>15</v>
      </c>
      <c r="D4731" t="s">
        <v>5815</v>
      </c>
      <c r="E4731" t="s">
        <v>15503</v>
      </c>
      <c r="F4731" t="s">
        <v>15646</v>
      </c>
      <c r="G4731" t="s">
        <v>15714</v>
      </c>
      <c r="H4731" t="str">
        <f>HYPERLINK("https://baanknet.com/view-property/286557/14B1BA04E7F9B42597F9273308AEF488A26B764870004E9E65D606C651F837FC", "https://baanknet.com/view-property/286557/14B1BA04E7F9B42597F9273308AEF488A26B764870004E9E65D606C651F837FC")</f>
        <v>https://baanknet.com/view-property/286557/14B1BA04E7F9B42597F9273308AEF488A26B764870004E9E65D606C651F837FC</v>
      </c>
      <c r="I4731" t="str">
        <f>HYPERLINK("https://baanknet.com/view-property/286557/14B1BA04E7F9B42597F9273308AEF488A26B764870004E9E65D606C651F837FC", "Open")</f>
        <v>Open</v>
      </c>
      <c r="J4731" t="s">
        <v>3803</v>
      </c>
      <c r="L4731">
        <v>4030000</v>
      </c>
      <c r="M4731">
        <v>403000</v>
      </c>
    </row>
    <row r="4732" spans="1:13" x14ac:dyDescent="0.25">
      <c r="A4732" t="s">
        <v>15715</v>
      </c>
      <c r="B4732" t="s">
        <v>15716</v>
      </c>
      <c r="C4732" t="s">
        <v>15</v>
      </c>
      <c r="D4732" t="s">
        <v>1246</v>
      </c>
      <c r="E4732" t="s">
        <v>15503</v>
      </c>
      <c r="F4732" t="s">
        <v>15646</v>
      </c>
      <c r="G4732" t="s">
        <v>15717</v>
      </c>
      <c r="H4732" t="str">
        <f>HYPERLINK("https://baanknet.com/view-property/255384/C5E09F5483278102690CFAFC1D8528A870E736EB778872544441567792354DD5", "https://baanknet.com/view-property/255384/C5E09F5483278102690CFAFC1D8528A870E736EB778872544441567792354DD5")</f>
        <v>https://baanknet.com/view-property/255384/C5E09F5483278102690CFAFC1D8528A870E736EB778872544441567792354DD5</v>
      </c>
      <c r="I4732" t="str">
        <f>HYPERLINK("https://baanknet.com/view-property/255384/C5E09F5483278102690CFAFC1D8528A870E736EB778872544441567792354DD5", "Open")</f>
        <v>Open</v>
      </c>
      <c r="J4732" t="s">
        <v>3803</v>
      </c>
      <c r="L4732">
        <v>4400000</v>
      </c>
      <c r="M4732">
        <v>440000</v>
      </c>
    </row>
    <row r="4733" spans="1:13" x14ac:dyDescent="0.25">
      <c r="A4733" t="s">
        <v>15718</v>
      </c>
      <c r="B4733" t="s">
        <v>15719</v>
      </c>
      <c r="C4733" t="s">
        <v>15</v>
      </c>
      <c r="D4733" t="s">
        <v>5869</v>
      </c>
      <c r="E4733" t="s">
        <v>15503</v>
      </c>
      <c r="F4733" t="s">
        <v>15646</v>
      </c>
      <c r="G4733" t="s">
        <v>15720</v>
      </c>
      <c r="H4733" t="str">
        <f>HYPERLINK("https://baanknet.com/view-property/283681/34B893BCE5797C07F6585043328811D027ED681CB63EDF3C2FE59D6D10E03556", "https://baanknet.com/view-property/283681/34B893BCE5797C07F6585043328811D027ED681CB63EDF3C2FE59D6D10E03556")</f>
        <v>https://baanknet.com/view-property/283681/34B893BCE5797C07F6585043328811D027ED681CB63EDF3C2FE59D6D10E03556</v>
      </c>
      <c r="I4733" t="str">
        <f>HYPERLINK("https://baanknet.com/view-property/283681/34B893BCE5797C07F6585043328811D027ED681CB63EDF3C2FE59D6D10E03556", "Open")</f>
        <v>Open</v>
      </c>
      <c r="J4733" t="s">
        <v>3803</v>
      </c>
      <c r="L4733">
        <v>4150000</v>
      </c>
      <c r="M4733">
        <v>415000</v>
      </c>
    </row>
    <row r="4734" spans="1:13" x14ac:dyDescent="0.25">
      <c r="A4734" t="s">
        <v>15721</v>
      </c>
      <c r="B4734" t="s">
        <v>15722</v>
      </c>
      <c r="C4734" t="s">
        <v>15</v>
      </c>
      <c r="D4734" t="s">
        <v>6938</v>
      </c>
      <c r="E4734" t="s">
        <v>15503</v>
      </c>
      <c r="F4734" t="s">
        <v>15646</v>
      </c>
      <c r="G4734" t="s">
        <v>15723</v>
      </c>
      <c r="H4734" t="str">
        <f>HYPERLINK("https://baanknet.com/view-property/283684/9089A7CDE1157CC3AF6863CCCB05DFE98319D57B90E67A89207D9936BE88BECD", "https://baanknet.com/view-property/283684/9089A7CDE1157CC3AF6863CCCB05DFE98319D57B90E67A89207D9936BE88BECD")</f>
        <v>https://baanknet.com/view-property/283684/9089A7CDE1157CC3AF6863CCCB05DFE98319D57B90E67A89207D9936BE88BECD</v>
      </c>
      <c r="I4734" t="str">
        <f>HYPERLINK("https://baanknet.com/view-property/283684/9089A7CDE1157CC3AF6863CCCB05DFE98319D57B90E67A89207D9936BE88BECD", "Open")</f>
        <v>Open</v>
      </c>
      <c r="J4734" t="s">
        <v>3803</v>
      </c>
      <c r="L4734">
        <v>5900000</v>
      </c>
      <c r="M4734">
        <v>590000</v>
      </c>
    </row>
    <row r="4735" spans="1:13" x14ac:dyDescent="0.25">
      <c r="A4735" t="s">
        <v>15724</v>
      </c>
      <c r="B4735" t="s">
        <v>15725</v>
      </c>
      <c r="C4735" t="s">
        <v>15</v>
      </c>
      <c r="D4735" t="s">
        <v>15726</v>
      </c>
      <c r="E4735" t="s">
        <v>15503</v>
      </c>
      <c r="F4735" t="s">
        <v>15646</v>
      </c>
      <c r="G4735" t="s">
        <v>15727</v>
      </c>
      <c r="H4735" t="str">
        <f>HYPERLINK("https://baanknet.com/view-property/287065/EF132E3D8C874524E9BBF34A37EDABC8446254D9B1E189A1E1F5F79AFA2EFAC2", "https://baanknet.com/view-property/287065/EF132E3D8C874524E9BBF34A37EDABC8446254D9B1E189A1E1F5F79AFA2EFAC2")</f>
        <v>https://baanknet.com/view-property/287065/EF132E3D8C874524E9BBF34A37EDABC8446254D9B1E189A1E1F5F79AFA2EFAC2</v>
      </c>
      <c r="I4735" t="str">
        <f>HYPERLINK("https://baanknet.com/view-property/287065/EF132E3D8C874524E9BBF34A37EDABC8446254D9B1E189A1E1F5F79AFA2EFAC2", "Open")</f>
        <v>Open</v>
      </c>
      <c r="J4735" t="s">
        <v>3803</v>
      </c>
      <c r="L4735">
        <v>14678000</v>
      </c>
      <c r="M4735">
        <v>1467800</v>
      </c>
    </row>
    <row r="4736" spans="1:13" x14ac:dyDescent="0.25">
      <c r="A4736" t="s">
        <v>15728</v>
      </c>
      <c r="B4736" t="s">
        <v>15729</v>
      </c>
      <c r="C4736" t="s">
        <v>15</v>
      </c>
      <c r="D4736" t="s">
        <v>15726</v>
      </c>
      <c r="E4736" t="s">
        <v>15503</v>
      </c>
      <c r="F4736" t="s">
        <v>15646</v>
      </c>
      <c r="G4736" t="s">
        <v>15730</v>
      </c>
      <c r="H4736" t="str">
        <f>HYPERLINK("https://baanknet.com/view-property/287066/A7C5CE787D5D7CDAC9C202671DCF5AF6208DFFCE6E3ACDA88B2DF0322677AD87", "https://baanknet.com/view-property/287066/A7C5CE787D5D7CDAC9C202671DCF5AF6208DFFCE6E3ACDA88B2DF0322677AD87")</f>
        <v>https://baanknet.com/view-property/287066/A7C5CE787D5D7CDAC9C202671DCF5AF6208DFFCE6E3ACDA88B2DF0322677AD87</v>
      </c>
      <c r="I4736" t="str">
        <f>HYPERLINK("https://baanknet.com/view-property/287066/A7C5CE787D5D7CDAC9C202671DCF5AF6208DFFCE6E3ACDA88B2DF0322677AD87", "Open")</f>
        <v>Open</v>
      </c>
      <c r="J4736" t="s">
        <v>3803</v>
      </c>
      <c r="L4736">
        <v>28431000</v>
      </c>
      <c r="M4736">
        <v>2843100</v>
      </c>
    </row>
    <row r="4737" spans="1:13" x14ac:dyDescent="0.25">
      <c r="A4737" t="s">
        <v>15731</v>
      </c>
      <c r="B4737" t="s">
        <v>15732</v>
      </c>
      <c r="C4737" t="s">
        <v>15</v>
      </c>
      <c r="D4737" t="s">
        <v>15726</v>
      </c>
      <c r="E4737" t="s">
        <v>15503</v>
      </c>
      <c r="F4737" t="s">
        <v>15646</v>
      </c>
      <c r="G4737" t="s">
        <v>15733</v>
      </c>
      <c r="H4737" t="str">
        <f>HYPERLINK("https://baanknet.com/view-property/287067/34B92C6BAD16C47385CD3FE2F043AE4AF3099F4A483C348FBAF02EF6292C0A0B", "https://baanknet.com/view-property/287067/34B92C6BAD16C47385CD3FE2F043AE4AF3099F4A483C348FBAF02EF6292C0A0B")</f>
        <v>https://baanknet.com/view-property/287067/34B92C6BAD16C47385CD3FE2F043AE4AF3099F4A483C348FBAF02EF6292C0A0B</v>
      </c>
      <c r="I4737" t="str">
        <f>HYPERLINK("https://baanknet.com/view-property/287067/34B92C6BAD16C47385CD3FE2F043AE4AF3099F4A483C348FBAF02EF6292C0A0B", "Open")</f>
        <v>Open</v>
      </c>
      <c r="J4737" t="s">
        <v>3803</v>
      </c>
      <c r="L4737">
        <v>9656000</v>
      </c>
      <c r="M4737">
        <v>965600</v>
      </c>
    </row>
    <row r="4738" spans="1:13" x14ac:dyDescent="0.25">
      <c r="A4738" t="s">
        <v>15734</v>
      </c>
      <c r="B4738" t="s">
        <v>15735</v>
      </c>
      <c r="C4738" t="s">
        <v>15</v>
      </c>
      <c r="D4738" t="s">
        <v>15726</v>
      </c>
      <c r="E4738" t="s">
        <v>15503</v>
      </c>
      <c r="F4738" t="s">
        <v>15646</v>
      </c>
      <c r="G4738" t="s">
        <v>15736</v>
      </c>
      <c r="H4738" t="str">
        <f>HYPERLINK("https://baanknet.com/view-property/287068/D9889F298956DAECA48ECA312743B9BD8E185FE64B73E209D1AA095B39804C09", "https://baanknet.com/view-property/287068/D9889F298956DAECA48ECA312743B9BD8E185FE64B73E209D1AA095B39804C09")</f>
        <v>https://baanknet.com/view-property/287068/D9889F298956DAECA48ECA312743B9BD8E185FE64B73E209D1AA095B39804C09</v>
      </c>
      <c r="I4738" t="str">
        <f>HYPERLINK("https://baanknet.com/view-property/287068/D9889F298956DAECA48ECA312743B9BD8E185FE64B73E209D1AA095B39804C09", "Open")</f>
        <v>Open</v>
      </c>
      <c r="J4738" t="s">
        <v>3803</v>
      </c>
      <c r="L4738">
        <v>9178000</v>
      </c>
      <c r="M4738">
        <v>917800</v>
      </c>
    </row>
    <row r="4739" spans="1:13" x14ac:dyDescent="0.25">
      <c r="A4739" t="s">
        <v>15737</v>
      </c>
      <c r="B4739" t="s">
        <v>15738</v>
      </c>
      <c r="C4739" t="s">
        <v>15</v>
      </c>
      <c r="D4739" t="s">
        <v>15726</v>
      </c>
      <c r="E4739" t="s">
        <v>15503</v>
      </c>
      <c r="F4739" t="s">
        <v>15646</v>
      </c>
      <c r="G4739" t="s">
        <v>15739</v>
      </c>
      <c r="H4739" t="str">
        <f>HYPERLINK("https://baanknet.com/view-property/287069/4333DFBDD748CB28722C9E254AFFF7ED5ED7F45326D2C43290CAF1A558AFE044", "https://baanknet.com/view-property/287069/4333DFBDD748CB28722C9E254AFFF7ED5ED7F45326D2C43290CAF1A558AFE044")</f>
        <v>https://baanknet.com/view-property/287069/4333DFBDD748CB28722C9E254AFFF7ED5ED7F45326D2C43290CAF1A558AFE044</v>
      </c>
      <c r="I4739" t="str">
        <f>HYPERLINK("https://baanknet.com/view-property/287069/4333DFBDD748CB28722C9E254AFFF7ED5ED7F45326D2C43290CAF1A558AFE044", "Open")</f>
        <v>Open</v>
      </c>
      <c r="J4739" t="s">
        <v>3803</v>
      </c>
      <c r="L4739">
        <v>15374000</v>
      </c>
      <c r="M4739">
        <v>1537400</v>
      </c>
    </row>
    <row r="4740" spans="1:13" x14ac:dyDescent="0.25">
      <c r="A4740" t="s">
        <v>15740</v>
      </c>
      <c r="B4740" t="s">
        <v>15741</v>
      </c>
      <c r="C4740" t="s">
        <v>15</v>
      </c>
      <c r="D4740" t="s">
        <v>15726</v>
      </c>
      <c r="E4740" t="s">
        <v>15503</v>
      </c>
      <c r="F4740" t="s">
        <v>15646</v>
      </c>
      <c r="G4740" t="s">
        <v>15742</v>
      </c>
      <c r="H4740" t="str">
        <f>HYPERLINK("https://baanknet.com/view-property/287070/49799DB698B2CE37A8BA94F7A64BC8DB81C48623C248AF2B96B1C375A244CB3F", "https://baanknet.com/view-property/287070/49799DB698B2CE37A8BA94F7A64BC8DB81C48623C248AF2B96B1C375A244CB3F")</f>
        <v>https://baanknet.com/view-property/287070/49799DB698B2CE37A8BA94F7A64BC8DB81C48623C248AF2B96B1C375A244CB3F</v>
      </c>
      <c r="I4740" t="str">
        <f>HYPERLINK("https://baanknet.com/view-property/287070/49799DB698B2CE37A8BA94F7A64BC8DB81C48623C248AF2B96B1C375A244CB3F", "Open")</f>
        <v>Open</v>
      </c>
      <c r="J4740" t="s">
        <v>3803</v>
      </c>
      <c r="L4740">
        <v>11081000</v>
      </c>
      <c r="M4740">
        <v>1108100</v>
      </c>
    </row>
    <row r="4741" spans="1:13" x14ac:dyDescent="0.25">
      <c r="A4741" t="s">
        <v>15743</v>
      </c>
      <c r="B4741" t="s">
        <v>15744</v>
      </c>
      <c r="C4741" t="s">
        <v>15</v>
      </c>
      <c r="D4741" t="s">
        <v>15726</v>
      </c>
      <c r="E4741" t="s">
        <v>15503</v>
      </c>
      <c r="F4741" t="s">
        <v>15646</v>
      </c>
      <c r="G4741" t="s">
        <v>15745</v>
      </c>
      <c r="H4741" t="str">
        <f>HYPERLINK("https://baanknet.com/view-property/287072/79A01E4E4426A9200E7283A660FD4A2FA67CACBF9DFE239174BD2C8126992C09", "https://baanknet.com/view-property/287072/79A01E4E4426A9200E7283A660FD4A2FA67CACBF9DFE239174BD2C8126992C09")</f>
        <v>https://baanknet.com/view-property/287072/79A01E4E4426A9200E7283A660FD4A2FA67CACBF9DFE239174BD2C8126992C09</v>
      </c>
      <c r="I4741" t="str">
        <f>HYPERLINK("https://baanknet.com/view-property/287072/79A01E4E4426A9200E7283A660FD4A2FA67CACBF9DFE239174BD2C8126992C09", "Open")</f>
        <v>Open</v>
      </c>
      <c r="J4741" t="s">
        <v>3803</v>
      </c>
      <c r="L4741">
        <v>5873000</v>
      </c>
      <c r="M4741">
        <v>587300</v>
      </c>
    </row>
    <row r="4742" spans="1:13" x14ac:dyDescent="0.25">
      <c r="A4742" t="s">
        <v>15746</v>
      </c>
      <c r="B4742" t="s">
        <v>15747</v>
      </c>
      <c r="C4742" t="s">
        <v>15</v>
      </c>
      <c r="D4742" t="s">
        <v>15726</v>
      </c>
      <c r="E4742" t="s">
        <v>15503</v>
      </c>
      <c r="F4742" t="s">
        <v>15646</v>
      </c>
      <c r="G4742" t="s">
        <v>15748</v>
      </c>
      <c r="H4742" t="str">
        <f>HYPERLINK("https://baanknet.com/view-property/287073/BAF15F782032E52604488634687992E8BF161FFFABD97F182CB52CBE8767377A", "https://baanknet.com/view-property/287073/BAF15F782032E52604488634687992E8BF161FFFABD97F182CB52CBE8767377A")</f>
        <v>https://baanknet.com/view-property/287073/BAF15F782032E52604488634687992E8BF161FFFABD97F182CB52CBE8767377A</v>
      </c>
      <c r="I4742" t="str">
        <f>HYPERLINK("https://baanknet.com/view-property/287073/BAF15F782032E52604488634687992E8BF161FFFABD97F182CB52CBE8767377A", "Open")</f>
        <v>Open</v>
      </c>
      <c r="J4742" t="s">
        <v>3803</v>
      </c>
      <c r="L4742">
        <v>18225000</v>
      </c>
      <c r="M4742">
        <v>1822500</v>
      </c>
    </row>
    <row r="4743" spans="1:13" x14ac:dyDescent="0.25">
      <c r="A4743" t="s">
        <v>15749</v>
      </c>
      <c r="B4743" t="s">
        <v>15750</v>
      </c>
      <c r="C4743" t="s">
        <v>15</v>
      </c>
      <c r="D4743" t="s">
        <v>15726</v>
      </c>
      <c r="E4743" t="s">
        <v>15503</v>
      </c>
      <c r="F4743" t="s">
        <v>15646</v>
      </c>
      <c r="G4743" t="s">
        <v>15751</v>
      </c>
      <c r="H4743" t="str">
        <f>HYPERLINK("https://baanknet.com/view-property/287074/88A19786A2E2080AC79CFE5802F1A4D59E17B597F84DECE41020556779DBEC10", "https://baanknet.com/view-property/287074/88A19786A2E2080AC79CFE5802F1A4D59E17B597F84DECE41020556779DBEC10")</f>
        <v>https://baanknet.com/view-property/287074/88A19786A2E2080AC79CFE5802F1A4D59E17B597F84DECE41020556779DBEC10</v>
      </c>
      <c r="I4743" t="str">
        <f>HYPERLINK("https://baanknet.com/view-property/287074/88A19786A2E2080AC79CFE5802F1A4D59E17B597F84DECE41020556779DBEC10", "Open")</f>
        <v>Open</v>
      </c>
      <c r="J4743" t="s">
        <v>3803</v>
      </c>
      <c r="L4743">
        <v>7776000</v>
      </c>
      <c r="M4743">
        <v>777600</v>
      </c>
    </row>
    <row r="4744" spans="1:13" x14ac:dyDescent="0.25">
      <c r="A4744" t="s">
        <v>15752</v>
      </c>
      <c r="B4744" t="s">
        <v>15753</v>
      </c>
      <c r="C4744" t="s">
        <v>15</v>
      </c>
      <c r="D4744" t="s">
        <v>15726</v>
      </c>
      <c r="E4744" t="s">
        <v>15503</v>
      </c>
      <c r="F4744" t="s">
        <v>15646</v>
      </c>
      <c r="G4744" t="s">
        <v>15754</v>
      </c>
      <c r="H4744" t="str">
        <f>HYPERLINK("https://baanknet.com/view-property/287076/1523E638F462E0A69B2ED8A937A102192B0A4E3CA9F84246090AFA586954E03E", "https://baanknet.com/view-property/287076/1523E638F462E0A69B2ED8A937A102192B0A4E3CA9F84246090AFA586954E03E")</f>
        <v>https://baanknet.com/view-property/287076/1523E638F462E0A69B2ED8A937A102192B0A4E3CA9F84246090AFA586954E03E</v>
      </c>
      <c r="I4744" t="str">
        <f>HYPERLINK("https://baanknet.com/view-property/287076/1523E638F462E0A69B2ED8A937A102192B0A4E3CA9F84246090AFA586954E03E", "Open")</f>
        <v>Open</v>
      </c>
      <c r="J4744" t="s">
        <v>3803</v>
      </c>
      <c r="L4744">
        <v>158558000</v>
      </c>
      <c r="M4744">
        <v>15855800</v>
      </c>
    </row>
    <row r="4745" spans="1:13" x14ac:dyDescent="0.25">
      <c r="A4745" t="s">
        <v>15755</v>
      </c>
      <c r="B4745" t="s">
        <v>15756</v>
      </c>
      <c r="C4745" t="s">
        <v>15</v>
      </c>
      <c r="D4745" t="s">
        <v>15757</v>
      </c>
      <c r="E4745" t="s">
        <v>15503</v>
      </c>
      <c r="F4745" t="s">
        <v>15646</v>
      </c>
      <c r="G4745" t="s">
        <v>15758</v>
      </c>
      <c r="H4745" t="str">
        <f>HYPERLINK("https://baanknet.com/view-property/282219/E5DBEC545A2C5899C267BF411E953B4E68177641656709CF1742C5FE42C24DE9", "https://baanknet.com/view-property/282219/E5DBEC545A2C5899C267BF411E953B4E68177641656709CF1742C5FE42C24DE9")</f>
        <v>https://baanknet.com/view-property/282219/E5DBEC545A2C5899C267BF411E953B4E68177641656709CF1742C5FE42C24DE9</v>
      </c>
      <c r="I4745" t="str">
        <f>HYPERLINK("https://baanknet.com/view-property/282219/E5DBEC545A2C5899C267BF411E953B4E68177641656709CF1742C5FE42C24DE9", "Open")</f>
        <v>Open</v>
      </c>
      <c r="J4745" t="s">
        <v>3803</v>
      </c>
      <c r="L4745">
        <v>2810000</v>
      </c>
      <c r="M4745">
        <v>281000</v>
      </c>
    </row>
    <row r="4746" spans="1:13" x14ac:dyDescent="0.25">
      <c r="A4746" t="s">
        <v>15759</v>
      </c>
      <c r="B4746" t="s">
        <v>15760</v>
      </c>
      <c r="C4746" t="s">
        <v>15</v>
      </c>
      <c r="D4746" t="s">
        <v>15761</v>
      </c>
      <c r="E4746" t="s">
        <v>15503</v>
      </c>
      <c r="F4746" t="s">
        <v>15646</v>
      </c>
      <c r="G4746" t="s">
        <v>15762</v>
      </c>
      <c r="H4746" t="str">
        <f>HYPERLINK("https://baanknet.com/view-property/254917/748ABCF90C757CD1D5C1DD2EF0A00E6846D1F66BA8930DE3DB8FED17941879B9", "https://baanknet.com/view-property/254917/748ABCF90C757CD1D5C1DD2EF0A00E6846D1F66BA8930DE3DB8FED17941879B9")</f>
        <v>https://baanknet.com/view-property/254917/748ABCF90C757CD1D5C1DD2EF0A00E6846D1F66BA8930DE3DB8FED17941879B9</v>
      </c>
      <c r="I4746" t="str">
        <f>HYPERLINK("https://baanknet.com/view-property/254917/748ABCF90C757CD1D5C1DD2EF0A00E6846D1F66BA8930DE3DB8FED17941879B9", "Open")</f>
        <v>Open</v>
      </c>
      <c r="J4746" t="s">
        <v>3803</v>
      </c>
      <c r="L4746">
        <v>257000</v>
      </c>
      <c r="M4746">
        <v>25700</v>
      </c>
    </row>
    <row r="4747" spans="1:13" x14ac:dyDescent="0.25">
      <c r="A4747" t="s">
        <v>15763</v>
      </c>
      <c r="B4747" t="s">
        <v>15764</v>
      </c>
      <c r="C4747" t="s">
        <v>15</v>
      </c>
      <c r="D4747" t="s">
        <v>3524</v>
      </c>
      <c r="E4747" t="s">
        <v>15503</v>
      </c>
      <c r="F4747" t="s">
        <v>15646</v>
      </c>
      <c r="G4747" t="s">
        <v>15765</v>
      </c>
      <c r="H4747" t="str">
        <f>HYPERLINK("https://baanknet.com/view-property/218658/818321848F2B2EDBFDCD72777CDF9D5E1C93EC9BB63876CD0925D9985B479459", "https://baanknet.com/view-property/218658/818321848F2B2EDBFDCD72777CDF9D5E1C93EC9BB63876CD0925D9985B479459")</f>
        <v>https://baanknet.com/view-property/218658/818321848F2B2EDBFDCD72777CDF9D5E1C93EC9BB63876CD0925D9985B479459</v>
      </c>
      <c r="I4747" t="str">
        <f>HYPERLINK("https://baanknet.com/view-property/218658/818321848F2B2EDBFDCD72777CDF9D5E1C93EC9BB63876CD0925D9985B479459", "Open")</f>
        <v>Open</v>
      </c>
      <c r="J4747" t="s">
        <v>3803</v>
      </c>
      <c r="L4747">
        <v>210000</v>
      </c>
      <c r="M4747">
        <v>21000</v>
      </c>
    </row>
    <row r="4748" spans="1:13" x14ac:dyDescent="0.25">
      <c r="A4748" t="s">
        <v>15766</v>
      </c>
      <c r="B4748" t="s">
        <v>15767</v>
      </c>
      <c r="C4748" t="s">
        <v>15</v>
      </c>
      <c r="D4748" t="s">
        <v>3524</v>
      </c>
      <c r="E4748" t="s">
        <v>15503</v>
      </c>
      <c r="F4748" t="s">
        <v>15646</v>
      </c>
      <c r="G4748" t="s">
        <v>15768</v>
      </c>
      <c r="H4748" t="str">
        <f>HYPERLINK("https://baanknet.com/view-property/205299/EF9C0FF79878CD80FC8D54DB744AE603991CF4C04E6E6FD0E61DC94A80625A3B", "https://baanknet.com/view-property/205299/EF9C0FF79878CD80FC8D54DB744AE603991CF4C04E6E6FD0E61DC94A80625A3B")</f>
        <v>https://baanknet.com/view-property/205299/EF9C0FF79878CD80FC8D54DB744AE603991CF4C04E6E6FD0E61DC94A80625A3B</v>
      </c>
      <c r="I4748" t="str">
        <f>HYPERLINK("https://baanknet.com/view-property/205299/EF9C0FF79878CD80FC8D54DB744AE603991CF4C04E6E6FD0E61DC94A80625A3B", "Open")</f>
        <v>Open</v>
      </c>
      <c r="J4748" t="s">
        <v>3803</v>
      </c>
      <c r="L4748">
        <v>270000</v>
      </c>
      <c r="M4748">
        <v>27000</v>
      </c>
    </row>
    <row r="4749" spans="1:13" x14ac:dyDescent="0.25">
      <c r="A4749" t="s">
        <v>15769</v>
      </c>
      <c r="B4749" t="s">
        <v>15770</v>
      </c>
      <c r="C4749" t="s">
        <v>15</v>
      </c>
      <c r="D4749" t="s">
        <v>15771</v>
      </c>
      <c r="E4749" t="s">
        <v>15503</v>
      </c>
      <c r="F4749" t="s">
        <v>15646</v>
      </c>
      <c r="G4749" t="s">
        <v>15772</v>
      </c>
      <c r="H4749" t="str">
        <f>HYPERLINK("https://baanknet.com/view-property/205294/97C16E2531C5C78A11D99515707EDFDEACD8816F1659603BB6EA618ECCEE0676", "https://baanknet.com/view-property/205294/97C16E2531C5C78A11D99515707EDFDEACD8816F1659603BB6EA618ECCEE0676")</f>
        <v>https://baanknet.com/view-property/205294/97C16E2531C5C78A11D99515707EDFDEACD8816F1659603BB6EA618ECCEE0676</v>
      </c>
      <c r="I4749" t="str">
        <f>HYPERLINK("https://baanknet.com/view-property/205294/97C16E2531C5C78A11D99515707EDFDEACD8816F1659603BB6EA618ECCEE0676", "Open")</f>
        <v>Open</v>
      </c>
      <c r="J4749" t="s">
        <v>3803</v>
      </c>
      <c r="L4749">
        <v>1900000</v>
      </c>
      <c r="M4749">
        <v>190000</v>
      </c>
    </row>
    <row r="4750" spans="1:13" x14ac:dyDescent="0.25">
      <c r="A4750" t="s">
        <v>15773</v>
      </c>
      <c r="B4750" t="s">
        <v>15774</v>
      </c>
      <c r="C4750" t="s">
        <v>15</v>
      </c>
      <c r="D4750" t="s">
        <v>3524</v>
      </c>
      <c r="E4750" t="s">
        <v>15503</v>
      </c>
      <c r="F4750" t="s">
        <v>15646</v>
      </c>
      <c r="G4750" t="s">
        <v>15775</v>
      </c>
      <c r="H4750" t="str">
        <f>HYPERLINK("https://baanknet.com/view-property/220701/1CDD0E0757FF8A4F4247A9A929E637DA891D4C1E2971BF64D5FE6FFFBFA0116F", "https://baanknet.com/view-property/220701/1CDD0E0757FF8A4F4247A9A929E637DA891D4C1E2971BF64D5FE6FFFBFA0116F")</f>
        <v>https://baanknet.com/view-property/220701/1CDD0E0757FF8A4F4247A9A929E637DA891D4C1E2971BF64D5FE6FFFBFA0116F</v>
      </c>
      <c r="I4750" t="str">
        <f>HYPERLINK("https://baanknet.com/view-property/220701/1CDD0E0757FF8A4F4247A9A929E637DA891D4C1E2971BF64D5FE6FFFBFA0116F", "Open")</f>
        <v>Open</v>
      </c>
      <c r="J4750" t="s">
        <v>3803</v>
      </c>
      <c r="L4750">
        <v>760000</v>
      </c>
      <c r="M4750">
        <v>76000</v>
      </c>
    </row>
    <row r="4751" spans="1:13" x14ac:dyDescent="0.25">
      <c r="A4751" t="s">
        <v>15776</v>
      </c>
      <c r="B4751" t="s">
        <v>15777</v>
      </c>
      <c r="C4751" t="s">
        <v>15</v>
      </c>
      <c r="D4751" t="s">
        <v>15761</v>
      </c>
      <c r="E4751" t="s">
        <v>15503</v>
      </c>
      <c r="F4751" t="s">
        <v>15646</v>
      </c>
      <c r="G4751" t="s">
        <v>15778</v>
      </c>
      <c r="H4751" t="str">
        <f>HYPERLINK("https://baanknet.com/view-property/279424/1AB3D56688744BBCA89BF8B49499F9501BFA47DDECFD40C47B9F52A57F006E37", "https://baanknet.com/view-property/279424/1AB3D56688744BBCA89BF8B49499F9501BFA47DDECFD40C47B9F52A57F006E37")</f>
        <v>https://baanknet.com/view-property/279424/1AB3D56688744BBCA89BF8B49499F9501BFA47DDECFD40C47B9F52A57F006E37</v>
      </c>
      <c r="I4751" t="str">
        <f>HYPERLINK("https://baanknet.com/view-property/279424/1AB3D56688744BBCA89BF8B49499F9501BFA47DDECFD40C47B9F52A57F006E37", "Open")</f>
        <v>Open</v>
      </c>
      <c r="J4751" t="s">
        <v>3803</v>
      </c>
      <c r="L4751">
        <v>650000</v>
      </c>
      <c r="M4751">
        <v>65000</v>
      </c>
    </row>
    <row r="4752" spans="1:13" x14ac:dyDescent="0.25">
      <c r="A4752" t="s">
        <v>15779</v>
      </c>
      <c r="B4752" t="s">
        <v>15780</v>
      </c>
      <c r="C4752" t="s">
        <v>15</v>
      </c>
      <c r="D4752" t="s">
        <v>3524</v>
      </c>
      <c r="E4752" t="s">
        <v>15503</v>
      </c>
      <c r="F4752" t="s">
        <v>15646</v>
      </c>
      <c r="G4752" t="s">
        <v>15781</v>
      </c>
      <c r="H4752" t="str">
        <f>HYPERLINK("https://baanknet.com/view-property/225120/18040F760CC48CC0FBE8D0FF7658AAC09F93E3C020F08CD44E8F24D2A46CDDA5", "https://baanknet.com/view-property/225120/18040F760CC48CC0FBE8D0FF7658AAC09F93E3C020F08CD44E8F24D2A46CDDA5")</f>
        <v>https://baanknet.com/view-property/225120/18040F760CC48CC0FBE8D0FF7658AAC09F93E3C020F08CD44E8F24D2A46CDDA5</v>
      </c>
      <c r="I4752" t="str">
        <f>HYPERLINK("https://baanknet.com/view-property/225120/18040F760CC48CC0FBE8D0FF7658AAC09F93E3C020F08CD44E8F24D2A46CDDA5", "Open")</f>
        <v>Open</v>
      </c>
      <c r="J4752" t="s">
        <v>3803</v>
      </c>
      <c r="L4752">
        <v>780000</v>
      </c>
      <c r="M4752">
        <v>78000</v>
      </c>
    </row>
    <row r="4753" spans="1:13" x14ac:dyDescent="0.25">
      <c r="A4753" t="s">
        <v>15782</v>
      </c>
      <c r="B4753" t="s">
        <v>15783</v>
      </c>
      <c r="C4753" t="s">
        <v>15</v>
      </c>
      <c r="D4753" t="s">
        <v>3524</v>
      </c>
      <c r="E4753" t="s">
        <v>15503</v>
      </c>
      <c r="F4753" t="s">
        <v>15646</v>
      </c>
      <c r="G4753" t="s">
        <v>15784</v>
      </c>
      <c r="H4753" t="str">
        <f>HYPERLINK("https://baanknet.com/view-property/201665/982F15FE4C5C53518152D2076C173736E99139595EDF82B10187A96BDF53408A", "https://baanknet.com/view-property/201665/982F15FE4C5C53518152D2076C173736E99139595EDF82B10187A96BDF53408A")</f>
        <v>https://baanknet.com/view-property/201665/982F15FE4C5C53518152D2076C173736E99139595EDF82B10187A96BDF53408A</v>
      </c>
      <c r="I4753" t="str">
        <f>HYPERLINK("https://baanknet.com/view-property/201665/982F15FE4C5C53518152D2076C173736E99139595EDF82B10187A96BDF53408A", "Open")</f>
        <v>Open</v>
      </c>
      <c r="J4753" t="s">
        <v>3803</v>
      </c>
      <c r="L4753">
        <v>1700000</v>
      </c>
      <c r="M4753">
        <v>170000</v>
      </c>
    </row>
    <row r="4754" spans="1:13" x14ac:dyDescent="0.25">
      <c r="A4754" t="s">
        <v>15785</v>
      </c>
      <c r="B4754" t="s">
        <v>15786</v>
      </c>
      <c r="C4754" t="s">
        <v>15</v>
      </c>
      <c r="D4754" t="s">
        <v>15771</v>
      </c>
      <c r="E4754" t="s">
        <v>15503</v>
      </c>
      <c r="F4754" t="s">
        <v>15646</v>
      </c>
      <c r="G4754" t="s">
        <v>15787</v>
      </c>
      <c r="H4754" t="str">
        <f>HYPERLINK("https://baanknet.com/view-property/198907/9FE1F5074A54271284155EA613BF36F0EF5AC46D11DEA0C43D88EE38579C061A", "https://baanknet.com/view-property/198907/9FE1F5074A54271284155EA613BF36F0EF5AC46D11DEA0C43D88EE38579C061A")</f>
        <v>https://baanknet.com/view-property/198907/9FE1F5074A54271284155EA613BF36F0EF5AC46D11DEA0C43D88EE38579C061A</v>
      </c>
      <c r="I4754" t="str">
        <f>HYPERLINK("https://baanknet.com/view-property/198907/9FE1F5074A54271284155EA613BF36F0EF5AC46D11DEA0C43D88EE38579C061A", "Open")</f>
        <v>Open</v>
      </c>
      <c r="J4754" t="s">
        <v>3803</v>
      </c>
      <c r="L4754">
        <v>2430000</v>
      </c>
      <c r="M4754">
        <v>243000</v>
      </c>
    </row>
    <row r="4755" spans="1:13" x14ac:dyDescent="0.25">
      <c r="A4755" t="s">
        <v>15788</v>
      </c>
      <c r="B4755" t="s">
        <v>15789</v>
      </c>
      <c r="C4755" t="s">
        <v>15</v>
      </c>
      <c r="D4755" t="s">
        <v>608</v>
      </c>
      <c r="E4755" t="s">
        <v>15503</v>
      </c>
      <c r="F4755" t="s">
        <v>15646</v>
      </c>
      <c r="G4755" t="s">
        <v>15790</v>
      </c>
      <c r="H4755" t="str">
        <f>HYPERLINK("https://baanknet.com/view-property/251342/D0EB62F449360E49E9EA30DF411EA75190C63AEF16064C300FC7CA353944F8F3", "https://baanknet.com/view-property/251342/D0EB62F449360E49E9EA30DF411EA75190C63AEF16064C300FC7CA353944F8F3")</f>
        <v>https://baanknet.com/view-property/251342/D0EB62F449360E49E9EA30DF411EA75190C63AEF16064C300FC7CA353944F8F3</v>
      </c>
      <c r="I4755" t="str">
        <f>HYPERLINK("https://baanknet.com/view-property/251342/D0EB62F449360E49E9EA30DF411EA75190C63AEF16064C300FC7CA353944F8F3", "Open")</f>
        <v>Open</v>
      </c>
      <c r="J4755" t="s">
        <v>3803</v>
      </c>
      <c r="L4755">
        <v>4200000</v>
      </c>
      <c r="M4755">
        <v>420000</v>
      </c>
    </row>
    <row r="4756" spans="1:13" x14ac:dyDescent="0.25">
      <c r="A4756" t="s">
        <v>15791</v>
      </c>
      <c r="B4756" t="s">
        <v>15792</v>
      </c>
      <c r="C4756" t="s">
        <v>15</v>
      </c>
      <c r="D4756" t="s">
        <v>3524</v>
      </c>
      <c r="E4756" t="s">
        <v>15503</v>
      </c>
      <c r="F4756" t="s">
        <v>15646</v>
      </c>
      <c r="G4756" t="s">
        <v>15793</v>
      </c>
      <c r="H4756" t="str">
        <f>HYPERLINK("https://baanknet.com/view-property/200327/DE38EC46F583713211A26F71A8781C92F2D701D99F3C995582C0FB78237ADFCE", "https://baanknet.com/view-property/200327/DE38EC46F583713211A26F71A8781C92F2D701D99F3C995582C0FB78237ADFCE")</f>
        <v>https://baanknet.com/view-property/200327/DE38EC46F583713211A26F71A8781C92F2D701D99F3C995582C0FB78237ADFCE</v>
      </c>
      <c r="I4756" t="str">
        <f>HYPERLINK("https://baanknet.com/view-property/200327/DE38EC46F583713211A26F71A8781C92F2D701D99F3C995582C0FB78237ADFCE", "Open")</f>
        <v>Open</v>
      </c>
      <c r="J4756" t="s">
        <v>3803</v>
      </c>
      <c r="L4756">
        <v>374000</v>
      </c>
      <c r="M4756">
        <v>37400</v>
      </c>
    </row>
    <row r="4757" spans="1:13" x14ac:dyDescent="0.25">
      <c r="A4757" t="s">
        <v>15794</v>
      </c>
      <c r="B4757" t="s">
        <v>15795</v>
      </c>
      <c r="C4757" t="s">
        <v>15</v>
      </c>
      <c r="D4757" t="s">
        <v>3524</v>
      </c>
      <c r="E4757" t="s">
        <v>15503</v>
      </c>
      <c r="F4757" t="s">
        <v>15646</v>
      </c>
      <c r="G4757" t="s">
        <v>15796</v>
      </c>
      <c r="H4757" t="str">
        <f>HYPERLINK("https://baanknet.com/view-property/242788/9541CFDADDAC780E75E4629DB13BC002829BE665FA737AAEB67144494DEFED10", "https://baanknet.com/view-property/242788/9541CFDADDAC780E75E4629DB13BC002829BE665FA737AAEB67144494DEFED10")</f>
        <v>https://baanknet.com/view-property/242788/9541CFDADDAC780E75E4629DB13BC002829BE665FA737AAEB67144494DEFED10</v>
      </c>
      <c r="I4757" t="str">
        <f>HYPERLINK("https://baanknet.com/view-property/242788/9541CFDADDAC780E75E4629DB13BC002829BE665FA737AAEB67144494DEFED10", "Open")</f>
        <v>Open</v>
      </c>
      <c r="J4757" t="s">
        <v>3803</v>
      </c>
      <c r="L4757">
        <v>910000</v>
      </c>
      <c r="M4757">
        <v>91000</v>
      </c>
    </row>
    <row r="4758" spans="1:13" x14ac:dyDescent="0.25">
      <c r="A4758" t="s">
        <v>15797</v>
      </c>
      <c r="B4758" t="s">
        <v>15798</v>
      </c>
      <c r="C4758" t="s">
        <v>15</v>
      </c>
      <c r="D4758" t="s">
        <v>3524</v>
      </c>
      <c r="E4758" t="s">
        <v>15503</v>
      </c>
      <c r="F4758" t="s">
        <v>15646</v>
      </c>
      <c r="G4758" t="s">
        <v>15799</v>
      </c>
      <c r="H4758" t="str">
        <f>HYPERLINK("https://baanknet.com/view-property/205369/954E930C08489E58AB178AE6BC516B34FE64317F90A38133870029E9AA672CBD", "https://baanknet.com/view-property/205369/954E930C08489E58AB178AE6BC516B34FE64317F90A38133870029E9AA672CBD")</f>
        <v>https://baanknet.com/view-property/205369/954E930C08489E58AB178AE6BC516B34FE64317F90A38133870029E9AA672CBD</v>
      </c>
      <c r="I4758" t="str">
        <f>HYPERLINK("https://baanknet.com/view-property/205369/954E930C08489E58AB178AE6BC516B34FE64317F90A38133870029E9AA672CBD", "Open")</f>
        <v>Open</v>
      </c>
      <c r="J4758" t="s">
        <v>3803</v>
      </c>
      <c r="L4758">
        <v>1107000</v>
      </c>
      <c r="M4758">
        <v>110700</v>
      </c>
    </row>
    <row r="4759" spans="1:13" x14ac:dyDescent="0.25">
      <c r="A4759" t="s">
        <v>15800</v>
      </c>
      <c r="B4759" t="s">
        <v>15801</v>
      </c>
      <c r="C4759" t="s">
        <v>15</v>
      </c>
      <c r="D4759" t="s">
        <v>15761</v>
      </c>
      <c r="E4759" t="s">
        <v>15503</v>
      </c>
      <c r="F4759" t="s">
        <v>15646</v>
      </c>
      <c r="G4759" t="s">
        <v>15802</v>
      </c>
      <c r="H4759" t="str">
        <f>HYPERLINK("https://baanknet.com/view-property/274747/E4B1B33F83C6F4D6550CFFEC8C6087F2628D4F1167C72A8780FE239A7547F817", "https://baanknet.com/view-property/274747/E4B1B33F83C6F4D6550CFFEC8C6087F2628D4F1167C72A8780FE239A7547F817")</f>
        <v>https://baanknet.com/view-property/274747/E4B1B33F83C6F4D6550CFFEC8C6087F2628D4F1167C72A8780FE239A7547F817</v>
      </c>
      <c r="I4759" t="str">
        <f>HYPERLINK("https://baanknet.com/view-property/274747/E4B1B33F83C6F4D6550CFFEC8C6087F2628D4F1167C72A8780FE239A7547F817", "Open")</f>
        <v>Open</v>
      </c>
      <c r="J4759" t="s">
        <v>3803</v>
      </c>
      <c r="L4759">
        <v>141000</v>
      </c>
      <c r="M4759">
        <v>14100</v>
      </c>
    </row>
    <row r="4760" spans="1:13" x14ac:dyDescent="0.25">
      <c r="A4760" t="s">
        <v>15803</v>
      </c>
      <c r="B4760" t="s">
        <v>15804</v>
      </c>
      <c r="C4760" t="s">
        <v>15</v>
      </c>
      <c r="D4760" t="s">
        <v>3524</v>
      </c>
      <c r="E4760" t="s">
        <v>15503</v>
      </c>
      <c r="F4760" t="s">
        <v>15646</v>
      </c>
      <c r="G4760" t="s">
        <v>15805</v>
      </c>
      <c r="H4760" t="str">
        <f>HYPERLINK("https://baanknet.com/view-property/270016/C7170DD602279959C3FA64E630E5EE0AF5950C37EE3BBD5F9CE884D5613C92B0", "https://baanknet.com/view-property/270016/C7170DD602279959C3FA64E630E5EE0AF5950C37EE3BBD5F9CE884D5613C92B0")</f>
        <v>https://baanknet.com/view-property/270016/C7170DD602279959C3FA64E630E5EE0AF5950C37EE3BBD5F9CE884D5613C92B0</v>
      </c>
      <c r="I4760" t="str">
        <f>HYPERLINK("https://baanknet.com/view-property/270016/C7170DD602279959C3FA64E630E5EE0AF5950C37EE3BBD5F9CE884D5613C92B0", "Open")</f>
        <v>Open</v>
      </c>
      <c r="J4760" t="s">
        <v>3803</v>
      </c>
      <c r="L4760">
        <v>2811000</v>
      </c>
      <c r="M4760">
        <v>281100</v>
      </c>
    </row>
    <row r="4761" spans="1:13" x14ac:dyDescent="0.25">
      <c r="A4761" t="s">
        <v>15806</v>
      </c>
      <c r="B4761" t="s">
        <v>15807</v>
      </c>
      <c r="C4761" t="s">
        <v>15</v>
      </c>
      <c r="D4761" t="s">
        <v>3524</v>
      </c>
      <c r="E4761" t="s">
        <v>15503</v>
      </c>
      <c r="F4761" t="s">
        <v>15646</v>
      </c>
      <c r="G4761" t="s">
        <v>15808</v>
      </c>
      <c r="H4761" t="str">
        <f>HYPERLINK("https://baanknet.com/view-property/247975/30437DD9AA64658489B7AA44E04EC39A5A6C05721C3EBAA8FA1BC8FD4E6FDF6D", "https://baanknet.com/view-property/247975/30437DD9AA64658489B7AA44E04EC39A5A6C05721C3EBAA8FA1BC8FD4E6FDF6D")</f>
        <v>https://baanknet.com/view-property/247975/30437DD9AA64658489B7AA44E04EC39A5A6C05721C3EBAA8FA1BC8FD4E6FDF6D</v>
      </c>
      <c r="I4761" t="str">
        <f>HYPERLINK("https://baanknet.com/view-property/247975/30437DD9AA64658489B7AA44E04EC39A5A6C05721C3EBAA8FA1BC8FD4E6FDF6D", "Open")</f>
        <v>Open</v>
      </c>
      <c r="J4761" t="s">
        <v>3803</v>
      </c>
      <c r="L4761">
        <v>1420000</v>
      </c>
      <c r="M4761">
        <v>142000</v>
      </c>
    </row>
    <row r="4762" spans="1:13" x14ac:dyDescent="0.25">
      <c r="A4762" t="s">
        <v>15809</v>
      </c>
      <c r="B4762" t="s">
        <v>15810</v>
      </c>
      <c r="C4762" t="s">
        <v>15</v>
      </c>
      <c r="D4762" t="s">
        <v>3524</v>
      </c>
      <c r="E4762" t="s">
        <v>15503</v>
      </c>
      <c r="F4762" t="s">
        <v>15646</v>
      </c>
      <c r="G4762" t="s">
        <v>15811</v>
      </c>
      <c r="H4762" t="str">
        <f>HYPERLINK("https://baanknet.com/view-property/205245/F09976A2014848D2E63B5CBD117049D9905091459130A4D39964F9CB59FEF2D1", "https://baanknet.com/view-property/205245/F09976A2014848D2E63B5CBD117049D9905091459130A4D39964F9CB59FEF2D1")</f>
        <v>https://baanknet.com/view-property/205245/F09976A2014848D2E63B5CBD117049D9905091459130A4D39964F9CB59FEF2D1</v>
      </c>
      <c r="I4762" t="str">
        <f>HYPERLINK("https://baanknet.com/view-property/205245/F09976A2014848D2E63B5CBD117049D9905091459130A4D39964F9CB59FEF2D1", "Open")</f>
        <v>Open</v>
      </c>
      <c r="J4762" t="s">
        <v>3803</v>
      </c>
      <c r="L4762">
        <v>1934000</v>
      </c>
      <c r="M4762">
        <v>193400</v>
      </c>
    </row>
    <row r="4763" spans="1:13" x14ac:dyDescent="0.25">
      <c r="A4763" t="s">
        <v>15812</v>
      </c>
      <c r="B4763" t="s">
        <v>15813</v>
      </c>
      <c r="C4763" t="s">
        <v>15</v>
      </c>
      <c r="D4763" t="s">
        <v>15814</v>
      </c>
      <c r="E4763" t="s">
        <v>15503</v>
      </c>
      <c r="F4763" t="s">
        <v>15646</v>
      </c>
      <c r="G4763" t="s">
        <v>15815</v>
      </c>
      <c r="H4763" t="str">
        <f>HYPERLINK("https://baanknet.com/view-property/253944/EE4D1A58836A6E8FFB82F2C3A86401D68D9B672398EF4DD360619D8E7AD44E0F", "https://baanknet.com/view-property/253944/EE4D1A58836A6E8FFB82F2C3A86401D68D9B672398EF4DD360619D8E7AD44E0F")</f>
        <v>https://baanknet.com/view-property/253944/EE4D1A58836A6E8FFB82F2C3A86401D68D9B672398EF4DD360619D8E7AD44E0F</v>
      </c>
      <c r="I4763" t="str">
        <f>HYPERLINK("https://baanknet.com/view-property/253944/EE4D1A58836A6E8FFB82F2C3A86401D68D9B672398EF4DD360619D8E7AD44E0F", "Open")</f>
        <v>Open</v>
      </c>
      <c r="J4763" t="s">
        <v>3803</v>
      </c>
      <c r="L4763">
        <v>1154000</v>
      </c>
      <c r="M4763">
        <v>115400</v>
      </c>
    </row>
    <row r="4764" spans="1:13" x14ac:dyDescent="0.25">
      <c r="A4764" t="s">
        <v>15816</v>
      </c>
      <c r="B4764" t="s">
        <v>15817</v>
      </c>
      <c r="C4764" t="s">
        <v>15</v>
      </c>
      <c r="D4764" t="s">
        <v>15818</v>
      </c>
      <c r="E4764" t="s">
        <v>15503</v>
      </c>
      <c r="F4764" t="s">
        <v>15646</v>
      </c>
      <c r="G4764" t="s">
        <v>15819</v>
      </c>
      <c r="H4764" t="str">
        <f>HYPERLINK("https://baanknet.com/view-property/280964/C4C54BA7B5E2CBF6FE79296CCC51046935C69CBF254C013D6FEEBE8C0EB55B4F", "https://baanknet.com/view-property/280964/C4C54BA7B5E2CBF6FE79296CCC51046935C69CBF254C013D6FEEBE8C0EB55B4F")</f>
        <v>https://baanknet.com/view-property/280964/C4C54BA7B5E2CBF6FE79296CCC51046935C69CBF254C013D6FEEBE8C0EB55B4F</v>
      </c>
      <c r="I4764" t="str">
        <f>HYPERLINK("https://baanknet.com/view-property/280964/C4C54BA7B5E2CBF6FE79296CCC51046935C69CBF254C013D6FEEBE8C0EB55B4F", "Open")</f>
        <v>Open</v>
      </c>
      <c r="J4764" t="s">
        <v>3803</v>
      </c>
      <c r="L4764">
        <v>5878000</v>
      </c>
      <c r="M4764">
        <v>587800</v>
      </c>
    </row>
    <row r="4765" spans="1:13" x14ac:dyDescent="0.25">
      <c r="A4765" t="s">
        <v>15820</v>
      </c>
      <c r="B4765" t="s">
        <v>15821</v>
      </c>
      <c r="C4765" t="s">
        <v>15</v>
      </c>
      <c r="D4765" t="s">
        <v>673</v>
      </c>
      <c r="E4765" t="s">
        <v>15503</v>
      </c>
      <c r="F4765" t="s">
        <v>15646</v>
      </c>
      <c r="G4765" t="s">
        <v>15822</v>
      </c>
      <c r="H4765" t="str">
        <f>HYPERLINK("https://baanknet.com/view-property/251233/7B0CDFAFAB3B7829412DD49D53A54A9EDB91C636EA7B80AC2EDD3151D6F71590", "https://baanknet.com/view-property/251233/7B0CDFAFAB3B7829412DD49D53A54A9EDB91C636EA7B80AC2EDD3151D6F71590")</f>
        <v>https://baanknet.com/view-property/251233/7B0CDFAFAB3B7829412DD49D53A54A9EDB91C636EA7B80AC2EDD3151D6F71590</v>
      </c>
      <c r="I4765" t="str">
        <f>HYPERLINK("https://baanknet.com/view-property/251233/7B0CDFAFAB3B7829412DD49D53A54A9EDB91C636EA7B80AC2EDD3151D6F71590", "Open")</f>
        <v>Open</v>
      </c>
      <c r="J4765" t="s">
        <v>3803</v>
      </c>
      <c r="L4765">
        <v>2502000</v>
      </c>
      <c r="M4765">
        <v>250200</v>
      </c>
    </row>
    <row r="4766" spans="1:13" x14ac:dyDescent="0.25">
      <c r="A4766" t="s">
        <v>15823</v>
      </c>
      <c r="B4766" t="s">
        <v>15824</v>
      </c>
      <c r="C4766" t="s">
        <v>15</v>
      </c>
      <c r="D4766" t="s">
        <v>5032</v>
      </c>
      <c r="E4766" t="s">
        <v>15503</v>
      </c>
      <c r="F4766" t="s">
        <v>15646</v>
      </c>
      <c r="G4766" t="s">
        <v>15825</v>
      </c>
      <c r="H4766" t="str">
        <f>HYPERLINK("https://baanknet.com/view-property/243037/FB42FC78AA9340777801AB28A92B7C82EB8E8C9E3D3D9A1ED1B33FA8555B3299", "https://baanknet.com/view-property/243037/FB42FC78AA9340777801AB28A92B7C82EB8E8C9E3D3D9A1ED1B33FA8555B3299")</f>
        <v>https://baanknet.com/view-property/243037/FB42FC78AA9340777801AB28A92B7C82EB8E8C9E3D3D9A1ED1B33FA8555B3299</v>
      </c>
      <c r="I4766" t="str">
        <f>HYPERLINK("https://baanknet.com/view-property/243037/FB42FC78AA9340777801AB28A92B7C82EB8E8C9E3D3D9A1ED1B33FA8555B3299", "Open")</f>
        <v>Open</v>
      </c>
      <c r="J4766" t="s">
        <v>3803</v>
      </c>
      <c r="L4766">
        <v>1150000</v>
      </c>
      <c r="M4766">
        <v>115000</v>
      </c>
    </row>
    <row r="4767" spans="1:13" x14ac:dyDescent="0.25">
      <c r="A4767" t="s">
        <v>15826</v>
      </c>
      <c r="B4767" t="s">
        <v>15827</v>
      </c>
      <c r="C4767" t="s">
        <v>15</v>
      </c>
      <c r="D4767" t="s">
        <v>15828</v>
      </c>
      <c r="E4767" t="s">
        <v>15503</v>
      </c>
      <c r="F4767" t="s">
        <v>15646</v>
      </c>
      <c r="G4767" t="s">
        <v>15829</v>
      </c>
      <c r="H4767" t="str">
        <f>HYPERLINK("https://baanknet.com/view-property/280189/3A821EECE2F3CE5B37BA33DE6ECA1C0BD53F34327092F382F9035192DB6ADAD1", "https://baanknet.com/view-property/280189/3A821EECE2F3CE5B37BA33DE6ECA1C0BD53F34327092F382F9035192DB6ADAD1")</f>
        <v>https://baanknet.com/view-property/280189/3A821EECE2F3CE5B37BA33DE6ECA1C0BD53F34327092F382F9035192DB6ADAD1</v>
      </c>
      <c r="I4767" t="str">
        <f>HYPERLINK("https://baanknet.com/view-property/280189/3A821EECE2F3CE5B37BA33DE6ECA1C0BD53F34327092F382F9035192DB6ADAD1", "Open")</f>
        <v>Open</v>
      </c>
      <c r="J4767" t="s">
        <v>3803</v>
      </c>
      <c r="L4767">
        <v>2464000</v>
      </c>
      <c r="M4767">
        <v>246400</v>
      </c>
    </row>
    <row r="4768" spans="1:13" x14ac:dyDescent="0.25">
      <c r="A4768" t="s">
        <v>15830</v>
      </c>
      <c r="B4768" t="s">
        <v>15831</v>
      </c>
      <c r="C4768" t="s">
        <v>15</v>
      </c>
      <c r="D4768" t="s">
        <v>608</v>
      </c>
      <c r="E4768" t="s">
        <v>15503</v>
      </c>
      <c r="F4768" t="s">
        <v>15646</v>
      </c>
      <c r="G4768" t="s">
        <v>15832</v>
      </c>
      <c r="H4768" t="str">
        <f>HYPERLINK("https://baanknet.com/view-property/246901/7F39F104E42B08555CD4AFA4CB35A39A22C4439E63ADDCC653F1C6BD3CFB26D1", "https://baanknet.com/view-property/246901/7F39F104E42B08555CD4AFA4CB35A39A22C4439E63ADDCC653F1C6BD3CFB26D1")</f>
        <v>https://baanknet.com/view-property/246901/7F39F104E42B08555CD4AFA4CB35A39A22C4439E63ADDCC653F1C6BD3CFB26D1</v>
      </c>
      <c r="I4768" t="str">
        <f>HYPERLINK("https://baanknet.com/view-property/246901/7F39F104E42B08555CD4AFA4CB35A39A22C4439E63ADDCC653F1C6BD3CFB26D1", "Open")</f>
        <v>Open</v>
      </c>
      <c r="J4768" t="s">
        <v>3803</v>
      </c>
      <c r="L4768">
        <v>3472000</v>
      </c>
      <c r="M4768">
        <v>347200</v>
      </c>
    </row>
    <row r="4769" spans="1:13" x14ac:dyDescent="0.25">
      <c r="A4769" t="s">
        <v>15833</v>
      </c>
      <c r="B4769" t="s">
        <v>15834</v>
      </c>
      <c r="C4769" t="s">
        <v>15</v>
      </c>
      <c r="D4769" t="s">
        <v>608</v>
      </c>
      <c r="E4769" t="s">
        <v>15503</v>
      </c>
      <c r="F4769" t="s">
        <v>15646</v>
      </c>
      <c r="G4769" t="s">
        <v>15835</v>
      </c>
      <c r="H4769" t="str">
        <f>HYPERLINK("https://baanknet.com/view-property/247308/D4C976E8537B136E787D13A6E9169F302F1BBF7A90114B2521E4C9A16F15685C", "https://baanknet.com/view-property/247308/D4C976E8537B136E787D13A6E9169F302F1BBF7A90114B2521E4C9A16F15685C")</f>
        <v>https://baanknet.com/view-property/247308/D4C976E8537B136E787D13A6E9169F302F1BBF7A90114B2521E4C9A16F15685C</v>
      </c>
      <c r="I4769" t="str">
        <f>HYPERLINK("https://baanknet.com/view-property/247308/D4C976E8537B136E787D13A6E9169F302F1BBF7A90114B2521E4C9A16F15685C", "Open")</f>
        <v>Open</v>
      </c>
      <c r="J4769" t="s">
        <v>3803</v>
      </c>
      <c r="L4769">
        <v>3472000</v>
      </c>
      <c r="M4769">
        <v>347200</v>
      </c>
    </row>
    <row r="4770" spans="1:13" x14ac:dyDescent="0.25">
      <c r="A4770" t="s">
        <v>15836</v>
      </c>
      <c r="B4770" t="s">
        <v>15837</v>
      </c>
      <c r="C4770" t="s">
        <v>15</v>
      </c>
      <c r="D4770" t="s">
        <v>15838</v>
      </c>
      <c r="E4770" t="s">
        <v>15503</v>
      </c>
      <c r="F4770" t="s">
        <v>15646</v>
      </c>
      <c r="G4770" t="s">
        <v>15839</v>
      </c>
      <c r="H4770" t="str">
        <f>HYPERLINK("https://baanknet.com/view-property/248537/E07F4E4D54545ACA817835CBC94981C048F8840CD5D51D13E52B381EC4A45029", "https://baanknet.com/view-property/248537/E07F4E4D54545ACA817835CBC94981C048F8840CD5D51D13E52B381EC4A45029")</f>
        <v>https://baanknet.com/view-property/248537/E07F4E4D54545ACA817835CBC94981C048F8840CD5D51D13E52B381EC4A45029</v>
      </c>
      <c r="I4770" t="str">
        <f>HYPERLINK("https://baanknet.com/view-property/248537/E07F4E4D54545ACA817835CBC94981C048F8840CD5D51D13E52B381EC4A45029", "Open")</f>
        <v>Open</v>
      </c>
      <c r="J4770" t="s">
        <v>3803</v>
      </c>
      <c r="L4770">
        <v>5400000</v>
      </c>
      <c r="M4770">
        <v>540000</v>
      </c>
    </row>
    <row r="4771" spans="1:13" x14ac:dyDescent="0.25">
      <c r="A4771" t="s">
        <v>15840</v>
      </c>
      <c r="B4771" t="s">
        <v>15841</v>
      </c>
      <c r="C4771" t="s">
        <v>15</v>
      </c>
      <c r="D4771" t="s">
        <v>15838</v>
      </c>
      <c r="E4771" t="s">
        <v>15503</v>
      </c>
      <c r="F4771" t="s">
        <v>15646</v>
      </c>
      <c r="G4771" t="s">
        <v>15842</v>
      </c>
      <c r="H4771" t="str">
        <f>HYPERLINK("https://baanknet.com/view-property/248538/1A9FFF0980B410979D8173CF92F5E8A2BDFA6C9A9F4097AD25A369B2A326A66C", "https://baanknet.com/view-property/248538/1A9FFF0980B410979D8173CF92F5E8A2BDFA6C9A9F4097AD25A369B2A326A66C")</f>
        <v>https://baanknet.com/view-property/248538/1A9FFF0980B410979D8173CF92F5E8A2BDFA6C9A9F4097AD25A369B2A326A66C</v>
      </c>
      <c r="I4771" t="str">
        <f>HYPERLINK("https://baanknet.com/view-property/248538/1A9FFF0980B410979D8173CF92F5E8A2BDFA6C9A9F4097AD25A369B2A326A66C", "Open")</f>
        <v>Open</v>
      </c>
      <c r="J4771" t="s">
        <v>3803</v>
      </c>
      <c r="L4771">
        <v>5400000</v>
      </c>
      <c r="M4771">
        <v>540000</v>
      </c>
    </row>
    <row r="4772" spans="1:13" x14ac:dyDescent="0.25">
      <c r="A4772" t="s">
        <v>15843</v>
      </c>
      <c r="B4772" t="s">
        <v>15844</v>
      </c>
      <c r="C4772" t="s">
        <v>15</v>
      </c>
      <c r="D4772" t="s">
        <v>15845</v>
      </c>
      <c r="E4772" t="s">
        <v>15503</v>
      </c>
      <c r="F4772" t="s">
        <v>15646</v>
      </c>
      <c r="G4772" t="s">
        <v>15846</v>
      </c>
      <c r="H4772" t="str">
        <f>HYPERLINK("https://baanknet.com/view-property/248544/D5192EBBB17901ED7B7304A9922EDAA813E2048E9F3B2015D3432D7216A12902", "https://baanknet.com/view-property/248544/D5192EBBB17901ED7B7304A9922EDAA813E2048E9F3B2015D3432D7216A12902")</f>
        <v>https://baanknet.com/view-property/248544/D5192EBBB17901ED7B7304A9922EDAA813E2048E9F3B2015D3432D7216A12902</v>
      </c>
      <c r="I4772" t="str">
        <f>HYPERLINK("https://baanknet.com/view-property/248544/D5192EBBB17901ED7B7304A9922EDAA813E2048E9F3B2015D3432D7216A12902", "Open")</f>
        <v>Open</v>
      </c>
      <c r="J4772" t="s">
        <v>3803</v>
      </c>
      <c r="L4772">
        <v>3280000</v>
      </c>
      <c r="M4772">
        <v>328000</v>
      </c>
    </row>
    <row r="4773" spans="1:13" x14ac:dyDescent="0.25">
      <c r="A4773" t="s">
        <v>15847</v>
      </c>
      <c r="B4773" t="s">
        <v>15848</v>
      </c>
      <c r="C4773" t="s">
        <v>15</v>
      </c>
      <c r="D4773" t="s">
        <v>15849</v>
      </c>
      <c r="E4773" t="s">
        <v>15503</v>
      </c>
      <c r="F4773" t="s">
        <v>15646</v>
      </c>
      <c r="G4773" t="s">
        <v>15850</v>
      </c>
      <c r="H4773" t="str">
        <f>HYPERLINK("https://baanknet.com/view-property/244240/5345E5B5D5D64F5EADDC68CE2C60377C7106E15602263F9E21CD942133A68A3F", "https://baanknet.com/view-property/244240/5345E5B5D5D64F5EADDC68CE2C60377C7106E15602263F9E21CD942133A68A3F")</f>
        <v>https://baanknet.com/view-property/244240/5345E5B5D5D64F5EADDC68CE2C60377C7106E15602263F9E21CD942133A68A3F</v>
      </c>
      <c r="I4773" t="str">
        <f>HYPERLINK("https://baanknet.com/view-property/244240/5345E5B5D5D64F5EADDC68CE2C60377C7106E15602263F9E21CD942133A68A3F", "Open")</f>
        <v>Open</v>
      </c>
      <c r="J4773" t="s">
        <v>3803</v>
      </c>
      <c r="L4773">
        <v>3660000</v>
      </c>
      <c r="M4773">
        <v>366000</v>
      </c>
    </row>
    <row r="4774" spans="1:13" x14ac:dyDescent="0.25">
      <c r="A4774" t="s">
        <v>15851</v>
      </c>
      <c r="B4774" t="s">
        <v>15852</v>
      </c>
      <c r="C4774" t="s">
        <v>15</v>
      </c>
      <c r="D4774" t="s">
        <v>13217</v>
      </c>
      <c r="E4774" t="s">
        <v>15503</v>
      </c>
      <c r="F4774" t="s">
        <v>15646</v>
      </c>
      <c r="G4774" t="s">
        <v>15853</v>
      </c>
      <c r="H4774" t="str">
        <f>HYPERLINK("https://baanknet.com/view-property/252613/ACF51DB4CB370BEC96A8225415B40C99A3C8445FD964E23E51FDC57D747EBD00", "https://baanknet.com/view-property/252613/ACF51DB4CB370BEC96A8225415B40C99A3C8445FD964E23E51FDC57D747EBD00")</f>
        <v>https://baanknet.com/view-property/252613/ACF51DB4CB370BEC96A8225415B40C99A3C8445FD964E23E51FDC57D747EBD00</v>
      </c>
      <c r="I4774" t="str">
        <f>HYPERLINK("https://baanknet.com/view-property/252613/ACF51DB4CB370BEC96A8225415B40C99A3C8445FD964E23E51FDC57D747EBD00", "Open")</f>
        <v>Open</v>
      </c>
      <c r="J4774" t="s">
        <v>3803</v>
      </c>
      <c r="L4774">
        <v>1050000</v>
      </c>
      <c r="M4774">
        <v>105000</v>
      </c>
    </row>
    <row r="4775" spans="1:13" x14ac:dyDescent="0.25">
      <c r="A4775" t="s">
        <v>15854</v>
      </c>
      <c r="B4775" t="s">
        <v>15855</v>
      </c>
      <c r="C4775" t="s">
        <v>15</v>
      </c>
      <c r="D4775" t="s">
        <v>13560</v>
      </c>
      <c r="E4775" t="s">
        <v>15503</v>
      </c>
      <c r="F4775" t="s">
        <v>15646</v>
      </c>
      <c r="G4775" t="s">
        <v>15856</v>
      </c>
      <c r="H4775" t="str">
        <f>HYPERLINK("https://baanknet.com/view-property/286492/6D1A991A34AD471FD65FBE73C200C36D0E89FC2D7769BDB5B2BFBFCB9A6F56F7", "https://baanknet.com/view-property/286492/6D1A991A34AD471FD65FBE73C200C36D0E89FC2D7769BDB5B2BFBFCB9A6F56F7")</f>
        <v>https://baanknet.com/view-property/286492/6D1A991A34AD471FD65FBE73C200C36D0E89FC2D7769BDB5B2BFBFCB9A6F56F7</v>
      </c>
      <c r="I4775" t="str">
        <f>HYPERLINK("https://baanknet.com/view-property/286492/6D1A991A34AD471FD65FBE73C200C36D0E89FC2D7769BDB5B2BFBFCB9A6F56F7", "Open")</f>
        <v>Open</v>
      </c>
      <c r="J4775" t="s">
        <v>3803</v>
      </c>
      <c r="L4775">
        <v>2320000</v>
      </c>
      <c r="M4775">
        <v>232000</v>
      </c>
    </row>
    <row r="4776" spans="1:13" x14ac:dyDescent="0.25">
      <c r="A4776" t="s">
        <v>15857</v>
      </c>
      <c r="B4776" t="s">
        <v>15858</v>
      </c>
      <c r="C4776" t="s">
        <v>15</v>
      </c>
      <c r="D4776" t="s">
        <v>13217</v>
      </c>
      <c r="E4776" t="s">
        <v>15503</v>
      </c>
      <c r="F4776" t="s">
        <v>15646</v>
      </c>
      <c r="G4776" t="s">
        <v>15859</v>
      </c>
      <c r="H4776" t="str">
        <f>HYPERLINK("https://baanknet.com/view-property/252615/F32B5875D006BD7A6F2A50CE7D986AF081CDCB56FEFDDDD4A8BF837E588B29EB", "https://baanknet.com/view-property/252615/F32B5875D006BD7A6F2A50CE7D986AF081CDCB56FEFDDDD4A8BF837E588B29EB")</f>
        <v>https://baanknet.com/view-property/252615/F32B5875D006BD7A6F2A50CE7D986AF081CDCB56FEFDDDD4A8BF837E588B29EB</v>
      </c>
      <c r="I4776" t="str">
        <f>HYPERLINK("https://baanknet.com/view-property/252615/F32B5875D006BD7A6F2A50CE7D986AF081CDCB56FEFDDDD4A8BF837E588B29EB", "Open")</f>
        <v>Open</v>
      </c>
      <c r="J4776" t="s">
        <v>3803</v>
      </c>
      <c r="L4776">
        <v>2980000</v>
      </c>
      <c r="M4776">
        <v>298000</v>
      </c>
    </row>
    <row r="4777" spans="1:13" x14ac:dyDescent="0.25">
      <c r="A4777" t="s">
        <v>15860</v>
      </c>
      <c r="B4777" t="s">
        <v>15861</v>
      </c>
      <c r="C4777" t="s">
        <v>15</v>
      </c>
      <c r="D4777" t="s">
        <v>13224</v>
      </c>
      <c r="E4777" t="s">
        <v>15503</v>
      </c>
      <c r="F4777" t="s">
        <v>15646</v>
      </c>
      <c r="G4777" t="s">
        <v>15862</v>
      </c>
      <c r="H4777" t="str">
        <f>HYPERLINK("https://baanknet.com/view-property/252619/B7E9061DFF37B34140724EBE70A61DF14F692F5B112B03CA21023E9877CB82D5", "https://baanknet.com/view-property/252619/B7E9061DFF37B34140724EBE70A61DF14F692F5B112B03CA21023E9877CB82D5")</f>
        <v>https://baanknet.com/view-property/252619/B7E9061DFF37B34140724EBE70A61DF14F692F5B112B03CA21023E9877CB82D5</v>
      </c>
      <c r="I4777" t="str">
        <f>HYPERLINK("https://baanknet.com/view-property/252619/B7E9061DFF37B34140724EBE70A61DF14F692F5B112B03CA21023E9877CB82D5", "Open")</f>
        <v>Open</v>
      </c>
      <c r="J4777" t="s">
        <v>3803</v>
      </c>
      <c r="L4777">
        <v>770000</v>
      </c>
      <c r="M4777">
        <v>77000</v>
      </c>
    </row>
    <row r="4778" spans="1:13" x14ac:dyDescent="0.25">
      <c r="A4778" t="s">
        <v>15863</v>
      </c>
      <c r="B4778" t="s">
        <v>15864</v>
      </c>
      <c r="C4778" t="s">
        <v>15</v>
      </c>
      <c r="D4778" t="s">
        <v>15865</v>
      </c>
      <c r="E4778" t="s">
        <v>15503</v>
      </c>
      <c r="F4778" t="s">
        <v>15646</v>
      </c>
      <c r="G4778" t="s">
        <v>15866</v>
      </c>
      <c r="H4778" t="str">
        <f>HYPERLINK("https://baanknet.com/view-property/252621/62F27FEFECE628408C80FC6AD9070DFB68DD02C17159B6476CFF4E54C05D5D93", "https://baanknet.com/view-property/252621/62F27FEFECE628408C80FC6AD9070DFB68DD02C17159B6476CFF4E54C05D5D93")</f>
        <v>https://baanknet.com/view-property/252621/62F27FEFECE628408C80FC6AD9070DFB68DD02C17159B6476CFF4E54C05D5D93</v>
      </c>
      <c r="I4778" t="str">
        <f>HYPERLINK("https://baanknet.com/view-property/252621/62F27FEFECE628408C80FC6AD9070DFB68DD02C17159B6476CFF4E54C05D5D93", "Open")</f>
        <v>Open</v>
      </c>
      <c r="J4778" t="s">
        <v>3803</v>
      </c>
      <c r="L4778">
        <v>1730000</v>
      </c>
      <c r="M4778">
        <v>173000</v>
      </c>
    </row>
    <row r="4779" spans="1:13" x14ac:dyDescent="0.25">
      <c r="A4779" t="s">
        <v>15867</v>
      </c>
      <c r="B4779" t="s">
        <v>15868</v>
      </c>
      <c r="C4779" t="s">
        <v>15</v>
      </c>
      <c r="D4779" t="s">
        <v>10111</v>
      </c>
      <c r="E4779" t="s">
        <v>15503</v>
      </c>
      <c r="F4779" t="s">
        <v>15646</v>
      </c>
      <c r="G4779" t="s">
        <v>15869</v>
      </c>
      <c r="H4779" t="str">
        <f>HYPERLINK("https://baanknet.com/view-property/252622/EE71B3FD2EABB63358D7F82B339567E84C700E3E26AB4A0529B7489E62CF7FC3", "https://baanknet.com/view-property/252622/EE71B3FD2EABB63358D7F82B339567E84C700E3E26AB4A0529B7489E62CF7FC3")</f>
        <v>https://baanknet.com/view-property/252622/EE71B3FD2EABB63358D7F82B339567E84C700E3E26AB4A0529B7489E62CF7FC3</v>
      </c>
      <c r="I4779" t="str">
        <f>HYPERLINK("https://baanknet.com/view-property/252622/EE71B3FD2EABB63358D7F82B339567E84C700E3E26AB4A0529B7489E62CF7FC3", "Open")</f>
        <v>Open</v>
      </c>
      <c r="J4779" t="s">
        <v>3803</v>
      </c>
      <c r="L4779">
        <v>3480000</v>
      </c>
      <c r="M4779">
        <v>348000</v>
      </c>
    </row>
    <row r="4780" spans="1:13" x14ac:dyDescent="0.25">
      <c r="A4780" t="s">
        <v>15870</v>
      </c>
      <c r="B4780" t="s">
        <v>15871</v>
      </c>
      <c r="C4780" t="s">
        <v>15</v>
      </c>
      <c r="D4780" t="s">
        <v>8928</v>
      </c>
      <c r="E4780" t="s">
        <v>15503</v>
      </c>
      <c r="F4780" t="s">
        <v>15646</v>
      </c>
      <c r="G4780" t="s">
        <v>15872</v>
      </c>
      <c r="H4780" t="str">
        <f>HYPERLINK("https://baanknet.com/view-property/252626/7DA9E4E4D5A66512CFF486B7320DA6837EEC1FFA2A7738A69C35A182EC33CDC7", "https://baanknet.com/view-property/252626/7DA9E4E4D5A66512CFF486B7320DA6837EEC1FFA2A7738A69C35A182EC33CDC7")</f>
        <v>https://baanknet.com/view-property/252626/7DA9E4E4D5A66512CFF486B7320DA6837EEC1FFA2A7738A69C35A182EC33CDC7</v>
      </c>
      <c r="I4780" t="str">
        <f>HYPERLINK("https://baanknet.com/view-property/252626/7DA9E4E4D5A66512CFF486B7320DA6837EEC1FFA2A7738A69C35A182EC33CDC7", "Open")</f>
        <v>Open</v>
      </c>
      <c r="J4780" t="s">
        <v>3803</v>
      </c>
      <c r="L4780">
        <v>2880000</v>
      </c>
      <c r="M4780">
        <v>288000</v>
      </c>
    </row>
    <row r="4781" spans="1:13" x14ac:dyDescent="0.25">
      <c r="A4781" t="s">
        <v>15873</v>
      </c>
      <c r="B4781" t="s">
        <v>15874</v>
      </c>
      <c r="C4781" t="s">
        <v>15</v>
      </c>
      <c r="D4781" t="s">
        <v>4034</v>
      </c>
      <c r="E4781" t="s">
        <v>15503</v>
      </c>
      <c r="F4781" t="s">
        <v>15646</v>
      </c>
      <c r="G4781" t="s">
        <v>15875</v>
      </c>
      <c r="H4781" t="str">
        <f>HYPERLINK("https://baanknet.com/view-property/243913/C0B9E46ED44E1E6FAAFDA5DFD89C80629C03EB2554E767DEC666EB88ED925BF4", "https://baanknet.com/view-property/243913/C0B9E46ED44E1E6FAAFDA5DFD89C80629C03EB2554E767DEC666EB88ED925BF4")</f>
        <v>https://baanknet.com/view-property/243913/C0B9E46ED44E1E6FAAFDA5DFD89C80629C03EB2554E767DEC666EB88ED925BF4</v>
      </c>
      <c r="I4781" t="str">
        <f>HYPERLINK("https://baanknet.com/view-property/243913/C0B9E46ED44E1E6FAAFDA5DFD89C80629C03EB2554E767DEC666EB88ED925BF4", "Open")</f>
        <v>Open</v>
      </c>
      <c r="J4781" t="s">
        <v>3803</v>
      </c>
      <c r="L4781">
        <v>450000</v>
      </c>
      <c r="M4781">
        <v>45000</v>
      </c>
    </row>
    <row r="4782" spans="1:13" x14ac:dyDescent="0.25">
      <c r="A4782" t="s">
        <v>15876</v>
      </c>
      <c r="B4782" t="s">
        <v>15877</v>
      </c>
      <c r="C4782" t="s">
        <v>15</v>
      </c>
      <c r="D4782" t="s">
        <v>4034</v>
      </c>
      <c r="E4782" t="s">
        <v>15503</v>
      </c>
      <c r="F4782" t="s">
        <v>15646</v>
      </c>
      <c r="G4782" t="s">
        <v>15878</v>
      </c>
      <c r="H4782" t="str">
        <f>HYPERLINK("https://baanknet.com/view-property/243912/52AE1FBF432A78D5A8F759D749F1BF3B432CE4025661389435478A5E211ECB51", "https://baanknet.com/view-property/243912/52AE1FBF432A78D5A8F759D749F1BF3B432CE4025661389435478A5E211ECB51")</f>
        <v>https://baanknet.com/view-property/243912/52AE1FBF432A78D5A8F759D749F1BF3B432CE4025661389435478A5E211ECB51</v>
      </c>
      <c r="I4782" t="str">
        <f>HYPERLINK("https://baanknet.com/view-property/243912/52AE1FBF432A78D5A8F759D749F1BF3B432CE4025661389435478A5E211ECB51", "Open")</f>
        <v>Open</v>
      </c>
      <c r="J4782" t="s">
        <v>3803</v>
      </c>
      <c r="L4782">
        <v>3250000</v>
      </c>
      <c r="M4782">
        <v>325000</v>
      </c>
    </row>
    <row r="4783" spans="1:13" x14ac:dyDescent="0.25">
      <c r="A4783" t="s">
        <v>15879</v>
      </c>
      <c r="B4783" t="s">
        <v>15880</v>
      </c>
      <c r="C4783" t="s">
        <v>15</v>
      </c>
      <c r="D4783" t="s">
        <v>1246</v>
      </c>
      <c r="E4783" t="s">
        <v>15503</v>
      </c>
      <c r="F4783" t="s">
        <v>15646</v>
      </c>
      <c r="G4783" t="s">
        <v>15881</v>
      </c>
      <c r="H4783" t="str">
        <f>HYPERLINK("https://baanknet.com/view-property/203540/A56F7229D13C02B802F9D8191517137A459C270BBFB2C6B572C697A284AC82B0", "https://baanknet.com/view-property/203540/A56F7229D13C02B802F9D8191517137A459C270BBFB2C6B572C697A284AC82B0")</f>
        <v>https://baanknet.com/view-property/203540/A56F7229D13C02B802F9D8191517137A459C270BBFB2C6B572C697A284AC82B0</v>
      </c>
      <c r="I4783" t="str">
        <f>HYPERLINK("https://baanknet.com/view-property/203540/A56F7229D13C02B802F9D8191517137A459C270BBFB2C6B572C697A284AC82B0", "Open")</f>
        <v>Open</v>
      </c>
      <c r="J4783" t="s">
        <v>3803</v>
      </c>
      <c r="L4783">
        <v>2900000</v>
      </c>
      <c r="M4783">
        <v>290000</v>
      </c>
    </row>
    <row r="4784" spans="1:13" x14ac:dyDescent="0.25">
      <c r="A4784" t="s">
        <v>15882</v>
      </c>
      <c r="B4784" t="s">
        <v>15883</v>
      </c>
      <c r="C4784" t="s">
        <v>15</v>
      </c>
      <c r="D4784" t="s">
        <v>1246</v>
      </c>
      <c r="E4784" t="s">
        <v>15503</v>
      </c>
      <c r="F4784" t="s">
        <v>15646</v>
      </c>
      <c r="G4784" t="s">
        <v>15884</v>
      </c>
      <c r="H4784" t="str">
        <f>HYPERLINK("https://baanknet.com/view-property/203542/A5C42377095622EBB5AF969807BEBD571FE76F637E02D8389DCA0D6A4285D021", "https://baanknet.com/view-property/203542/A5C42377095622EBB5AF969807BEBD571FE76F637E02D8389DCA0D6A4285D021")</f>
        <v>https://baanknet.com/view-property/203542/A5C42377095622EBB5AF969807BEBD571FE76F637E02D8389DCA0D6A4285D021</v>
      </c>
      <c r="I4784" t="str">
        <f>HYPERLINK("https://baanknet.com/view-property/203542/A5C42377095622EBB5AF969807BEBD571FE76F637E02D8389DCA0D6A4285D021", "Open")</f>
        <v>Open</v>
      </c>
      <c r="J4784" t="s">
        <v>3803</v>
      </c>
      <c r="L4784">
        <v>4600000</v>
      </c>
      <c r="M4784">
        <v>460000</v>
      </c>
    </row>
    <row r="4785" spans="1:13" x14ac:dyDescent="0.25">
      <c r="A4785" t="s">
        <v>15885</v>
      </c>
      <c r="B4785" t="s">
        <v>15886</v>
      </c>
      <c r="C4785" t="s">
        <v>15</v>
      </c>
      <c r="D4785" t="s">
        <v>1246</v>
      </c>
      <c r="E4785" t="s">
        <v>15503</v>
      </c>
      <c r="F4785" t="s">
        <v>15646</v>
      </c>
      <c r="G4785" t="s">
        <v>15887</v>
      </c>
      <c r="H4785" t="str">
        <f>HYPERLINK("https://baanknet.com/view-property/203546/C73CE00A6B95B83220197A76C445D83692C7741C55F4D79364D34716B502A677", "https://baanknet.com/view-property/203546/C73CE00A6B95B83220197A76C445D83692C7741C55F4D79364D34716B502A677")</f>
        <v>https://baanknet.com/view-property/203546/C73CE00A6B95B83220197A76C445D83692C7741C55F4D79364D34716B502A677</v>
      </c>
      <c r="I4785" t="str">
        <f>HYPERLINK("https://baanknet.com/view-property/203546/C73CE00A6B95B83220197A76C445D83692C7741C55F4D79364D34716B502A677", "Open")</f>
        <v>Open</v>
      </c>
      <c r="J4785" t="s">
        <v>3803</v>
      </c>
      <c r="L4785">
        <v>8600000</v>
      </c>
      <c r="M4785">
        <v>860000</v>
      </c>
    </row>
    <row r="4786" spans="1:13" x14ac:dyDescent="0.25">
      <c r="A4786" t="s">
        <v>15888</v>
      </c>
      <c r="B4786" t="s">
        <v>15889</v>
      </c>
      <c r="C4786" t="s">
        <v>15</v>
      </c>
      <c r="D4786" t="s">
        <v>1246</v>
      </c>
      <c r="E4786" t="s">
        <v>15503</v>
      </c>
      <c r="F4786" t="s">
        <v>15646</v>
      </c>
      <c r="G4786" t="s">
        <v>15890</v>
      </c>
      <c r="H4786" t="str">
        <f>HYPERLINK("https://baanknet.com/view-property/277410/49E9E0CAF2A2ACED1F2CFD2AACBCDCB8CE0A5BB5DA0EF49CC6768FED7B1C6331", "https://baanknet.com/view-property/277410/49E9E0CAF2A2ACED1F2CFD2AACBCDCB8CE0A5BB5DA0EF49CC6768FED7B1C6331")</f>
        <v>https://baanknet.com/view-property/277410/49E9E0CAF2A2ACED1F2CFD2AACBCDCB8CE0A5BB5DA0EF49CC6768FED7B1C6331</v>
      </c>
      <c r="I4786" t="str">
        <f>HYPERLINK("https://baanknet.com/view-property/277410/49E9E0CAF2A2ACED1F2CFD2AACBCDCB8CE0A5BB5DA0EF49CC6768FED7B1C6331", "Open")</f>
        <v>Open</v>
      </c>
      <c r="J4786" t="s">
        <v>3803</v>
      </c>
      <c r="L4786">
        <v>6300000</v>
      </c>
      <c r="M4786">
        <v>630000</v>
      </c>
    </row>
    <row r="4787" spans="1:13" x14ac:dyDescent="0.25">
      <c r="A4787" t="s">
        <v>15891</v>
      </c>
      <c r="B4787" t="s">
        <v>15892</v>
      </c>
      <c r="C4787" t="s">
        <v>15</v>
      </c>
      <c r="D4787" t="s">
        <v>4228</v>
      </c>
      <c r="E4787" t="s">
        <v>15503</v>
      </c>
      <c r="F4787" t="s">
        <v>15646</v>
      </c>
      <c r="G4787" t="s">
        <v>15893</v>
      </c>
      <c r="H4787" t="str">
        <f>HYPERLINK("https://baanknet.com/view-property/201918/F10F2323D0EE8E31341225D69F690E0D39B6B92D20A0B6C8C02B980D90E5D467", "https://baanknet.com/view-property/201918/F10F2323D0EE8E31341225D69F690E0D39B6B92D20A0B6C8C02B980D90E5D467")</f>
        <v>https://baanknet.com/view-property/201918/F10F2323D0EE8E31341225D69F690E0D39B6B92D20A0B6C8C02B980D90E5D467</v>
      </c>
      <c r="I4787" t="str">
        <f>HYPERLINK("https://baanknet.com/view-property/201918/F10F2323D0EE8E31341225D69F690E0D39B6B92D20A0B6C8C02B980D90E5D467", "Open")</f>
        <v>Open</v>
      </c>
      <c r="J4787" t="s">
        <v>3803</v>
      </c>
      <c r="L4787">
        <v>2352000</v>
      </c>
      <c r="M4787">
        <v>235200</v>
      </c>
    </row>
    <row r="4788" spans="1:13" x14ac:dyDescent="0.25">
      <c r="A4788" t="s">
        <v>15894</v>
      </c>
      <c r="B4788" t="s">
        <v>15895</v>
      </c>
      <c r="C4788" t="s">
        <v>15</v>
      </c>
      <c r="D4788" t="s">
        <v>13224</v>
      </c>
      <c r="E4788" t="s">
        <v>15503</v>
      </c>
      <c r="F4788" t="s">
        <v>15646</v>
      </c>
      <c r="G4788" t="s">
        <v>15896</v>
      </c>
      <c r="H4788" t="str">
        <f>HYPERLINK("https://baanknet.com/view-property/201990/4CC6CD093D4F57413FA48F74961C35DBA57C4D96EFCE66F85C01E9E1E739FBC1", "https://baanknet.com/view-property/201990/4CC6CD093D4F57413FA48F74961C35DBA57C4D96EFCE66F85C01E9E1E739FBC1")</f>
        <v>https://baanknet.com/view-property/201990/4CC6CD093D4F57413FA48F74961C35DBA57C4D96EFCE66F85C01E9E1E739FBC1</v>
      </c>
      <c r="I4788" t="str">
        <f>HYPERLINK("https://baanknet.com/view-property/201990/4CC6CD093D4F57413FA48F74961C35DBA57C4D96EFCE66F85C01E9E1E739FBC1", "Open")</f>
        <v>Open</v>
      </c>
      <c r="J4788" t="s">
        <v>3803</v>
      </c>
      <c r="L4788">
        <v>2300000</v>
      </c>
      <c r="M4788">
        <v>230000</v>
      </c>
    </row>
    <row r="4789" spans="1:13" x14ac:dyDescent="0.25">
      <c r="A4789" t="s">
        <v>15897</v>
      </c>
      <c r="B4789" t="s">
        <v>15898</v>
      </c>
      <c r="C4789" t="s">
        <v>15</v>
      </c>
      <c r="D4789" t="s">
        <v>13224</v>
      </c>
      <c r="E4789" t="s">
        <v>15503</v>
      </c>
      <c r="F4789" t="s">
        <v>15646</v>
      </c>
      <c r="G4789" t="s">
        <v>15899</v>
      </c>
      <c r="H4789" t="str">
        <f>HYPERLINK("https://baanknet.com/view-property/202000/6056427C918C124886C64DCDC5705E08C2DD845E2A73971A7C2F19F2D922735E", "https://baanknet.com/view-property/202000/6056427C918C124886C64DCDC5705E08C2DD845E2A73971A7C2F19F2D922735E")</f>
        <v>https://baanknet.com/view-property/202000/6056427C918C124886C64DCDC5705E08C2DD845E2A73971A7C2F19F2D922735E</v>
      </c>
      <c r="I4789" t="str">
        <f>HYPERLINK("https://baanknet.com/view-property/202000/6056427C918C124886C64DCDC5705E08C2DD845E2A73971A7C2F19F2D922735E", "Open")</f>
        <v>Open</v>
      </c>
      <c r="J4789" t="s">
        <v>3803</v>
      </c>
      <c r="L4789">
        <v>3650000</v>
      </c>
      <c r="M4789">
        <v>365000</v>
      </c>
    </row>
    <row r="4790" spans="1:13" x14ac:dyDescent="0.25">
      <c r="A4790" t="s">
        <v>15900</v>
      </c>
      <c r="B4790" t="s">
        <v>15901</v>
      </c>
      <c r="C4790" t="s">
        <v>15</v>
      </c>
      <c r="D4790" t="s">
        <v>13224</v>
      </c>
      <c r="E4790" t="s">
        <v>15503</v>
      </c>
      <c r="F4790" t="s">
        <v>15646</v>
      </c>
      <c r="G4790" t="s">
        <v>15902</v>
      </c>
      <c r="H4790" t="str">
        <f>HYPERLINK("https://baanknet.com/view-property/202001/97A163561BAF143847CD8619DFC26AC8657F469B31324DAA21B280CD3CAEA756", "https://baanknet.com/view-property/202001/97A163561BAF143847CD8619DFC26AC8657F469B31324DAA21B280CD3CAEA756")</f>
        <v>https://baanknet.com/view-property/202001/97A163561BAF143847CD8619DFC26AC8657F469B31324DAA21B280CD3CAEA756</v>
      </c>
      <c r="I4790" t="str">
        <f>HYPERLINK("https://baanknet.com/view-property/202001/97A163561BAF143847CD8619DFC26AC8657F469B31324DAA21B280CD3CAEA756", "Open")</f>
        <v>Open</v>
      </c>
      <c r="J4790" t="s">
        <v>3803</v>
      </c>
      <c r="L4790">
        <v>3550000</v>
      </c>
      <c r="M4790">
        <v>355000</v>
      </c>
    </row>
    <row r="4791" spans="1:13" x14ac:dyDescent="0.25">
      <c r="A4791" t="s">
        <v>15903</v>
      </c>
      <c r="B4791" t="s">
        <v>15904</v>
      </c>
      <c r="C4791" t="s">
        <v>15</v>
      </c>
      <c r="D4791" t="s">
        <v>13224</v>
      </c>
      <c r="E4791" t="s">
        <v>15503</v>
      </c>
      <c r="F4791" t="s">
        <v>15646</v>
      </c>
      <c r="G4791" t="s">
        <v>15905</v>
      </c>
      <c r="H4791" t="str">
        <f>HYPERLINK("https://baanknet.com/view-property/202003/AA6EB80F48E2D19E60FB0CD9E948D773D7F22A477E8C583AE6475F8BEC5018F6", "https://baanknet.com/view-property/202003/AA6EB80F48E2D19E60FB0CD9E948D773D7F22A477E8C583AE6475F8BEC5018F6")</f>
        <v>https://baanknet.com/view-property/202003/AA6EB80F48E2D19E60FB0CD9E948D773D7F22A477E8C583AE6475F8BEC5018F6</v>
      </c>
      <c r="I4791" t="str">
        <f>HYPERLINK("https://baanknet.com/view-property/202003/AA6EB80F48E2D19E60FB0CD9E948D773D7F22A477E8C583AE6475F8BEC5018F6", "Open")</f>
        <v>Open</v>
      </c>
      <c r="J4791" t="s">
        <v>3803</v>
      </c>
      <c r="L4791">
        <v>3100000</v>
      </c>
      <c r="M4791">
        <v>310000</v>
      </c>
    </row>
    <row r="4792" spans="1:13" x14ac:dyDescent="0.25">
      <c r="A4792" t="s">
        <v>15906</v>
      </c>
      <c r="B4792" t="s">
        <v>15907</v>
      </c>
      <c r="C4792" t="s">
        <v>15</v>
      </c>
      <c r="D4792" t="s">
        <v>4430</v>
      </c>
      <c r="E4792" t="s">
        <v>15503</v>
      </c>
      <c r="F4792" t="s">
        <v>15646</v>
      </c>
      <c r="G4792" t="s">
        <v>15908</v>
      </c>
      <c r="H4792" t="str">
        <f>HYPERLINK("https://baanknet.com/view-property/243601/4AB9A5F275BECB6D9DF06D35CD2134BCAE42FD1C1BA808FEFD51DB6B6C56FB59", "https://baanknet.com/view-property/243601/4AB9A5F275BECB6D9DF06D35CD2134BCAE42FD1C1BA808FEFD51DB6B6C56FB59")</f>
        <v>https://baanknet.com/view-property/243601/4AB9A5F275BECB6D9DF06D35CD2134BCAE42FD1C1BA808FEFD51DB6B6C56FB59</v>
      </c>
      <c r="I4792" t="str">
        <f>HYPERLINK("https://baanknet.com/view-property/243601/4AB9A5F275BECB6D9DF06D35CD2134BCAE42FD1C1BA808FEFD51DB6B6C56FB59", "Open")</f>
        <v>Open</v>
      </c>
      <c r="J4792" t="s">
        <v>3803</v>
      </c>
      <c r="L4792">
        <v>5400000</v>
      </c>
      <c r="M4792">
        <v>540000</v>
      </c>
    </row>
    <row r="4793" spans="1:13" x14ac:dyDescent="0.25">
      <c r="A4793" t="s">
        <v>15909</v>
      </c>
      <c r="B4793" t="s">
        <v>15910</v>
      </c>
      <c r="C4793" t="s">
        <v>15</v>
      </c>
      <c r="D4793" t="s">
        <v>4430</v>
      </c>
      <c r="E4793" t="s">
        <v>15503</v>
      </c>
      <c r="F4793" t="s">
        <v>15646</v>
      </c>
      <c r="G4793" t="s">
        <v>15911</v>
      </c>
      <c r="H4793" t="str">
        <f>HYPERLINK("https://baanknet.com/view-property/243602/70911C5785DA20BA8A5783C760E17F7FA48FD0BFD8B60FFD9B9E6CB2381E34CD", "https://baanknet.com/view-property/243602/70911C5785DA20BA8A5783C760E17F7FA48FD0BFD8B60FFD9B9E6CB2381E34CD")</f>
        <v>https://baanknet.com/view-property/243602/70911C5785DA20BA8A5783C760E17F7FA48FD0BFD8B60FFD9B9E6CB2381E34CD</v>
      </c>
      <c r="I4793" t="str">
        <f>HYPERLINK("https://baanknet.com/view-property/243602/70911C5785DA20BA8A5783C760E17F7FA48FD0BFD8B60FFD9B9E6CB2381E34CD", "Open")</f>
        <v>Open</v>
      </c>
      <c r="J4793" t="s">
        <v>3803</v>
      </c>
      <c r="L4793">
        <v>6500000</v>
      </c>
      <c r="M4793">
        <v>650000</v>
      </c>
    </row>
    <row r="4794" spans="1:13" x14ac:dyDescent="0.25">
      <c r="A4794" t="s">
        <v>15912</v>
      </c>
      <c r="B4794" t="s">
        <v>15913</v>
      </c>
      <c r="C4794" t="s">
        <v>15</v>
      </c>
      <c r="D4794" t="s">
        <v>1246</v>
      </c>
      <c r="E4794" t="s">
        <v>15503</v>
      </c>
      <c r="F4794" t="s">
        <v>15646</v>
      </c>
      <c r="G4794" t="s">
        <v>15914</v>
      </c>
      <c r="H4794" t="str">
        <f>HYPERLINK("https://baanknet.com/view-property/280217/434EBC3901EA27365CF2B205EFA3045657CD1F378CDCAF2A6144111693D758E1", "https://baanknet.com/view-property/280217/434EBC3901EA27365CF2B205EFA3045657CD1F378CDCAF2A6144111693D758E1")</f>
        <v>https://baanknet.com/view-property/280217/434EBC3901EA27365CF2B205EFA3045657CD1F378CDCAF2A6144111693D758E1</v>
      </c>
      <c r="I4794" t="str">
        <f>HYPERLINK("https://baanknet.com/view-property/280217/434EBC3901EA27365CF2B205EFA3045657CD1F378CDCAF2A6144111693D758E1", "Open")</f>
        <v>Open</v>
      </c>
      <c r="J4794" t="s">
        <v>3803</v>
      </c>
      <c r="L4794">
        <v>7900000</v>
      </c>
      <c r="M4794">
        <v>790000</v>
      </c>
    </row>
    <row r="4795" spans="1:13" x14ac:dyDescent="0.25">
      <c r="A4795" t="s">
        <v>15915</v>
      </c>
      <c r="B4795" t="s">
        <v>15916</v>
      </c>
      <c r="C4795" t="s">
        <v>15</v>
      </c>
      <c r="D4795" t="s">
        <v>15917</v>
      </c>
      <c r="E4795" t="s">
        <v>15503</v>
      </c>
      <c r="F4795" t="s">
        <v>15646</v>
      </c>
      <c r="G4795" t="s">
        <v>15918</v>
      </c>
      <c r="H4795" t="str">
        <f>HYPERLINK("https://baanknet.com/view-property/239514/A45FCEFFD1D18B2FAE7AEDC3A9DCAE8643E0262E720EE01CE5B5784E1568C153", "https://baanknet.com/view-property/239514/A45FCEFFD1D18B2FAE7AEDC3A9DCAE8643E0262E720EE01CE5B5784E1568C153")</f>
        <v>https://baanknet.com/view-property/239514/A45FCEFFD1D18B2FAE7AEDC3A9DCAE8643E0262E720EE01CE5B5784E1568C153</v>
      </c>
      <c r="I4795" t="str">
        <f>HYPERLINK("https://baanknet.com/view-property/239514/A45FCEFFD1D18B2FAE7AEDC3A9DCAE8643E0262E720EE01CE5B5784E1568C153", "Open")</f>
        <v>Open</v>
      </c>
      <c r="J4795" t="s">
        <v>3803</v>
      </c>
      <c r="L4795">
        <v>1330000</v>
      </c>
      <c r="M4795">
        <v>133000</v>
      </c>
    </row>
    <row r="4796" spans="1:13" x14ac:dyDescent="0.25">
      <c r="A4796" t="s">
        <v>15919</v>
      </c>
      <c r="B4796" t="s">
        <v>15920</v>
      </c>
      <c r="C4796" t="s">
        <v>15</v>
      </c>
      <c r="D4796" t="s">
        <v>3879</v>
      </c>
      <c r="E4796" t="s">
        <v>15503</v>
      </c>
      <c r="F4796" t="s">
        <v>14001</v>
      </c>
      <c r="G4796" t="s">
        <v>15921</v>
      </c>
      <c r="H4796" t="str">
        <f>HYPERLINK("https://baanknet.com/view-property/186543/F5B9175214EB61E8C6827380623A3474D9C36F66597EA5CFA9B66C007E993738", "https://baanknet.com/view-property/186543/F5B9175214EB61E8C6827380623A3474D9C36F66597EA5CFA9B66C007E993738")</f>
        <v>https://baanknet.com/view-property/186543/F5B9175214EB61E8C6827380623A3474D9C36F66597EA5CFA9B66C007E993738</v>
      </c>
      <c r="I4796" t="str">
        <f>HYPERLINK("https://baanknet.com/view-property/186543/F5B9175214EB61E8C6827380623A3474D9C36F66597EA5CFA9B66C007E993738", "Open")</f>
        <v>Open</v>
      </c>
      <c r="J4796" t="s">
        <v>3803</v>
      </c>
      <c r="L4796">
        <v>652000</v>
      </c>
      <c r="M4796">
        <v>65200</v>
      </c>
    </row>
    <row r="4797" spans="1:13" x14ac:dyDescent="0.25">
      <c r="A4797" t="s">
        <v>15922</v>
      </c>
      <c r="B4797" t="s">
        <v>15923</v>
      </c>
      <c r="C4797" t="s">
        <v>15</v>
      </c>
      <c r="D4797" t="s">
        <v>15924</v>
      </c>
      <c r="E4797" t="s">
        <v>15503</v>
      </c>
      <c r="F4797" t="s">
        <v>14001</v>
      </c>
      <c r="G4797" t="s">
        <v>15925</v>
      </c>
      <c r="H4797" t="str">
        <f>HYPERLINK("https://baanknet.com/view-property/255117/5437DA0875AFBB11E7A8066D70027B647451E1A682797341B181539C40552455", "https://baanknet.com/view-property/255117/5437DA0875AFBB11E7A8066D70027B647451E1A682797341B181539C40552455")</f>
        <v>https://baanknet.com/view-property/255117/5437DA0875AFBB11E7A8066D70027B647451E1A682797341B181539C40552455</v>
      </c>
      <c r="I4797" t="str">
        <f>HYPERLINK("https://baanknet.com/view-property/255117/5437DA0875AFBB11E7A8066D70027B647451E1A682797341B181539C40552455", "Open")</f>
        <v>Open</v>
      </c>
      <c r="J4797" t="s">
        <v>3803</v>
      </c>
      <c r="L4797">
        <v>1394000</v>
      </c>
      <c r="M4797">
        <v>139400</v>
      </c>
    </row>
    <row r="4798" spans="1:13" x14ac:dyDescent="0.25">
      <c r="A4798" t="s">
        <v>15926</v>
      </c>
      <c r="B4798" t="s">
        <v>15927</v>
      </c>
      <c r="C4798" t="s">
        <v>15</v>
      </c>
      <c r="D4798" t="s">
        <v>3879</v>
      </c>
      <c r="E4798" t="s">
        <v>15503</v>
      </c>
      <c r="F4798" t="s">
        <v>14001</v>
      </c>
      <c r="G4798" t="s">
        <v>15928</v>
      </c>
      <c r="H4798" t="str">
        <f>HYPERLINK("https://baanknet.com/view-property/201554/B5635A23096CB3484834491A6077A3EDCFFBF4649D8FDA9A19AD6700D0CC792B", "https://baanknet.com/view-property/201554/B5635A23096CB3484834491A6077A3EDCFFBF4649D8FDA9A19AD6700D0CC792B")</f>
        <v>https://baanknet.com/view-property/201554/B5635A23096CB3484834491A6077A3EDCFFBF4649D8FDA9A19AD6700D0CC792B</v>
      </c>
      <c r="I4798" t="str">
        <f>HYPERLINK("https://baanknet.com/view-property/201554/B5635A23096CB3484834491A6077A3EDCFFBF4649D8FDA9A19AD6700D0CC792B", "Open")</f>
        <v>Open</v>
      </c>
      <c r="J4798" t="s">
        <v>3803</v>
      </c>
      <c r="L4798">
        <v>1968000</v>
      </c>
      <c r="M4798">
        <v>196800</v>
      </c>
    </row>
    <row r="4799" spans="1:13" x14ac:dyDescent="0.25">
      <c r="A4799" t="s">
        <v>15929</v>
      </c>
      <c r="B4799" t="s">
        <v>15930</v>
      </c>
      <c r="C4799" t="s">
        <v>15</v>
      </c>
      <c r="D4799" t="s">
        <v>15931</v>
      </c>
      <c r="E4799" t="s">
        <v>15503</v>
      </c>
      <c r="F4799" t="s">
        <v>14001</v>
      </c>
      <c r="G4799" t="s">
        <v>15932</v>
      </c>
      <c r="H4799" t="str">
        <f>HYPERLINK("https://baanknet.com/view-property/200127/B0D337C223EADC15902AF81336F69498DD5E8B1B7880261C0EB9562B8A558F9B", "https://baanknet.com/view-property/200127/B0D337C223EADC15902AF81336F69498DD5E8B1B7880261C0EB9562B8A558F9B")</f>
        <v>https://baanknet.com/view-property/200127/B0D337C223EADC15902AF81336F69498DD5E8B1B7880261C0EB9562B8A558F9B</v>
      </c>
      <c r="I4799" t="str">
        <f>HYPERLINK("https://baanknet.com/view-property/200127/B0D337C223EADC15902AF81336F69498DD5E8B1B7880261C0EB9562B8A558F9B", "Open")</f>
        <v>Open</v>
      </c>
      <c r="J4799" t="s">
        <v>3803</v>
      </c>
      <c r="L4799">
        <v>3258000</v>
      </c>
      <c r="M4799">
        <v>325800</v>
      </c>
    </row>
    <row r="4800" spans="1:13" x14ac:dyDescent="0.25">
      <c r="A4800" t="s">
        <v>15933</v>
      </c>
      <c r="B4800" t="s">
        <v>15934</v>
      </c>
      <c r="C4800" t="s">
        <v>144</v>
      </c>
      <c r="D4800" t="s">
        <v>15935</v>
      </c>
      <c r="E4800" t="s">
        <v>15503</v>
      </c>
      <c r="F4800" t="s">
        <v>14001</v>
      </c>
      <c r="G4800" t="s">
        <v>15936</v>
      </c>
      <c r="H4800" t="str">
        <f>HYPERLINK("https://baanknet.com/view-property/269956/B4807C17FE51D93F90D7466B51ACE665081BC890C7B2E174A1E0FD97BD30A7D4", "https://baanknet.com/view-property/269956/B4807C17FE51D93F90D7466B51ACE665081BC890C7B2E174A1E0FD97BD30A7D4")</f>
        <v>https://baanknet.com/view-property/269956/B4807C17FE51D93F90D7466B51ACE665081BC890C7B2E174A1E0FD97BD30A7D4</v>
      </c>
      <c r="I4800" t="str">
        <f>HYPERLINK("https://baanknet.com/view-property/269956/B4807C17FE51D93F90D7466B51ACE665081BC890C7B2E174A1E0FD97BD30A7D4", "Open")</f>
        <v>Open</v>
      </c>
      <c r="J4800" t="s">
        <v>3803</v>
      </c>
      <c r="L4800">
        <v>5171000</v>
      </c>
      <c r="M4800">
        <v>517100</v>
      </c>
    </row>
    <row r="4801" spans="1:13" x14ac:dyDescent="0.25">
      <c r="A4801" t="s">
        <v>15937</v>
      </c>
      <c r="B4801" t="s">
        <v>15938</v>
      </c>
      <c r="C4801" t="s">
        <v>144</v>
      </c>
      <c r="D4801" t="s">
        <v>3875</v>
      </c>
      <c r="E4801" t="s">
        <v>15503</v>
      </c>
      <c r="F4801" t="s">
        <v>14001</v>
      </c>
      <c r="G4801" t="s">
        <v>15939</v>
      </c>
      <c r="H4801" t="str">
        <f>HYPERLINK("https://baanknet.com/view-property/269954/CE9CE3987BF92C3C49DDC021362C0C77AE64139800C85C90F607C6A2E3343AF2", "https://baanknet.com/view-property/269954/CE9CE3987BF92C3C49DDC021362C0C77AE64139800C85C90F607C6A2E3343AF2")</f>
        <v>https://baanknet.com/view-property/269954/CE9CE3987BF92C3C49DDC021362C0C77AE64139800C85C90F607C6A2E3343AF2</v>
      </c>
      <c r="I4801" t="str">
        <f>HYPERLINK("https://baanknet.com/view-property/269954/CE9CE3987BF92C3C49DDC021362C0C77AE64139800C85C90F607C6A2E3343AF2", "Open")</f>
        <v>Open</v>
      </c>
      <c r="J4801" t="s">
        <v>3803</v>
      </c>
      <c r="L4801">
        <v>3417000</v>
      </c>
      <c r="M4801">
        <v>341700</v>
      </c>
    </row>
    <row r="4802" spans="1:13" x14ac:dyDescent="0.25">
      <c r="A4802" t="s">
        <v>15940</v>
      </c>
      <c r="B4802" t="s">
        <v>15941</v>
      </c>
      <c r="C4802" t="s">
        <v>15</v>
      </c>
      <c r="D4802" t="s">
        <v>3317</v>
      </c>
      <c r="E4802" t="s">
        <v>15507</v>
      </c>
      <c r="F4802" t="s">
        <v>15646</v>
      </c>
      <c r="G4802" t="s">
        <v>15942</v>
      </c>
      <c r="H4802" t="str">
        <f>HYPERLINK("https://baanknet.com/view-property/279538/9E23F3ABA239F7D5DC5F7FD782017401608057E8BAF1086D003BD71C9E289300", "https://baanknet.com/view-property/279538/9E23F3ABA239F7D5DC5F7FD782017401608057E8BAF1086D003BD71C9E289300")</f>
        <v>https://baanknet.com/view-property/279538/9E23F3ABA239F7D5DC5F7FD782017401608057E8BAF1086D003BD71C9E289300</v>
      </c>
      <c r="I4802" t="str">
        <f>HYPERLINK("https://baanknet.com/view-property/279538/9E23F3ABA239F7D5DC5F7FD782017401608057E8BAF1086D003BD71C9E289300", "Open")</f>
        <v>Open</v>
      </c>
      <c r="J4802" t="s">
        <v>3803</v>
      </c>
      <c r="L4802">
        <v>2845000</v>
      </c>
      <c r="M4802">
        <v>284500</v>
      </c>
    </row>
    <row r="4803" spans="1:13" x14ac:dyDescent="0.25">
      <c r="A4803" t="s">
        <v>15943</v>
      </c>
      <c r="B4803" t="s">
        <v>15944</v>
      </c>
      <c r="C4803" t="s">
        <v>15</v>
      </c>
      <c r="D4803" t="s">
        <v>15945</v>
      </c>
      <c r="E4803" t="s">
        <v>15507</v>
      </c>
      <c r="F4803" t="s">
        <v>15646</v>
      </c>
      <c r="G4803" t="s">
        <v>15946</v>
      </c>
      <c r="H4803" t="str">
        <f>HYPERLINK("https://baanknet.com/view-property/246355/8F8B656C9C662AC3AC52C0393B531A1E884C59E9C31144EDCBB094FB7EC82B9B", "https://baanknet.com/view-property/246355/8F8B656C9C662AC3AC52C0393B531A1E884C59E9C31144EDCBB094FB7EC82B9B")</f>
        <v>https://baanknet.com/view-property/246355/8F8B656C9C662AC3AC52C0393B531A1E884C59E9C31144EDCBB094FB7EC82B9B</v>
      </c>
      <c r="I4803" t="str">
        <f>HYPERLINK("https://baanknet.com/view-property/246355/8F8B656C9C662AC3AC52C0393B531A1E884C59E9C31144EDCBB094FB7EC82B9B", "Open")</f>
        <v>Open</v>
      </c>
      <c r="J4803" t="s">
        <v>3803</v>
      </c>
      <c r="L4803">
        <v>596000</v>
      </c>
      <c r="M4803">
        <v>59600</v>
      </c>
    </row>
    <row r="4804" spans="1:13" x14ac:dyDescent="0.25">
      <c r="A4804" t="s">
        <v>15947</v>
      </c>
      <c r="B4804" t="s">
        <v>15948</v>
      </c>
      <c r="C4804" t="s">
        <v>15</v>
      </c>
      <c r="D4804" t="s">
        <v>10657</v>
      </c>
      <c r="E4804" t="s">
        <v>15507</v>
      </c>
      <c r="F4804" t="s">
        <v>15646</v>
      </c>
      <c r="G4804" t="s">
        <v>15949</v>
      </c>
      <c r="H4804" t="str">
        <f>HYPERLINK("https://baanknet.com/view-property/279346/7DF193F3D7BA66F406AFD6046E439A6B5E42E5E787DFF3D4E649B6AEF7F674FB", "https://baanknet.com/view-property/279346/7DF193F3D7BA66F406AFD6046E439A6B5E42E5E787DFF3D4E649B6AEF7F674FB")</f>
        <v>https://baanknet.com/view-property/279346/7DF193F3D7BA66F406AFD6046E439A6B5E42E5E787DFF3D4E649B6AEF7F674FB</v>
      </c>
      <c r="I4804" t="str">
        <f>HYPERLINK("https://baanknet.com/view-property/279346/7DF193F3D7BA66F406AFD6046E439A6B5E42E5E787DFF3D4E649B6AEF7F674FB", "Open")</f>
        <v>Open</v>
      </c>
      <c r="J4804" t="s">
        <v>3803</v>
      </c>
      <c r="L4804">
        <v>4091000</v>
      </c>
      <c r="M4804">
        <v>409100</v>
      </c>
    </row>
    <row r="4805" spans="1:13" x14ac:dyDescent="0.25">
      <c r="A4805" t="s">
        <v>15950</v>
      </c>
      <c r="B4805" t="s">
        <v>15951</v>
      </c>
      <c r="C4805" t="s">
        <v>15</v>
      </c>
      <c r="D4805" t="s">
        <v>608</v>
      </c>
      <c r="E4805" t="s">
        <v>15507</v>
      </c>
      <c r="F4805" t="s">
        <v>15646</v>
      </c>
      <c r="G4805" t="s">
        <v>15952</v>
      </c>
      <c r="H4805" t="str">
        <f>HYPERLINK("https://baanknet.com/view-property/269797/E45704F7D5D87874A206A564FCD56BD482691BAD7C7E49C97558C5440C11E1EA", "https://baanknet.com/view-property/269797/E45704F7D5D87874A206A564FCD56BD482691BAD7C7E49C97558C5440C11E1EA")</f>
        <v>https://baanknet.com/view-property/269797/E45704F7D5D87874A206A564FCD56BD482691BAD7C7E49C97558C5440C11E1EA</v>
      </c>
      <c r="I4805" t="str">
        <f>HYPERLINK("https://baanknet.com/view-property/269797/E45704F7D5D87874A206A564FCD56BD482691BAD7C7E49C97558C5440C11E1EA", "Open")</f>
        <v>Open</v>
      </c>
      <c r="J4805" t="s">
        <v>3803</v>
      </c>
      <c r="L4805">
        <v>4500000</v>
      </c>
      <c r="M4805">
        <v>450000</v>
      </c>
    </row>
    <row r="4806" spans="1:13" x14ac:dyDescent="0.25">
      <c r="A4806" t="s">
        <v>15953</v>
      </c>
      <c r="B4806" t="s">
        <v>15954</v>
      </c>
      <c r="C4806" t="s">
        <v>15</v>
      </c>
      <c r="D4806" t="s">
        <v>608</v>
      </c>
      <c r="E4806" t="s">
        <v>15507</v>
      </c>
      <c r="F4806" t="s">
        <v>15646</v>
      </c>
      <c r="G4806" t="s">
        <v>15955</v>
      </c>
      <c r="H4806" t="str">
        <f>HYPERLINK("https://baanknet.com/view-property/278747/86F4480B77D230D16872B1A8E050F2474635C63B4C993C66CEB627F83764B96E", "https://baanknet.com/view-property/278747/86F4480B77D230D16872B1A8E050F2474635C63B4C993C66CEB627F83764B96E")</f>
        <v>https://baanknet.com/view-property/278747/86F4480B77D230D16872B1A8E050F2474635C63B4C993C66CEB627F83764B96E</v>
      </c>
      <c r="I4806" t="str">
        <f>HYPERLINK("https://baanknet.com/view-property/278747/86F4480B77D230D16872B1A8E050F2474635C63B4C993C66CEB627F83764B96E", "Open")</f>
        <v>Open</v>
      </c>
      <c r="J4806" t="s">
        <v>3803</v>
      </c>
      <c r="L4806">
        <v>3600000</v>
      </c>
      <c r="M4806">
        <v>360000</v>
      </c>
    </row>
    <row r="4807" spans="1:13" x14ac:dyDescent="0.25">
      <c r="A4807" t="s">
        <v>15956</v>
      </c>
      <c r="B4807" t="s">
        <v>15957</v>
      </c>
      <c r="C4807" t="s">
        <v>15</v>
      </c>
      <c r="D4807" t="s">
        <v>3818</v>
      </c>
      <c r="E4807" t="s">
        <v>15507</v>
      </c>
      <c r="F4807" t="s">
        <v>15515</v>
      </c>
      <c r="G4807" t="s">
        <v>15958</v>
      </c>
      <c r="H4807" t="str">
        <f>HYPERLINK("https://baanknet.com/view-property/271670/D1A5DDF8B68CDF7A5DF67663E36395DF123827DCFBAB5019808828B9D5D6FAD4", "https://baanknet.com/view-property/271670/D1A5DDF8B68CDF7A5DF67663E36395DF123827DCFBAB5019808828B9D5D6FAD4")</f>
        <v>https://baanknet.com/view-property/271670/D1A5DDF8B68CDF7A5DF67663E36395DF123827DCFBAB5019808828B9D5D6FAD4</v>
      </c>
      <c r="I4807" t="str">
        <f>HYPERLINK("https://baanknet.com/view-property/271670/D1A5DDF8B68CDF7A5DF67663E36395DF123827DCFBAB5019808828B9D5D6FAD4", "Open")</f>
        <v>Open</v>
      </c>
      <c r="J4807" t="s">
        <v>3803</v>
      </c>
      <c r="L4807">
        <v>2900000</v>
      </c>
      <c r="M4807">
        <v>290000</v>
      </c>
    </row>
    <row r="4808" spans="1:13" x14ac:dyDescent="0.25">
      <c r="A4808" t="s">
        <v>15959</v>
      </c>
      <c r="B4808" t="s">
        <v>15960</v>
      </c>
      <c r="C4808" t="s">
        <v>15</v>
      </c>
      <c r="D4808" t="s">
        <v>1310</v>
      </c>
      <c r="E4808" t="s">
        <v>15507</v>
      </c>
      <c r="F4808" t="s">
        <v>15515</v>
      </c>
      <c r="G4808" t="s">
        <v>15961</v>
      </c>
      <c r="H4808" t="str">
        <f>HYPERLINK("https://baanknet.com/view-property/171178/7098E2253C931C400DAD0F12ED0B8B539502050A0AEADEA53B450BDC12D1C91C", "https://baanknet.com/view-property/171178/7098E2253C931C400DAD0F12ED0B8B539502050A0AEADEA53B450BDC12D1C91C")</f>
        <v>https://baanknet.com/view-property/171178/7098E2253C931C400DAD0F12ED0B8B539502050A0AEADEA53B450BDC12D1C91C</v>
      </c>
      <c r="I4808" t="str">
        <f>HYPERLINK("https://baanknet.com/view-property/171178/7098E2253C931C400DAD0F12ED0B8B539502050A0AEADEA53B450BDC12D1C91C", "Open")</f>
        <v>Open</v>
      </c>
      <c r="J4808" t="s">
        <v>3803</v>
      </c>
      <c r="L4808">
        <v>18420000</v>
      </c>
      <c r="M4808">
        <v>1842000</v>
      </c>
    </row>
    <row r="4809" spans="1:13" x14ac:dyDescent="0.25">
      <c r="A4809" t="s">
        <v>15962</v>
      </c>
      <c r="B4809" t="s">
        <v>15963</v>
      </c>
      <c r="C4809" t="s">
        <v>15</v>
      </c>
      <c r="D4809" t="s">
        <v>3806</v>
      </c>
      <c r="E4809" t="s">
        <v>15507</v>
      </c>
      <c r="F4809" t="s">
        <v>15515</v>
      </c>
      <c r="G4809" t="s">
        <v>15964</v>
      </c>
      <c r="H4809" t="str">
        <f>HYPERLINK("https://baanknet.com/view-property/285574/767FE49C13AB9ACC12C31F7821B6DEF5B84DC6C12DF06CA198F671E0D182EE88", "https://baanknet.com/view-property/285574/767FE49C13AB9ACC12C31F7821B6DEF5B84DC6C12DF06CA198F671E0D182EE88")</f>
        <v>https://baanknet.com/view-property/285574/767FE49C13AB9ACC12C31F7821B6DEF5B84DC6C12DF06CA198F671E0D182EE88</v>
      </c>
      <c r="I4809" t="str">
        <f>HYPERLINK("https://baanknet.com/view-property/285574/767FE49C13AB9ACC12C31F7821B6DEF5B84DC6C12DF06CA198F671E0D182EE88", "Open")</f>
        <v>Open</v>
      </c>
      <c r="J4809" t="s">
        <v>3803</v>
      </c>
      <c r="L4809">
        <v>5394000</v>
      </c>
      <c r="M4809">
        <v>539400</v>
      </c>
    </row>
    <row r="4810" spans="1:13" x14ac:dyDescent="0.25">
      <c r="A4810" t="s">
        <v>15965</v>
      </c>
      <c r="B4810" t="s">
        <v>15966</v>
      </c>
      <c r="C4810" t="s">
        <v>15</v>
      </c>
      <c r="D4810" t="s">
        <v>15967</v>
      </c>
      <c r="E4810" t="s">
        <v>15507</v>
      </c>
      <c r="F4810" t="s">
        <v>15515</v>
      </c>
      <c r="G4810" t="s">
        <v>15968</v>
      </c>
      <c r="H4810" t="str">
        <f>HYPERLINK("https://baanknet.com/view-property/286025/711E083DC388BF3835946688FEAE8FB405D7CBD303DD7A69524107888B21084B", "https://baanknet.com/view-property/286025/711E083DC388BF3835946688FEAE8FB405D7CBD303DD7A69524107888B21084B")</f>
        <v>https://baanknet.com/view-property/286025/711E083DC388BF3835946688FEAE8FB405D7CBD303DD7A69524107888B21084B</v>
      </c>
      <c r="I4810" t="str">
        <f>HYPERLINK("https://baanknet.com/view-property/286025/711E083DC388BF3835946688FEAE8FB405D7CBD303DD7A69524107888B21084B", "Open")</f>
        <v>Open</v>
      </c>
      <c r="J4810" t="s">
        <v>3803</v>
      </c>
      <c r="L4810">
        <v>3450000</v>
      </c>
      <c r="M4810">
        <v>345000</v>
      </c>
    </row>
    <row r="4811" spans="1:13" x14ac:dyDescent="0.25">
      <c r="A4811" t="s">
        <v>15969</v>
      </c>
      <c r="B4811" t="s">
        <v>15970</v>
      </c>
      <c r="C4811" t="s">
        <v>15</v>
      </c>
      <c r="D4811" t="s">
        <v>845</v>
      </c>
      <c r="E4811" t="s">
        <v>15507</v>
      </c>
      <c r="F4811" t="s">
        <v>15515</v>
      </c>
      <c r="G4811" t="s">
        <v>15971</v>
      </c>
      <c r="H4811" t="str">
        <f>HYPERLINK("https://baanknet.com/view-property/265905/AF86ACCE79EC8D12067D9866BA1F8187250503D48BAFC5C8F06E8AE0493DE375", "https://baanknet.com/view-property/265905/AF86ACCE79EC8D12067D9866BA1F8187250503D48BAFC5C8F06E8AE0493DE375")</f>
        <v>https://baanknet.com/view-property/265905/AF86ACCE79EC8D12067D9866BA1F8187250503D48BAFC5C8F06E8AE0493DE375</v>
      </c>
      <c r="I4811" t="str">
        <f>HYPERLINK("https://baanknet.com/view-property/265905/AF86ACCE79EC8D12067D9866BA1F8187250503D48BAFC5C8F06E8AE0493DE375", "Open")</f>
        <v>Open</v>
      </c>
      <c r="J4811" t="s">
        <v>3803</v>
      </c>
      <c r="L4811">
        <v>1222000</v>
      </c>
      <c r="M4811">
        <v>122200</v>
      </c>
    </row>
    <row r="4812" spans="1:13" x14ac:dyDescent="0.25">
      <c r="A4812" t="s">
        <v>15972</v>
      </c>
      <c r="B4812" t="s">
        <v>15973</v>
      </c>
      <c r="C4812" t="s">
        <v>15</v>
      </c>
      <c r="D4812" t="s">
        <v>845</v>
      </c>
      <c r="E4812" t="s">
        <v>15507</v>
      </c>
      <c r="F4812" t="s">
        <v>15515</v>
      </c>
      <c r="G4812" t="s">
        <v>15974</v>
      </c>
      <c r="H4812" t="str">
        <f>HYPERLINK("https://baanknet.com/view-property/265896/75D36B94F6531D5D6131781FD5E9266AB277AA2270DE4358E193B26CF6B50675", "https://baanknet.com/view-property/265896/75D36B94F6531D5D6131781FD5E9266AB277AA2270DE4358E193B26CF6B50675")</f>
        <v>https://baanknet.com/view-property/265896/75D36B94F6531D5D6131781FD5E9266AB277AA2270DE4358E193B26CF6B50675</v>
      </c>
      <c r="I4812" t="str">
        <f>HYPERLINK("https://baanknet.com/view-property/265896/75D36B94F6531D5D6131781FD5E9266AB277AA2270DE4358E193B26CF6B50675", "Open")</f>
        <v>Open</v>
      </c>
      <c r="J4812" t="s">
        <v>3803</v>
      </c>
      <c r="L4812">
        <v>1222000</v>
      </c>
      <c r="M4812">
        <v>122200</v>
      </c>
    </row>
    <row r="4813" spans="1:13" x14ac:dyDescent="0.25">
      <c r="A4813" t="s">
        <v>15975</v>
      </c>
      <c r="B4813" t="s">
        <v>15976</v>
      </c>
      <c r="C4813" t="s">
        <v>15</v>
      </c>
      <c r="D4813" t="s">
        <v>1293</v>
      </c>
      <c r="E4813" t="s">
        <v>15507</v>
      </c>
      <c r="F4813" t="s">
        <v>15515</v>
      </c>
      <c r="G4813" t="s">
        <v>15977</v>
      </c>
      <c r="H4813" t="str">
        <f>HYPERLINK("https://baanknet.com/view-property/261202/1BE16C04E072B50A97E252C9DEAF3E7EEDF6DA261F789C7FB7E1B000C2096CFC", "https://baanknet.com/view-property/261202/1BE16C04E072B50A97E252C9DEAF3E7EEDF6DA261F789C7FB7E1B000C2096CFC")</f>
        <v>https://baanknet.com/view-property/261202/1BE16C04E072B50A97E252C9DEAF3E7EEDF6DA261F789C7FB7E1B000C2096CFC</v>
      </c>
      <c r="I4813" t="str">
        <f>HYPERLINK("https://baanknet.com/view-property/261202/1BE16C04E072B50A97E252C9DEAF3E7EEDF6DA261F789C7FB7E1B000C2096CFC", "Open")</f>
        <v>Open</v>
      </c>
      <c r="J4813" t="s">
        <v>3803</v>
      </c>
      <c r="L4813">
        <v>1900000</v>
      </c>
      <c r="M4813">
        <v>190000</v>
      </c>
    </row>
    <row r="4814" spans="1:13" x14ac:dyDescent="0.25">
      <c r="A4814" t="s">
        <v>15978</v>
      </c>
      <c r="B4814" t="s">
        <v>15979</v>
      </c>
      <c r="C4814" t="s">
        <v>15</v>
      </c>
      <c r="D4814" t="s">
        <v>8087</v>
      </c>
      <c r="E4814" t="s">
        <v>15507</v>
      </c>
      <c r="F4814" t="s">
        <v>15515</v>
      </c>
      <c r="G4814" t="s">
        <v>15980</v>
      </c>
      <c r="H4814" t="str">
        <f>HYPERLINK("https://baanknet.com/view-property/259409/01113FF72345CEA770EEAC646137C98F11D5908B566E667C32163CAA16A6C5E1", "https://baanknet.com/view-property/259409/01113FF72345CEA770EEAC646137C98F11D5908B566E667C32163CAA16A6C5E1")</f>
        <v>https://baanknet.com/view-property/259409/01113FF72345CEA770EEAC646137C98F11D5908B566E667C32163CAA16A6C5E1</v>
      </c>
      <c r="I4814" t="str">
        <f>HYPERLINK("https://baanknet.com/view-property/259409/01113FF72345CEA770EEAC646137C98F11D5908B566E667C32163CAA16A6C5E1", "Open")</f>
        <v>Open</v>
      </c>
      <c r="J4814" t="s">
        <v>3803</v>
      </c>
      <c r="L4814">
        <v>5200000</v>
      </c>
      <c r="M4814">
        <v>520000</v>
      </c>
    </row>
    <row r="4815" spans="1:13" x14ac:dyDescent="0.25">
      <c r="A4815" t="s">
        <v>15981</v>
      </c>
      <c r="B4815" t="s">
        <v>15982</v>
      </c>
      <c r="C4815" t="s">
        <v>15</v>
      </c>
      <c r="D4815" t="s">
        <v>553</v>
      </c>
      <c r="E4815" t="s">
        <v>15507</v>
      </c>
      <c r="F4815" t="s">
        <v>15515</v>
      </c>
      <c r="G4815" t="s">
        <v>15983</v>
      </c>
      <c r="H4815" t="str">
        <f>HYPERLINK("https://baanknet.com/view-property/260829/DEBF6A5F88018210DE05E648144C75CB75113EDFF71633A8735A0FEE6BE09513", "https://baanknet.com/view-property/260829/DEBF6A5F88018210DE05E648144C75CB75113EDFF71633A8735A0FEE6BE09513")</f>
        <v>https://baanknet.com/view-property/260829/DEBF6A5F88018210DE05E648144C75CB75113EDFF71633A8735A0FEE6BE09513</v>
      </c>
      <c r="I4815" t="str">
        <f>HYPERLINK("https://baanknet.com/view-property/260829/DEBF6A5F88018210DE05E648144C75CB75113EDFF71633A8735A0FEE6BE09513", "Open")</f>
        <v>Open</v>
      </c>
      <c r="J4815" t="s">
        <v>3803</v>
      </c>
      <c r="L4815">
        <v>3826000</v>
      </c>
      <c r="M4815">
        <v>382600</v>
      </c>
    </row>
    <row r="4816" spans="1:13" x14ac:dyDescent="0.25">
      <c r="A4816" t="s">
        <v>15984</v>
      </c>
      <c r="B4816" t="s">
        <v>15985</v>
      </c>
      <c r="C4816" t="s">
        <v>15</v>
      </c>
      <c r="D4816" t="s">
        <v>1300</v>
      </c>
      <c r="E4816" t="s">
        <v>15507</v>
      </c>
      <c r="F4816" t="s">
        <v>15515</v>
      </c>
      <c r="G4816" t="s">
        <v>15986</v>
      </c>
      <c r="H4816" t="str">
        <f>HYPERLINK("https://baanknet.com/view-property/251506/21A49C9E43347FFD8C70DE24E36A7063F360C6851A7FAE1C4CBF28AFFF989EE8", "https://baanknet.com/view-property/251506/21A49C9E43347FFD8C70DE24E36A7063F360C6851A7FAE1C4CBF28AFFF989EE8")</f>
        <v>https://baanknet.com/view-property/251506/21A49C9E43347FFD8C70DE24E36A7063F360C6851A7FAE1C4CBF28AFFF989EE8</v>
      </c>
      <c r="I4816" t="str">
        <f>HYPERLINK("https://baanknet.com/view-property/251506/21A49C9E43347FFD8C70DE24E36A7063F360C6851A7FAE1C4CBF28AFFF989EE8", "Open")</f>
        <v>Open</v>
      </c>
      <c r="J4816" t="s">
        <v>3803</v>
      </c>
      <c r="L4816">
        <v>2372000</v>
      </c>
      <c r="M4816">
        <v>237200</v>
      </c>
    </row>
    <row r="4817" spans="1:13" x14ac:dyDescent="0.25">
      <c r="A4817" t="s">
        <v>15987</v>
      </c>
      <c r="B4817" t="s">
        <v>15988</v>
      </c>
      <c r="C4817" t="s">
        <v>15</v>
      </c>
      <c r="D4817" t="s">
        <v>706</v>
      </c>
      <c r="E4817" t="s">
        <v>15507</v>
      </c>
      <c r="F4817" t="s">
        <v>15515</v>
      </c>
      <c r="G4817" t="s">
        <v>15989</v>
      </c>
      <c r="H4817" t="str">
        <f>HYPERLINK("https://baanknet.com/view-property/276049/BF43BF90F1C054A96CBE5E91DAB2ADEDBA819EC00A9CB0D06A70CC0209B4CCCF", "https://baanknet.com/view-property/276049/BF43BF90F1C054A96CBE5E91DAB2ADEDBA819EC00A9CB0D06A70CC0209B4CCCF")</f>
        <v>https://baanknet.com/view-property/276049/BF43BF90F1C054A96CBE5E91DAB2ADEDBA819EC00A9CB0D06A70CC0209B4CCCF</v>
      </c>
      <c r="I4817" t="str">
        <f>HYPERLINK("https://baanknet.com/view-property/276049/BF43BF90F1C054A96CBE5E91DAB2ADEDBA819EC00A9CB0D06A70CC0209B4CCCF", "Open")</f>
        <v>Open</v>
      </c>
      <c r="J4817" t="s">
        <v>3803</v>
      </c>
      <c r="L4817">
        <v>3276512</v>
      </c>
      <c r="M4817">
        <v>327651.20000000001</v>
      </c>
    </row>
    <row r="4818" spans="1:13" x14ac:dyDescent="0.25">
      <c r="A4818" t="s">
        <v>15990</v>
      </c>
      <c r="B4818" t="s">
        <v>15991</v>
      </c>
      <c r="C4818" t="s">
        <v>15</v>
      </c>
      <c r="D4818" t="s">
        <v>4246</v>
      </c>
      <c r="E4818" t="s">
        <v>15507</v>
      </c>
      <c r="F4818" t="s">
        <v>15515</v>
      </c>
      <c r="G4818" t="s">
        <v>15992</v>
      </c>
      <c r="H4818" t="str">
        <f>HYPERLINK("https://baanknet.com/view-property/254822/564CF039EA24D280FE8B75F0779BD119F18753ADFFCFF0BCA51EBCBBFABD57FB", "https://baanknet.com/view-property/254822/564CF039EA24D280FE8B75F0779BD119F18753ADFFCFF0BCA51EBCBBFABD57FB")</f>
        <v>https://baanknet.com/view-property/254822/564CF039EA24D280FE8B75F0779BD119F18753ADFFCFF0BCA51EBCBBFABD57FB</v>
      </c>
      <c r="I4818" t="str">
        <f>HYPERLINK("https://baanknet.com/view-property/254822/564CF039EA24D280FE8B75F0779BD119F18753ADFFCFF0BCA51EBCBBFABD57FB", "Open")</f>
        <v>Open</v>
      </c>
      <c r="J4818" t="s">
        <v>3803</v>
      </c>
      <c r="L4818">
        <v>1543300</v>
      </c>
      <c r="M4818">
        <v>154330</v>
      </c>
    </row>
    <row r="4819" spans="1:13" x14ac:dyDescent="0.25">
      <c r="A4819" t="s">
        <v>15993</v>
      </c>
      <c r="B4819" t="s">
        <v>15994</v>
      </c>
      <c r="C4819" t="s">
        <v>15</v>
      </c>
      <c r="D4819" t="s">
        <v>1300</v>
      </c>
      <c r="E4819" t="s">
        <v>15507</v>
      </c>
      <c r="F4819" t="s">
        <v>15515</v>
      </c>
      <c r="G4819" t="s">
        <v>15995</v>
      </c>
      <c r="H4819" t="str">
        <f>HYPERLINK("https://baanknet.com/view-property/276202/57C100314DE766DD70571D6AE55DC91F58D3BEF75138238286BA43148BBB72B1", "https://baanknet.com/view-property/276202/57C100314DE766DD70571D6AE55DC91F58D3BEF75138238286BA43148BBB72B1")</f>
        <v>https://baanknet.com/view-property/276202/57C100314DE766DD70571D6AE55DC91F58D3BEF75138238286BA43148BBB72B1</v>
      </c>
      <c r="I4819" t="str">
        <f>HYPERLINK("https://baanknet.com/view-property/276202/57C100314DE766DD70571D6AE55DC91F58D3BEF75138238286BA43148BBB72B1", "Open")</f>
        <v>Open</v>
      </c>
      <c r="J4819" t="s">
        <v>3803</v>
      </c>
      <c r="L4819">
        <v>3721000</v>
      </c>
      <c r="M4819">
        <v>372100</v>
      </c>
    </row>
    <row r="4820" spans="1:13" x14ac:dyDescent="0.25">
      <c r="A4820" t="s">
        <v>15996</v>
      </c>
      <c r="B4820" t="s">
        <v>15997</v>
      </c>
      <c r="C4820" t="s">
        <v>15</v>
      </c>
      <c r="D4820" t="s">
        <v>706</v>
      </c>
      <c r="E4820" t="s">
        <v>15507</v>
      </c>
      <c r="F4820" t="s">
        <v>15515</v>
      </c>
      <c r="G4820" t="s">
        <v>15998</v>
      </c>
      <c r="H4820" t="str">
        <f>HYPERLINK("https://baanknet.com/view-property/276167/632F8EEA749BA9217FF11BE971124B45F1447137CB78D99511B47FF8FBD49668", "https://baanknet.com/view-property/276167/632F8EEA749BA9217FF11BE971124B45F1447137CB78D99511B47FF8FBD49668")</f>
        <v>https://baanknet.com/view-property/276167/632F8EEA749BA9217FF11BE971124B45F1447137CB78D99511B47FF8FBD49668</v>
      </c>
      <c r="I4820" t="str">
        <f>HYPERLINK("https://baanknet.com/view-property/276167/632F8EEA749BA9217FF11BE971124B45F1447137CB78D99511B47FF8FBD49668", "Open")</f>
        <v>Open</v>
      </c>
      <c r="J4820" t="s">
        <v>3803</v>
      </c>
      <c r="L4820">
        <v>1730000</v>
      </c>
      <c r="M4820">
        <v>173000</v>
      </c>
    </row>
    <row r="4821" spans="1:13" x14ac:dyDescent="0.25">
      <c r="A4821" t="s">
        <v>15999</v>
      </c>
      <c r="B4821" t="s">
        <v>16000</v>
      </c>
      <c r="C4821" t="s">
        <v>15</v>
      </c>
      <c r="D4821" t="s">
        <v>1300</v>
      </c>
      <c r="E4821" t="s">
        <v>15507</v>
      </c>
      <c r="F4821" t="s">
        <v>15515</v>
      </c>
      <c r="G4821" t="s">
        <v>16001</v>
      </c>
      <c r="H4821" t="str">
        <f>HYPERLINK("https://baanknet.com/view-property/251511/E37E1938A85D5020961F60679390FCB4973EBD80527BE6CCEFFF619326279090", "https://baanknet.com/view-property/251511/E37E1938A85D5020961F60679390FCB4973EBD80527BE6CCEFFF619326279090")</f>
        <v>https://baanknet.com/view-property/251511/E37E1938A85D5020961F60679390FCB4973EBD80527BE6CCEFFF619326279090</v>
      </c>
      <c r="I4821" t="str">
        <f>HYPERLINK("https://baanknet.com/view-property/251511/E37E1938A85D5020961F60679390FCB4973EBD80527BE6CCEFFF619326279090", "Open")</f>
        <v>Open</v>
      </c>
      <c r="J4821" t="s">
        <v>3803</v>
      </c>
      <c r="L4821">
        <v>4982000</v>
      </c>
      <c r="M4821">
        <v>498200</v>
      </c>
    </row>
    <row r="4822" spans="1:13" x14ac:dyDescent="0.25">
      <c r="A4822" t="s">
        <v>16002</v>
      </c>
      <c r="B4822" t="s">
        <v>16003</v>
      </c>
      <c r="C4822" t="s">
        <v>15</v>
      </c>
      <c r="D4822" t="s">
        <v>13586</v>
      </c>
      <c r="E4822" t="s">
        <v>15507</v>
      </c>
      <c r="F4822" t="s">
        <v>15515</v>
      </c>
      <c r="G4822" t="s">
        <v>16004</v>
      </c>
      <c r="H4822" t="str">
        <f>HYPERLINK("https://baanknet.com/view-property/243760/0412C48C79C8054A20AAC9CBF5046ABE6CF5BDE01B26B8DDF428FF9D8E7BF6F1", "https://baanknet.com/view-property/243760/0412C48C79C8054A20AAC9CBF5046ABE6CF5BDE01B26B8DDF428FF9D8E7BF6F1")</f>
        <v>https://baanknet.com/view-property/243760/0412C48C79C8054A20AAC9CBF5046ABE6CF5BDE01B26B8DDF428FF9D8E7BF6F1</v>
      </c>
      <c r="I4822" t="str">
        <f>HYPERLINK("https://baanknet.com/view-property/243760/0412C48C79C8054A20AAC9CBF5046ABE6CF5BDE01B26B8DDF428FF9D8E7BF6F1", "Open")</f>
        <v>Open</v>
      </c>
      <c r="J4822" t="s">
        <v>3803</v>
      </c>
      <c r="L4822">
        <v>2900000</v>
      </c>
      <c r="M4822">
        <v>290000</v>
      </c>
    </row>
    <row r="4823" spans="1:13" x14ac:dyDescent="0.25">
      <c r="A4823" t="s">
        <v>16005</v>
      </c>
      <c r="B4823" t="s">
        <v>16006</v>
      </c>
      <c r="C4823" t="s">
        <v>15</v>
      </c>
      <c r="D4823" t="s">
        <v>1310</v>
      </c>
      <c r="E4823" t="s">
        <v>15507</v>
      </c>
      <c r="F4823" t="s">
        <v>15515</v>
      </c>
      <c r="G4823" t="s">
        <v>16007</v>
      </c>
      <c r="H4823" t="str">
        <f>HYPERLINK("https://baanknet.com/view-property/244791/8B4F5EBD868E08BA00AEC65BF5068D991F6BD8EF7E9439ABF07540CAD1B3531E", "https://baanknet.com/view-property/244791/8B4F5EBD868E08BA00AEC65BF5068D991F6BD8EF7E9439ABF07540CAD1B3531E")</f>
        <v>https://baanknet.com/view-property/244791/8B4F5EBD868E08BA00AEC65BF5068D991F6BD8EF7E9439ABF07540CAD1B3531E</v>
      </c>
      <c r="I4823" t="str">
        <f>HYPERLINK("https://baanknet.com/view-property/244791/8B4F5EBD868E08BA00AEC65BF5068D991F6BD8EF7E9439ABF07540CAD1B3531E", "Open")</f>
        <v>Open</v>
      </c>
      <c r="J4823" t="s">
        <v>3803</v>
      </c>
      <c r="L4823">
        <v>3375000</v>
      </c>
      <c r="M4823">
        <v>337500</v>
      </c>
    </row>
    <row r="4824" spans="1:13" x14ac:dyDescent="0.25">
      <c r="A4824" t="s">
        <v>16008</v>
      </c>
      <c r="B4824" t="s">
        <v>16009</v>
      </c>
      <c r="C4824" t="s">
        <v>15</v>
      </c>
      <c r="D4824" t="s">
        <v>1310</v>
      </c>
      <c r="E4824" t="s">
        <v>15507</v>
      </c>
      <c r="F4824" t="s">
        <v>15515</v>
      </c>
      <c r="G4824" t="s">
        <v>16010</v>
      </c>
      <c r="H4824" t="str">
        <f>HYPERLINK("https://baanknet.com/view-property/244786/A49817E633977778CEE34007B25D58CF64E2CC2EE1AA7F330A36E39B8B53E6F3", "https://baanknet.com/view-property/244786/A49817E633977778CEE34007B25D58CF64E2CC2EE1AA7F330A36E39B8B53E6F3")</f>
        <v>https://baanknet.com/view-property/244786/A49817E633977778CEE34007B25D58CF64E2CC2EE1AA7F330A36E39B8B53E6F3</v>
      </c>
      <c r="I4824" t="str">
        <f>HYPERLINK("https://baanknet.com/view-property/244786/A49817E633977778CEE34007B25D58CF64E2CC2EE1AA7F330A36E39B8B53E6F3", "Open")</f>
        <v>Open</v>
      </c>
      <c r="J4824" t="s">
        <v>3803</v>
      </c>
      <c r="L4824">
        <v>3375000</v>
      </c>
      <c r="M4824">
        <v>337500</v>
      </c>
    </row>
    <row r="4825" spans="1:13" x14ac:dyDescent="0.25">
      <c r="A4825" t="s">
        <v>16011</v>
      </c>
      <c r="B4825" t="s">
        <v>16012</v>
      </c>
      <c r="C4825" t="s">
        <v>15</v>
      </c>
      <c r="D4825" t="s">
        <v>1310</v>
      </c>
      <c r="E4825" t="s">
        <v>15507</v>
      </c>
      <c r="F4825" t="s">
        <v>15515</v>
      </c>
      <c r="G4825" t="s">
        <v>16013</v>
      </c>
      <c r="H4825" t="str">
        <f>HYPERLINK("https://baanknet.com/view-property/283048/F8816DCAE0A001260888022864F5AD0338BAFA1F4DA86860F9DD6A16A82066D1", "https://baanknet.com/view-property/283048/F8816DCAE0A001260888022864F5AD0338BAFA1F4DA86860F9DD6A16A82066D1")</f>
        <v>https://baanknet.com/view-property/283048/F8816DCAE0A001260888022864F5AD0338BAFA1F4DA86860F9DD6A16A82066D1</v>
      </c>
      <c r="I4825" t="str">
        <f>HYPERLINK("https://baanknet.com/view-property/283048/F8816DCAE0A001260888022864F5AD0338BAFA1F4DA86860F9DD6A16A82066D1", "Open")</f>
        <v>Open</v>
      </c>
      <c r="J4825" t="s">
        <v>3803</v>
      </c>
      <c r="L4825">
        <v>3616200</v>
      </c>
      <c r="M4825">
        <v>361620</v>
      </c>
    </row>
    <row r="4826" spans="1:13" x14ac:dyDescent="0.25">
      <c r="A4826" t="s">
        <v>16014</v>
      </c>
      <c r="B4826" t="s">
        <v>16015</v>
      </c>
      <c r="C4826" t="s">
        <v>15</v>
      </c>
      <c r="D4826" t="s">
        <v>549</v>
      </c>
      <c r="E4826" t="s">
        <v>15507</v>
      </c>
      <c r="F4826" t="s">
        <v>15515</v>
      </c>
      <c r="G4826" t="s">
        <v>16016</v>
      </c>
      <c r="H4826" t="str">
        <f>HYPERLINK("https://baanknet.com/view-property/250709/972A4040BD28ED671BD7F4744C020BD29A15DD36223147639B4E9373878FB36D", "https://baanknet.com/view-property/250709/972A4040BD28ED671BD7F4744C020BD29A15DD36223147639B4E9373878FB36D")</f>
        <v>https://baanknet.com/view-property/250709/972A4040BD28ED671BD7F4744C020BD29A15DD36223147639B4E9373878FB36D</v>
      </c>
      <c r="I4826" t="str">
        <f>HYPERLINK("https://baanknet.com/view-property/250709/972A4040BD28ED671BD7F4744C020BD29A15DD36223147639B4E9373878FB36D", "Open")</f>
        <v>Open</v>
      </c>
      <c r="J4826" t="s">
        <v>3803</v>
      </c>
      <c r="L4826">
        <v>1481000</v>
      </c>
      <c r="M4826">
        <v>148100</v>
      </c>
    </row>
    <row r="4827" spans="1:13" x14ac:dyDescent="0.25">
      <c r="A4827" t="s">
        <v>16017</v>
      </c>
      <c r="B4827" t="s">
        <v>16018</v>
      </c>
      <c r="C4827" t="s">
        <v>15</v>
      </c>
      <c r="D4827" t="s">
        <v>549</v>
      </c>
      <c r="E4827" t="s">
        <v>15507</v>
      </c>
      <c r="F4827" t="s">
        <v>15515</v>
      </c>
      <c r="G4827" t="s">
        <v>16019</v>
      </c>
      <c r="H4827" t="str">
        <f>HYPERLINK("https://baanknet.com/view-property/250707/241E203461C16909A235B4D5C59AC1B46475FEE014DF308E1B071E8345A01B5A", "https://baanknet.com/view-property/250707/241E203461C16909A235B4D5C59AC1B46475FEE014DF308E1B071E8345A01B5A")</f>
        <v>https://baanknet.com/view-property/250707/241E203461C16909A235B4D5C59AC1B46475FEE014DF308E1B071E8345A01B5A</v>
      </c>
      <c r="I4827" t="str">
        <f>HYPERLINK("https://baanknet.com/view-property/250707/241E203461C16909A235B4D5C59AC1B46475FEE014DF308E1B071E8345A01B5A", "Open")</f>
        <v>Open</v>
      </c>
      <c r="J4827" t="s">
        <v>3803</v>
      </c>
      <c r="L4827">
        <v>1481000</v>
      </c>
      <c r="M4827">
        <v>148100</v>
      </c>
    </row>
    <row r="4828" spans="1:13" x14ac:dyDescent="0.25">
      <c r="A4828" t="s">
        <v>16020</v>
      </c>
      <c r="B4828" t="s">
        <v>16021</v>
      </c>
      <c r="C4828" t="s">
        <v>15</v>
      </c>
      <c r="D4828" t="s">
        <v>1293</v>
      </c>
      <c r="E4828" t="s">
        <v>15507</v>
      </c>
      <c r="F4828" t="s">
        <v>15515</v>
      </c>
      <c r="G4828" t="s">
        <v>16022</v>
      </c>
      <c r="H4828" t="str">
        <f>HYPERLINK("https://baanknet.com/view-property/250408/F791C54E94F00A8314487E9568D3696664FF7FAFC392EBF659BE94855D525C53", "https://baanknet.com/view-property/250408/F791C54E94F00A8314487E9568D3696664FF7FAFC392EBF659BE94855D525C53")</f>
        <v>https://baanknet.com/view-property/250408/F791C54E94F00A8314487E9568D3696664FF7FAFC392EBF659BE94855D525C53</v>
      </c>
      <c r="I4828" t="str">
        <f>HYPERLINK("https://baanknet.com/view-property/250408/F791C54E94F00A8314487E9568D3696664FF7FAFC392EBF659BE94855D525C53", "Open")</f>
        <v>Open</v>
      </c>
      <c r="J4828" t="s">
        <v>3803</v>
      </c>
      <c r="L4828">
        <v>1420000</v>
      </c>
      <c r="M4828">
        <v>142000</v>
      </c>
    </row>
    <row r="4829" spans="1:13" x14ac:dyDescent="0.25">
      <c r="A4829" t="s">
        <v>16023</v>
      </c>
      <c r="B4829" t="s">
        <v>16024</v>
      </c>
      <c r="C4829" t="s">
        <v>15</v>
      </c>
      <c r="D4829" t="s">
        <v>4246</v>
      </c>
      <c r="E4829" t="s">
        <v>15507</v>
      </c>
      <c r="F4829" t="s">
        <v>15515</v>
      </c>
      <c r="G4829" t="s">
        <v>16025</v>
      </c>
      <c r="H4829" t="str">
        <f>HYPERLINK("https://baanknet.com/view-property/258049/407CD9DC98F3917D5072DB91F9EAE1B0F854A01187513A8579F55C2A47A8381A", "https://baanknet.com/view-property/258049/407CD9DC98F3917D5072DB91F9EAE1B0F854A01187513A8579F55C2A47A8381A")</f>
        <v>https://baanknet.com/view-property/258049/407CD9DC98F3917D5072DB91F9EAE1B0F854A01187513A8579F55C2A47A8381A</v>
      </c>
      <c r="I4829" t="str">
        <f>HYPERLINK("https://baanknet.com/view-property/258049/407CD9DC98F3917D5072DB91F9EAE1B0F854A01187513A8579F55C2A47A8381A", "Open")</f>
        <v>Open</v>
      </c>
      <c r="J4829" t="s">
        <v>3803</v>
      </c>
      <c r="L4829">
        <v>1460000</v>
      </c>
      <c r="M4829">
        <v>146000</v>
      </c>
    </row>
    <row r="4830" spans="1:13" x14ac:dyDescent="0.25">
      <c r="A4830" t="s">
        <v>16026</v>
      </c>
      <c r="B4830" t="s">
        <v>16027</v>
      </c>
      <c r="C4830" t="s">
        <v>15</v>
      </c>
      <c r="D4830" t="s">
        <v>4246</v>
      </c>
      <c r="E4830" t="s">
        <v>15507</v>
      </c>
      <c r="F4830" t="s">
        <v>15515</v>
      </c>
      <c r="G4830" t="s">
        <v>16028</v>
      </c>
      <c r="H4830" t="str">
        <f>HYPERLINK("https://baanknet.com/view-property/258047/40FA89FE79FBEA3F016EE7C1C7C19C2F41F05D235424C4B65794379BE064757B", "https://baanknet.com/view-property/258047/40FA89FE79FBEA3F016EE7C1C7C19C2F41F05D235424C4B65794379BE064757B")</f>
        <v>https://baanknet.com/view-property/258047/40FA89FE79FBEA3F016EE7C1C7C19C2F41F05D235424C4B65794379BE064757B</v>
      </c>
      <c r="I4830" t="str">
        <f>HYPERLINK("https://baanknet.com/view-property/258047/40FA89FE79FBEA3F016EE7C1C7C19C2F41F05D235424C4B65794379BE064757B", "Open")</f>
        <v>Open</v>
      </c>
      <c r="J4830" t="s">
        <v>3803</v>
      </c>
      <c r="L4830">
        <v>1460000</v>
      </c>
      <c r="M4830">
        <v>146000</v>
      </c>
    </row>
    <row r="4831" spans="1:13" x14ac:dyDescent="0.25">
      <c r="A4831" t="s">
        <v>16029</v>
      </c>
      <c r="B4831" t="s">
        <v>16030</v>
      </c>
      <c r="C4831" t="s">
        <v>15</v>
      </c>
      <c r="D4831" t="s">
        <v>16031</v>
      </c>
      <c r="E4831" t="s">
        <v>15507</v>
      </c>
      <c r="F4831" t="s">
        <v>15515</v>
      </c>
      <c r="G4831" t="s">
        <v>16032</v>
      </c>
      <c r="H4831" t="str">
        <f>HYPERLINK("https://baanknet.com/view-property/278407/DC9A4F5FF0556EC5DDF7DDCB21616DBF5203E6287677A41E7CD5A0A66079D3FD", "https://baanknet.com/view-property/278407/DC9A4F5FF0556EC5DDF7DDCB21616DBF5203E6287677A41E7CD5A0A66079D3FD")</f>
        <v>https://baanknet.com/view-property/278407/DC9A4F5FF0556EC5DDF7DDCB21616DBF5203E6287677A41E7CD5A0A66079D3FD</v>
      </c>
      <c r="I4831" t="str">
        <f>HYPERLINK("https://baanknet.com/view-property/278407/DC9A4F5FF0556EC5DDF7DDCB21616DBF5203E6287677A41E7CD5A0A66079D3FD", "Open")</f>
        <v>Open</v>
      </c>
      <c r="J4831" t="s">
        <v>3803</v>
      </c>
      <c r="L4831">
        <v>1680000</v>
      </c>
      <c r="M4831">
        <v>168000</v>
      </c>
    </row>
    <row r="4832" spans="1:13" x14ac:dyDescent="0.25">
      <c r="A4832" t="s">
        <v>16033</v>
      </c>
      <c r="B4832" t="s">
        <v>16034</v>
      </c>
      <c r="C4832" t="s">
        <v>15</v>
      </c>
      <c r="D4832" t="s">
        <v>8087</v>
      </c>
      <c r="E4832" t="s">
        <v>15507</v>
      </c>
      <c r="F4832" t="s">
        <v>15515</v>
      </c>
      <c r="G4832" t="s">
        <v>16035</v>
      </c>
      <c r="H4832" t="str">
        <f>HYPERLINK("https://baanknet.com/view-property/248465/2A1334F67E07332E340FD9FA48C49EC21680629B8C155D833532C11EC9E1E570", "https://baanknet.com/view-property/248465/2A1334F67E07332E340FD9FA48C49EC21680629B8C155D833532C11EC9E1E570")</f>
        <v>https://baanknet.com/view-property/248465/2A1334F67E07332E340FD9FA48C49EC21680629B8C155D833532C11EC9E1E570</v>
      </c>
      <c r="I4832" t="str">
        <f>HYPERLINK("https://baanknet.com/view-property/248465/2A1334F67E07332E340FD9FA48C49EC21680629B8C155D833532C11EC9E1E570", "Open")</f>
        <v>Open</v>
      </c>
      <c r="J4832" t="s">
        <v>3803</v>
      </c>
      <c r="L4832">
        <v>4710000</v>
      </c>
      <c r="M4832">
        <v>471000</v>
      </c>
    </row>
    <row r="4833" spans="1:13" x14ac:dyDescent="0.25">
      <c r="A4833" t="s">
        <v>16036</v>
      </c>
      <c r="B4833" t="s">
        <v>16037</v>
      </c>
      <c r="C4833" t="s">
        <v>15</v>
      </c>
      <c r="D4833" t="s">
        <v>1310</v>
      </c>
      <c r="E4833" t="s">
        <v>15507</v>
      </c>
      <c r="F4833" t="s">
        <v>15515</v>
      </c>
      <c r="G4833" t="s">
        <v>16038</v>
      </c>
      <c r="H4833" t="str">
        <f>HYPERLINK("https://baanknet.com/view-property/279099/B622D49EDA1A5FFFC3ACEBAE276A8BE42025412EF582A2833AAB441E6028D2B7", "https://baanknet.com/view-property/279099/B622D49EDA1A5FFFC3ACEBAE276A8BE42025412EF582A2833AAB441E6028D2B7")</f>
        <v>https://baanknet.com/view-property/279099/B622D49EDA1A5FFFC3ACEBAE276A8BE42025412EF582A2833AAB441E6028D2B7</v>
      </c>
      <c r="I4833" t="str">
        <f>HYPERLINK("https://baanknet.com/view-property/279099/B622D49EDA1A5FFFC3ACEBAE276A8BE42025412EF582A2833AAB441E6028D2B7", "Open")</f>
        <v>Open</v>
      </c>
      <c r="J4833" t="s">
        <v>3803</v>
      </c>
      <c r="L4833">
        <v>1278000</v>
      </c>
      <c r="M4833">
        <v>127800</v>
      </c>
    </row>
    <row r="4834" spans="1:13" x14ac:dyDescent="0.25">
      <c r="A4834" t="s">
        <v>16039</v>
      </c>
      <c r="B4834" t="s">
        <v>16040</v>
      </c>
      <c r="C4834" t="s">
        <v>15</v>
      </c>
      <c r="D4834" t="s">
        <v>1310</v>
      </c>
      <c r="E4834" t="s">
        <v>15507</v>
      </c>
      <c r="F4834" t="s">
        <v>15515</v>
      </c>
      <c r="G4834" t="s">
        <v>16041</v>
      </c>
      <c r="H4834" t="str">
        <f>HYPERLINK("https://baanknet.com/view-property/260633/9BC474C59FB2B0D1D63187CA16BF7606CAF62FD90A76CB9123347BFD8AFCEFFE", "https://baanknet.com/view-property/260633/9BC474C59FB2B0D1D63187CA16BF7606CAF62FD90A76CB9123347BFD8AFCEFFE")</f>
        <v>https://baanknet.com/view-property/260633/9BC474C59FB2B0D1D63187CA16BF7606CAF62FD90A76CB9123347BFD8AFCEFFE</v>
      </c>
      <c r="I4834" t="str">
        <f>HYPERLINK("https://baanknet.com/view-property/260633/9BC474C59FB2B0D1D63187CA16BF7606CAF62FD90A76CB9123347BFD8AFCEFFE", "Open")</f>
        <v>Open</v>
      </c>
      <c r="J4834" t="s">
        <v>3803</v>
      </c>
      <c r="L4834">
        <v>1837000</v>
      </c>
      <c r="M4834">
        <v>183700</v>
      </c>
    </row>
    <row r="4835" spans="1:13" x14ac:dyDescent="0.25">
      <c r="A4835" t="s">
        <v>16042</v>
      </c>
      <c r="B4835" t="s">
        <v>16043</v>
      </c>
      <c r="C4835" t="s">
        <v>15</v>
      </c>
      <c r="D4835" t="s">
        <v>4246</v>
      </c>
      <c r="E4835" t="s">
        <v>15507</v>
      </c>
      <c r="F4835" t="s">
        <v>15515</v>
      </c>
      <c r="G4835" t="s">
        <v>16044</v>
      </c>
      <c r="H4835" t="str">
        <f>HYPERLINK("https://baanknet.com/view-property/260653/22311DC81D09F6A2C18635E8B313A5645B9A636235EAA68205B6305E073018B6", "https://baanknet.com/view-property/260653/22311DC81D09F6A2C18635E8B313A5645B9A636235EAA68205B6305E073018B6")</f>
        <v>https://baanknet.com/view-property/260653/22311DC81D09F6A2C18635E8B313A5645B9A636235EAA68205B6305E073018B6</v>
      </c>
      <c r="I4835" t="str">
        <f>HYPERLINK("https://baanknet.com/view-property/260653/22311DC81D09F6A2C18635E8B313A5645B9A636235EAA68205B6305E073018B6", "Open")</f>
        <v>Open</v>
      </c>
      <c r="J4835" t="s">
        <v>3803</v>
      </c>
      <c r="L4835">
        <v>1571400</v>
      </c>
      <c r="M4835">
        <v>157140</v>
      </c>
    </row>
    <row r="4836" spans="1:13" x14ac:dyDescent="0.25">
      <c r="A4836" t="s">
        <v>16045</v>
      </c>
      <c r="B4836" t="s">
        <v>16046</v>
      </c>
      <c r="C4836" t="s">
        <v>15</v>
      </c>
      <c r="D4836" t="s">
        <v>1300</v>
      </c>
      <c r="E4836" t="s">
        <v>15507</v>
      </c>
      <c r="F4836" t="s">
        <v>15515</v>
      </c>
      <c r="G4836" t="s">
        <v>16047</v>
      </c>
      <c r="H4836" t="str">
        <f>HYPERLINK("https://baanknet.com/view-property/284602/35868FC6A487A639413E13F187B9CA7E9D191618EA69BDEF23F8FD6F48A98FE0", "https://baanknet.com/view-property/284602/35868FC6A487A639413E13F187B9CA7E9D191618EA69BDEF23F8FD6F48A98FE0")</f>
        <v>https://baanknet.com/view-property/284602/35868FC6A487A639413E13F187B9CA7E9D191618EA69BDEF23F8FD6F48A98FE0</v>
      </c>
      <c r="I4836" t="str">
        <f>HYPERLINK("https://baanknet.com/view-property/284602/35868FC6A487A639413E13F187B9CA7E9D191618EA69BDEF23F8FD6F48A98FE0", "Open")</f>
        <v>Open</v>
      </c>
      <c r="J4836" t="s">
        <v>3803</v>
      </c>
      <c r="L4836">
        <v>3963600</v>
      </c>
      <c r="M4836">
        <v>396360</v>
      </c>
    </row>
    <row r="4837" spans="1:13" x14ac:dyDescent="0.25">
      <c r="A4837" t="s">
        <v>16048</v>
      </c>
      <c r="B4837" t="s">
        <v>16049</v>
      </c>
      <c r="C4837" t="s">
        <v>15</v>
      </c>
      <c r="D4837" t="s">
        <v>1310</v>
      </c>
      <c r="E4837" t="s">
        <v>15507</v>
      </c>
      <c r="F4837" t="s">
        <v>15515</v>
      </c>
      <c r="G4837" t="s">
        <v>16050</v>
      </c>
      <c r="H4837" t="str">
        <f>HYPERLINK("https://baanknet.com/view-property/244414/21725AAD1EDC394A24531A97627496801E2A51A918CDCF67653AE0FF18DE3209", "https://baanknet.com/view-property/244414/21725AAD1EDC394A24531A97627496801E2A51A918CDCF67653AE0FF18DE3209")</f>
        <v>https://baanknet.com/view-property/244414/21725AAD1EDC394A24531A97627496801E2A51A918CDCF67653AE0FF18DE3209</v>
      </c>
      <c r="I4837" t="str">
        <f>HYPERLINK("https://baanknet.com/view-property/244414/21725AAD1EDC394A24531A97627496801E2A51A918CDCF67653AE0FF18DE3209", "Open")</f>
        <v>Open</v>
      </c>
      <c r="J4837" t="s">
        <v>3803</v>
      </c>
      <c r="L4837">
        <v>23132000</v>
      </c>
      <c r="M4837">
        <v>2313200</v>
      </c>
    </row>
    <row r="4838" spans="1:13" x14ac:dyDescent="0.25">
      <c r="A4838" t="s">
        <v>16051</v>
      </c>
      <c r="B4838" t="s">
        <v>16052</v>
      </c>
      <c r="C4838" t="s">
        <v>15</v>
      </c>
      <c r="D4838" t="s">
        <v>849</v>
      </c>
      <c r="E4838" t="s">
        <v>15507</v>
      </c>
      <c r="F4838" t="s">
        <v>15515</v>
      </c>
      <c r="G4838" t="s">
        <v>16053</v>
      </c>
      <c r="H4838" t="str">
        <f>HYPERLINK("https://baanknet.com/view-property/255969/A4D3DD5717D94C78943913D59ACCED67E97541482B23E6B32D39804F056BF258", "https://baanknet.com/view-property/255969/A4D3DD5717D94C78943913D59ACCED67E97541482B23E6B32D39804F056BF258")</f>
        <v>https://baanknet.com/view-property/255969/A4D3DD5717D94C78943913D59ACCED67E97541482B23E6B32D39804F056BF258</v>
      </c>
      <c r="I4838" t="str">
        <f>HYPERLINK("https://baanknet.com/view-property/255969/A4D3DD5717D94C78943913D59ACCED67E97541482B23E6B32D39804F056BF258", "Open")</f>
        <v>Open</v>
      </c>
      <c r="J4838" t="s">
        <v>3803</v>
      </c>
      <c r="L4838">
        <v>3430000</v>
      </c>
      <c r="M4838">
        <v>343000</v>
      </c>
    </row>
    <row r="4839" spans="1:13" x14ac:dyDescent="0.25">
      <c r="A4839" t="s">
        <v>16054</v>
      </c>
      <c r="B4839" t="s">
        <v>16055</v>
      </c>
      <c r="C4839" t="s">
        <v>15</v>
      </c>
      <c r="D4839" t="s">
        <v>1310</v>
      </c>
      <c r="E4839" t="s">
        <v>15507</v>
      </c>
      <c r="F4839" t="s">
        <v>15515</v>
      </c>
      <c r="G4839" t="s">
        <v>16056</v>
      </c>
      <c r="H4839" t="str">
        <f>HYPERLINK("https://baanknet.com/view-property/279097/5643CB9B8FBC97A5314770B9A2E35DC0069178000BC36048465B5ADC911A692B", "https://baanknet.com/view-property/279097/5643CB9B8FBC97A5314770B9A2E35DC0069178000BC36048465B5ADC911A692B")</f>
        <v>https://baanknet.com/view-property/279097/5643CB9B8FBC97A5314770B9A2E35DC0069178000BC36048465B5ADC911A692B</v>
      </c>
      <c r="I4839" t="str">
        <f>HYPERLINK("https://baanknet.com/view-property/279097/5643CB9B8FBC97A5314770B9A2E35DC0069178000BC36048465B5ADC911A692B", "Open")</f>
        <v>Open</v>
      </c>
      <c r="J4839" t="s">
        <v>3803</v>
      </c>
      <c r="L4839">
        <v>1690000</v>
      </c>
      <c r="M4839">
        <v>169000</v>
      </c>
    </row>
    <row r="4840" spans="1:13" x14ac:dyDescent="0.25">
      <c r="A4840" t="s">
        <v>16057</v>
      </c>
      <c r="B4840" t="s">
        <v>16058</v>
      </c>
      <c r="C4840" t="s">
        <v>15</v>
      </c>
      <c r="D4840" t="s">
        <v>549</v>
      </c>
      <c r="E4840" t="s">
        <v>15507</v>
      </c>
      <c r="F4840" t="s">
        <v>15515</v>
      </c>
      <c r="G4840" t="s">
        <v>16059</v>
      </c>
      <c r="H4840" t="str">
        <f>HYPERLINK("https://baanknet.com/view-property/255974/1CC41C48DD2990DD5E183AC26E6D5BF125D9B0EC0355CB6610269CED19F5101A", "https://baanknet.com/view-property/255974/1CC41C48DD2990DD5E183AC26E6D5BF125D9B0EC0355CB6610269CED19F5101A")</f>
        <v>https://baanknet.com/view-property/255974/1CC41C48DD2990DD5E183AC26E6D5BF125D9B0EC0355CB6610269CED19F5101A</v>
      </c>
      <c r="I4840" t="str">
        <f>HYPERLINK("https://baanknet.com/view-property/255974/1CC41C48DD2990DD5E183AC26E6D5BF125D9B0EC0355CB6610269CED19F5101A", "Open")</f>
        <v>Open</v>
      </c>
      <c r="J4840" t="s">
        <v>3803</v>
      </c>
      <c r="L4840">
        <v>1900000</v>
      </c>
      <c r="M4840">
        <v>190000</v>
      </c>
    </row>
    <row r="4841" spans="1:13" x14ac:dyDescent="0.25">
      <c r="A4841" t="s">
        <v>16060</v>
      </c>
      <c r="B4841" t="s">
        <v>16061</v>
      </c>
      <c r="C4841" t="s">
        <v>15</v>
      </c>
      <c r="D4841" t="s">
        <v>1310</v>
      </c>
      <c r="E4841" t="s">
        <v>15507</v>
      </c>
      <c r="F4841" t="s">
        <v>15515</v>
      </c>
      <c r="G4841" t="s">
        <v>16062</v>
      </c>
      <c r="H4841" t="str">
        <f>HYPERLINK("https://baanknet.com/view-property/279107/4BB477AB430E55E7167FE087FEA94D0730BDE2F902681DBBF44409D82B58AE73", "https://baanknet.com/view-property/279107/4BB477AB430E55E7167FE087FEA94D0730BDE2F902681DBBF44409D82B58AE73")</f>
        <v>https://baanknet.com/view-property/279107/4BB477AB430E55E7167FE087FEA94D0730BDE2F902681DBBF44409D82B58AE73</v>
      </c>
      <c r="I4841" t="str">
        <f>HYPERLINK("https://baanknet.com/view-property/279107/4BB477AB430E55E7167FE087FEA94D0730BDE2F902681DBBF44409D82B58AE73", "Open")</f>
        <v>Open</v>
      </c>
      <c r="J4841" t="s">
        <v>3803</v>
      </c>
      <c r="L4841">
        <v>1690000</v>
      </c>
      <c r="M4841">
        <v>169000</v>
      </c>
    </row>
    <row r="4842" spans="1:13" x14ac:dyDescent="0.25">
      <c r="A4842" t="s">
        <v>16063</v>
      </c>
      <c r="B4842" t="s">
        <v>16064</v>
      </c>
      <c r="C4842" t="s">
        <v>15</v>
      </c>
      <c r="D4842" t="s">
        <v>549</v>
      </c>
      <c r="E4842" t="s">
        <v>15507</v>
      </c>
      <c r="F4842" t="s">
        <v>15515</v>
      </c>
      <c r="G4842" t="s">
        <v>16065</v>
      </c>
      <c r="H4842" t="str">
        <f>HYPERLINK("https://baanknet.com/view-property/255971/ED1ABAE1721FE929A9484F47C71E20E9036D66376E81BF9840EED53783824BE8", "https://baanknet.com/view-property/255971/ED1ABAE1721FE929A9484F47C71E20E9036D66376E81BF9840EED53783824BE8")</f>
        <v>https://baanknet.com/view-property/255971/ED1ABAE1721FE929A9484F47C71E20E9036D66376E81BF9840EED53783824BE8</v>
      </c>
      <c r="I4842" t="str">
        <f>HYPERLINK("https://baanknet.com/view-property/255971/ED1ABAE1721FE929A9484F47C71E20E9036D66376E81BF9840EED53783824BE8", "Open")</f>
        <v>Open</v>
      </c>
      <c r="J4842" t="s">
        <v>3803</v>
      </c>
      <c r="L4842">
        <v>1900000</v>
      </c>
      <c r="M4842">
        <v>190000</v>
      </c>
    </row>
    <row r="4843" spans="1:13" x14ac:dyDescent="0.25">
      <c r="A4843" t="s">
        <v>16066</v>
      </c>
      <c r="B4843" t="s">
        <v>16067</v>
      </c>
      <c r="C4843" t="s">
        <v>15</v>
      </c>
      <c r="D4843" t="s">
        <v>10791</v>
      </c>
      <c r="E4843" t="s">
        <v>15507</v>
      </c>
      <c r="F4843" t="s">
        <v>15515</v>
      </c>
      <c r="G4843" t="s">
        <v>16068</v>
      </c>
      <c r="H4843" t="str">
        <f>HYPERLINK("https://baanknet.com/view-property/206965/47F76CC672D0CC25C517183CDF4FCC4736D9B425B35B1702CE897D5776605A6D", "https://baanknet.com/view-property/206965/47F76CC672D0CC25C517183CDF4FCC4736D9B425B35B1702CE897D5776605A6D")</f>
        <v>https://baanknet.com/view-property/206965/47F76CC672D0CC25C517183CDF4FCC4736D9B425B35B1702CE897D5776605A6D</v>
      </c>
      <c r="I4843" t="str">
        <f>HYPERLINK("https://baanknet.com/view-property/206965/47F76CC672D0CC25C517183CDF4FCC4736D9B425B35B1702CE897D5776605A6D", "Open")</f>
        <v>Open</v>
      </c>
      <c r="J4843" t="s">
        <v>3803</v>
      </c>
      <c r="L4843">
        <v>1090000</v>
      </c>
      <c r="M4843">
        <v>109000</v>
      </c>
    </row>
    <row r="4844" spans="1:13" x14ac:dyDescent="0.25">
      <c r="A4844" t="s">
        <v>16069</v>
      </c>
      <c r="B4844" t="s">
        <v>16070</v>
      </c>
      <c r="C4844" t="s">
        <v>15</v>
      </c>
      <c r="D4844" t="s">
        <v>4246</v>
      </c>
      <c r="E4844" t="s">
        <v>15507</v>
      </c>
      <c r="F4844" t="s">
        <v>15515</v>
      </c>
      <c r="G4844" t="s">
        <v>16071</v>
      </c>
      <c r="H4844" t="str">
        <f>HYPERLINK("https://baanknet.com/view-property/279210/7500E44769B52805A5F2721F9DBCACBBB26477249AF9DEC3B7F79F041C8EADD3", "https://baanknet.com/view-property/279210/7500E44769B52805A5F2721F9DBCACBBB26477249AF9DEC3B7F79F041C8EADD3")</f>
        <v>https://baanknet.com/view-property/279210/7500E44769B52805A5F2721F9DBCACBBB26477249AF9DEC3B7F79F041C8EADD3</v>
      </c>
      <c r="I4844" t="str">
        <f>HYPERLINK("https://baanknet.com/view-property/279210/7500E44769B52805A5F2721F9DBCACBBB26477249AF9DEC3B7F79F041C8EADD3", "Open")</f>
        <v>Open</v>
      </c>
      <c r="J4844" t="s">
        <v>3803</v>
      </c>
      <c r="L4844">
        <v>1610209</v>
      </c>
      <c r="M4844">
        <v>161020.9</v>
      </c>
    </row>
    <row r="4845" spans="1:13" x14ac:dyDescent="0.25">
      <c r="A4845" t="s">
        <v>16072</v>
      </c>
      <c r="B4845" t="s">
        <v>16073</v>
      </c>
      <c r="C4845" t="s">
        <v>15</v>
      </c>
      <c r="D4845" t="s">
        <v>6245</v>
      </c>
      <c r="E4845" t="s">
        <v>15507</v>
      </c>
      <c r="F4845" t="s">
        <v>15515</v>
      </c>
      <c r="G4845" t="s">
        <v>16074</v>
      </c>
      <c r="H4845" t="str">
        <f>HYPERLINK("https://baanknet.com/view-property/258138/DAD5652F98CE77F3B11F0CC19E98B291CC5EA30D42085E3032C1EC1991293176", "https://baanknet.com/view-property/258138/DAD5652F98CE77F3B11F0CC19E98B291CC5EA30D42085E3032C1EC1991293176")</f>
        <v>https://baanknet.com/view-property/258138/DAD5652F98CE77F3B11F0CC19E98B291CC5EA30D42085E3032C1EC1991293176</v>
      </c>
      <c r="I4845" t="str">
        <f>HYPERLINK("https://baanknet.com/view-property/258138/DAD5652F98CE77F3B11F0CC19E98B291CC5EA30D42085E3032C1EC1991293176", "Open")</f>
        <v>Open</v>
      </c>
      <c r="J4845" t="s">
        <v>3803</v>
      </c>
      <c r="L4845">
        <v>3159000</v>
      </c>
      <c r="M4845">
        <v>315900</v>
      </c>
    </row>
    <row r="4846" spans="1:13" x14ac:dyDescent="0.25">
      <c r="A4846" t="s">
        <v>16075</v>
      </c>
      <c r="B4846" t="s">
        <v>16076</v>
      </c>
      <c r="C4846" t="s">
        <v>15</v>
      </c>
      <c r="D4846" t="s">
        <v>1300</v>
      </c>
      <c r="E4846" t="s">
        <v>15507</v>
      </c>
      <c r="F4846" t="s">
        <v>15515</v>
      </c>
      <c r="G4846" t="s">
        <v>16077</v>
      </c>
      <c r="H4846" t="str">
        <f>HYPERLINK("https://baanknet.com/view-property/261211/917C5C766D7BEF7705F1F96C95ED2A353C312267CE1E7A6698AA4DA45BF22932", "https://baanknet.com/view-property/261211/917C5C766D7BEF7705F1F96C95ED2A353C312267CE1E7A6698AA4DA45BF22932")</f>
        <v>https://baanknet.com/view-property/261211/917C5C766D7BEF7705F1F96C95ED2A353C312267CE1E7A6698AA4DA45BF22932</v>
      </c>
      <c r="I4846" t="str">
        <f>HYPERLINK("https://baanknet.com/view-property/261211/917C5C766D7BEF7705F1F96C95ED2A353C312267CE1E7A6698AA4DA45BF22932", "Open")</f>
        <v>Open</v>
      </c>
      <c r="J4846" t="s">
        <v>3803</v>
      </c>
      <c r="L4846">
        <v>6067000</v>
      </c>
      <c r="M4846">
        <v>606700</v>
      </c>
    </row>
    <row r="4847" spans="1:13" x14ac:dyDescent="0.25">
      <c r="A4847" t="s">
        <v>16078</v>
      </c>
      <c r="B4847" t="s">
        <v>16079</v>
      </c>
      <c r="C4847" t="s">
        <v>15</v>
      </c>
      <c r="D4847" t="s">
        <v>1310</v>
      </c>
      <c r="E4847" t="s">
        <v>15507</v>
      </c>
      <c r="F4847" t="s">
        <v>15515</v>
      </c>
      <c r="G4847" t="s">
        <v>16080</v>
      </c>
      <c r="H4847" t="str">
        <f>HYPERLINK("https://baanknet.com/view-property/286630/DCB9DF4258F6F6D651C94374CCB65EC96C29BBE14226C2DFE28E083384305957", "https://baanknet.com/view-property/286630/DCB9DF4258F6F6D651C94374CCB65EC96C29BBE14226C2DFE28E083384305957")</f>
        <v>https://baanknet.com/view-property/286630/DCB9DF4258F6F6D651C94374CCB65EC96C29BBE14226C2DFE28E083384305957</v>
      </c>
      <c r="I4847" t="str">
        <f>HYPERLINK("https://baanknet.com/view-property/286630/DCB9DF4258F6F6D651C94374CCB65EC96C29BBE14226C2DFE28E083384305957", "Open")</f>
        <v>Open</v>
      </c>
      <c r="J4847" t="s">
        <v>3803</v>
      </c>
      <c r="L4847">
        <v>24700000</v>
      </c>
      <c r="M4847">
        <v>2470000</v>
      </c>
    </row>
    <row r="4848" spans="1:13" x14ac:dyDescent="0.25">
      <c r="A4848" t="s">
        <v>16081</v>
      </c>
      <c r="B4848" t="s">
        <v>16082</v>
      </c>
      <c r="C4848" t="s">
        <v>15</v>
      </c>
      <c r="D4848" t="s">
        <v>1300</v>
      </c>
      <c r="E4848" t="s">
        <v>15507</v>
      </c>
      <c r="F4848" t="s">
        <v>15515</v>
      </c>
      <c r="G4848" t="s">
        <v>16083</v>
      </c>
      <c r="H4848" t="str">
        <f>HYPERLINK("https://baanknet.com/view-property/278517/50ECCE454556C15F93A43BF59D1C50FCFDBD0B175DC5612B31397F3643914FA6", "https://baanknet.com/view-property/278517/50ECCE454556C15F93A43BF59D1C50FCFDBD0B175DC5612B31397F3643914FA6")</f>
        <v>https://baanknet.com/view-property/278517/50ECCE454556C15F93A43BF59D1C50FCFDBD0B175DC5612B31397F3643914FA6</v>
      </c>
      <c r="I4848" t="str">
        <f>HYPERLINK("https://baanknet.com/view-property/278517/50ECCE454556C15F93A43BF59D1C50FCFDBD0B175DC5612B31397F3643914FA6", "Open")</f>
        <v>Open</v>
      </c>
      <c r="J4848" t="s">
        <v>3803</v>
      </c>
      <c r="L4848">
        <v>6048560</v>
      </c>
      <c r="M4848">
        <v>604856</v>
      </c>
    </row>
    <row r="4849" spans="1:13" x14ac:dyDescent="0.25">
      <c r="A4849" t="s">
        <v>16084</v>
      </c>
      <c r="B4849" t="s">
        <v>16085</v>
      </c>
      <c r="C4849" t="s">
        <v>15</v>
      </c>
      <c r="D4849" t="s">
        <v>1300</v>
      </c>
      <c r="E4849" t="s">
        <v>15507</v>
      </c>
      <c r="F4849" t="s">
        <v>15515</v>
      </c>
      <c r="G4849" t="s">
        <v>16086</v>
      </c>
      <c r="H4849" t="str">
        <f>HYPERLINK("https://baanknet.com/view-property/248561/248DE376970DB2DBC8BF7BEBCB0B39133899E4465D1611F2B994CBB7E748AADC", "https://baanknet.com/view-property/248561/248DE376970DB2DBC8BF7BEBCB0B39133899E4465D1611F2B994CBB7E748AADC")</f>
        <v>https://baanknet.com/view-property/248561/248DE376970DB2DBC8BF7BEBCB0B39133899E4465D1611F2B994CBB7E748AADC</v>
      </c>
      <c r="I4849" t="str">
        <f>HYPERLINK("https://baanknet.com/view-property/248561/248DE376970DB2DBC8BF7BEBCB0B39133899E4465D1611F2B994CBB7E748AADC", "Open")</f>
        <v>Open</v>
      </c>
      <c r="J4849" t="s">
        <v>3803</v>
      </c>
      <c r="L4849">
        <v>3800000</v>
      </c>
      <c r="M4849">
        <v>380000</v>
      </c>
    </row>
    <row r="4850" spans="1:13" x14ac:dyDescent="0.25">
      <c r="A4850" t="s">
        <v>16087</v>
      </c>
      <c r="B4850" t="s">
        <v>16088</v>
      </c>
      <c r="C4850" t="s">
        <v>15</v>
      </c>
      <c r="D4850" t="s">
        <v>3994</v>
      </c>
      <c r="E4850" t="s">
        <v>15507</v>
      </c>
      <c r="F4850" t="s">
        <v>15515</v>
      </c>
      <c r="G4850" t="s">
        <v>16089</v>
      </c>
      <c r="H4850" t="str">
        <f>HYPERLINK("https://baanknet.com/view-property/264049/98716A1CEEF4FDE8A0DECF08370B659F3A1CC6A15B341C3C8174425B84399666", "https://baanknet.com/view-property/264049/98716A1CEEF4FDE8A0DECF08370B659F3A1CC6A15B341C3C8174425B84399666")</f>
        <v>https://baanknet.com/view-property/264049/98716A1CEEF4FDE8A0DECF08370B659F3A1CC6A15B341C3C8174425B84399666</v>
      </c>
      <c r="I4850" t="str">
        <f>HYPERLINK("https://baanknet.com/view-property/264049/98716A1CEEF4FDE8A0DECF08370B659F3A1CC6A15B341C3C8174425B84399666", "Open")</f>
        <v>Open</v>
      </c>
      <c r="J4850" t="s">
        <v>3803</v>
      </c>
      <c r="L4850">
        <v>1600000</v>
      </c>
      <c r="M4850">
        <v>160000</v>
      </c>
    </row>
    <row r="4851" spans="1:13" x14ac:dyDescent="0.25">
      <c r="A4851" t="s">
        <v>16090</v>
      </c>
      <c r="B4851" t="s">
        <v>16091</v>
      </c>
      <c r="C4851" t="s">
        <v>15</v>
      </c>
      <c r="D4851" t="s">
        <v>1310</v>
      </c>
      <c r="E4851" t="s">
        <v>15507</v>
      </c>
      <c r="F4851" t="s">
        <v>15515</v>
      </c>
      <c r="G4851" t="s">
        <v>16092</v>
      </c>
      <c r="H4851" t="str">
        <f>HYPERLINK("https://baanknet.com/view-property/264047/F5379159D128ABC55C2B69979E1FBE90561FB17D6D020FABBCAE4CB30339AE18", "https://baanknet.com/view-property/264047/F5379159D128ABC55C2B69979E1FBE90561FB17D6D020FABBCAE4CB30339AE18")</f>
        <v>https://baanknet.com/view-property/264047/F5379159D128ABC55C2B69979E1FBE90561FB17D6D020FABBCAE4CB30339AE18</v>
      </c>
      <c r="I4851" t="str">
        <f>HYPERLINK("https://baanknet.com/view-property/264047/F5379159D128ABC55C2B69979E1FBE90561FB17D6D020FABBCAE4CB30339AE18", "Open")</f>
        <v>Open</v>
      </c>
      <c r="J4851" t="s">
        <v>3803</v>
      </c>
      <c r="L4851">
        <v>1600000</v>
      </c>
      <c r="M4851">
        <v>160000</v>
      </c>
    </row>
    <row r="4852" spans="1:13" x14ac:dyDescent="0.25">
      <c r="A4852" t="s">
        <v>16093</v>
      </c>
      <c r="B4852" t="s">
        <v>16094</v>
      </c>
      <c r="C4852" t="s">
        <v>15</v>
      </c>
      <c r="D4852" t="s">
        <v>1300</v>
      </c>
      <c r="E4852" t="s">
        <v>15507</v>
      </c>
      <c r="F4852" t="s">
        <v>15515</v>
      </c>
      <c r="G4852" t="s">
        <v>16095</v>
      </c>
      <c r="H4852" t="str">
        <f>HYPERLINK("https://baanknet.com/view-property/269927/62C4CA019D3E9DEBAC13E020B8908785246E82707402262C4531E57D274E527A", "https://baanknet.com/view-property/269927/62C4CA019D3E9DEBAC13E020B8908785246E82707402262C4531E57D274E527A")</f>
        <v>https://baanknet.com/view-property/269927/62C4CA019D3E9DEBAC13E020B8908785246E82707402262C4531E57D274E527A</v>
      </c>
      <c r="I4852" t="str">
        <f>HYPERLINK("https://baanknet.com/view-property/269927/62C4CA019D3E9DEBAC13E020B8908785246E82707402262C4531E57D274E527A", "Open")</f>
        <v>Open</v>
      </c>
      <c r="J4852" t="s">
        <v>3803</v>
      </c>
      <c r="L4852">
        <v>3240000</v>
      </c>
      <c r="M4852">
        <v>324000</v>
      </c>
    </row>
    <row r="4853" spans="1:13" x14ac:dyDescent="0.25">
      <c r="A4853" t="s">
        <v>16096</v>
      </c>
      <c r="B4853" t="s">
        <v>16097</v>
      </c>
      <c r="C4853" t="s">
        <v>15</v>
      </c>
      <c r="D4853" t="s">
        <v>706</v>
      </c>
      <c r="E4853" t="s">
        <v>15507</v>
      </c>
      <c r="F4853" t="s">
        <v>15515</v>
      </c>
      <c r="G4853" t="s">
        <v>16098</v>
      </c>
      <c r="H4853" t="str">
        <f>HYPERLINK("https://baanknet.com/view-property/241359/3DC4848E7E8693E2F22E6C1E010973F98E208DDD8F30DC165751D0CBBE05F426", "https://baanknet.com/view-property/241359/3DC4848E7E8693E2F22E6C1E010973F98E208DDD8F30DC165751D0CBBE05F426")</f>
        <v>https://baanknet.com/view-property/241359/3DC4848E7E8693E2F22E6C1E010973F98E208DDD8F30DC165751D0CBBE05F426</v>
      </c>
      <c r="I4853" t="str">
        <f>HYPERLINK("https://baanknet.com/view-property/241359/3DC4848E7E8693E2F22E6C1E010973F98E208DDD8F30DC165751D0CBBE05F426", "Open")</f>
        <v>Open</v>
      </c>
      <c r="J4853" t="s">
        <v>3803</v>
      </c>
      <c r="L4853">
        <v>3517200</v>
      </c>
      <c r="M4853">
        <v>351720</v>
      </c>
    </row>
    <row r="4854" spans="1:13" x14ac:dyDescent="0.25">
      <c r="A4854" t="s">
        <v>16099</v>
      </c>
      <c r="B4854" t="s">
        <v>16100</v>
      </c>
      <c r="C4854" t="s">
        <v>15</v>
      </c>
      <c r="D4854" t="s">
        <v>3607</v>
      </c>
      <c r="E4854" t="s">
        <v>15507</v>
      </c>
      <c r="F4854" t="s">
        <v>15515</v>
      </c>
      <c r="G4854" t="s">
        <v>16101</v>
      </c>
      <c r="H4854" t="str">
        <f>HYPERLINK("https://baanknet.com/view-property/264827/9792C010AEA6ED7BD1E883C3AE8C6A3EE9F72AAFFC3AA2EA4FE70B178753C186", "https://baanknet.com/view-property/264827/9792C010AEA6ED7BD1E883C3AE8C6A3EE9F72AAFFC3AA2EA4FE70B178753C186")</f>
        <v>https://baanknet.com/view-property/264827/9792C010AEA6ED7BD1E883C3AE8C6A3EE9F72AAFFC3AA2EA4FE70B178753C186</v>
      </c>
      <c r="I4854" t="str">
        <f>HYPERLINK("https://baanknet.com/view-property/264827/9792C010AEA6ED7BD1E883C3AE8C6A3EE9F72AAFFC3AA2EA4FE70B178753C186", "Open")</f>
        <v>Open</v>
      </c>
      <c r="J4854" t="s">
        <v>3803</v>
      </c>
      <c r="L4854">
        <v>28000000</v>
      </c>
      <c r="M4854">
        <v>2800000</v>
      </c>
    </row>
    <row r="4855" spans="1:13" x14ac:dyDescent="0.25">
      <c r="A4855" t="s">
        <v>16102</v>
      </c>
      <c r="B4855" t="s">
        <v>16103</v>
      </c>
      <c r="C4855" t="s">
        <v>15</v>
      </c>
      <c r="D4855" t="s">
        <v>13590</v>
      </c>
      <c r="E4855" t="s">
        <v>15507</v>
      </c>
      <c r="F4855" t="s">
        <v>15515</v>
      </c>
      <c r="G4855" t="s">
        <v>16104</v>
      </c>
      <c r="H4855" t="str">
        <f>HYPERLINK("https://baanknet.com/view-property/284003/7E2DFA98F7A0F1B9914BBF57901E04911669B1D055990EE80C00B428317E51A3", "https://baanknet.com/view-property/284003/7E2DFA98F7A0F1B9914BBF57901E04911669B1D055990EE80C00B428317E51A3")</f>
        <v>https://baanknet.com/view-property/284003/7E2DFA98F7A0F1B9914BBF57901E04911669B1D055990EE80C00B428317E51A3</v>
      </c>
      <c r="I4855" t="str">
        <f>HYPERLINK("https://baanknet.com/view-property/284003/7E2DFA98F7A0F1B9914BBF57901E04911669B1D055990EE80C00B428317E51A3", "Open")</f>
        <v>Open</v>
      </c>
      <c r="J4855" t="s">
        <v>3803</v>
      </c>
      <c r="L4855">
        <v>12900000</v>
      </c>
      <c r="M4855">
        <v>1290000</v>
      </c>
    </row>
    <row r="4856" spans="1:13" x14ac:dyDescent="0.25">
      <c r="A4856" t="s">
        <v>16105</v>
      </c>
      <c r="B4856" t="s">
        <v>16106</v>
      </c>
      <c r="C4856" t="s">
        <v>15</v>
      </c>
      <c r="D4856" t="s">
        <v>16107</v>
      </c>
      <c r="E4856" t="s">
        <v>15507</v>
      </c>
      <c r="F4856" t="s">
        <v>15515</v>
      </c>
      <c r="G4856" t="s">
        <v>16108</v>
      </c>
      <c r="H4856" t="str">
        <f>HYPERLINK("https://baanknet.com/view-property/243756/E094D7A74A6363281C941B6DA9493A5123E0956CEB25166B5CACD2385B253704", "https://baanknet.com/view-property/243756/E094D7A74A6363281C941B6DA9493A5123E0956CEB25166B5CACD2385B253704")</f>
        <v>https://baanknet.com/view-property/243756/E094D7A74A6363281C941B6DA9493A5123E0956CEB25166B5CACD2385B253704</v>
      </c>
      <c r="I4856" t="str">
        <f>HYPERLINK("https://baanknet.com/view-property/243756/E094D7A74A6363281C941B6DA9493A5123E0956CEB25166B5CACD2385B253704", "Open")</f>
        <v>Open</v>
      </c>
      <c r="J4856" t="s">
        <v>3803</v>
      </c>
      <c r="L4856">
        <v>3100000</v>
      </c>
      <c r="M4856">
        <v>310000</v>
      </c>
    </row>
    <row r="4857" spans="1:13" x14ac:dyDescent="0.25">
      <c r="A4857" t="s">
        <v>16109</v>
      </c>
      <c r="B4857" t="s">
        <v>16110</v>
      </c>
      <c r="C4857" t="s">
        <v>15</v>
      </c>
      <c r="D4857" t="s">
        <v>16111</v>
      </c>
      <c r="E4857" t="s">
        <v>15507</v>
      </c>
      <c r="F4857" t="s">
        <v>15515</v>
      </c>
      <c r="G4857" t="s">
        <v>16112</v>
      </c>
      <c r="H4857" t="str">
        <f>HYPERLINK("https://baanknet.com/view-property/208306/22FDC2F95B73ECF11B034F40379226748F077E9525D254CE206E50F8A90AC75A", "https://baanknet.com/view-property/208306/22FDC2F95B73ECF11B034F40379226748F077E9525D254CE206E50F8A90AC75A")</f>
        <v>https://baanknet.com/view-property/208306/22FDC2F95B73ECF11B034F40379226748F077E9525D254CE206E50F8A90AC75A</v>
      </c>
      <c r="I4857" t="str">
        <f>HYPERLINK("https://baanknet.com/view-property/208306/22FDC2F95B73ECF11B034F40379226748F077E9525D254CE206E50F8A90AC75A", "Open")</f>
        <v>Open</v>
      </c>
      <c r="J4857" t="s">
        <v>3803</v>
      </c>
      <c r="L4857">
        <v>2850000</v>
      </c>
      <c r="M4857">
        <v>285000</v>
      </c>
    </row>
    <row r="4858" spans="1:13" x14ac:dyDescent="0.25">
      <c r="A4858" t="s">
        <v>16113</v>
      </c>
      <c r="B4858" t="s">
        <v>16114</v>
      </c>
      <c r="C4858" t="s">
        <v>15</v>
      </c>
      <c r="D4858" t="s">
        <v>16111</v>
      </c>
      <c r="E4858" t="s">
        <v>15507</v>
      </c>
      <c r="F4858" t="s">
        <v>15515</v>
      </c>
      <c r="G4858" t="s">
        <v>16115</v>
      </c>
      <c r="H4858" t="str">
        <f>HYPERLINK("https://baanknet.com/view-property/206963/CD16B1528523B696D29384050A5CE64B429BA23195D22757B57B46F0ADD482FF", "https://baanknet.com/view-property/206963/CD16B1528523B696D29384050A5CE64B429BA23195D22757B57B46F0ADD482FF")</f>
        <v>https://baanknet.com/view-property/206963/CD16B1528523B696D29384050A5CE64B429BA23195D22757B57B46F0ADD482FF</v>
      </c>
      <c r="I4858" t="str">
        <f>HYPERLINK("https://baanknet.com/view-property/206963/CD16B1528523B696D29384050A5CE64B429BA23195D22757B57B46F0ADD482FF", "Open")</f>
        <v>Open</v>
      </c>
      <c r="J4858" t="s">
        <v>3803</v>
      </c>
      <c r="L4858">
        <v>790000</v>
      </c>
      <c r="M4858">
        <v>79000</v>
      </c>
    </row>
    <row r="4859" spans="1:13" x14ac:dyDescent="0.25">
      <c r="A4859" t="s">
        <v>16116</v>
      </c>
      <c r="B4859" t="s">
        <v>16117</v>
      </c>
      <c r="C4859" t="s">
        <v>15</v>
      </c>
      <c r="D4859" t="s">
        <v>16118</v>
      </c>
      <c r="E4859" t="s">
        <v>15507</v>
      </c>
      <c r="F4859" t="s">
        <v>15515</v>
      </c>
      <c r="G4859" t="s">
        <v>16119</v>
      </c>
      <c r="H4859" t="str">
        <f>HYPERLINK("https://baanknet.com/view-property/184923/3FCBF18F4F5B45120DACD507F7EDC6F570B43855051F2E44DC52440D401AB925", "https://baanknet.com/view-property/184923/3FCBF18F4F5B45120DACD507F7EDC6F570B43855051F2E44DC52440D401AB925")</f>
        <v>https://baanknet.com/view-property/184923/3FCBF18F4F5B45120DACD507F7EDC6F570B43855051F2E44DC52440D401AB925</v>
      </c>
      <c r="I4859" t="str">
        <f>HYPERLINK("https://baanknet.com/view-property/184923/3FCBF18F4F5B45120DACD507F7EDC6F570B43855051F2E44DC52440D401AB925", "Open")</f>
        <v>Open</v>
      </c>
      <c r="J4859" t="s">
        <v>3803</v>
      </c>
      <c r="L4859">
        <v>1620000</v>
      </c>
      <c r="M4859">
        <v>162000</v>
      </c>
    </row>
    <row r="4860" spans="1:13" x14ac:dyDescent="0.25">
      <c r="A4860" t="s">
        <v>16120</v>
      </c>
      <c r="B4860" t="s">
        <v>16121</v>
      </c>
      <c r="C4860" t="s">
        <v>15</v>
      </c>
      <c r="D4860" t="s">
        <v>3344</v>
      </c>
      <c r="E4860" t="s">
        <v>3516</v>
      </c>
      <c r="F4860" t="s">
        <v>17</v>
      </c>
      <c r="G4860" t="s">
        <v>16122</v>
      </c>
      <c r="H4860" t="str">
        <f>HYPERLINK("https://baanknet.com/view-property/271590/1041AC3DFCC4017F4DB48855AE4CC5AD084C95C42B0E552831C5A42BB8536EA2", "https://baanknet.com/view-property/271590/1041AC3DFCC4017F4DB48855AE4CC5AD084C95C42B0E552831C5A42BB8536EA2")</f>
        <v>https://baanknet.com/view-property/271590/1041AC3DFCC4017F4DB48855AE4CC5AD084C95C42B0E552831C5A42BB8536EA2</v>
      </c>
      <c r="I4860" t="str">
        <f>HYPERLINK("https://baanknet.com/view-property/271590/1041AC3DFCC4017F4DB48855AE4CC5AD084C95C42B0E552831C5A42BB8536EA2", "Open")</f>
        <v>Open</v>
      </c>
      <c r="J4860" t="s">
        <v>20</v>
      </c>
      <c r="K4860" t="s">
        <v>21</v>
      </c>
      <c r="L4860">
        <v>16500000</v>
      </c>
      <c r="M4860">
        <v>1650000</v>
      </c>
    </row>
    <row r="4861" spans="1:13" x14ac:dyDescent="0.25">
      <c r="A4861" t="s">
        <v>16123</v>
      </c>
      <c r="B4861" t="s">
        <v>16124</v>
      </c>
      <c r="C4861" t="s">
        <v>15</v>
      </c>
      <c r="D4861" t="s">
        <v>16125</v>
      </c>
      <c r="E4861" t="s">
        <v>15507</v>
      </c>
      <c r="F4861" t="s">
        <v>15515</v>
      </c>
      <c r="G4861" t="s">
        <v>16126</v>
      </c>
      <c r="H4861" t="str">
        <f>HYPERLINK("https://baanknet.com/view-property/242473/B704029DCAC1C75CF73E45C52F8F62724E8B56EBFEB962521429237684881683", "https://baanknet.com/view-property/242473/B704029DCAC1C75CF73E45C52F8F62724E8B56EBFEB962521429237684881683")</f>
        <v>https://baanknet.com/view-property/242473/B704029DCAC1C75CF73E45C52F8F62724E8B56EBFEB962521429237684881683</v>
      </c>
      <c r="I4861" t="str">
        <f>HYPERLINK("https://baanknet.com/view-property/242473/B704029DCAC1C75CF73E45C52F8F62724E8B56EBFEB962521429237684881683", "Open")</f>
        <v>Open</v>
      </c>
      <c r="J4861" t="s">
        <v>3803</v>
      </c>
      <c r="L4861">
        <v>5270000</v>
      </c>
      <c r="M4861">
        <v>527000</v>
      </c>
    </row>
    <row r="4862" spans="1:13" x14ac:dyDescent="0.25">
      <c r="A4862" t="s">
        <v>16127</v>
      </c>
      <c r="B4862" t="s">
        <v>16128</v>
      </c>
      <c r="C4862" t="s">
        <v>15</v>
      </c>
      <c r="D4862" t="s">
        <v>3217</v>
      </c>
      <c r="E4862" t="s">
        <v>15507</v>
      </c>
      <c r="F4862" t="s">
        <v>15515</v>
      </c>
      <c r="G4862" t="s">
        <v>16129</v>
      </c>
      <c r="H4862" t="str">
        <f>HYPERLINK("https://baanknet.com/view-property/185299/B680FCAD9D945F8B09CCC729D897B037F896D00EEF3D3B997A05689D4157E9D3", "https://baanknet.com/view-property/185299/B680FCAD9D945F8B09CCC729D897B037F896D00EEF3D3B997A05689D4157E9D3")</f>
        <v>https://baanknet.com/view-property/185299/B680FCAD9D945F8B09CCC729D897B037F896D00EEF3D3B997A05689D4157E9D3</v>
      </c>
      <c r="I4862" t="str">
        <f>HYPERLINK("https://baanknet.com/view-property/185299/B680FCAD9D945F8B09CCC729D897B037F896D00EEF3D3B997A05689D4157E9D3", "Open")</f>
        <v>Open</v>
      </c>
      <c r="J4862" t="s">
        <v>3803</v>
      </c>
      <c r="L4862">
        <v>1345000</v>
      </c>
      <c r="M4862">
        <v>134500</v>
      </c>
    </row>
    <row r="4863" spans="1:13" x14ac:dyDescent="0.25">
      <c r="A4863" t="s">
        <v>16130</v>
      </c>
      <c r="B4863" t="s">
        <v>16131</v>
      </c>
      <c r="C4863" t="s">
        <v>15</v>
      </c>
      <c r="D4863" t="s">
        <v>16132</v>
      </c>
      <c r="E4863" t="s">
        <v>15507</v>
      </c>
      <c r="F4863" t="s">
        <v>15515</v>
      </c>
      <c r="G4863" t="s">
        <v>16133</v>
      </c>
      <c r="H4863" t="str">
        <f>HYPERLINK("https://baanknet.com/view-property/252334/A9FD85DD8DDEAC7D3D5A69CE4FAD7E9CB9D41D300CBC7891FCA452947F722C0C", "https://baanknet.com/view-property/252334/A9FD85DD8DDEAC7D3D5A69CE4FAD7E9CB9D41D300CBC7891FCA452947F722C0C")</f>
        <v>https://baanknet.com/view-property/252334/A9FD85DD8DDEAC7D3D5A69CE4FAD7E9CB9D41D300CBC7891FCA452947F722C0C</v>
      </c>
      <c r="I4863" t="str">
        <f>HYPERLINK("https://baanknet.com/view-property/252334/A9FD85DD8DDEAC7D3D5A69CE4FAD7E9CB9D41D300CBC7891FCA452947F722C0C", "Open")</f>
        <v>Open</v>
      </c>
      <c r="J4863" t="s">
        <v>3803</v>
      </c>
      <c r="L4863">
        <v>2610000</v>
      </c>
      <c r="M4863">
        <v>261000</v>
      </c>
    </row>
    <row r="4864" spans="1:13" x14ac:dyDescent="0.25">
      <c r="A4864" t="s">
        <v>16134</v>
      </c>
      <c r="B4864" t="s">
        <v>16135</v>
      </c>
      <c r="C4864" t="s">
        <v>15</v>
      </c>
      <c r="D4864" t="s">
        <v>718</v>
      </c>
      <c r="E4864" t="s">
        <v>15507</v>
      </c>
      <c r="F4864" t="s">
        <v>15515</v>
      </c>
      <c r="G4864" t="s">
        <v>16136</v>
      </c>
      <c r="H4864" t="str">
        <f>HYPERLINK("https://baanknet.com/view-property/250578/BE453AB43D49C4675F9C75CFA8439B7A11926275BE0AA7545457F2ED0E0FAEF5", "https://baanknet.com/view-property/250578/BE453AB43D49C4675F9C75CFA8439B7A11926275BE0AA7545457F2ED0E0FAEF5")</f>
        <v>https://baanknet.com/view-property/250578/BE453AB43D49C4675F9C75CFA8439B7A11926275BE0AA7545457F2ED0E0FAEF5</v>
      </c>
      <c r="I4864" t="str">
        <f>HYPERLINK("https://baanknet.com/view-property/250578/BE453AB43D49C4675F9C75CFA8439B7A11926275BE0AA7545457F2ED0E0FAEF5", "Open")</f>
        <v>Open</v>
      </c>
      <c r="J4864" t="s">
        <v>3803</v>
      </c>
      <c r="L4864">
        <v>10100000</v>
      </c>
      <c r="M4864">
        <v>1010000</v>
      </c>
    </row>
    <row r="4865" spans="1:13" x14ac:dyDescent="0.25">
      <c r="A4865" t="s">
        <v>16137</v>
      </c>
      <c r="B4865" t="s">
        <v>16138</v>
      </c>
      <c r="C4865" t="s">
        <v>15</v>
      </c>
      <c r="D4865" t="s">
        <v>15838</v>
      </c>
      <c r="E4865" t="s">
        <v>15507</v>
      </c>
      <c r="F4865" t="s">
        <v>15515</v>
      </c>
      <c r="G4865" t="s">
        <v>16139</v>
      </c>
      <c r="H4865" t="str">
        <f>HYPERLINK("https://baanknet.com/view-property/227767/528DC5D1159693D92DF0B52001999980A288A44F287185F1A5BC66FB595604E5", "https://baanknet.com/view-property/227767/528DC5D1159693D92DF0B52001999980A288A44F287185F1A5BC66FB595604E5")</f>
        <v>https://baanknet.com/view-property/227767/528DC5D1159693D92DF0B52001999980A288A44F287185F1A5BC66FB595604E5</v>
      </c>
      <c r="I4865" t="str">
        <f>HYPERLINK("https://baanknet.com/view-property/227767/528DC5D1159693D92DF0B52001999980A288A44F287185F1A5BC66FB595604E5", "Open")</f>
        <v>Open</v>
      </c>
      <c r="J4865" t="s">
        <v>3803</v>
      </c>
      <c r="L4865">
        <v>1340000</v>
      </c>
      <c r="M4865">
        <v>134000</v>
      </c>
    </row>
    <row r="4866" spans="1:13" x14ac:dyDescent="0.25">
      <c r="A4866" t="s">
        <v>16140</v>
      </c>
      <c r="B4866" t="s">
        <v>16141</v>
      </c>
      <c r="C4866" t="s">
        <v>15</v>
      </c>
      <c r="D4866" t="s">
        <v>718</v>
      </c>
      <c r="E4866" t="s">
        <v>15507</v>
      </c>
      <c r="F4866" t="s">
        <v>15515</v>
      </c>
      <c r="G4866" t="s">
        <v>16142</v>
      </c>
      <c r="H4866" t="str">
        <f>HYPERLINK("https://baanknet.com/view-property/250579/CB0A480C628F3040ED35BE1A6BF5425C99750CFDC5AAE9A25BE0E7131B1A4078", "https://baanknet.com/view-property/250579/CB0A480C628F3040ED35BE1A6BF5425C99750CFDC5AAE9A25BE0E7131B1A4078")</f>
        <v>https://baanknet.com/view-property/250579/CB0A480C628F3040ED35BE1A6BF5425C99750CFDC5AAE9A25BE0E7131B1A4078</v>
      </c>
      <c r="I4866" t="str">
        <f>HYPERLINK("https://baanknet.com/view-property/250579/CB0A480C628F3040ED35BE1A6BF5425C99750CFDC5AAE9A25BE0E7131B1A4078", "Open")</f>
        <v>Open</v>
      </c>
      <c r="J4866" t="s">
        <v>3803</v>
      </c>
      <c r="L4866">
        <v>3800000</v>
      </c>
      <c r="M4866">
        <v>380000</v>
      </c>
    </row>
    <row r="4867" spans="1:13" x14ac:dyDescent="0.25">
      <c r="A4867" t="s">
        <v>16143</v>
      </c>
      <c r="B4867" t="s">
        <v>16144</v>
      </c>
      <c r="C4867" t="s">
        <v>15</v>
      </c>
      <c r="D4867" t="s">
        <v>718</v>
      </c>
      <c r="E4867" t="s">
        <v>15507</v>
      </c>
      <c r="F4867" t="s">
        <v>15515</v>
      </c>
      <c r="G4867" t="s">
        <v>16145</v>
      </c>
      <c r="H4867" t="str">
        <f>HYPERLINK("https://baanknet.com/view-property/266628/35BC37A88D7D8080753689C69B554F99454A11E37F205C1A436D63F3345C37B9", "https://baanknet.com/view-property/266628/35BC37A88D7D8080753689C69B554F99454A11E37F205C1A436D63F3345C37B9")</f>
        <v>https://baanknet.com/view-property/266628/35BC37A88D7D8080753689C69B554F99454A11E37F205C1A436D63F3345C37B9</v>
      </c>
      <c r="I4867" t="str">
        <f>HYPERLINK("https://baanknet.com/view-property/266628/35BC37A88D7D8080753689C69B554F99454A11E37F205C1A436D63F3345C37B9", "Open")</f>
        <v>Open</v>
      </c>
      <c r="J4867" t="s">
        <v>3803</v>
      </c>
      <c r="L4867">
        <v>2400000</v>
      </c>
      <c r="M4867">
        <v>240000</v>
      </c>
    </row>
    <row r="4868" spans="1:13" x14ac:dyDescent="0.25">
      <c r="A4868" t="s">
        <v>16146</v>
      </c>
      <c r="B4868" t="s">
        <v>16147</v>
      </c>
      <c r="C4868" t="s">
        <v>15</v>
      </c>
      <c r="D4868" t="s">
        <v>3217</v>
      </c>
      <c r="E4868" t="s">
        <v>15507</v>
      </c>
      <c r="F4868" t="s">
        <v>15515</v>
      </c>
      <c r="G4868" t="s">
        <v>16148</v>
      </c>
      <c r="H4868" t="str">
        <f>HYPERLINK("https://baanknet.com/view-property/212255/313FB5FA4A659D182293BC8C4AACE718B1BB924F27CE0EEA0524E1F77263550E", "https://baanknet.com/view-property/212255/313FB5FA4A659D182293BC8C4AACE718B1BB924F27CE0EEA0524E1F77263550E")</f>
        <v>https://baanknet.com/view-property/212255/313FB5FA4A659D182293BC8C4AACE718B1BB924F27CE0EEA0524E1F77263550E</v>
      </c>
      <c r="I4868" t="str">
        <f>HYPERLINK("https://baanknet.com/view-property/212255/313FB5FA4A659D182293BC8C4AACE718B1BB924F27CE0EEA0524E1F77263550E", "Open")</f>
        <v>Open</v>
      </c>
      <c r="J4868" t="s">
        <v>3803</v>
      </c>
      <c r="L4868">
        <v>2635000</v>
      </c>
      <c r="M4868">
        <v>263500</v>
      </c>
    </row>
    <row r="4869" spans="1:13" x14ac:dyDescent="0.25">
      <c r="A4869" t="s">
        <v>16149</v>
      </c>
      <c r="B4869" t="s">
        <v>16150</v>
      </c>
      <c r="C4869" t="s">
        <v>15</v>
      </c>
      <c r="D4869" t="s">
        <v>710</v>
      </c>
      <c r="E4869" t="s">
        <v>15507</v>
      </c>
      <c r="F4869" t="s">
        <v>15515</v>
      </c>
      <c r="G4869" t="s">
        <v>16151</v>
      </c>
      <c r="H4869" t="str">
        <f>HYPERLINK("https://baanknet.com/view-property/248461/BCE83890E54C10894077DFEB9AC9CBC7AE0503DF3471D8E19E98B6F06ADA01D5", "https://baanknet.com/view-property/248461/BCE83890E54C10894077DFEB9AC9CBC7AE0503DF3471D8E19E98B6F06ADA01D5")</f>
        <v>https://baanknet.com/view-property/248461/BCE83890E54C10894077DFEB9AC9CBC7AE0503DF3471D8E19E98B6F06ADA01D5</v>
      </c>
      <c r="I4869" t="str">
        <f>HYPERLINK("https://baanknet.com/view-property/248461/BCE83890E54C10894077DFEB9AC9CBC7AE0503DF3471D8E19E98B6F06ADA01D5", "Open")</f>
        <v>Open</v>
      </c>
      <c r="J4869" t="s">
        <v>3803</v>
      </c>
      <c r="L4869">
        <v>3645000</v>
      </c>
      <c r="M4869">
        <v>364500</v>
      </c>
    </row>
    <row r="4870" spans="1:13" x14ac:dyDescent="0.25">
      <c r="A4870" t="s">
        <v>16152</v>
      </c>
      <c r="B4870" t="s">
        <v>16153</v>
      </c>
      <c r="C4870" t="s">
        <v>15</v>
      </c>
      <c r="D4870" t="s">
        <v>710</v>
      </c>
      <c r="E4870" t="s">
        <v>15507</v>
      </c>
      <c r="F4870" t="s">
        <v>15515</v>
      </c>
      <c r="G4870" t="s">
        <v>16154</v>
      </c>
      <c r="H4870" t="str">
        <f>HYPERLINK("https://baanknet.com/view-property/248485/4BD204A31C4091332909E6984D59EF1F0D256068BD53799BBAA3F6F508043911", "https://baanknet.com/view-property/248485/4BD204A31C4091332909E6984D59EF1F0D256068BD53799BBAA3F6F508043911")</f>
        <v>https://baanknet.com/view-property/248485/4BD204A31C4091332909E6984D59EF1F0D256068BD53799BBAA3F6F508043911</v>
      </c>
      <c r="I4870" t="str">
        <f>HYPERLINK("https://baanknet.com/view-property/248485/4BD204A31C4091332909E6984D59EF1F0D256068BD53799BBAA3F6F508043911", "Open")</f>
        <v>Open</v>
      </c>
      <c r="J4870" t="s">
        <v>3803</v>
      </c>
      <c r="L4870">
        <v>3483000</v>
      </c>
      <c r="M4870">
        <v>348300</v>
      </c>
    </row>
    <row r="4871" spans="1:13" x14ac:dyDescent="0.25">
      <c r="A4871" t="s">
        <v>16155</v>
      </c>
      <c r="B4871" t="s">
        <v>16156</v>
      </c>
      <c r="C4871" t="s">
        <v>15</v>
      </c>
      <c r="D4871" t="s">
        <v>1310</v>
      </c>
      <c r="E4871" t="s">
        <v>15507</v>
      </c>
      <c r="F4871" t="s">
        <v>15515</v>
      </c>
      <c r="G4871" t="s">
        <v>16157</v>
      </c>
      <c r="H4871" t="str">
        <f>HYPERLINK("https://baanknet.com/view-property/273134/30F90E163A22A7C14BDD8DBF60931F5FF833570C08649AECF21B0D48264F3B2D", "https://baanknet.com/view-property/273134/30F90E163A22A7C14BDD8DBF60931F5FF833570C08649AECF21B0D48264F3B2D")</f>
        <v>https://baanknet.com/view-property/273134/30F90E163A22A7C14BDD8DBF60931F5FF833570C08649AECF21B0D48264F3B2D</v>
      </c>
      <c r="I4871" t="str">
        <f>HYPERLINK("https://baanknet.com/view-property/273134/30F90E163A22A7C14BDD8DBF60931F5FF833570C08649AECF21B0D48264F3B2D", "Open")</f>
        <v>Open</v>
      </c>
      <c r="J4871" t="s">
        <v>3803</v>
      </c>
      <c r="L4871">
        <v>13149000</v>
      </c>
      <c r="M4871">
        <v>1314900</v>
      </c>
    </row>
    <row r="4872" spans="1:13" x14ac:dyDescent="0.25">
      <c r="A4872" t="s">
        <v>16158</v>
      </c>
      <c r="B4872" t="s">
        <v>16159</v>
      </c>
      <c r="C4872" t="s">
        <v>15</v>
      </c>
      <c r="D4872" t="s">
        <v>1300</v>
      </c>
      <c r="E4872" t="s">
        <v>15507</v>
      </c>
      <c r="F4872" t="s">
        <v>15515</v>
      </c>
      <c r="G4872" t="s">
        <v>16160</v>
      </c>
      <c r="H4872" t="str">
        <f>HYPERLINK("https://baanknet.com/view-property/244207/2F825F2B02AEBB6D61D782CE50681D46DC4D73F732CD8255F037B7EAA692648D", "https://baanknet.com/view-property/244207/2F825F2B02AEBB6D61D782CE50681D46DC4D73F732CD8255F037B7EAA692648D")</f>
        <v>https://baanknet.com/view-property/244207/2F825F2B02AEBB6D61D782CE50681D46DC4D73F732CD8255F037B7EAA692648D</v>
      </c>
      <c r="I4872" t="str">
        <f>HYPERLINK("https://baanknet.com/view-property/244207/2F825F2B02AEBB6D61D782CE50681D46DC4D73F732CD8255F037B7EAA692648D", "Open")</f>
        <v>Open</v>
      </c>
      <c r="J4872" t="s">
        <v>3803</v>
      </c>
      <c r="L4872">
        <v>3024000</v>
      </c>
      <c r="M4872">
        <v>302400</v>
      </c>
    </row>
    <row r="4873" spans="1:13" x14ac:dyDescent="0.25">
      <c r="A4873" t="s">
        <v>16161</v>
      </c>
      <c r="B4873" t="s">
        <v>16162</v>
      </c>
      <c r="C4873" t="s">
        <v>15</v>
      </c>
      <c r="D4873" t="s">
        <v>4246</v>
      </c>
      <c r="E4873" t="s">
        <v>15507</v>
      </c>
      <c r="F4873" t="s">
        <v>15515</v>
      </c>
      <c r="G4873" t="s">
        <v>16163</v>
      </c>
      <c r="H4873" t="str">
        <f>HYPERLINK("https://baanknet.com/view-property/255544/175D804AD9ACEF744F80C5CBF8AAAE7BB5E662B205A6B74B70E93F0F9BD3DF7E", "https://baanknet.com/view-property/255544/175D804AD9ACEF744F80C5CBF8AAAE7BB5E662B205A6B74B70E93F0F9BD3DF7E")</f>
        <v>https://baanknet.com/view-property/255544/175D804AD9ACEF744F80C5CBF8AAAE7BB5E662B205A6B74B70E93F0F9BD3DF7E</v>
      </c>
      <c r="I4873" t="str">
        <f>HYPERLINK("https://baanknet.com/view-property/255544/175D804AD9ACEF744F80C5CBF8AAAE7BB5E662B205A6B74B70E93F0F9BD3DF7E", "Open")</f>
        <v>Open</v>
      </c>
      <c r="J4873" t="s">
        <v>3803</v>
      </c>
      <c r="L4873">
        <v>1850000</v>
      </c>
      <c r="M4873">
        <v>185000</v>
      </c>
    </row>
    <row r="4874" spans="1:13" x14ac:dyDescent="0.25">
      <c r="A4874" t="s">
        <v>16164</v>
      </c>
      <c r="B4874" t="s">
        <v>16165</v>
      </c>
      <c r="C4874" t="s">
        <v>15</v>
      </c>
      <c r="D4874" t="s">
        <v>1300</v>
      </c>
      <c r="E4874" t="s">
        <v>15507</v>
      </c>
      <c r="F4874" t="s">
        <v>15515</v>
      </c>
      <c r="G4874" t="s">
        <v>16166</v>
      </c>
      <c r="H4874" t="str">
        <f>HYPERLINK("https://baanknet.com/view-property/249457/4C0D16150C2344B56AC4F1CF25293524077D3D701A13B44C5A45C610E1C69D6A", "https://baanknet.com/view-property/249457/4C0D16150C2344B56AC4F1CF25293524077D3D701A13B44C5A45C610E1C69D6A")</f>
        <v>https://baanknet.com/view-property/249457/4C0D16150C2344B56AC4F1CF25293524077D3D701A13B44C5A45C610E1C69D6A</v>
      </c>
      <c r="I4874" t="str">
        <f>HYPERLINK("https://baanknet.com/view-property/249457/4C0D16150C2344B56AC4F1CF25293524077D3D701A13B44C5A45C610E1C69D6A", "Open")</f>
        <v>Open</v>
      </c>
      <c r="J4874" t="s">
        <v>3803</v>
      </c>
      <c r="L4874">
        <v>6500000</v>
      </c>
      <c r="M4874">
        <v>650000</v>
      </c>
    </row>
    <row r="4875" spans="1:13" x14ac:dyDescent="0.25">
      <c r="A4875" t="s">
        <v>16167</v>
      </c>
      <c r="B4875" t="s">
        <v>16168</v>
      </c>
      <c r="C4875" t="s">
        <v>15</v>
      </c>
      <c r="D4875" t="s">
        <v>4246</v>
      </c>
      <c r="E4875" t="s">
        <v>15507</v>
      </c>
      <c r="F4875" t="s">
        <v>15515</v>
      </c>
      <c r="G4875" t="s">
        <v>16169</v>
      </c>
      <c r="H4875" t="str">
        <f>HYPERLINK("https://baanknet.com/view-property/265327/49204CE952B0CFAE2189296D1ED0C87308C10B16A9DBB7756E44F14D45A649A6", "https://baanknet.com/view-property/265327/49204CE952B0CFAE2189296D1ED0C87308C10B16A9DBB7756E44F14D45A649A6")</f>
        <v>https://baanknet.com/view-property/265327/49204CE952B0CFAE2189296D1ED0C87308C10B16A9DBB7756E44F14D45A649A6</v>
      </c>
      <c r="I4875" t="str">
        <f>HYPERLINK("https://baanknet.com/view-property/265327/49204CE952B0CFAE2189296D1ED0C87308C10B16A9DBB7756E44F14D45A649A6", "Open")</f>
        <v>Open</v>
      </c>
      <c r="J4875" t="s">
        <v>3803</v>
      </c>
      <c r="L4875">
        <v>2610000</v>
      </c>
      <c r="M4875">
        <v>261000</v>
      </c>
    </row>
    <row r="4876" spans="1:13" x14ac:dyDescent="0.25">
      <c r="A4876" t="s">
        <v>16170</v>
      </c>
      <c r="B4876" t="s">
        <v>16171</v>
      </c>
      <c r="C4876" t="s">
        <v>15</v>
      </c>
      <c r="D4876" t="s">
        <v>1300</v>
      </c>
      <c r="E4876" t="s">
        <v>15507</v>
      </c>
      <c r="F4876" t="s">
        <v>15515</v>
      </c>
      <c r="G4876" t="s">
        <v>16172</v>
      </c>
      <c r="H4876" t="str">
        <f>HYPERLINK("https://baanknet.com/view-property/249447/A07154BD2363AC9B9E8CC2C9CF06A05F9073D3060CEAF4C3F6B4444AFE12485F", "https://baanknet.com/view-property/249447/A07154BD2363AC9B9E8CC2C9CF06A05F9073D3060CEAF4C3F6B4444AFE12485F")</f>
        <v>https://baanknet.com/view-property/249447/A07154BD2363AC9B9E8CC2C9CF06A05F9073D3060CEAF4C3F6B4444AFE12485F</v>
      </c>
      <c r="I4876" t="str">
        <f>HYPERLINK("https://baanknet.com/view-property/249447/A07154BD2363AC9B9E8CC2C9CF06A05F9073D3060CEAF4C3F6B4444AFE12485F", "Open")</f>
        <v>Open</v>
      </c>
      <c r="J4876" t="s">
        <v>3803</v>
      </c>
      <c r="L4876">
        <v>5000000</v>
      </c>
      <c r="M4876">
        <v>500000</v>
      </c>
    </row>
    <row r="4877" spans="1:13" x14ac:dyDescent="0.25">
      <c r="A4877" t="s">
        <v>16173</v>
      </c>
      <c r="B4877" t="s">
        <v>16174</v>
      </c>
      <c r="C4877" t="s">
        <v>15</v>
      </c>
      <c r="D4877" t="s">
        <v>6245</v>
      </c>
      <c r="E4877" t="s">
        <v>15507</v>
      </c>
      <c r="F4877" t="s">
        <v>15515</v>
      </c>
      <c r="G4877" t="s">
        <v>16175</v>
      </c>
      <c r="H4877" t="str">
        <f>HYPERLINK("https://baanknet.com/view-property/247671/BBFD52670602303AEDC5A0F2488B52445D405A87D9A5CEB132ADAE0456AF9763", "https://baanknet.com/view-property/247671/BBFD52670602303AEDC5A0F2488B52445D405A87D9A5CEB132ADAE0456AF9763")</f>
        <v>https://baanknet.com/view-property/247671/BBFD52670602303AEDC5A0F2488B52445D405A87D9A5CEB132ADAE0456AF9763</v>
      </c>
      <c r="I4877" t="str">
        <f>HYPERLINK("https://baanknet.com/view-property/247671/BBFD52670602303AEDC5A0F2488B52445D405A87D9A5CEB132ADAE0456AF9763", "Open")</f>
        <v>Open</v>
      </c>
      <c r="J4877" t="s">
        <v>3803</v>
      </c>
      <c r="L4877">
        <v>10000000</v>
      </c>
      <c r="M4877">
        <v>1000000</v>
      </c>
    </row>
    <row r="4878" spans="1:13" x14ac:dyDescent="0.25">
      <c r="A4878" t="s">
        <v>16176</v>
      </c>
      <c r="B4878" t="s">
        <v>16177</v>
      </c>
      <c r="C4878" t="s">
        <v>15</v>
      </c>
      <c r="D4878" t="s">
        <v>1300</v>
      </c>
      <c r="E4878" t="s">
        <v>15507</v>
      </c>
      <c r="F4878" t="s">
        <v>15515</v>
      </c>
      <c r="G4878" t="s">
        <v>16178</v>
      </c>
      <c r="H4878" t="str">
        <f>HYPERLINK("https://baanknet.com/view-property/271822/D25EEE8DACD854BF1949547CE51B2FDB87A5072B102764ADC63DDBE595CDBDA8", "https://baanknet.com/view-property/271822/D25EEE8DACD854BF1949547CE51B2FDB87A5072B102764ADC63DDBE595CDBDA8")</f>
        <v>https://baanknet.com/view-property/271822/D25EEE8DACD854BF1949547CE51B2FDB87A5072B102764ADC63DDBE595CDBDA8</v>
      </c>
      <c r="I4878" t="str">
        <f>HYPERLINK("https://baanknet.com/view-property/271822/D25EEE8DACD854BF1949547CE51B2FDB87A5072B102764ADC63DDBE595CDBDA8", "Open")</f>
        <v>Open</v>
      </c>
      <c r="J4878" t="s">
        <v>3803</v>
      </c>
      <c r="L4878">
        <v>4176000</v>
      </c>
      <c r="M4878">
        <v>417600</v>
      </c>
    </row>
    <row r="4879" spans="1:13" x14ac:dyDescent="0.25">
      <c r="A4879" t="s">
        <v>16179</v>
      </c>
      <c r="B4879" t="s">
        <v>16180</v>
      </c>
      <c r="C4879" t="s">
        <v>15</v>
      </c>
      <c r="D4879" t="s">
        <v>1300</v>
      </c>
      <c r="E4879" t="s">
        <v>15507</v>
      </c>
      <c r="F4879" t="s">
        <v>15515</v>
      </c>
      <c r="G4879" t="s">
        <v>16181</v>
      </c>
      <c r="H4879" t="str">
        <f>HYPERLINK("https://baanknet.com/view-property/248416/2045D4315AB3F12CA7DD25596252B4DEADC49CCA4FED21E28C68053B3A97623F", "https://baanknet.com/view-property/248416/2045D4315AB3F12CA7DD25596252B4DEADC49CCA4FED21E28C68053B3A97623F")</f>
        <v>https://baanknet.com/view-property/248416/2045D4315AB3F12CA7DD25596252B4DEADC49CCA4FED21E28C68053B3A97623F</v>
      </c>
      <c r="I4879" t="str">
        <f>HYPERLINK("https://baanknet.com/view-property/248416/2045D4315AB3F12CA7DD25596252B4DEADC49CCA4FED21E28C68053B3A97623F", "Open")</f>
        <v>Open</v>
      </c>
      <c r="J4879" t="s">
        <v>3803</v>
      </c>
      <c r="L4879">
        <v>2815000</v>
      </c>
      <c r="M4879">
        <v>281500</v>
      </c>
    </row>
    <row r="4880" spans="1:13" x14ac:dyDescent="0.25">
      <c r="A4880" t="s">
        <v>16182</v>
      </c>
      <c r="B4880" t="s">
        <v>16183</v>
      </c>
      <c r="C4880" t="s">
        <v>15</v>
      </c>
      <c r="D4880" t="s">
        <v>8247</v>
      </c>
      <c r="E4880" t="s">
        <v>15507</v>
      </c>
      <c r="F4880" t="s">
        <v>15515</v>
      </c>
      <c r="G4880" t="s">
        <v>16184</v>
      </c>
      <c r="H4880" t="str">
        <f>HYPERLINK("https://baanknet.com/view-property/246787/BB12AACA74C9D64355699599803A6079BF4847CF3D2F45A19554C274A58A687A", "https://baanknet.com/view-property/246787/BB12AACA74C9D64355699599803A6079BF4847CF3D2F45A19554C274A58A687A")</f>
        <v>https://baanknet.com/view-property/246787/BB12AACA74C9D64355699599803A6079BF4847CF3D2F45A19554C274A58A687A</v>
      </c>
      <c r="I4880" t="str">
        <f>HYPERLINK("https://baanknet.com/view-property/246787/BB12AACA74C9D64355699599803A6079BF4847CF3D2F45A19554C274A58A687A", "Open")</f>
        <v>Open</v>
      </c>
      <c r="J4880" t="s">
        <v>3803</v>
      </c>
      <c r="L4880">
        <v>3617000</v>
      </c>
      <c r="M4880">
        <v>361700</v>
      </c>
    </row>
    <row r="4881" spans="1:13" x14ac:dyDescent="0.25">
      <c r="A4881" t="s">
        <v>16185</v>
      </c>
      <c r="B4881" t="s">
        <v>16186</v>
      </c>
      <c r="C4881" t="s">
        <v>15</v>
      </c>
      <c r="D4881" t="s">
        <v>16187</v>
      </c>
      <c r="E4881" t="s">
        <v>15507</v>
      </c>
      <c r="F4881" t="s">
        <v>15515</v>
      </c>
      <c r="G4881" t="s">
        <v>16188</v>
      </c>
      <c r="H4881" t="str">
        <f>HYPERLINK("https://baanknet.com/view-property/265345/D16E13A7E316852C8F232895D2C2BDA481B63A9BE72F6677AF8A68B4E3E1A3D7", "https://baanknet.com/view-property/265345/D16E13A7E316852C8F232895D2C2BDA481B63A9BE72F6677AF8A68B4E3E1A3D7")</f>
        <v>https://baanknet.com/view-property/265345/D16E13A7E316852C8F232895D2C2BDA481B63A9BE72F6677AF8A68B4E3E1A3D7</v>
      </c>
      <c r="I4881" t="str">
        <f>HYPERLINK("https://baanknet.com/view-property/265345/D16E13A7E316852C8F232895D2C2BDA481B63A9BE72F6677AF8A68B4E3E1A3D7", "Open")</f>
        <v>Open</v>
      </c>
      <c r="J4881" t="s">
        <v>3803</v>
      </c>
      <c r="L4881">
        <v>15994000</v>
      </c>
      <c r="M4881">
        <v>1599400</v>
      </c>
    </row>
    <row r="4882" spans="1:13" x14ac:dyDescent="0.25">
      <c r="A4882" t="s">
        <v>16189</v>
      </c>
      <c r="B4882" t="s">
        <v>16190</v>
      </c>
      <c r="C4882" t="s">
        <v>15</v>
      </c>
      <c r="D4882" t="s">
        <v>16191</v>
      </c>
      <c r="E4882" t="s">
        <v>15507</v>
      </c>
      <c r="F4882" t="s">
        <v>15515</v>
      </c>
      <c r="G4882" t="s">
        <v>16192</v>
      </c>
      <c r="H4882" t="str">
        <f>HYPERLINK("https://baanknet.com/view-property/248672/DC11B3D37AA46C7DA7BBDDD5D831DA18401A78FF78D07E18C6B19EE4B3E35C05", "https://baanknet.com/view-property/248672/DC11B3D37AA46C7DA7BBDDD5D831DA18401A78FF78D07E18C6B19EE4B3E35C05")</f>
        <v>https://baanknet.com/view-property/248672/DC11B3D37AA46C7DA7BBDDD5D831DA18401A78FF78D07E18C6B19EE4B3E35C05</v>
      </c>
      <c r="I4882" t="str">
        <f>HYPERLINK("https://baanknet.com/view-property/248672/DC11B3D37AA46C7DA7BBDDD5D831DA18401A78FF78D07E18C6B19EE4B3E35C05", "Open")</f>
        <v>Open</v>
      </c>
      <c r="J4882" t="s">
        <v>3803</v>
      </c>
      <c r="L4882">
        <v>6205000</v>
      </c>
      <c r="M4882">
        <v>620500</v>
      </c>
    </row>
    <row r="4883" spans="1:13" x14ac:dyDescent="0.25">
      <c r="A4883" t="s">
        <v>16193</v>
      </c>
      <c r="B4883" t="s">
        <v>16194</v>
      </c>
      <c r="C4883" t="s">
        <v>15</v>
      </c>
      <c r="D4883" t="s">
        <v>16195</v>
      </c>
      <c r="E4883" t="s">
        <v>15507</v>
      </c>
      <c r="F4883" t="s">
        <v>15515</v>
      </c>
      <c r="G4883" t="s">
        <v>16196</v>
      </c>
      <c r="H4883" t="str">
        <f>HYPERLINK("https://baanknet.com/view-property/252037/4DA7CCAF27DFF7987BF8E6165C53060F12EFA3D958807F97502C72FD7A665F1C", "https://baanknet.com/view-property/252037/4DA7CCAF27DFF7987BF8E6165C53060F12EFA3D958807F97502C72FD7A665F1C")</f>
        <v>https://baanknet.com/view-property/252037/4DA7CCAF27DFF7987BF8E6165C53060F12EFA3D958807F97502C72FD7A665F1C</v>
      </c>
      <c r="I4883" t="str">
        <f>HYPERLINK("https://baanknet.com/view-property/252037/4DA7CCAF27DFF7987BF8E6165C53060F12EFA3D958807F97502C72FD7A665F1C", "Open")</f>
        <v>Open</v>
      </c>
      <c r="J4883" t="s">
        <v>3803</v>
      </c>
      <c r="L4883">
        <v>13205000</v>
      </c>
      <c r="M4883">
        <v>1320500</v>
      </c>
    </row>
    <row r="4884" spans="1:13" x14ac:dyDescent="0.25">
      <c r="A4884" t="s">
        <v>16197</v>
      </c>
      <c r="B4884" t="s">
        <v>16198</v>
      </c>
      <c r="C4884" t="s">
        <v>15</v>
      </c>
      <c r="D4884" t="s">
        <v>8247</v>
      </c>
      <c r="E4884" t="s">
        <v>15507</v>
      </c>
      <c r="F4884" t="s">
        <v>15515</v>
      </c>
      <c r="G4884" t="s">
        <v>16199</v>
      </c>
      <c r="H4884" t="str">
        <f>HYPERLINK("https://baanknet.com/view-property/252039/AE8500B56C4717B5945E74C5670FE5E42334EC2E176F039DB6330A91F49E7773", "https://baanknet.com/view-property/252039/AE8500B56C4717B5945E74C5670FE5E42334EC2E176F039DB6330A91F49E7773")</f>
        <v>https://baanknet.com/view-property/252039/AE8500B56C4717B5945E74C5670FE5E42334EC2E176F039DB6330A91F49E7773</v>
      </c>
      <c r="I4884" t="str">
        <f>HYPERLINK("https://baanknet.com/view-property/252039/AE8500B56C4717B5945E74C5670FE5E42334EC2E176F039DB6330A91F49E7773", "Open")</f>
        <v>Open</v>
      </c>
      <c r="J4884" t="s">
        <v>3803</v>
      </c>
      <c r="L4884">
        <v>2285000</v>
      </c>
      <c r="M4884">
        <v>228500</v>
      </c>
    </row>
    <row r="4885" spans="1:13" x14ac:dyDescent="0.25">
      <c r="A4885" t="s">
        <v>16200</v>
      </c>
      <c r="B4885" t="s">
        <v>16201</v>
      </c>
      <c r="C4885" t="s">
        <v>15</v>
      </c>
      <c r="D4885" t="s">
        <v>16202</v>
      </c>
      <c r="E4885" t="s">
        <v>15507</v>
      </c>
      <c r="F4885" t="s">
        <v>15515</v>
      </c>
      <c r="G4885" t="s">
        <v>16203</v>
      </c>
      <c r="H4885" t="str">
        <f>HYPERLINK("https://baanknet.com/view-property/187374/1281BDF74A3151A0C678AD0F74FBCF17B6FDEEC42B8A246D99852BE02DC96430", "https://baanknet.com/view-property/187374/1281BDF74A3151A0C678AD0F74FBCF17B6FDEEC42B8A246D99852BE02DC96430")</f>
        <v>https://baanknet.com/view-property/187374/1281BDF74A3151A0C678AD0F74FBCF17B6FDEEC42B8A246D99852BE02DC96430</v>
      </c>
      <c r="I4885" t="str">
        <f>HYPERLINK("https://baanknet.com/view-property/187374/1281BDF74A3151A0C678AD0F74FBCF17B6FDEEC42B8A246D99852BE02DC96430", "Open")</f>
        <v>Open</v>
      </c>
      <c r="J4885" t="s">
        <v>3803</v>
      </c>
      <c r="L4885">
        <v>2933000</v>
      </c>
      <c r="M4885">
        <v>293300</v>
      </c>
    </row>
    <row r="4886" spans="1:13" x14ac:dyDescent="0.25">
      <c r="A4886" t="s">
        <v>16204</v>
      </c>
      <c r="B4886" t="s">
        <v>16205</v>
      </c>
      <c r="C4886" t="s">
        <v>15</v>
      </c>
      <c r="D4886" t="s">
        <v>16202</v>
      </c>
      <c r="E4886" t="s">
        <v>15507</v>
      </c>
      <c r="F4886" t="s">
        <v>15515</v>
      </c>
      <c r="G4886" t="s">
        <v>16206</v>
      </c>
      <c r="H4886" t="str">
        <f>HYPERLINK("https://baanknet.com/view-property/187366/AB304035EC9C02A0E201403501AAAF2FD23D83A7E8CC613CF722DC5BF03757E0", "https://baanknet.com/view-property/187366/AB304035EC9C02A0E201403501AAAF2FD23D83A7E8CC613CF722DC5BF03757E0")</f>
        <v>https://baanknet.com/view-property/187366/AB304035EC9C02A0E201403501AAAF2FD23D83A7E8CC613CF722DC5BF03757E0</v>
      </c>
      <c r="I4886" t="str">
        <f>HYPERLINK("https://baanknet.com/view-property/187366/AB304035EC9C02A0E201403501AAAF2FD23D83A7E8CC613CF722DC5BF03757E0", "Open")</f>
        <v>Open</v>
      </c>
      <c r="J4886" t="s">
        <v>3803</v>
      </c>
      <c r="L4886">
        <v>5100000</v>
      </c>
      <c r="M4886">
        <v>510000</v>
      </c>
    </row>
    <row r="4887" spans="1:13" x14ac:dyDescent="0.25">
      <c r="A4887" t="s">
        <v>16207</v>
      </c>
      <c r="B4887" t="s">
        <v>16208</v>
      </c>
      <c r="C4887" t="s">
        <v>15</v>
      </c>
      <c r="D4887" t="s">
        <v>16202</v>
      </c>
      <c r="E4887" t="s">
        <v>15507</v>
      </c>
      <c r="F4887" t="s">
        <v>15515</v>
      </c>
      <c r="G4887" t="s">
        <v>16209</v>
      </c>
      <c r="H4887" t="str">
        <f>HYPERLINK("https://baanknet.com/view-property/187355/E1453189CBED04DB6DC4A51D9D30372C9825BF5B0B2185E3411B6170C1E9304C", "https://baanknet.com/view-property/187355/E1453189CBED04DB6DC4A51D9D30372C9825BF5B0B2185E3411B6170C1E9304C")</f>
        <v>https://baanknet.com/view-property/187355/E1453189CBED04DB6DC4A51D9D30372C9825BF5B0B2185E3411B6170C1E9304C</v>
      </c>
      <c r="I4887" t="str">
        <f>HYPERLINK("https://baanknet.com/view-property/187355/E1453189CBED04DB6DC4A51D9D30372C9825BF5B0B2185E3411B6170C1E9304C", "Open")</f>
        <v>Open</v>
      </c>
      <c r="J4887" t="s">
        <v>3803</v>
      </c>
      <c r="L4887">
        <v>3787000</v>
      </c>
      <c r="M4887">
        <v>378700</v>
      </c>
    </row>
    <row r="4888" spans="1:13" x14ac:dyDescent="0.25">
      <c r="A4888" t="s">
        <v>16210</v>
      </c>
      <c r="B4888" t="s">
        <v>16211</v>
      </c>
      <c r="C4888" t="s">
        <v>15</v>
      </c>
      <c r="D4888" t="s">
        <v>4246</v>
      </c>
      <c r="E4888" t="s">
        <v>15507</v>
      </c>
      <c r="F4888" t="s">
        <v>15515</v>
      </c>
      <c r="G4888" t="s">
        <v>16212</v>
      </c>
      <c r="H4888" t="str">
        <f>HYPERLINK("https://baanknet.com/view-property/255532/171AB85E92AD4BF709A8839589D1C7B3D256352604440764268FA2F9B0F3173C", "https://baanknet.com/view-property/255532/171AB85E92AD4BF709A8839589D1C7B3D256352604440764268FA2F9B0F3173C")</f>
        <v>https://baanknet.com/view-property/255532/171AB85E92AD4BF709A8839589D1C7B3D256352604440764268FA2F9B0F3173C</v>
      </c>
      <c r="I4888" t="str">
        <f>HYPERLINK("https://baanknet.com/view-property/255532/171AB85E92AD4BF709A8839589D1C7B3D256352604440764268FA2F9B0F3173C", "Open")</f>
        <v>Open</v>
      </c>
      <c r="J4888" t="s">
        <v>3803</v>
      </c>
      <c r="L4888">
        <v>1480000</v>
      </c>
      <c r="M4888">
        <v>148000</v>
      </c>
    </row>
    <row r="4889" spans="1:13" x14ac:dyDescent="0.25">
      <c r="A4889" t="s">
        <v>16213</v>
      </c>
      <c r="B4889" t="s">
        <v>16214</v>
      </c>
      <c r="C4889" t="s">
        <v>15</v>
      </c>
      <c r="D4889" t="s">
        <v>3496</v>
      </c>
      <c r="E4889" t="s">
        <v>15507</v>
      </c>
      <c r="F4889" t="s">
        <v>15515</v>
      </c>
      <c r="G4889" t="s">
        <v>16215</v>
      </c>
      <c r="H4889" t="str">
        <f>HYPERLINK("https://baanknet.com/view-property/257253/B7B33A4827C07077F5A5766FD111BF62A7F7941EDF89CCE4B07BA768B95F7A70", "https://baanknet.com/view-property/257253/B7B33A4827C07077F5A5766FD111BF62A7F7941EDF89CCE4B07BA768B95F7A70")</f>
        <v>https://baanknet.com/view-property/257253/B7B33A4827C07077F5A5766FD111BF62A7F7941EDF89CCE4B07BA768B95F7A70</v>
      </c>
      <c r="I4889" t="str">
        <f>HYPERLINK("https://baanknet.com/view-property/257253/B7B33A4827C07077F5A5766FD111BF62A7F7941EDF89CCE4B07BA768B95F7A70", "Open")</f>
        <v>Open</v>
      </c>
      <c r="J4889" t="s">
        <v>3803</v>
      </c>
      <c r="L4889">
        <v>4975200</v>
      </c>
      <c r="M4889">
        <v>497520</v>
      </c>
    </row>
    <row r="4890" spans="1:13" x14ac:dyDescent="0.25">
      <c r="A4890" t="s">
        <v>16216</v>
      </c>
      <c r="B4890" t="s">
        <v>16217</v>
      </c>
      <c r="C4890" t="s">
        <v>15</v>
      </c>
      <c r="D4890" t="s">
        <v>3994</v>
      </c>
      <c r="E4890" t="s">
        <v>15507</v>
      </c>
      <c r="F4890" t="s">
        <v>15515</v>
      </c>
      <c r="G4890" t="s">
        <v>16218</v>
      </c>
      <c r="H4890" t="str">
        <f>HYPERLINK("https://baanknet.com/view-property/233999/96A51FE202EDC7FE2FA85C180E5335523170AD931476859230F9388981C93A70", "https://baanknet.com/view-property/233999/96A51FE202EDC7FE2FA85C180E5335523170AD931476859230F9388981C93A70")</f>
        <v>https://baanknet.com/view-property/233999/96A51FE202EDC7FE2FA85C180E5335523170AD931476859230F9388981C93A70</v>
      </c>
      <c r="I4890" t="str">
        <f>HYPERLINK("https://baanknet.com/view-property/233999/96A51FE202EDC7FE2FA85C180E5335523170AD931476859230F9388981C93A70", "Open")</f>
        <v>Open</v>
      </c>
      <c r="J4890" t="s">
        <v>3803</v>
      </c>
      <c r="L4890">
        <v>1695000</v>
      </c>
      <c r="M4890">
        <v>169500</v>
      </c>
    </row>
    <row r="4891" spans="1:13" x14ac:dyDescent="0.25">
      <c r="A4891" t="s">
        <v>16219</v>
      </c>
      <c r="B4891" t="s">
        <v>16220</v>
      </c>
      <c r="C4891" t="s">
        <v>15</v>
      </c>
      <c r="D4891" t="s">
        <v>853</v>
      </c>
      <c r="E4891" t="s">
        <v>15507</v>
      </c>
      <c r="F4891" t="s">
        <v>15515</v>
      </c>
      <c r="G4891" t="s">
        <v>16221</v>
      </c>
      <c r="H4891" t="str">
        <f>HYPERLINK("https://baanknet.com/view-property/246404/4B2A4E5A0C75B966137E332B6B788BF40019320E9BBF2D68FBC1F9738B97AC75", "https://baanknet.com/view-property/246404/4B2A4E5A0C75B966137E332B6B788BF40019320E9BBF2D68FBC1F9738B97AC75")</f>
        <v>https://baanknet.com/view-property/246404/4B2A4E5A0C75B966137E332B6B788BF40019320E9BBF2D68FBC1F9738B97AC75</v>
      </c>
      <c r="I4891" t="str">
        <f>HYPERLINK("https://baanknet.com/view-property/246404/4B2A4E5A0C75B966137E332B6B788BF40019320E9BBF2D68FBC1F9738B97AC75", "Open")</f>
        <v>Open</v>
      </c>
      <c r="J4891" t="s">
        <v>3803</v>
      </c>
      <c r="L4891">
        <v>1732000</v>
      </c>
      <c r="M4891">
        <v>173200</v>
      </c>
    </row>
    <row r="4892" spans="1:13" x14ac:dyDescent="0.25">
      <c r="A4892" t="s">
        <v>16222</v>
      </c>
      <c r="B4892" t="s">
        <v>16223</v>
      </c>
      <c r="C4892" t="s">
        <v>15</v>
      </c>
      <c r="D4892" t="s">
        <v>12048</v>
      </c>
      <c r="E4892" t="s">
        <v>15507</v>
      </c>
      <c r="F4892" t="s">
        <v>15515</v>
      </c>
      <c r="G4892" t="s">
        <v>16224</v>
      </c>
      <c r="H4892" t="str">
        <f>HYPERLINK("https://baanknet.com/view-property/268720/08AA3107AD09254EBB5C2D91BABB795EE49B5CE57F2D5FF8A60BEF5E8A36AC6C", "https://baanknet.com/view-property/268720/08AA3107AD09254EBB5C2D91BABB795EE49B5CE57F2D5FF8A60BEF5E8A36AC6C")</f>
        <v>https://baanknet.com/view-property/268720/08AA3107AD09254EBB5C2D91BABB795EE49B5CE57F2D5FF8A60BEF5E8A36AC6C</v>
      </c>
      <c r="I4892" t="str">
        <f>HYPERLINK("https://baanknet.com/view-property/268720/08AA3107AD09254EBB5C2D91BABB795EE49B5CE57F2D5FF8A60BEF5E8A36AC6C", "Open")</f>
        <v>Open</v>
      </c>
      <c r="J4892" t="s">
        <v>3803</v>
      </c>
      <c r="L4892">
        <v>3388000</v>
      </c>
      <c r="M4892">
        <v>338800</v>
      </c>
    </row>
    <row r="4893" spans="1:13" x14ac:dyDescent="0.25">
      <c r="A4893" t="s">
        <v>16225</v>
      </c>
      <c r="B4893" t="s">
        <v>16226</v>
      </c>
      <c r="C4893" t="s">
        <v>15</v>
      </c>
      <c r="D4893" t="s">
        <v>4246</v>
      </c>
      <c r="E4893" t="s">
        <v>15507</v>
      </c>
      <c r="F4893" t="s">
        <v>15515</v>
      </c>
      <c r="G4893" t="s">
        <v>16227</v>
      </c>
      <c r="H4893" t="str">
        <f>HYPERLINK("https://baanknet.com/view-property/260647/4D6353551E9C08E4A346A9323E5BF661D09ED54EFFD5B2EEB52A0E872A06BCA7", "https://baanknet.com/view-property/260647/4D6353551E9C08E4A346A9323E5BF661D09ED54EFFD5B2EEB52A0E872A06BCA7")</f>
        <v>https://baanknet.com/view-property/260647/4D6353551E9C08E4A346A9323E5BF661D09ED54EFFD5B2EEB52A0E872A06BCA7</v>
      </c>
      <c r="I4893" t="str">
        <f>HYPERLINK("https://baanknet.com/view-property/260647/4D6353551E9C08E4A346A9323E5BF661D09ED54EFFD5B2EEB52A0E872A06BCA7", "Open")</f>
        <v>Open</v>
      </c>
      <c r="J4893" t="s">
        <v>3803</v>
      </c>
      <c r="L4893">
        <v>1536000</v>
      </c>
      <c r="M4893">
        <v>153600</v>
      </c>
    </row>
    <row r="4894" spans="1:13" x14ac:dyDescent="0.25">
      <c r="A4894" t="s">
        <v>16228</v>
      </c>
      <c r="B4894" t="s">
        <v>16229</v>
      </c>
      <c r="C4894" t="s">
        <v>15</v>
      </c>
      <c r="D4894" t="s">
        <v>3994</v>
      </c>
      <c r="E4894" t="s">
        <v>15507</v>
      </c>
      <c r="F4894" t="s">
        <v>15515</v>
      </c>
      <c r="G4894" t="s">
        <v>16230</v>
      </c>
      <c r="H4894" t="str">
        <f>HYPERLINK("https://baanknet.com/view-property/257193/1D12ECDB19AD672EB7D77A5F58D6F852CB843D21A5ABAC770805FB0B3A7D2120", "https://baanknet.com/view-property/257193/1D12ECDB19AD672EB7D77A5F58D6F852CB843D21A5ABAC770805FB0B3A7D2120")</f>
        <v>https://baanknet.com/view-property/257193/1D12ECDB19AD672EB7D77A5F58D6F852CB843D21A5ABAC770805FB0B3A7D2120</v>
      </c>
      <c r="I4894" t="str">
        <f>HYPERLINK("https://baanknet.com/view-property/257193/1D12ECDB19AD672EB7D77A5F58D6F852CB843D21A5ABAC770805FB0B3A7D2120", "Open")</f>
        <v>Open</v>
      </c>
      <c r="J4894" t="s">
        <v>3803</v>
      </c>
      <c r="L4894">
        <v>1421000</v>
      </c>
      <c r="M4894">
        <v>142100</v>
      </c>
    </row>
    <row r="4895" spans="1:13" x14ac:dyDescent="0.25">
      <c r="A4895" t="s">
        <v>16231</v>
      </c>
      <c r="B4895" t="s">
        <v>16232</v>
      </c>
      <c r="C4895" t="s">
        <v>15</v>
      </c>
      <c r="D4895" t="s">
        <v>1293</v>
      </c>
      <c r="E4895" t="s">
        <v>15507</v>
      </c>
      <c r="F4895" t="s">
        <v>15515</v>
      </c>
      <c r="G4895" t="s">
        <v>16233</v>
      </c>
      <c r="H4895" t="str">
        <f>HYPERLINK("https://baanknet.com/view-property/244529/A394A79F1BF00C83FF48DBED2D959DD1BDBD27B2D33FD33D80982D286DC57007", "https://baanknet.com/view-property/244529/A394A79F1BF00C83FF48DBED2D959DD1BDBD27B2D33FD33D80982D286DC57007")</f>
        <v>https://baanknet.com/view-property/244529/A394A79F1BF00C83FF48DBED2D959DD1BDBD27B2D33FD33D80982D286DC57007</v>
      </c>
      <c r="I4895" t="str">
        <f>HYPERLINK("https://baanknet.com/view-property/244529/A394A79F1BF00C83FF48DBED2D959DD1BDBD27B2D33FD33D80982D286DC57007", "Open")</f>
        <v>Open</v>
      </c>
      <c r="J4895" t="s">
        <v>3803</v>
      </c>
      <c r="L4895">
        <v>1380000</v>
      </c>
      <c r="M4895">
        <v>138000</v>
      </c>
    </row>
    <row r="4896" spans="1:13" x14ac:dyDescent="0.25">
      <c r="A4896" t="s">
        <v>16234</v>
      </c>
      <c r="B4896" t="s">
        <v>16235</v>
      </c>
      <c r="C4896" t="s">
        <v>15</v>
      </c>
      <c r="D4896" t="s">
        <v>1293</v>
      </c>
      <c r="E4896" t="s">
        <v>15507</v>
      </c>
      <c r="F4896" t="s">
        <v>15515</v>
      </c>
      <c r="G4896" t="s">
        <v>16236</v>
      </c>
      <c r="H4896" t="str">
        <f>HYPERLINK("https://baanknet.com/view-property/244527/49F0744E504784B122EB238FE5D83D99DE92ABAE3EA964E3EC2E59575E425BDB", "https://baanknet.com/view-property/244527/49F0744E504784B122EB238FE5D83D99DE92ABAE3EA964E3EC2E59575E425BDB")</f>
        <v>https://baanknet.com/view-property/244527/49F0744E504784B122EB238FE5D83D99DE92ABAE3EA964E3EC2E59575E425BDB</v>
      </c>
      <c r="I4896" t="str">
        <f>HYPERLINK("https://baanknet.com/view-property/244527/49F0744E504784B122EB238FE5D83D99DE92ABAE3EA964E3EC2E59575E425BDB", "Open")</f>
        <v>Open</v>
      </c>
      <c r="J4896" t="s">
        <v>3803</v>
      </c>
      <c r="L4896">
        <v>1380000</v>
      </c>
      <c r="M4896">
        <v>138000</v>
      </c>
    </row>
    <row r="4897" spans="1:13" x14ac:dyDescent="0.25">
      <c r="A4897" t="s">
        <v>16237</v>
      </c>
      <c r="B4897" t="s">
        <v>16238</v>
      </c>
      <c r="C4897" t="s">
        <v>15</v>
      </c>
      <c r="D4897" t="s">
        <v>9038</v>
      </c>
      <c r="E4897" t="s">
        <v>15507</v>
      </c>
      <c r="F4897" t="s">
        <v>15515</v>
      </c>
      <c r="G4897" t="s">
        <v>16239</v>
      </c>
      <c r="H4897" t="str">
        <f>HYPERLINK("https://baanknet.com/view-property/267493/74232738AF12C52D60CB76A20ABA864F74A1DC75A4C7F03B453FB44B7DC6FB57", "https://baanknet.com/view-property/267493/74232738AF12C52D60CB76A20ABA864F74A1DC75A4C7F03B453FB44B7DC6FB57")</f>
        <v>https://baanknet.com/view-property/267493/74232738AF12C52D60CB76A20ABA864F74A1DC75A4C7F03B453FB44B7DC6FB57</v>
      </c>
      <c r="I4897" t="str">
        <f>HYPERLINK("https://baanknet.com/view-property/267493/74232738AF12C52D60CB76A20ABA864F74A1DC75A4C7F03B453FB44B7DC6FB57", "Open")</f>
        <v>Open</v>
      </c>
      <c r="J4897" t="s">
        <v>3803</v>
      </c>
      <c r="L4897">
        <v>1890000</v>
      </c>
      <c r="M4897">
        <v>189000</v>
      </c>
    </row>
    <row r="4898" spans="1:13" x14ac:dyDescent="0.25">
      <c r="A4898" t="s">
        <v>16240</v>
      </c>
      <c r="B4898" t="s">
        <v>16241</v>
      </c>
      <c r="C4898" t="s">
        <v>15</v>
      </c>
      <c r="D4898" t="s">
        <v>16242</v>
      </c>
      <c r="E4898" t="s">
        <v>15507</v>
      </c>
      <c r="F4898" t="s">
        <v>15515</v>
      </c>
      <c r="G4898" t="s">
        <v>16243</v>
      </c>
      <c r="H4898" t="str">
        <f>HYPERLINK("https://baanknet.com/view-property/265116/D01E960F120CA9632F89998DF0D14B0E30C936F16CF1C242CDCED7B317202548", "https://baanknet.com/view-property/265116/D01E960F120CA9632F89998DF0D14B0E30C936F16CF1C242CDCED7B317202548")</f>
        <v>https://baanknet.com/view-property/265116/D01E960F120CA9632F89998DF0D14B0E30C936F16CF1C242CDCED7B317202548</v>
      </c>
      <c r="I4898" t="str">
        <f>HYPERLINK("https://baanknet.com/view-property/265116/D01E960F120CA9632F89998DF0D14B0E30C936F16CF1C242CDCED7B317202548", "Open")</f>
        <v>Open</v>
      </c>
      <c r="J4898" t="s">
        <v>3803</v>
      </c>
      <c r="L4898">
        <v>1487000</v>
      </c>
      <c r="M4898">
        <v>148700</v>
      </c>
    </row>
    <row r="4899" spans="1:13" x14ac:dyDescent="0.25">
      <c r="A4899" t="s">
        <v>16244</v>
      </c>
      <c r="B4899" t="s">
        <v>16245</v>
      </c>
      <c r="C4899" t="s">
        <v>15</v>
      </c>
      <c r="D4899" t="s">
        <v>16246</v>
      </c>
      <c r="E4899" t="s">
        <v>15507</v>
      </c>
      <c r="F4899" t="s">
        <v>15515</v>
      </c>
      <c r="G4899" t="s">
        <v>16247</v>
      </c>
      <c r="H4899" t="str">
        <f>HYPERLINK("https://baanknet.com/view-property/280320/6570CC8BBCEACAB3D810D9CAECD3F2D298578F5409FE38C0A2C31D71321322C3", "https://baanknet.com/view-property/280320/6570CC8BBCEACAB3D810D9CAECD3F2D298578F5409FE38C0A2C31D71321322C3")</f>
        <v>https://baanknet.com/view-property/280320/6570CC8BBCEACAB3D810D9CAECD3F2D298578F5409FE38C0A2C31D71321322C3</v>
      </c>
      <c r="I4899" t="str">
        <f>HYPERLINK("https://baanknet.com/view-property/280320/6570CC8BBCEACAB3D810D9CAECD3F2D298578F5409FE38C0A2C31D71321322C3", "Open")</f>
        <v>Open</v>
      </c>
      <c r="J4899" t="s">
        <v>3803</v>
      </c>
      <c r="L4899">
        <v>5668000</v>
      </c>
      <c r="M4899">
        <v>566800</v>
      </c>
    </row>
    <row r="4900" spans="1:13" x14ac:dyDescent="0.25">
      <c r="A4900" t="s">
        <v>16248</v>
      </c>
      <c r="B4900" t="s">
        <v>16249</v>
      </c>
      <c r="C4900" t="s">
        <v>15</v>
      </c>
      <c r="D4900" t="s">
        <v>5266</v>
      </c>
      <c r="E4900" t="s">
        <v>15507</v>
      </c>
      <c r="F4900" t="s">
        <v>15515</v>
      </c>
      <c r="G4900" t="s">
        <v>16250</v>
      </c>
      <c r="H4900" t="str">
        <f>HYPERLINK("https://baanknet.com/view-property/250774/8C66B29F14505532F1315D792B642662A231D533415AD6E1553E599F8768D928", "https://baanknet.com/view-property/250774/8C66B29F14505532F1315D792B642662A231D533415AD6E1553E599F8768D928")</f>
        <v>https://baanknet.com/view-property/250774/8C66B29F14505532F1315D792B642662A231D533415AD6E1553E599F8768D928</v>
      </c>
      <c r="I4900" t="str">
        <f>HYPERLINK("https://baanknet.com/view-property/250774/8C66B29F14505532F1315D792B642662A231D533415AD6E1553E599F8768D928", "Open")</f>
        <v>Open</v>
      </c>
      <c r="J4900" t="s">
        <v>3803</v>
      </c>
      <c r="L4900">
        <v>1425000</v>
      </c>
      <c r="M4900">
        <v>142500</v>
      </c>
    </row>
    <row r="4901" spans="1:13" x14ac:dyDescent="0.25">
      <c r="A4901" t="s">
        <v>16251</v>
      </c>
      <c r="B4901" t="s">
        <v>16252</v>
      </c>
      <c r="C4901" t="s">
        <v>15</v>
      </c>
      <c r="D4901" t="s">
        <v>853</v>
      </c>
      <c r="E4901" t="s">
        <v>15507</v>
      </c>
      <c r="F4901" t="s">
        <v>15515</v>
      </c>
      <c r="G4901" t="s">
        <v>16253</v>
      </c>
      <c r="H4901" t="str">
        <f>HYPERLINK("https://baanknet.com/view-property/229175/7E9A3F216D419913E6E88B0B144A848D8577E233EE8144F06E5BC755FFC9632A", "https://baanknet.com/view-property/229175/7E9A3F216D419913E6E88B0B144A848D8577E233EE8144F06E5BC755FFC9632A")</f>
        <v>https://baanknet.com/view-property/229175/7E9A3F216D419913E6E88B0B144A848D8577E233EE8144F06E5BC755FFC9632A</v>
      </c>
      <c r="I4901" t="str">
        <f>HYPERLINK("https://baanknet.com/view-property/229175/7E9A3F216D419913E6E88B0B144A848D8577E233EE8144F06E5BC755FFC9632A", "Open")</f>
        <v>Open</v>
      </c>
      <c r="J4901" t="s">
        <v>3803</v>
      </c>
      <c r="L4901">
        <v>1000000</v>
      </c>
      <c r="M4901">
        <v>100000</v>
      </c>
    </row>
    <row r="4902" spans="1:13" x14ac:dyDescent="0.25">
      <c r="A4902" t="s">
        <v>16254</v>
      </c>
      <c r="B4902" t="s">
        <v>16255</v>
      </c>
      <c r="C4902" t="s">
        <v>15</v>
      </c>
      <c r="D4902" t="s">
        <v>853</v>
      </c>
      <c r="E4902" t="s">
        <v>15507</v>
      </c>
      <c r="F4902" t="s">
        <v>15515</v>
      </c>
      <c r="G4902" t="s">
        <v>16256</v>
      </c>
      <c r="H4902" t="str">
        <f>HYPERLINK("https://baanknet.com/view-property/225107/8C9EFAF7A7B7FB4800B96CDB903A7B48BBCD5A18BA094AC13D27BA6365A45617", "https://baanknet.com/view-property/225107/8C9EFAF7A7B7FB4800B96CDB903A7B48BBCD5A18BA094AC13D27BA6365A45617")</f>
        <v>https://baanknet.com/view-property/225107/8C9EFAF7A7B7FB4800B96CDB903A7B48BBCD5A18BA094AC13D27BA6365A45617</v>
      </c>
      <c r="I4902" t="str">
        <f>HYPERLINK("https://baanknet.com/view-property/225107/8C9EFAF7A7B7FB4800B96CDB903A7B48BBCD5A18BA094AC13D27BA6365A45617", "Open")</f>
        <v>Open</v>
      </c>
      <c r="J4902" t="s">
        <v>3803</v>
      </c>
      <c r="L4902">
        <v>1886000</v>
      </c>
      <c r="M4902">
        <v>188600</v>
      </c>
    </row>
    <row r="4903" spans="1:13" x14ac:dyDescent="0.25">
      <c r="A4903" t="s">
        <v>16257</v>
      </c>
      <c r="B4903" t="s">
        <v>16258</v>
      </c>
      <c r="C4903" t="s">
        <v>15</v>
      </c>
      <c r="D4903" t="s">
        <v>16259</v>
      </c>
      <c r="E4903" t="s">
        <v>15507</v>
      </c>
      <c r="F4903" t="s">
        <v>15515</v>
      </c>
      <c r="G4903" t="s">
        <v>16260</v>
      </c>
      <c r="H4903" t="str">
        <f>HYPERLINK("https://baanknet.com/view-property/219160/2062BCAD36B9420FA26238035FE70F3D0E95A812E2CD8C294E9F7C86D74239F4", "https://baanknet.com/view-property/219160/2062BCAD36B9420FA26238035FE70F3D0E95A812E2CD8C294E9F7C86D74239F4")</f>
        <v>https://baanknet.com/view-property/219160/2062BCAD36B9420FA26238035FE70F3D0E95A812E2CD8C294E9F7C86D74239F4</v>
      </c>
      <c r="I4903" t="str">
        <f>HYPERLINK("https://baanknet.com/view-property/219160/2062BCAD36B9420FA26238035FE70F3D0E95A812E2CD8C294E9F7C86D74239F4", "Open")</f>
        <v>Open</v>
      </c>
      <c r="J4903" t="s">
        <v>3803</v>
      </c>
      <c r="L4903">
        <v>1175000</v>
      </c>
      <c r="M4903">
        <v>117500</v>
      </c>
    </row>
    <row r="4904" spans="1:13" x14ac:dyDescent="0.25">
      <c r="A4904" t="s">
        <v>16261</v>
      </c>
      <c r="B4904" t="s">
        <v>16262</v>
      </c>
      <c r="C4904" t="s">
        <v>15</v>
      </c>
      <c r="D4904" t="s">
        <v>869</v>
      </c>
      <c r="E4904" t="s">
        <v>15507</v>
      </c>
      <c r="F4904" t="s">
        <v>15515</v>
      </c>
      <c r="G4904" t="s">
        <v>16263</v>
      </c>
      <c r="H4904" t="str">
        <f>HYPERLINK("https://baanknet.com/view-property/224126/FC9366AA81785462222E35778EA0DAD7D23C884408E171A857513750F9B565A2", "https://baanknet.com/view-property/224126/FC9366AA81785462222E35778EA0DAD7D23C884408E171A857513750F9B565A2")</f>
        <v>https://baanknet.com/view-property/224126/FC9366AA81785462222E35778EA0DAD7D23C884408E171A857513750F9B565A2</v>
      </c>
      <c r="I4904" t="str">
        <f>HYPERLINK("https://baanknet.com/view-property/224126/FC9366AA81785462222E35778EA0DAD7D23C884408E171A857513750F9B565A2", "Open")</f>
        <v>Open</v>
      </c>
      <c r="J4904" t="s">
        <v>3803</v>
      </c>
      <c r="L4904">
        <v>1150000</v>
      </c>
      <c r="M4904">
        <v>115000</v>
      </c>
    </row>
    <row r="4905" spans="1:13" x14ac:dyDescent="0.25">
      <c r="A4905" t="s">
        <v>16264</v>
      </c>
      <c r="B4905" t="s">
        <v>16265</v>
      </c>
      <c r="C4905" t="s">
        <v>15</v>
      </c>
      <c r="D4905" t="s">
        <v>869</v>
      </c>
      <c r="E4905" t="s">
        <v>15507</v>
      </c>
      <c r="F4905" t="s">
        <v>15515</v>
      </c>
      <c r="G4905" t="s">
        <v>16266</v>
      </c>
      <c r="H4905" t="str">
        <f>HYPERLINK("https://baanknet.com/view-property/191106/F599D004C39A58CEF0B35D6295DCB8B70A6A003E56A79A8E867FF311903A8E02", "https://baanknet.com/view-property/191106/F599D004C39A58CEF0B35D6295DCB8B70A6A003E56A79A8E867FF311903A8E02")</f>
        <v>https://baanknet.com/view-property/191106/F599D004C39A58CEF0B35D6295DCB8B70A6A003E56A79A8E867FF311903A8E02</v>
      </c>
      <c r="I4905" t="str">
        <f>HYPERLINK("https://baanknet.com/view-property/191106/F599D004C39A58CEF0B35D6295DCB8B70A6A003E56A79A8E867FF311903A8E02", "Open")</f>
        <v>Open</v>
      </c>
      <c r="J4905" t="s">
        <v>3803</v>
      </c>
      <c r="L4905">
        <v>1175000</v>
      </c>
      <c r="M4905">
        <v>117500</v>
      </c>
    </row>
    <row r="4906" spans="1:13" x14ac:dyDescent="0.25">
      <c r="A4906" t="s">
        <v>16267</v>
      </c>
      <c r="B4906" t="s">
        <v>16268</v>
      </c>
      <c r="C4906" t="s">
        <v>15</v>
      </c>
      <c r="D4906" t="s">
        <v>873</v>
      </c>
      <c r="E4906" t="s">
        <v>15507</v>
      </c>
      <c r="F4906" t="s">
        <v>15515</v>
      </c>
      <c r="G4906" t="s">
        <v>16269</v>
      </c>
      <c r="H4906" t="str">
        <f>HYPERLINK("https://baanknet.com/view-property/170558/21B5E89FA0011EDE0207E36A714D4D1B34A62C87B8ABB29C117B25424C6CD6CD", "https://baanknet.com/view-property/170558/21B5E89FA0011EDE0207E36A714D4D1B34A62C87B8ABB29C117B25424C6CD6CD")</f>
        <v>https://baanknet.com/view-property/170558/21B5E89FA0011EDE0207E36A714D4D1B34A62C87B8ABB29C117B25424C6CD6CD</v>
      </c>
      <c r="I4906" t="str">
        <f>HYPERLINK("https://baanknet.com/view-property/170558/21B5E89FA0011EDE0207E36A714D4D1B34A62C87B8ABB29C117B25424C6CD6CD", "Open")</f>
        <v>Open</v>
      </c>
      <c r="J4906" t="s">
        <v>3803</v>
      </c>
      <c r="L4906">
        <v>673000</v>
      </c>
      <c r="M4906">
        <v>67300</v>
      </c>
    </row>
    <row r="4907" spans="1:13" x14ac:dyDescent="0.25">
      <c r="A4907" t="s">
        <v>16270</v>
      </c>
      <c r="B4907" t="s">
        <v>16271</v>
      </c>
      <c r="C4907" t="s">
        <v>15</v>
      </c>
      <c r="D4907" t="s">
        <v>1246</v>
      </c>
      <c r="E4907" t="s">
        <v>15507</v>
      </c>
      <c r="F4907" t="s">
        <v>15515</v>
      </c>
      <c r="G4907" t="s">
        <v>16272</v>
      </c>
      <c r="H4907" t="str">
        <f>HYPERLINK("https://baanknet.com/view-property/259469/6C704CA17A769A81C9E357D861F2797752BDDCBB94C5741724C40C6032121DAB", "https://baanknet.com/view-property/259469/6C704CA17A769A81C9E357D861F2797752BDDCBB94C5741724C40C6032121DAB")</f>
        <v>https://baanknet.com/view-property/259469/6C704CA17A769A81C9E357D861F2797752BDDCBB94C5741724C40C6032121DAB</v>
      </c>
      <c r="I4907" t="str">
        <f>HYPERLINK("https://baanknet.com/view-property/259469/6C704CA17A769A81C9E357D861F2797752BDDCBB94C5741724C40C6032121DAB", "Open")</f>
        <v>Open</v>
      </c>
      <c r="J4907" t="s">
        <v>3803</v>
      </c>
      <c r="L4907">
        <v>4531000</v>
      </c>
      <c r="M4907">
        <v>453100</v>
      </c>
    </row>
    <row r="4908" spans="1:13" x14ac:dyDescent="0.25">
      <c r="A4908" t="s">
        <v>16273</v>
      </c>
      <c r="B4908" t="s">
        <v>16274</v>
      </c>
      <c r="C4908" t="s">
        <v>15</v>
      </c>
      <c r="D4908" t="s">
        <v>16275</v>
      </c>
      <c r="E4908" t="s">
        <v>15507</v>
      </c>
      <c r="F4908" t="s">
        <v>15515</v>
      </c>
      <c r="G4908" t="s">
        <v>16276</v>
      </c>
      <c r="H4908" t="str">
        <f>HYPERLINK("https://baanknet.com/view-property/201655/EE6AC107C7B65D1CD7A8938D3B9B54D1C33D694633409DF84B98E15980F5160F", "https://baanknet.com/view-property/201655/EE6AC107C7B65D1CD7A8938D3B9B54D1C33D694633409DF84B98E15980F5160F")</f>
        <v>https://baanknet.com/view-property/201655/EE6AC107C7B65D1CD7A8938D3B9B54D1C33D694633409DF84B98E15980F5160F</v>
      </c>
      <c r="I4908" t="str">
        <f>HYPERLINK("https://baanknet.com/view-property/201655/EE6AC107C7B65D1CD7A8938D3B9B54D1C33D694633409DF84B98E15980F5160F", "Open")</f>
        <v>Open</v>
      </c>
      <c r="J4908" t="s">
        <v>3803</v>
      </c>
      <c r="L4908">
        <v>1530000</v>
      </c>
      <c r="M4908">
        <v>153000</v>
      </c>
    </row>
    <row r="4909" spans="1:13" x14ac:dyDescent="0.25">
      <c r="A4909" t="s">
        <v>16277</v>
      </c>
      <c r="B4909" t="s">
        <v>16278</v>
      </c>
      <c r="C4909" t="s">
        <v>15</v>
      </c>
      <c r="D4909" t="s">
        <v>3289</v>
      </c>
      <c r="E4909" t="s">
        <v>15507</v>
      </c>
      <c r="F4909" t="s">
        <v>15515</v>
      </c>
      <c r="G4909" t="s">
        <v>16279</v>
      </c>
      <c r="H4909" t="str">
        <f>HYPERLINK("https://baanknet.com/view-property/278911/D655C8A9A43F0F43E8931B08EBEA3B2B5FE85E64EC46178498BFD7FB0A212A7F", "https://baanknet.com/view-property/278911/D655C8A9A43F0F43E8931B08EBEA3B2B5FE85E64EC46178498BFD7FB0A212A7F")</f>
        <v>https://baanknet.com/view-property/278911/D655C8A9A43F0F43E8931B08EBEA3B2B5FE85E64EC46178498BFD7FB0A212A7F</v>
      </c>
      <c r="I4909" t="str">
        <f>HYPERLINK("https://baanknet.com/view-property/278911/D655C8A9A43F0F43E8931B08EBEA3B2B5FE85E64EC46178498BFD7FB0A212A7F", "Open")</f>
        <v>Open</v>
      </c>
      <c r="J4909" t="s">
        <v>3803</v>
      </c>
      <c r="L4909">
        <v>4410000</v>
      </c>
      <c r="M4909">
        <v>441000</v>
      </c>
    </row>
    <row r="4910" spans="1:13" x14ac:dyDescent="0.25">
      <c r="A4910" t="s">
        <v>16280</v>
      </c>
      <c r="B4910" t="s">
        <v>16281</v>
      </c>
      <c r="C4910" t="s">
        <v>15</v>
      </c>
      <c r="D4910" t="s">
        <v>3818</v>
      </c>
      <c r="E4910" t="s">
        <v>15507</v>
      </c>
      <c r="F4910" t="s">
        <v>15515</v>
      </c>
      <c r="G4910" t="s">
        <v>16282</v>
      </c>
      <c r="H4910" t="str">
        <f>HYPERLINK("https://baanknet.com/view-property/274045/0501CAEF125B78AD4C1E47C957F1EC570FE1A4FE56455CAC153085BEBB2B200A", "https://baanknet.com/view-property/274045/0501CAEF125B78AD4C1E47C957F1EC570FE1A4FE56455CAC153085BEBB2B200A")</f>
        <v>https://baanknet.com/view-property/274045/0501CAEF125B78AD4C1E47C957F1EC570FE1A4FE56455CAC153085BEBB2B200A</v>
      </c>
      <c r="I4910" t="str">
        <f>HYPERLINK("https://baanknet.com/view-property/274045/0501CAEF125B78AD4C1E47C957F1EC570FE1A4FE56455CAC153085BEBB2B200A", "Open")</f>
        <v>Open</v>
      </c>
      <c r="J4910" t="s">
        <v>3803</v>
      </c>
      <c r="L4910">
        <v>2781000</v>
      </c>
      <c r="M4910">
        <v>278100</v>
      </c>
    </row>
    <row r="4911" spans="1:13" x14ac:dyDescent="0.25">
      <c r="A4911" t="s">
        <v>16283</v>
      </c>
      <c r="B4911" t="s">
        <v>16284</v>
      </c>
      <c r="C4911" t="s">
        <v>15</v>
      </c>
      <c r="D4911" t="s">
        <v>1337</v>
      </c>
      <c r="E4911" t="s">
        <v>15507</v>
      </c>
      <c r="F4911" t="s">
        <v>15515</v>
      </c>
      <c r="G4911" t="s">
        <v>16285</v>
      </c>
      <c r="H4911" t="str">
        <f>HYPERLINK("https://baanknet.com/view-property/189575/6174EE48C6B5A723B4F725EF81C299BC4E3F90343851181820B4BCA22838F31B", "https://baanknet.com/view-property/189575/6174EE48C6B5A723B4F725EF81C299BC4E3F90343851181820B4BCA22838F31B")</f>
        <v>https://baanknet.com/view-property/189575/6174EE48C6B5A723B4F725EF81C299BC4E3F90343851181820B4BCA22838F31B</v>
      </c>
      <c r="I4911" t="str">
        <f>HYPERLINK("https://baanknet.com/view-property/189575/6174EE48C6B5A723B4F725EF81C299BC4E3F90343851181820B4BCA22838F31B", "Open")</f>
        <v>Open</v>
      </c>
      <c r="J4911" t="s">
        <v>3803</v>
      </c>
      <c r="L4911">
        <v>1800000</v>
      </c>
      <c r="M4911">
        <v>180000</v>
      </c>
    </row>
    <row r="4912" spans="1:13" x14ac:dyDescent="0.25">
      <c r="A4912" t="s">
        <v>16286</v>
      </c>
      <c r="B4912" t="s">
        <v>16287</v>
      </c>
      <c r="C4912" t="s">
        <v>15</v>
      </c>
      <c r="D4912" t="s">
        <v>9038</v>
      </c>
      <c r="E4912" t="s">
        <v>15507</v>
      </c>
      <c r="F4912" t="s">
        <v>15515</v>
      </c>
      <c r="G4912" t="s">
        <v>16288</v>
      </c>
      <c r="H4912" t="str">
        <f>HYPERLINK("https://baanknet.com/view-property/280095/1BD5C04A2B729C56C81103D62ECA41F22BE95EDFEC310A33E17357B9FC0FEA37", "https://baanknet.com/view-property/280095/1BD5C04A2B729C56C81103D62ECA41F22BE95EDFEC310A33E17357B9FC0FEA37")</f>
        <v>https://baanknet.com/view-property/280095/1BD5C04A2B729C56C81103D62ECA41F22BE95EDFEC310A33E17357B9FC0FEA37</v>
      </c>
      <c r="I4912" t="str">
        <f>HYPERLINK("https://baanknet.com/view-property/280095/1BD5C04A2B729C56C81103D62ECA41F22BE95EDFEC310A33E17357B9FC0FEA37", "Open")</f>
        <v>Open</v>
      </c>
      <c r="J4912" t="s">
        <v>3803</v>
      </c>
      <c r="L4912">
        <v>3658000</v>
      </c>
      <c r="M4912">
        <v>365800</v>
      </c>
    </row>
    <row r="4913" spans="1:13" x14ac:dyDescent="0.25">
      <c r="A4913" t="s">
        <v>16289</v>
      </c>
      <c r="B4913" t="s">
        <v>16290</v>
      </c>
      <c r="C4913" t="s">
        <v>15</v>
      </c>
      <c r="D4913" t="s">
        <v>16291</v>
      </c>
      <c r="E4913" t="s">
        <v>15507</v>
      </c>
      <c r="F4913" t="s">
        <v>15515</v>
      </c>
      <c r="G4913" t="s">
        <v>16292</v>
      </c>
      <c r="H4913" t="str">
        <f>HYPERLINK("https://baanknet.com/view-property/246615/4371C7CAD9D33E4E94BCC75CB306525592D59117C08DDA713F5A55DD063B5A6D", "https://baanknet.com/view-property/246615/4371C7CAD9D33E4E94BCC75CB306525592D59117C08DDA713F5A55DD063B5A6D")</f>
        <v>https://baanknet.com/view-property/246615/4371C7CAD9D33E4E94BCC75CB306525592D59117C08DDA713F5A55DD063B5A6D</v>
      </c>
      <c r="I4913" t="str">
        <f>HYPERLINK("https://baanknet.com/view-property/246615/4371C7CAD9D33E4E94BCC75CB306525592D59117C08DDA713F5A55DD063B5A6D", "Open")</f>
        <v>Open</v>
      </c>
      <c r="J4913" t="s">
        <v>3803</v>
      </c>
      <c r="L4913">
        <v>1437000</v>
      </c>
      <c r="M4913">
        <v>143700</v>
      </c>
    </row>
    <row r="4914" spans="1:13" x14ac:dyDescent="0.25">
      <c r="A4914" t="s">
        <v>16293</v>
      </c>
      <c r="B4914" t="s">
        <v>16294</v>
      </c>
      <c r="C4914" t="s">
        <v>15</v>
      </c>
      <c r="D4914" t="s">
        <v>16295</v>
      </c>
      <c r="E4914" t="s">
        <v>15507</v>
      </c>
      <c r="F4914" t="s">
        <v>15515</v>
      </c>
      <c r="G4914" t="s">
        <v>16296</v>
      </c>
      <c r="H4914" t="str">
        <f>HYPERLINK("https://baanknet.com/view-property/237569/A9F7E049FD7A74732C0DF4C43C12B7523D65E2F67BCEFBE456E16620632B722F", "https://baanknet.com/view-property/237569/A9F7E049FD7A74732C0DF4C43C12B7523D65E2F67BCEFBE456E16620632B722F")</f>
        <v>https://baanknet.com/view-property/237569/A9F7E049FD7A74732C0DF4C43C12B7523D65E2F67BCEFBE456E16620632B722F</v>
      </c>
      <c r="I4914" t="str">
        <f>HYPERLINK("https://baanknet.com/view-property/237569/A9F7E049FD7A74732C0DF4C43C12B7523D65E2F67BCEFBE456E16620632B722F", "Open")</f>
        <v>Open</v>
      </c>
      <c r="J4914" t="s">
        <v>3803</v>
      </c>
      <c r="L4914">
        <v>1176000</v>
      </c>
      <c r="M4914">
        <v>117600</v>
      </c>
    </row>
    <row r="4915" spans="1:13" x14ac:dyDescent="0.25">
      <c r="A4915" t="s">
        <v>16297</v>
      </c>
      <c r="B4915" t="s">
        <v>16298</v>
      </c>
      <c r="C4915" t="s">
        <v>15</v>
      </c>
      <c r="D4915" t="s">
        <v>16299</v>
      </c>
      <c r="E4915" t="s">
        <v>15507</v>
      </c>
      <c r="F4915" t="s">
        <v>14001</v>
      </c>
      <c r="G4915" t="s">
        <v>16300</v>
      </c>
      <c r="H4915" t="str">
        <f>HYPERLINK("https://baanknet.com/view-property/197628/3ABBE58643218588D3BE615801CE5D2EEE6ECCC17353135ACFA39391FF239375", "https://baanknet.com/view-property/197628/3ABBE58643218588D3BE615801CE5D2EEE6ECCC17353135ACFA39391FF239375")</f>
        <v>https://baanknet.com/view-property/197628/3ABBE58643218588D3BE615801CE5D2EEE6ECCC17353135ACFA39391FF239375</v>
      </c>
      <c r="I4915" t="str">
        <f>HYPERLINK("https://baanknet.com/view-property/197628/3ABBE58643218588D3BE615801CE5D2EEE6ECCC17353135ACFA39391FF239375", "Open")</f>
        <v>Open</v>
      </c>
      <c r="J4915" t="s">
        <v>3803</v>
      </c>
      <c r="L4915">
        <v>2185000</v>
      </c>
      <c r="M4915">
        <v>218500</v>
      </c>
    </row>
    <row r="4916" spans="1:13" x14ac:dyDescent="0.25">
      <c r="A4916" t="s">
        <v>16301</v>
      </c>
      <c r="B4916" t="s">
        <v>16302</v>
      </c>
      <c r="C4916" t="s">
        <v>15</v>
      </c>
      <c r="D4916" t="s">
        <v>10573</v>
      </c>
      <c r="E4916" t="s">
        <v>15507</v>
      </c>
      <c r="F4916" t="s">
        <v>14001</v>
      </c>
      <c r="G4916" t="s">
        <v>16303</v>
      </c>
      <c r="H4916" t="str">
        <f>HYPERLINK("https://baanknet.com/view-property/283196/7E6CC76339C3AA514BFDC805A657F04E70C4549E124CD7F9FE218F0A926EC07C", "https://baanknet.com/view-property/283196/7E6CC76339C3AA514BFDC805A657F04E70C4549E124CD7F9FE218F0A926EC07C")</f>
        <v>https://baanknet.com/view-property/283196/7E6CC76339C3AA514BFDC805A657F04E70C4549E124CD7F9FE218F0A926EC07C</v>
      </c>
      <c r="I4916" t="str">
        <f>HYPERLINK("https://baanknet.com/view-property/283196/7E6CC76339C3AA514BFDC805A657F04E70C4549E124CD7F9FE218F0A926EC07C", "Open")</f>
        <v>Open</v>
      </c>
      <c r="J4916" t="s">
        <v>3803</v>
      </c>
      <c r="L4916">
        <v>3250000</v>
      </c>
      <c r="M4916">
        <v>325000</v>
      </c>
    </row>
    <row r="4917" spans="1:13" x14ac:dyDescent="0.25">
      <c r="A4917" t="s">
        <v>16304</v>
      </c>
      <c r="B4917" t="s">
        <v>16305</v>
      </c>
      <c r="C4917" t="s">
        <v>15</v>
      </c>
      <c r="D4917" t="s">
        <v>16306</v>
      </c>
      <c r="E4917" t="s">
        <v>15507</v>
      </c>
      <c r="F4917" t="s">
        <v>14001</v>
      </c>
      <c r="G4917" t="s">
        <v>16307</v>
      </c>
      <c r="H4917" t="str">
        <f>HYPERLINK("https://baanknet.com/view-property/253290/44591936A697E7FD70ACC234C259D94B550F341B11273EEF91E06D80A6DD87A7", "https://baanknet.com/view-property/253290/44591936A697E7FD70ACC234C259D94B550F341B11273EEF91E06D80A6DD87A7")</f>
        <v>https://baanknet.com/view-property/253290/44591936A697E7FD70ACC234C259D94B550F341B11273EEF91E06D80A6DD87A7</v>
      </c>
      <c r="I4917" t="str">
        <f>HYPERLINK("https://baanknet.com/view-property/253290/44591936A697E7FD70ACC234C259D94B550F341B11273EEF91E06D80A6DD87A7", "Open")</f>
        <v>Open</v>
      </c>
      <c r="J4917" t="s">
        <v>3803</v>
      </c>
      <c r="L4917">
        <v>1870000</v>
      </c>
      <c r="M4917">
        <v>187000</v>
      </c>
    </row>
    <row r="4918" spans="1:13" x14ac:dyDescent="0.25">
      <c r="A4918" t="s">
        <v>16308</v>
      </c>
      <c r="B4918" t="s">
        <v>16309</v>
      </c>
      <c r="C4918" t="s">
        <v>15</v>
      </c>
      <c r="D4918" t="s">
        <v>8815</v>
      </c>
      <c r="E4918" t="s">
        <v>15507</v>
      </c>
      <c r="F4918" t="s">
        <v>16310</v>
      </c>
      <c r="G4918" t="s">
        <v>16311</v>
      </c>
      <c r="H4918" t="str">
        <f>HYPERLINK("https://baanknet.com/view-property/240699/9B3CD2430C3AE13D4E5F0133FBE8E420AE2B442697EB8F437687A32C9EC005CB", "https://baanknet.com/view-property/240699/9B3CD2430C3AE13D4E5F0133FBE8E420AE2B442697EB8F437687A32C9EC005CB")</f>
        <v>https://baanknet.com/view-property/240699/9B3CD2430C3AE13D4E5F0133FBE8E420AE2B442697EB8F437687A32C9EC005CB</v>
      </c>
      <c r="I4918" t="str">
        <f>HYPERLINK("https://baanknet.com/view-property/240699/9B3CD2430C3AE13D4E5F0133FBE8E420AE2B442697EB8F437687A32C9EC005CB", "Open")</f>
        <v>Open</v>
      </c>
      <c r="J4918" t="s">
        <v>3803</v>
      </c>
      <c r="L4918">
        <v>852000</v>
      </c>
      <c r="M4918">
        <v>85200</v>
      </c>
    </row>
    <row r="4919" spans="1:13" x14ac:dyDescent="0.25">
      <c r="A4919" t="s">
        <v>16312</v>
      </c>
      <c r="B4919" t="s">
        <v>16313</v>
      </c>
      <c r="C4919" t="s">
        <v>15</v>
      </c>
      <c r="D4919" t="s">
        <v>2577</v>
      </c>
      <c r="E4919" t="s">
        <v>15507</v>
      </c>
      <c r="F4919" t="s">
        <v>16310</v>
      </c>
      <c r="G4919" t="s">
        <v>16314</v>
      </c>
      <c r="H4919" t="str">
        <f>HYPERLINK("https://baanknet.com/view-property/279687/B065825AB7AB40B59F108FA651F2B5D67FBF0675C508A6F030756B6504042307", "https://baanknet.com/view-property/279687/B065825AB7AB40B59F108FA651F2B5D67FBF0675C508A6F030756B6504042307")</f>
        <v>https://baanknet.com/view-property/279687/B065825AB7AB40B59F108FA651F2B5D67FBF0675C508A6F030756B6504042307</v>
      </c>
      <c r="I4919" t="str">
        <f>HYPERLINK("https://baanknet.com/view-property/279687/B065825AB7AB40B59F108FA651F2B5D67FBF0675C508A6F030756B6504042307", "Open")</f>
        <v>Open</v>
      </c>
      <c r="J4919" t="s">
        <v>3803</v>
      </c>
      <c r="L4919">
        <v>9090000</v>
      </c>
      <c r="M4919">
        <v>909000</v>
      </c>
    </row>
    <row r="4920" spans="1:13" x14ac:dyDescent="0.25">
      <c r="A4920" t="s">
        <v>16315</v>
      </c>
      <c r="B4920" t="s">
        <v>16316</v>
      </c>
      <c r="C4920" t="s">
        <v>144</v>
      </c>
      <c r="D4920" t="s">
        <v>32</v>
      </c>
      <c r="E4920" t="s">
        <v>15507</v>
      </c>
      <c r="F4920" t="s">
        <v>16310</v>
      </c>
      <c r="G4920" t="s">
        <v>16317</v>
      </c>
      <c r="H4920" t="str">
        <f>HYPERLINK("https://baanknet.com/view-property/284761/AF300D76F28284A0B257DD92AADA2AA6A86E6567D494EE3F554095EC00A14BB2", "https://baanknet.com/view-property/284761/AF300D76F28284A0B257DD92AADA2AA6A86E6567D494EE3F554095EC00A14BB2")</f>
        <v>https://baanknet.com/view-property/284761/AF300D76F28284A0B257DD92AADA2AA6A86E6567D494EE3F554095EC00A14BB2</v>
      </c>
      <c r="I4920" t="str">
        <f>HYPERLINK("https://baanknet.com/view-property/284761/AF300D76F28284A0B257DD92AADA2AA6A86E6567D494EE3F554095EC00A14BB2", "Open")</f>
        <v>Open</v>
      </c>
      <c r="J4920" t="s">
        <v>3803</v>
      </c>
      <c r="L4920">
        <v>8570000</v>
      </c>
      <c r="M4920">
        <v>857000</v>
      </c>
    </row>
    <row r="4921" spans="1:13" x14ac:dyDescent="0.25">
      <c r="A4921" t="s">
        <v>16318</v>
      </c>
      <c r="B4921" t="s">
        <v>16319</v>
      </c>
      <c r="C4921" t="s">
        <v>144</v>
      </c>
      <c r="D4921" t="s">
        <v>16320</v>
      </c>
      <c r="E4921" t="s">
        <v>15507</v>
      </c>
      <c r="F4921" t="s">
        <v>16310</v>
      </c>
      <c r="G4921" t="s">
        <v>16321</v>
      </c>
      <c r="H4921" t="str">
        <f>HYPERLINK("https://baanknet.com/view-property/285835/0F827F398090E5A8AD894ACB51C0C06D47FDC95276F47BD1000C3A4A64D995D1", "https://baanknet.com/view-property/285835/0F827F398090E5A8AD894ACB51C0C06D47FDC95276F47BD1000C3A4A64D995D1")</f>
        <v>https://baanknet.com/view-property/285835/0F827F398090E5A8AD894ACB51C0C06D47FDC95276F47BD1000C3A4A64D995D1</v>
      </c>
      <c r="I4921" t="str">
        <f>HYPERLINK("https://baanknet.com/view-property/285835/0F827F398090E5A8AD894ACB51C0C06D47FDC95276F47BD1000C3A4A64D995D1", "Open")</f>
        <v>Open</v>
      </c>
      <c r="J4921" t="s">
        <v>3803</v>
      </c>
      <c r="L4921">
        <v>8090000</v>
      </c>
      <c r="M4921">
        <v>809000</v>
      </c>
    </row>
    <row r="4922" spans="1:13" x14ac:dyDescent="0.25">
      <c r="A4922" t="s">
        <v>16322</v>
      </c>
      <c r="B4922" t="s">
        <v>16323</v>
      </c>
      <c r="C4922" t="s">
        <v>15</v>
      </c>
      <c r="D4922" t="s">
        <v>1007</v>
      </c>
      <c r="E4922" t="s">
        <v>15507</v>
      </c>
      <c r="F4922" t="s">
        <v>16310</v>
      </c>
      <c r="G4922" t="s">
        <v>16324</v>
      </c>
      <c r="H4922" t="str">
        <f>HYPERLINK("https://baanknet.com/view-property/280673/3F37C490DF6636FE2A24BC998D9E7BC182F41D9AB53E31B2BBEAA37D58A5BBC3", "https://baanknet.com/view-property/280673/3F37C490DF6636FE2A24BC998D9E7BC182F41D9AB53E31B2BBEAA37D58A5BBC3")</f>
        <v>https://baanknet.com/view-property/280673/3F37C490DF6636FE2A24BC998D9E7BC182F41D9AB53E31B2BBEAA37D58A5BBC3</v>
      </c>
      <c r="I4922" t="str">
        <f>HYPERLINK("https://baanknet.com/view-property/280673/3F37C490DF6636FE2A24BC998D9E7BC182F41D9AB53E31B2BBEAA37D58A5BBC3", "Open")</f>
        <v>Open</v>
      </c>
      <c r="J4922" t="s">
        <v>3803</v>
      </c>
      <c r="L4922">
        <v>4864000</v>
      </c>
      <c r="M4922">
        <v>486400</v>
      </c>
    </row>
    <row r="4923" spans="1:13" x14ac:dyDescent="0.25">
      <c r="A4923" t="s">
        <v>16325</v>
      </c>
      <c r="B4923" t="s">
        <v>16326</v>
      </c>
      <c r="C4923" t="s">
        <v>15</v>
      </c>
      <c r="D4923" t="s">
        <v>1007</v>
      </c>
      <c r="E4923" t="s">
        <v>15507</v>
      </c>
      <c r="F4923" t="s">
        <v>16310</v>
      </c>
      <c r="G4923" t="s">
        <v>16327</v>
      </c>
      <c r="H4923" t="str">
        <f>HYPERLINK("https://baanknet.com/view-property/240636/6C5DB675E0291D83411DD7E60D4E394B0D9D9C5CBFEC3A003EA38ADE4F0798EC", "https://baanknet.com/view-property/240636/6C5DB675E0291D83411DD7E60D4E394B0D9D9C5CBFEC3A003EA38ADE4F0798EC")</f>
        <v>https://baanknet.com/view-property/240636/6C5DB675E0291D83411DD7E60D4E394B0D9D9C5CBFEC3A003EA38ADE4F0798EC</v>
      </c>
      <c r="I4923" t="str">
        <f>HYPERLINK("https://baanknet.com/view-property/240636/6C5DB675E0291D83411DD7E60D4E394B0D9D9C5CBFEC3A003EA38ADE4F0798EC", "Open")</f>
        <v>Open</v>
      </c>
      <c r="J4923" t="s">
        <v>3803</v>
      </c>
      <c r="L4923">
        <v>2200000</v>
      </c>
      <c r="M4923">
        <v>220000</v>
      </c>
    </row>
    <row r="4924" spans="1:13" x14ac:dyDescent="0.25">
      <c r="A4924" t="s">
        <v>16328</v>
      </c>
      <c r="B4924" t="s">
        <v>16329</v>
      </c>
      <c r="C4924" t="s">
        <v>144</v>
      </c>
      <c r="D4924" t="s">
        <v>32</v>
      </c>
      <c r="E4924" t="s">
        <v>15507</v>
      </c>
      <c r="F4924" t="s">
        <v>16310</v>
      </c>
      <c r="G4924" t="s">
        <v>16330</v>
      </c>
      <c r="H4924" t="str">
        <f>HYPERLINK("https://baanknet.com/view-property/285841/FEFE4DEBE774CA1D0A74BFDDAD1E425041DAA139BD2EA99E3C06EAF4DC93CC6B", "https://baanknet.com/view-property/285841/FEFE4DEBE774CA1D0A74BFDDAD1E425041DAA139BD2EA99E3C06EAF4DC93CC6B")</f>
        <v>https://baanknet.com/view-property/285841/FEFE4DEBE774CA1D0A74BFDDAD1E425041DAA139BD2EA99E3C06EAF4DC93CC6B</v>
      </c>
      <c r="I4924" t="str">
        <f>HYPERLINK("https://baanknet.com/view-property/285841/FEFE4DEBE774CA1D0A74BFDDAD1E425041DAA139BD2EA99E3C06EAF4DC93CC6B", "Open")</f>
        <v>Open</v>
      </c>
      <c r="J4924" t="s">
        <v>3803</v>
      </c>
      <c r="L4924">
        <v>8091000</v>
      </c>
      <c r="M4924">
        <v>809100</v>
      </c>
    </row>
    <row r="4925" spans="1:13" x14ac:dyDescent="0.25">
      <c r="A4925" t="s">
        <v>16331</v>
      </c>
      <c r="B4925" t="s">
        <v>16332</v>
      </c>
      <c r="C4925" t="s">
        <v>15</v>
      </c>
      <c r="D4925" t="s">
        <v>8345</v>
      </c>
      <c r="E4925" t="s">
        <v>15507</v>
      </c>
      <c r="F4925" t="s">
        <v>16310</v>
      </c>
      <c r="G4925" t="s">
        <v>16333</v>
      </c>
      <c r="H4925" t="str">
        <f>HYPERLINK("https://baanknet.com/view-property/187053/562A59574F54C288EDCE3E9610B5C9C4E4C714753A064E2D115687F893F47706", "https://baanknet.com/view-property/187053/562A59574F54C288EDCE3E9610B5C9C4E4C714753A064E2D115687F893F47706")</f>
        <v>https://baanknet.com/view-property/187053/562A59574F54C288EDCE3E9610B5C9C4E4C714753A064E2D115687F893F47706</v>
      </c>
      <c r="I4925" t="str">
        <f>HYPERLINK("https://baanknet.com/view-property/187053/562A59574F54C288EDCE3E9610B5C9C4E4C714753A064E2D115687F893F47706", "Open")</f>
        <v>Open</v>
      </c>
      <c r="J4925" t="s">
        <v>3803</v>
      </c>
      <c r="L4925">
        <v>1315000</v>
      </c>
      <c r="M4925">
        <v>131500</v>
      </c>
    </row>
    <row r="4926" spans="1:13" x14ac:dyDescent="0.25">
      <c r="A4926" t="s">
        <v>16334</v>
      </c>
      <c r="B4926" t="s">
        <v>16335</v>
      </c>
      <c r="C4926" t="s">
        <v>15</v>
      </c>
      <c r="D4926" t="s">
        <v>14867</v>
      </c>
      <c r="E4926" t="s">
        <v>15507</v>
      </c>
      <c r="F4926" t="s">
        <v>16310</v>
      </c>
      <c r="G4926" t="s">
        <v>16336</v>
      </c>
      <c r="H4926" t="str">
        <f>HYPERLINK("https://baanknet.com/view-property/257551/B80514CF635DDE45BD2F0D378D03C96104E4A16080C5C1FFCE3BE6FD4F18E544", "https://baanknet.com/view-property/257551/B80514CF635DDE45BD2F0D378D03C96104E4A16080C5C1FFCE3BE6FD4F18E544")</f>
        <v>https://baanknet.com/view-property/257551/B80514CF635DDE45BD2F0D378D03C96104E4A16080C5C1FFCE3BE6FD4F18E544</v>
      </c>
      <c r="I4926" t="str">
        <f>HYPERLINK("https://baanknet.com/view-property/257551/B80514CF635DDE45BD2F0D378D03C96104E4A16080C5C1FFCE3BE6FD4F18E544", "Open")</f>
        <v>Open</v>
      </c>
      <c r="J4926" t="s">
        <v>3803</v>
      </c>
      <c r="L4926">
        <v>6277000</v>
      </c>
      <c r="M4926">
        <v>627700</v>
      </c>
    </row>
    <row r="4927" spans="1:13" x14ac:dyDescent="0.25">
      <c r="A4927" t="s">
        <v>16337</v>
      </c>
      <c r="B4927" t="s">
        <v>16338</v>
      </c>
      <c r="C4927" t="s">
        <v>15</v>
      </c>
      <c r="D4927" t="s">
        <v>1007</v>
      </c>
      <c r="E4927" t="s">
        <v>15507</v>
      </c>
      <c r="F4927" t="s">
        <v>16310</v>
      </c>
      <c r="G4927" t="s">
        <v>16339</v>
      </c>
      <c r="H4927" t="str">
        <f>HYPERLINK("https://baanknet.com/view-property/275577/75C2B986383E80FC9313B6D2D9735094167E217B89A87FEFBBF250F536688FB5", "https://baanknet.com/view-property/275577/75C2B986383E80FC9313B6D2D9735094167E217B89A87FEFBBF250F536688FB5")</f>
        <v>https://baanknet.com/view-property/275577/75C2B986383E80FC9313B6D2D9735094167E217B89A87FEFBBF250F536688FB5</v>
      </c>
      <c r="I4927" t="str">
        <f>HYPERLINK("https://baanknet.com/view-property/275577/75C2B986383E80FC9313B6D2D9735094167E217B89A87FEFBBF250F536688FB5", "Open")</f>
        <v>Open</v>
      </c>
      <c r="J4927" t="s">
        <v>3803</v>
      </c>
      <c r="L4927">
        <v>5400000</v>
      </c>
      <c r="M4927">
        <v>540000</v>
      </c>
    </row>
    <row r="4928" spans="1:13" x14ac:dyDescent="0.25">
      <c r="A4928" t="s">
        <v>16340</v>
      </c>
      <c r="B4928" t="s">
        <v>16341</v>
      </c>
      <c r="C4928" t="s">
        <v>15</v>
      </c>
      <c r="D4928" t="s">
        <v>16342</v>
      </c>
      <c r="E4928" t="s">
        <v>15507</v>
      </c>
      <c r="F4928" t="s">
        <v>16310</v>
      </c>
      <c r="G4928" t="s">
        <v>16343</v>
      </c>
      <c r="H4928" t="str">
        <f>HYPERLINK("https://baanknet.com/view-property/238189/5596F1066C259C4401DD0FCEE84E7614693D2691B49C94DB1CB36A1A5843EB11", "https://baanknet.com/view-property/238189/5596F1066C259C4401DD0FCEE84E7614693D2691B49C94DB1CB36A1A5843EB11")</f>
        <v>https://baanknet.com/view-property/238189/5596F1066C259C4401DD0FCEE84E7614693D2691B49C94DB1CB36A1A5843EB11</v>
      </c>
      <c r="I4928" t="str">
        <f>HYPERLINK("https://baanknet.com/view-property/238189/5596F1066C259C4401DD0FCEE84E7614693D2691B49C94DB1CB36A1A5843EB11", "Open")</f>
        <v>Open</v>
      </c>
      <c r="J4928" t="s">
        <v>3803</v>
      </c>
      <c r="L4928">
        <v>2817000</v>
      </c>
      <c r="M4928">
        <v>281700</v>
      </c>
    </row>
    <row r="4929" spans="1:13" x14ac:dyDescent="0.25">
      <c r="A4929" t="s">
        <v>16344</v>
      </c>
      <c r="B4929" t="s">
        <v>16345</v>
      </c>
      <c r="C4929" t="s">
        <v>15</v>
      </c>
      <c r="D4929" t="s">
        <v>3460</v>
      </c>
      <c r="E4929" t="s">
        <v>15507</v>
      </c>
      <c r="F4929" t="s">
        <v>16310</v>
      </c>
      <c r="G4929" t="s">
        <v>16346</v>
      </c>
      <c r="H4929" t="str">
        <f>HYPERLINK("https://baanknet.com/view-property/269334/F5FCFB57223568264AADED642CCAAE40C12C1EEAA4D81B3D691E4BE5CBF5311F", "https://baanknet.com/view-property/269334/F5FCFB57223568264AADED642CCAAE40C12C1EEAA4D81B3D691E4BE5CBF5311F")</f>
        <v>https://baanknet.com/view-property/269334/F5FCFB57223568264AADED642CCAAE40C12C1EEAA4D81B3D691E4BE5CBF5311F</v>
      </c>
      <c r="I4929" t="str">
        <f>HYPERLINK("https://baanknet.com/view-property/269334/F5FCFB57223568264AADED642CCAAE40C12C1EEAA4D81B3D691E4BE5CBF5311F", "Open")</f>
        <v>Open</v>
      </c>
      <c r="J4929" t="s">
        <v>3803</v>
      </c>
      <c r="L4929">
        <v>714000</v>
      </c>
      <c r="M4929">
        <v>71400</v>
      </c>
    </row>
    <row r="4930" spans="1:13" x14ac:dyDescent="0.25">
      <c r="A4930" t="s">
        <v>16347</v>
      </c>
      <c r="B4930" t="s">
        <v>16348</v>
      </c>
      <c r="C4930" t="s">
        <v>15</v>
      </c>
      <c r="D4930" t="s">
        <v>3460</v>
      </c>
      <c r="E4930" t="s">
        <v>15507</v>
      </c>
      <c r="F4930" t="s">
        <v>16310</v>
      </c>
      <c r="G4930" t="s">
        <v>16349</v>
      </c>
      <c r="H4930" t="str">
        <f>HYPERLINK("https://baanknet.com/view-property/269302/0B9F8A24157BB9A1A7AFB84B20D2CC99C4D64E6CDBD842068BC3C876F90402A2", "https://baanknet.com/view-property/269302/0B9F8A24157BB9A1A7AFB84B20D2CC99C4D64E6CDBD842068BC3C876F90402A2")</f>
        <v>https://baanknet.com/view-property/269302/0B9F8A24157BB9A1A7AFB84B20D2CC99C4D64E6CDBD842068BC3C876F90402A2</v>
      </c>
      <c r="I4930" t="str">
        <f>HYPERLINK("https://baanknet.com/view-property/269302/0B9F8A24157BB9A1A7AFB84B20D2CC99C4D64E6CDBD842068BC3C876F90402A2", "Open")</f>
        <v>Open</v>
      </c>
      <c r="J4930" t="s">
        <v>3803</v>
      </c>
      <c r="L4930">
        <v>2240000</v>
      </c>
      <c r="M4930">
        <v>224000</v>
      </c>
    </row>
    <row r="4931" spans="1:13" x14ac:dyDescent="0.25">
      <c r="A4931" t="s">
        <v>16350</v>
      </c>
      <c r="B4931" t="s">
        <v>16351</v>
      </c>
      <c r="C4931" t="s">
        <v>15</v>
      </c>
      <c r="D4931" t="s">
        <v>1366</v>
      </c>
      <c r="E4931" t="s">
        <v>15507</v>
      </c>
      <c r="F4931" t="s">
        <v>16310</v>
      </c>
      <c r="G4931" t="s">
        <v>16352</v>
      </c>
      <c r="H4931" t="str">
        <f>HYPERLINK("https://baanknet.com/view-property/266135/81FF04C221769CF06F93AADCC5F2291C98529207BE45A5DCF67B318EA86606B1", "https://baanknet.com/view-property/266135/81FF04C221769CF06F93AADCC5F2291C98529207BE45A5DCF67B318EA86606B1")</f>
        <v>https://baanknet.com/view-property/266135/81FF04C221769CF06F93AADCC5F2291C98529207BE45A5DCF67B318EA86606B1</v>
      </c>
      <c r="I4931" t="str">
        <f>HYPERLINK("https://baanknet.com/view-property/266135/81FF04C221769CF06F93AADCC5F2291C98529207BE45A5DCF67B318EA86606B1", "Open")</f>
        <v>Open</v>
      </c>
      <c r="J4931" t="s">
        <v>3803</v>
      </c>
      <c r="L4931">
        <v>8800000</v>
      </c>
      <c r="M4931">
        <v>880000</v>
      </c>
    </row>
    <row r="4932" spans="1:13" x14ac:dyDescent="0.25">
      <c r="A4932" t="s">
        <v>16353</v>
      </c>
      <c r="B4932" t="s">
        <v>16354</v>
      </c>
      <c r="C4932" t="s">
        <v>15</v>
      </c>
      <c r="D4932" t="s">
        <v>1366</v>
      </c>
      <c r="E4932" t="s">
        <v>15507</v>
      </c>
      <c r="F4932" t="s">
        <v>16310</v>
      </c>
      <c r="G4932" t="s">
        <v>16355</v>
      </c>
      <c r="H4932" t="str">
        <f>HYPERLINK("https://baanknet.com/view-property/266075/3A8C37D713E97E5E63ED1AC280BD30B4AA319313E8702F9D8B4121A6C871A0DA", "https://baanknet.com/view-property/266075/3A8C37D713E97E5E63ED1AC280BD30B4AA319313E8702F9D8B4121A6C871A0DA")</f>
        <v>https://baanknet.com/view-property/266075/3A8C37D713E97E5E63ED1AC280BD30B4AA319313E8702F9D8B4121A6C871A0DA</v>
      </c>
      <c r="I4932" t="str">
        <f>HYPERLINK("https://baanknet.com/view-property/266075/3A8C37D713E97E5E63ED1AC280BD30B4AA319313E8702F9D8B4121A6C871A0DA", "Open")</f>
        <v>Open</v>
      </c>
      <c r="J4932" t="s">
        <v>3803</v>
      </c>
      <c r="L4932">
        <v>6200000</v>
      </c>
      <c r="M4932">
        <v>620000</v>
      </c>
    </row>
    <row r="4933" spans="1:13" x14ac:dyDescent="0.25">
      <c r="A4933" t="s">
        <v>16356</v>
      </c>
      <c r="B4933" t="s">
        <v>16357</v>
      </c>
      <c r="C4933" t="s">
        <v>15</v>
      </c>
      <c r="D4933" t="s">
        <v>1366</v>
      </c>
      <c r="E4933" t="s">
        <v>15507</v>
      </c>
      <c r="F4933" t="s">
        <v>16310</v>
      </c>
      <c r="G4933" t="s">
        <v>16358</v>
      </c>
      <c r="H4933" t="str">
        <f>HYPERLINK("https://baanknet.com/view-property/266110/B48036105316EB749CCA9BE60880BE50C886903948EA43C672FEFD2BB7FE7F1E", "https://baanknet.com/view-property/266110/B48036105316EB749CCA9BE60880BE50C886903948EA43C672FEFD2BB7FE7F1E")</f>
        <v>https://baanknet.com/view-property/266110/B48036105316EB749CCA9BE60880BE50C886903948EA43C672FEFD2BB7FE7F1E</v>
      </c>
      <c r="I4933" t="str">
        <f>HYPERLINK("https://baanknet.com/view-property/266110/B48036105316EB749CCA9BE60880BE50C886903948EA43C672FEFD2BB7FE7F1E", "Open")</f>
        <v>Open</v>
      </c>
      <c r="J4933" t="s">
        <v>3803</v>
      </c>
      <c r="L4933">
        <v>14800000</v>
      </c>
      <c r="M4933">
        <v>1480000</v>
      </c>
    </row>
    <row r="4934" spans="1:13" x14ac:dyDescent="0.25">
      <c r="A4934" t="s">
        <v>16359</v>
      </c>
      <c r="B4934" t="s">
        <v>16360</v>
      </c>
      <c r="C4934" t="s">
        <v>525</v>
      </c>
      <c r="D4934" t="s">
        <v>526</v>
      </c>
      <c r="E4934" t="s">
        <v>15507</v>
      </c>
      <c r="F4934" t="s">
        <v>16310</v>
      </c>
      <c r="G4934" t="s">
        <v>16361</v>
      </c>
      <c r="H4934" t="str">
        <f>HYPERLINK("https://baanknet.com/view-property/188952/2F7D89E7E5C9C52876A51D905E63334E4FB57DCBC03B43EA9FE0A614BC61329A", "https://baanknet.com/view-property/188952/2F7D89E7E5C9C52876A51D905E63334E4FB57DCBC03B43EA9FE0A614BC61329A")</f>
        <v>https://baanknet.com/view-property/188952/2F7D89E7E5C9C52876A51D905E63334E4FB57DCBC03B43EA9FE0A614BC61329A</v>
      </c>
      <c r="I4934" t="str">
        <f>HYPERLINK("https://baanknet.com/view-property/188952/2F7D89E7E5C9C52876A51D905E63334E4FB57DCBC03B43EA9FE0A614BC61329A", "Open")</f>
        <v>Open</v>
      </c>
      <c r="J4934" t="s">
        <v>3803</v>
      </c>
      <c r="L4934">
        <v>1722000</v>
      </c>
      <c r="M4934">
        <v>172200</v>
      </c>
    </row>
    <row r="4935" spans="1:13" x14ac:dyDescent="0.25">
      <c r="A4935" t="s">
        <v>16362</v>
      </c>
      <c r="B4935" t="s">
        <v>16363</v>
      </c>
      <c r="C4935" t="s">
        <v>15</v>
      </c>
      <c r="D4935" t="s">
        <v>3460</v>
      </c>
      <c r="E4935" t="s">
        <v>15507</v>
      </c>
      <c r="F4935" t="s">
        <v>16310</v>
      </c>
      <c r="G4935" t="s">
        <v>16364</v>
      </c>
      <c r="H4935" t="str">
        <f>HYPERLINK("https://baanknet.com/view-property/233917/1BF96EF5E249901B20C7706A3F45159FA6DABF43BAD1771023DCFEE8943BB4E2", "https://baanknet.com/view-property/233917/1BF96EF5E249901B20C7706A3F45159FA6DABF43BAD1771023DCFEE8943BB4E2")</f>
        <v>https://baanknet.com/view-property/233917/1BF96EF5E249901B20C7706A3F45159FA6DABF43BAD1771023DCFEE8943BB4E2</v>
      </c>
      <c r="I4935" t="str">
        <f>HYPERLINK("https://baanknet.com/view-property/233917/1BF96EF5E249901B20C7706A3F45159FA6DABF43BAD1771023DCFEE8943BB4E2", "Open")</f>
        <v>Open</v>
      </c>
      <c r="J4935" t="s">
        <v>3803</v>
      </c>
      <c r="L4935">
        <v>2245000</v>
      </c>
      <c r="M4935">
        <v>224500</v>
      </c>
    </row>
    <row r="4936" spans="1:13" x14ac:dyDescent="0.25">
      <c r="A4936" t="s">
        <v>16365</v>
      </c>
      <c r="B4936" t="s">
        <v>16366</v>
      </c>
      <c r="C4936" t="s">
        <v>15</v>
      </c>
      <c r="D4936" t="s">
        <v>762</v>
      </c>
      <c r="E4936" t="s">
        <v>15507</v>
      </c>
      <c r="F4936" t="s">
        <v>16310</v>
      </c>
      <c r="G4936" t="s">
        <v>16367</v>
      </c>
      <c r="H4936" t="str">
        <f>HYPERLINK("https://baanknet.com/view-property/286925/B516A9A1C76D652FE80E05CC4BE65E3EC26302A0952E9686A6CB3BF8F3F4A68F", "https://baanknet.com/view-property/286925/B516A9A1C76D652FE80E05CC4BE65E3EC26302A0952E9686A6CB3BF8F3F4A68F")</f>
        <v>https://baanknet.com/view-property/286925/B516A9A1C76D652FE80E05CC4BE65E3EC26302A0952E9686A6CB3BF8F3F4A68F</v>
      </c>
      <c r="I4936" t="str">
        <f>HYPERLINK("https://baanknet.com/view-property/286925/B516A9A1C76D652FE80E05CC4BE65E3EC26302A0952E9686A6CB3BF8F3F4A68F", "Open")</f>
        <v>Open</v>
      </c>
      <c r="J4936" t="s">
        <v>3803</v>
      </c>
      <c r="L4936">
        <v>4292000</v>
      </c>
      <c r="M4936">
        <v>429200</v>
      </c>
    </row>
    <row r="4937" spans="1:13" x14ac:dyDescent="0.25">
      <c r="A4937" t="s">
        <v>16368</v>
      </c>
      <c r="B4937" t="s">
        <v>16369</v>
      </c>
      <c r="C4937" t="s">
        <v>15</v>
      </c>
      <c r="D4937" t="s">
        <v>762</v>
      </c>
      <c r="E4937" t="s">
        <v>15507</v>
      </c>
      <c r="F4937" t="s">
        <v>16310</v>
      </c>
      <c r="G4937" t="s">
        <v>16370</v>
      </c>
      <c r="H4937" t="str">
        <f>HYPERLINK("https://baanknet.com/view-property/286911/DEEF9E46A333F182C7FF1112DC040CEAE543D62DC1B71D5039F8901A0FF6D749", "https://baanknet.com/view-property/286911/DEEF9E46A333F182C7FF1112DC040CEAE543D62DC1B71D5039F8901A0FF6D749")</f>
        <v>https://baanknet.com/view-property/286911/DEEF9E46A333F182C7FF1112DC040CEAE543D62DC1B71D5039F8901A0FF6D749</v>
      </c>
      <c r="I4937" t="str">
        <f>HYPERLINK("https://baanknet.com/view-property/286911/DEEF9E46A333F182C7FF1112DC040CEAE543D62DC1B71D5039F8901A0FF6D749", "Open")</f>
        <v>Open</v>
      </c>
      <c r="J4937" t="s">
        <v>3803</v>
      </c>
      <c r="L4937">
        <v>1393000</v>
      </c>
      <c r="M4937">
        <v>139300</v>
      </c>
    </row>
    <row r="4938" spans="1:13" x14ac:dyDescent="0.25">
      <c r="A4938" t="s">
        <v>16371</v>
      </c>
      <c r="B4938" t="s">
        <v>16372</v>
      </c>
      <c r="C4938" t="s">
        <v>15</v>
      </c>
      <c r="D4938" t="s">
        <v>762</v>
      </c>
      <c r="E4938" t="s">
        <v>15507</v>
      </c>
      <c r="F4938" t="s">
        <v>16310</v>
      </c>
      <c r="G4938" t="s">
        <v>16373</v>
      </c>
      <c r="H4938" t="str">
        <f>HYPERLINK("https://baanknet.com/view-property/286912/2479D333C388EFE4B8BA1563625F32DC40837E8721671BD0A70266DC63E77626", "https://baanknet.com/view-property/286912/2479D333C388EFE4B8BA1563625F32DC40837E8721671BD0A70266DC63E77626")</f>
        <v>https://baanknet.com/view-property/286912/2479D333C388EFE4B8BA1563625F32DC40837E8721671BD0A70266DC63E77626</v>
      </c>
      <c r="I4938" t="str">
        <f>HYPERLINK("https://baanknet.com/view-property/286912/2479D333C388EFE4B8BA1563625F32DC40837E8721671BD0A70266DC63E77626", "Open")</f>
        <v>Open</v>
      </c>
      <c r="J4938" t="s">
        <v>3803</v>
      </c>
      <c r="L4938">
        <v>2742000</v>
      </c>
      <c r="M4938">
        <v>274200</v>
      </c>
    </row>
    <row r="4939" spans="1:13" x14ac:dyDescent="0.25">
      <c r="A4939" t="s">
        <v>16374</v>
      </c>
      <c r="B4939" t="s">
        <v>16375</v>
      </c>
      <c r="C4939" t="s">
        <v>15</v>
      </c>
      <c r="D4939" t="s">
        <v>762</v>
      </c>
      <c r="E4939" t="s">
        <v>15507</v>
      </c>
      <c r="F4939" t="s">
        <v>16310</v>
      </c>
      <c r="G4939" t="s">
        <v>16376</v>
      </c>
      <c r="H4939" t="str">
        <f>HYPERLINK("https://baanknet.com/view-property/286924/D1F61DA3B81617FFA05F95570E92ABF42146346EAC92885124B7B2CF95A53F82", "https://baanknet.com/view-property/286924/D1F61DA3B81617FFA05F95570E92ABF42146346EAC92885124B7B2CF95A53F82")</f>
        <v>https://baanknet.com/view-property/286924/D1F61DA3B81617FFA05F95570E92ABF42146346EAC92885124B7B2CF95A53F82</v>
      </c>
      <c r="I4939" t="str">
        <f>HYPERLINK("https://baanknet.com/view-property/286924/D1F61DA3B81617FFA05F95570E92ABF42146346EAC92885124B7B2CF95A53F82", "Open")</f>
        <v>Open</v>
      </c>
      <c r="J4939" t="s">
        <v>3803</v>
      </c>
      <c r="L4939">
        <v>7012000</v>
      </c>
      <c r="M4939">
        <v>701200</v>
      </c>
    </row>
    <row r="4940" spans="1:13" x14ac:dyDescent="0.25">
      <c r="A4940" t="s">
        <v>16377</v>
      </c>
      <c r="B4940" t="s">
        <v>16378</v>
      </c>
      <c r="C4940" t="s">
        <v>15</v>
      </c>
      <c r="D4940" t="s">
        <v>762</v>
      </c>
      <c r="E4940" t="s">
        <v>15507</v>
      </c>
      <c r="F4940" t="s">
        <v>16310</v>
      </c>
      <c r="G4940" t="s">
        <v>16379</v>
      </c>
      <c r="H4940" t="str">
        <f>HYPERLINK("https://baanknet.com/view-property/286923/E379D2834097479D4BBCFD4572D0838B51904785AA7474C7A0AC17442F902737", "https://baanknet.com/view-property/286923/E379D2834097479D4BBCFD4572D0838B51904785AA7474C7A0AC17442F902737")</f>
        <v>https://baanknet.com/view-property/286923/E379D2834097479D4BBCFD4572D0838B51904785AA7474C7A0AC17442F902737</v>
      </c>
      <c r="I4940" t="str">
        <f>HYPERLINK("https://baanknet.com/view-property/286923/E379D2834097479D4BBCFD4572D0838B51904785AA7474C7A0AC17442F902737", "Open")</f>
        <v>Open</v>
      </c>
      <c r="J4940" t="s">
        <v>3803</v>
      </c>
      <c r="L4940">
        <v>2590000</v>
      </c>
      <c r="M4940">
        <v>259000</v>
      </c>
    </row>
    <row r="4941" spans="1:13" x14ac:dyDescent="0.25">
      <c r="A4941" t="s">
        <v>16380</v>
      </c>
      <c r="B4941" t="s">
        <v>16381</v>
      </c>
      <c r="C4941" t="s">
        <v>15</v>
      </c>
      <c r="D4941" t="s">
        <v>8815</v>
      </c>
      <c r="E4941" t="s">
        <v>15507</v>
      </c>
      <c r="F4941" t="s">
        <v>16310</v>
      </c>
      <c r="G4941" t="s">
        <v>16382</v>
      </c>
      <c r="H4941" t="str">
        <f>HYPERLINK("https://baanknet.com/view-property/279776/BF89A9C82E691C716516941B7D2FA2FBC11EB166A368C0B652D1DD9B00796F96", "https://baanknet.com/view-property/279776/BF89A9C82E691C716516941B7D2FA2FBC11EB166A368C0B652D1DD9B00796F96")</f>
        <v>https://baanknet.com/view-property/279776/BF89A9C82E691C716516941B7D2FA2FBC11EB166A368C0B652D1DD9B00796F96</v>
      </c>
      <c r="I4941" t="str">
        <f>HYPERLINK("https://baanknet.com/view-property/279776/BF89A9C82E691C716516941B7D2FA2FBC11EB166A368C0B652D1DD9B00796F96", "Open")</f>
        <v>Open</v>
      </c>
      <c r="J4941" t="s">
        <v>3803</v>
      </c>
      <c r="L4941">
        <v>6957000</v>
      </c>
      <c r="M4941">
        <v>695700</v>
      </c>
    </row>
    <row r="4942" spans="1:13" x14ac:dyDescent="0.25">
      <c r="A4942" t="s">
        <v>16383</v>
      </c>
      <c r="B4942" t="s">
        <v>16384</v>
      </c>
      <c r="C4942" t="s">
        <v>15</v>
      </c>
      <c r="D4942" t="s">
        <v>11248</v>
      </c>
      <c r="E4942" t="s">
        <v>15507</v>
      </c>
      <c r="F4942" t="s">
        <v>16310</v>
      </c>
      <c r="G4942" t="s">
        <v>16385</v>
      </c>
      <c r="H4942" t="str">
        <f>HYPERLINK("https://baanknet.com/view-property/229521/A2363C4D657AF8F03D96C9A39EDA84351757CEF111CD5AB5CBF8FCB4568A345E", "https://baanknet.com/view-property/229521/A2363C4D657AF8F03D96C9A39EDA84351757CEF111CD5AB5CBF8FCB4568A345E")</f>
        <v>https://baanknet.com/view-property/229521/A2363C4D657AF8F03D96C9A39EDA84351757CEF111CD5AB5CBF8FCB4568A345E</v>
      </c>
      <c r="I4942" t="str">
        <f>HYPERLINK("https://baanknet.com/view-property/229521/A2363C4D657AF8F03D96C9A39EDA84351757CEF111CD5AB5CBF8FCB4568A345E", "Open")</f>
        <v>Open</v>
      </c>
      <c r="J4942" t="s">
        <v>3803</v>
      </c>
      <c r="L4942">
        <v>4113000</v>
      </c>
      <c r="M4942">
        <v>411300</v>
      </c>
    </row>
    <row r="4943" spans="1:13" x14ac:dyDescent="0.25">
      <c r="A4943" t="s">
        <v>16386</v>
      </c>
      <c r="B4943" t="s">
        <v>16387</v>
      </c>
      <c r="C4943" t="s">
        <v>15</v>
      </c>
      <c r="D4943" t="s">
        <v>8815</v>
      </c>
      <c r="E4943" t="s">
        <v>15507</v>
      </c>
      <c r="F4943" t="s">
        <v>16310</v>
      </c>
      <c r="G4943" t="s">
        <v>16388</v>
      </c>
      <c r="H4943" t="str">
        <f>HYPERLINK("https://baanknet.com/view-property/266193/FAAFF47B17F408672FE68050959323B622524E0DF9130F5738E18734C09BECDF", "https://baanknet.com/view-property/266193/FAAFF47B17F408672FE68050959323B622524E0DF9130F5738E18734C09BECDF")</f>
        <v>https://baanknet.com/view-property/266193/FAAFF47B17F408672FE68050959323B622524E0DF9130F5738E18734C09BECDF</v>
      </c>
      <c r="I4943" t="str">
        <f>HYPERLINK("https://baanknet.com/view-property/266193/FAAFF47B17F408672FE68050959323B622524E0DF9130F5738E18734C09BECDF", "Open")</f>
        <v>Open</v>
      </c>
      <c r="J4943" t="s">
        <v>3803</v>
      </c>
      <c r="L4943">
        <v>11843000</v>
      </c>
      <c r="M4943">
        <v>1184300</v>
      </c>
    </row>
    <row r="4944" spans="1:13" x14ac:dyDescent="0.25">
      <c r="A4944" t="s">
        <v>16389</v>
      </c>
      <c r="B4944" t="s">
        <v>16390</v>
      </c>
      <c r="C4944" t="s">
        <v>15</v>
      </c>
      <c r="D4944" t="s">
        <v>8815</v>
      </c>
      <c r="E4944" t="s">
        <v>15507</v>
      </c>
      <c r="F4944" t="s">
        <v>16310</v>
      </c>
      <c r="G4944" t="s">
        <v>16391</v>
      </c>
      <c r="H4944" t="str">
        <f>HYPERLINK("https://baanknet.com/view-property/287254/8BD5F26ADF38A4922823CA7A4C2317C5B1C0474BC14A1A595931B0DBA65C5E0C", "https://baanknet.com/view-property/287254/8BD5F26ADF38A4922823CA7A4C2317C5B1C0474BC14A1A595931B0DBA65C5E0C")</f>
        <v>https://baanknet.com/view-property/287254/8BD5F26ADF38A4922823CA7A4C2317C5B1C0474BC14A1A595931B0DBA65C5E0C</v>
      </c>
      <c r="I4944" t="str">
        <f>HYPERLINK("https://baanknet.com/view-property/287254/8BD5F26ADF38A4922823CA7A4C2317C5B1C0474BC14A1A595931B0DBA65C5E0C", "Open")</f>
        <v>Open</v>
      </c>
      <c r="J4944" t="s">
        <v>3803</v>
      </c>
      <c r="L4944">
        <v>5286000</v>
      </c>
      <c r="M4944">
        <v>528600</v>
      </c>
    </row>
    <row r="4945" spans="1:13" x14ac:dyDescent="0.25">
      <c r="A4945" t="s">
        <v>16392</v>
      </c>
      <c r="B4945" t="s">
        <v>16393</v>
      </c>
      <c r="C4945" t="s">
        <v>144</v>
      </c>
      <c r="D4945" t="s">
        <v>608</v>
      </c>
      <c r="E4945" t="s">
        <v>15507</v>
      </c>
      <c r="F4945" t="s">
        <v>16310</v>
      </c>
      <c r="G4945" t="s">
        <v>16394</v>
      </c>
      <c r="H4945" t="str">
        <f>HYPERLINK("https://baanknet.com/view-property/287520/4B02CF5A31AE184EDC3A4B11B2299134B0F6E415273DA72B318884EBCC4C3D5B", "https://baanknet.com/view-property/287520/4B02CF5A31AE184EDC3A4B11B2299134B0F6E415273DA72B318884EBCC4C3D5B")</f>
        <v>https://baanknet.com/view-property/287520/4B02CF5A31AE184EDC3A4B11B2299134B0F6E415273DA72B318884EBCC4C3D5B</v>
      </c>
      <c r="I4945" t="str">
        <f>HYPERLINK("https://baanknet.com/view-property/287520/4B02CF5A31AE184EDC3A4B11B2299134B0F6E415273DA72B318884EBCC4C3D5B", "Open")</f>
        <v>Open</v>
      </c>
      <c r="J4945" t="s">
        <v>3803</v>
      </c>
      <c r="L4945">
        <v>20900000</v>
      </c>
      <c r="M4945">
        <v>2090000</v>
      </c>
    </row>
    <row r="4946" spans="1:13" x14ac:dyDescent="0.25">
      <c r="A4946" t="s">
        <v>16395</v>
      </c>
      <c r="B4946" t="s">
        <v>16396</v>
      </c>
      <c r="C4946" t="s">
        <v>144</v>
      </c>
      <c r="D4946" t="s">
        <v>608</v>
      </c>
      <c r="E4946" t="s">
        <v>15507</v>
      </c>
      <c r="F4946" t="s">
        <v>16310</v>
      </c>
      <c r="G4946" t="s">
        <v>16397</v>
      </c>
      <c r="H4946" t="str">
        <f>HYPERLINK("https://baanknet.com/view-property/287517/782FFCAF0C3E20D3841A82BCB5E3D241602EF6F1978052C55956D5D1F360CC23", "https://baanknet.com/view-property/287517/782FFCAF0C3E20D3841A82BCB5E3D241602EF6F1978052C55956D5D1F360CC23")</f>
        <v>https://baanknet.com/view-property/287517/782FFCAF0C3E20D3841A82BCB5E3D241602EF6F1978052C55956D5D1F360CC23</v>
      </c>
      <c r="I4946" t="str">
        <f>HYPERLINK("https://baanknet.com/view-property/287517/782FFCAF0C3E20D3841A82BCB5E3D241602EF6F1978052C55956D5D1F360CC23", "Open")</f>
        <v>Open</v>
      </c>
      <c r="J4946" t="s">
        <v>3803</v>
      </c>
      <c r="L4946">
        <v>18000000</v>
      </c>
      <c r="M4946">
        <v>1800000</v>
      </c>
    </row>
    <row r="4947" spans="1:13" x14ac:dyDescent="0.25">
      <c r="A4947" t="s">
        <v>16398</v>
      </c>
      <c r="B4947" t="s">
        <v>16399</v>
      </c>
      <c r="C4947" t="s">
        <v>144</v>
      </c>
      <c r="D4947" t="s">
        <v>608</v>
      </c>
      <c r="E4947" t="s">
        <v>15507</v>
      </c>
      <c r="F4947" t="s">
        <v>16310</v>
      </c>
      <c r="G4947" t="s">
        <v>16400</v>
      </c>
      <c r="H4947" t="str">
        <f>HYPERLINK("https://baanknet.com/view-property/287513/063B36A222E55AC45558DE26B4DE62ED1D0012CB05219B218B42646BECA7B486", "https://baanknet.com/view-property/287513/063B36A222E55AC45558DE26B4DE62ED1D0012CB05219B218B42646BECA7B486")</f>
        <v>https://baanknet.com/view-property/287513/063B36A222E55AC45558DE26B4DE62ED1D0012CB05219B218B42646BECA7B486</v>
      </c>
      <c r="I4947" t="str">
        <f>HYPERLINK("https://baanknet.com/view-property/287513/063B36A222E55AC45558DE26B4DE62ED1D0012CB05219B218B42646BECA7B486", "Open")</f>
        <v>Open</v>
      </c>
      <c r="J4947" t="s">
        <v>3803</v>
      </c>
      <c r="L4947">
        <v>5600000</v>
      </c>
      <c r="M4947">
        <v>560000</v>
      </c>
    </row>
    <row r="4948" spans="1:13" x14ac:dyDescent="0.25">
      <c r="A4948" t="s">
        <v>16401</v>
      </c>
      <c r="B4948" t="s">
        <v>16402</v>
      </c>
      <c r="C4948" t="s">
        <v>144</v>
      </c>
      <c r="D4948" t="s">
        <v>608</v>
      </c>
      <c r="E4948" t="s">
        <v>15507</v>
      </c>
      <c r="F4948" t="s">
        <v>16310</v>
      </c>
      <c r="G4948" t="s">
        <v>16403</v>
      </c>
      <c r="H4948" t="str">
        <f>HYPERLINK("https://baanknet.com/view-property/287507/A1BE929FCC6240F82B80F6B370494672EFB2E0B59648E48D28819EB1CD0A7BEE", "https://baanknet.com/view-property/287507/A1BE929FCC6240F82B80F6B370494672EFB2E0B59648E48D28819EB1CD0A7BEE")</f>
        <v>https://baanknet.com/view-property/287507/A1BE929FCC6240F82B80F6B370494672EFB2E0B59648E48D28819EB1CD0A7BEE</v>
      </c>
      <c r="I4948" t="str">
        <f>HYPERLINK("https://baanknet.com/view-property/287507/A1BE929FCC6240F82B80F6B370494672EFB2E0B59648E48D28819EB1CD0A7BEE", "Open")</f>
        <v>Open</v>
      </c>
      <c r="J4948" t="s">
        <v>3803</v>
      </c>
      <c r="L4948">
        <v>7465000</v>
      </c>
      <c r="M4948">
        <v>746500</v>
      </c>
    </row>
    <row r="4949" spans="1:13" x14ac:dyDescent="0.25">
      <c r="A4949" t="s">
        <v>16404</v>
      </c>
      <c r="B4949" t="s">
        <v>16405</v>
      </c>
      <c r="C4949" t="s">
        <v>144</v>
      </c>
      <c r="D4949" t="s">
        <v>16406</v>
      </c>
      <c r="E4949" t="s">
        <v>15507</v>
      </c>
      <c r="F4949" t="s">
        <v>16310</v>
      </c>
      <c r="G4949" t="s">
        <v>16407</v>
      </c>
      <c r="H4949" t="str">
        <f>HYPERLINK("https://baanknet.com/view-property/262872/DFF974F25AE9F7F9D7A77536651C156AAF31C3E2D429C64B0D668E9B111F801A", "https://baanknet.com/view-property/262872/DFF974F25AE9F7F9D7A77536651C156AAF31C3E2D429C64B0D668E9B111F801A")</f>
        <v>https://baanknet.com/view-property/262872/DFF974F25AE9F7F9D7A77536651C156AAF31C3E2D429C64B0D668E9B111F801A</v>
      </c>
      <c r="I4949" t="str">
        <f>HYPERLINK("https://baanknet.com/view-property/262872/DFF974F25AE9F7F9D7A77536651C156AAF31C3E2D429C64B0D668E9B111F801A", "Open")</f>
        <v>Open</v>
      </c>
      <c r="J4949" t="s">
        <v>3803</v>
      </c>
      <c r="L4949">
        <v>1891800</v>
      </c>
      <c r="M4949">
        <v>189180</v>
      </c>
    </row>
    <row r="4950" spans="1:13" x14ac:dyDescent="0.25">
      <c r="A4950" t="s">
        <v>16408</v>
      </c>
      <c r="B4950" t="s">
        <v>16409</v>
      </c>
      <c r="C4950" t="s">
        <v>525</v>
      </c>
      <c r="D4950" t="s">
        <v>1366</v>
      </c>
      <c r="E4950" t="s">
        <v>15507</v>
      </c>
      <c r="F4950" t="s">
        <v>16310</v>
      </c>
      <c r="G4950" t="s">
        <v>16410</v>
      </c>
      <c r="H4950" t="str">
        <f>HYPERLINK("https://baanknet.com/view-property/280871/C52D4D3A8081036075627D4E14C67E72A6FD3EBB397F46FE8DB1CEFE2DEB2D8C", "https://baanknet.com/view-property/280871/C52D4D3A8081036075627D4E14C67E72A6FD3EBB397F46FE8DB1CEFE2DEB2D8C")</f>
        <v>https://baanknet.com/view-property/280871/C52D4D3A8081036075627D4E14C67E72A6FD3EBB397F46FE8DB1CEFE2DEB2D8C</v>
      </c>
      <c r="I4950" t="str">
        <f>HYPERLINK("https://baanknet.com/view-property/280871/C52D4D3A8081036075627D4E14C67E72A6FD3EBB397F46FE8DB1CEFE2DEB2D8C", "Open")</f>
        <v>Open</v>
      </c>
      <c r="J4950" t="s">
        <v>3803</v>
      </c>
      <c r="L4950">
        <v>7700000</v>
      </c>
      <c r="M4950">
        <v>770000</v>
      </c>
    </row>
    <row r="4951" spans="1:13" x14ac:dyDescent="0.25">
      <c r="A4951" t="s">
        <v>16411</v>
      </c>
      <c r="B4951" t="s">
        <v>16412</v>
      </c>
      <c r="C4951" t="s">
        <v>525</v>
      </c>
      <c r="D4951" t="s">
        <v>1366</v>
      </c>
      <c r="E4951" t="s">
        <v>15507</v>
      </c>
      <c r="F4951" t="s">
        <v>16310</v>
      </c>
      <c r="G4951" t="s">
        <v>16413</v>
      </c>
      <c r="H4951" t="str">
        <f>HYPERLINK("https://baanknet.com/view-property/192510/97DA327B09870E85F7B3975B793D27FA3959A25772F9D198C3C0D006388D9953", "https://baanknet.com/view-property/192510/97DA327B09870E85F7B3975B793D27FA3959A25772F9D198C3C0D006388D9953")</f>
        <v>https://baanknet.com/view-property/192510/97DA327B09870E85F7B3975B793D27FA3959A25772F9D198C3C0D006388D9953</v>
      </c>
      <c r="I4951" t="str">
        <f>HYPERLINK("https://baanknet.com/view-property/192510/97DA327B09870E85F7B3975B793D27FA3959A25772F9D198C3C0D006388D9953", "Open")</f>
        <v>Open</v>
      </c>
      <c r="J4951" t="s">
        <v>3803</v>
      </c>
      <c r="L4951">
        <v>2450000</v>
      </c>
      <c r="M4951">
        <v>245000</v>
      </c>
    </row>
    <row r="4952" spans="1:13" x14ac:dyDescent="0.25">
      <c r="A4952" t="s">
        <v>16414</v>
      </c>
      <c r="B4952" t="s">
        <v>16415</v>
      </c>
      <c r="C4952" t="s">
        <v>144</v>
      </c>
      <c r="D4952" t="s">
        <v>16416</v>
      </c>
      <c r="E4952" t="s">
        <v>15507</v>
      </c>
      <c r="F4952" t="s">
        <v>16310</v>
      </c>
      <c r="G4952" t="s">
        <v>16417</v>
      </c>
      <c r="H4952" t="str">
        <f>HYPERLINK("https://baanknet.com/view-property/264861/9A8871634FE6656C5580249E86269715EF24CE81AD2D0B385B91609C0D301CFF", "https://baanknet.com/view-property/264861/9A8871634FE6656C5580249E86269715EF24CE81AD2D0B385B91609C0D301CFF")</f>
        <v>https://baanknet.com/view-property/264861/9A8871634FE6656C5580249E86269715EF24CE81AD2D0B385B91609C0D301CFF</v>
      </c>
      <c r="I4952" t="str">
        <f>HYPERLINK("https://baanknet.com/view-property/264861/9A8871634FE6656C5580249E86269715EF24CE81AD2D0B385B91609C0D301CFF", "Open")</f>
        <v>Open</v>
      </c>
      <c r="J4952" t="s">
        <v>3803</v>
      </c>
      <c r="L4952">
        <v>1428000</v>
      </c>
      <c r="M4952">
        <v>142800</v>
      </c>
    </row>
    <row r="4953" spans="1:13" x14ac:dyDescent="0.25">
      <c r="A4953" t="s">
        <v>16418</v>
      </c>
      <c r="B4953" t="s">
        <v>16419</v>
      </c>
      <c r="C4953" t="s">
        <v>144</v>
      </c>
      <c r="D4953" t="s">
        <v>15757</v>
      </c>
      <c r="E4953" t="s">
        <v>15507</v>
      </c>
      <c r="F4953" t="s">
        <v>16310</v>
      </c>
      <c r="G4953" t="s">
        <v>16420</v>
      </c>
      <c r="H4953" t="str">
        <f>HYPERLINK("https://baanknet.com/view-property/201204/C74B04CFF7158E439E18B00B0AC26D8CF768B96E068E08148BE48076A5C6C96C", "https://baanknet.com/view-property/201204/C74B04CFF7158E439E18B00B0AC26D8CF768B96E068E08148BE48076A5C6C96C")</f>
        <v>https://baanknet.com/view-property/201204/C74B04CFF7158E439E18B00B0AC26D8CF768B96E068E08148BE48076A5C6C96C</v>
      </c>
      <c r="I4953" t="str">
        <f>HYPERLINK("https://baanknet.com/view-property/201204/C74B04CFF7158E439E18B00B0AC26D8CF768B96E068E08148BE48076A5C6C96C", "Open")</f>
        <v>Open</v>
      </c>
      <c r="J4953" t="s">
        <v>3803</v>
      </c>
      <c r="L4953">
        <v>2763000</v>
      </c>
      <c r="M4953">
        <v>276300</v>
      </c>
    </row>
    <row r="4954" spans="1:13" x14ac:dyDescent="0.25">
      <c r="A4954" t="s">
        <v>16421</v>
      </c>
      <c r="B4954" t="s">
        <v>16422</v>
      </c>
      <c r="C4954" t="s">
        <v>144</v>
      </c>
      <c r="D4954" t="s">
        <v>533</v>
      </c>
      <c r="E4954" t="s">
        <v>15507</v>
      </c>
      <c r="F4954" t="s">
        <v>15527</v>
      </c>
      <c r="G4954" t="s">
        <v>16423</v>
      </c>
      <c r="H4954" t="str">
        <f>HYPERLINK("https://baanknet.com/view-property/285586/D2D958AF79586B4F7E0EBD216817370F903045CC8BBA47419840D324C3614334", "https://baanknet.com/view-property/285586/D2D958AF79586B4F7E0EBD216817370F903045CC8BBA47419840D324C3614334")</f>
        <v>https://baanknet.com/view-property/285586/D2D958AF79586B4F7E0EBD216817370F903045CC8BBA47419840D324C3614334</v>
      </c>
      <c r="I4954" t="str">
        <f>HYPERLINK("https://baanknet.com/view-property/285586/D2D958AF79586B4F7E0EBD216817370F903045CC8BBA47419840D324C3614334", "Open")</f>
        <v>Open</v>
      </c>
      <c r="J4954" t="s">
        <v>3803</v>
      </c>
      <c r="L4954">
        <v>4617000</v>
      </c>
      <c r="M4954">
        <v>461700</v>
      </c>
    </row>
    <row r="4955" spans="1:13" x14ac:dyDescent="0.25">
      <c r="A4955" t="s">
        <v>16424</v>
      </c>
      <c r="B4955" t="s">
        <v>16425</v>
      </c>
      <c r="C4955" t="s">
        <v>15</v>
      </c>
      <c r="D4955" t="s">
        <v>16426</v>
      </c>
      <c r="E4955" t="s">
        <v>15507</v>
      </c>
      <c r="F4955" t="s">
        <v>15527</v>
      </c>
      <c r="G4955" t="s">
        <v>16427</v>
      </c>
      <c r="H4955" t="str">
        <f>HYPERLINK("https://baanknet.com/view-property/274015/1420D635664A82A6243F53B35A7499A6D6EAC1C1877068763605A3ABE265532B", "https://baanknet.com/view-property/274015/1420D635664A82A6243F53B35A7499A6D6EAC1C1877068763605A3ABE265532B")</f>
        <v>https://baanknet.com/view-property/274015/1420D635664A82A6243F53B35A7499A6D6EAC1C1877068763605A3ABE265532B</v>
      </c>
      <c r="I4955" t="str">
        <f>HYPERLINK("https://baanknet.com/view-property/274015/1420D635664A82A6243F53B35A7499A6D6EAC1C1877068763605A3ABE265532B", "Open")</f>
        <v>Open</v>
      </c>
      <c r="J4955" t="s">
        <v>3803</v>
      </c>
      <c r="L4955">
        <v>8600000</v>
      </c>
      <c r="M4955">
        <v>860000</v>
      </c>
    </row>
    <row r="4956" spans="1:13" x14ac:dyDescent="0.25">
      <c r="A4956" t="s">
        <v>16428</v>
      </c>
      <c r="B4956" t="s">
        <v>16429</v>
      </c>
      <c r="C4956" t="s">
        <v>15</v>
      </c>
      <c r="D4956" t="s">
        <v>16430</v>
      </c>
      <c r="E4956" t="s">
        <v>15507</v>
      </c>
      <c r="F4956" t="s">
        <v>15527</v>
      </c>
      <c r="G4956" t="s">
        <v>16431</v>
      </c>
      <c r="H4956" t="str">
        <f>HYPERLINK("https://baanknet.com/view-property/286461/96B8EC5E7FF7ED3AD49C1DA425118AC5ABDC887B1A5BF930BB6256382B875BA1", "https://baanknet.com/view-property/286461/96B8EC5E7FF7ED3AD49C1DA425118AC5ABDC887B1A5BF930BB6256382B875BA1")</f>
        <v>https://baanknet.com/view-property/286461/96B8EC5E7FF7ED3AD49C1DA425118AC5ABDC887B1A5BF930BB6256382B875BA1</v>
      </c>
      <c r="I4956" t="str">
        <f>HYPERLINK("https://baanknet.com/view-property/286461/96B8EC5E7FF7ED3AD49C1DA425118AC5ABDC887B1A5BF930BB6256382B875BA1", "Open")</f>
        <v>Open</v>
      </c>
      <c r="J4956" t="s">
        <v>3803</v>
      </c>
      <c r="L4956">
        <v>3770000</v>
      </c>
      <c r="M4956">
        <v>377000</v>
      </c>
    </row>
    <row r="4957" spans="1:13" x14ac:dyDescent="0.25">
      <c r="A4957" t="s">
        <v>16432</v>
      </c>
      <c r="B4957" t="s">
        <v>16433</v>
      </c>
      <c r="C4957" t="s">
        <v>15</v>
      </c>
      <c r="D4957" t="s">
        <v>16434</v>
      </c>
      <c r="E4957" t="s">
        <v>15507</v>
      </c>
      <c r="F4957" t="s">
        <v>15527</v>
      </c>
      <c r="G4957" t="s">
        <v>16435</v>
      </c>
      <c r="H4957" t="str">
        <f>HYPERLINK("https://baanknet.com/view-property/247500/64D48DE9576D1397578EC89695226FF6504135D77D72158EF128D60C13799DE3", "https://baanknet.com/view-property/247500/64D48DE9576D1397578EC89695226FF6504135D77D72158EF128D60C13799DE3")</f>
        <v>https://baanknet.com/view-property/247500/64D48DE9576D1397578EC89695226FF6504135D77D72158EF128D60C13799DE3</v>
      </c>
      <c r="I4957" t="str">
        <f>HYPERLINK("https://baanknet.com/view-property/247500/64D48DE9576D1397578EC89695226FF6504135D77D72158EF128D60C13799DE3", "Open")</f>
        <v>Open</v>
      </c>
      <c r="J4957" t="s">
        <v>3803</v>
      </c>
      <c r="L4957">
        <v>35700000</v>
      </c>
      <c r="M4957">
        <v>3570000</v>
      </c>
    </row>
    <row r="4958" spans="1:13" x14ac:dyDescent="0.25">
      <c r="A4958" t="s">
        <v>16436</v>
      </c>
      <c r="B4958" t="s">
        <v>16437</v>
      </c>
      <c r="C4958" t="s">
        <v>144</v>
      </c>
      <c r="D4958" t="s">
        <v>533</v>
      </c>
      <c r="E4958" t="s">
        <v>15507</v>
      </c>
      <c r="F4958" t="s">
        <v>15527</v>
      </c>
      <c r="G4958" t="s">
        <v>16438</v>
      </c>
      <c r="H4958" t="str">
        <f>HYPERLINK("https://baanknet.com/view-property/277534/BF4F40FC70443E0D97B8A1F47CB13202652202C09409013E9B56D47F93DBF713", "https://baanknet.com/view-property/277534/BF4F40FC70443E0D97B8A1F47CB13202652202C09409013E9B56D47F93DBF713")</f>
        <v>https://baanknet.com/view-property/277534/BF4F40FC70443E0D97B8A1F47CB13202652202C09409013E9B56D47F93DBF713</v>
      </c>
      <c r="I4958" t="str">
        <f>HYPERLINK("https://baanknet.com/view-property/277534/BF4F40FC70443E0D97B8A1F47CB13202652202C09409013E9B56D47F93DBF713", "Open")</f>
        <v>Open</v>
      </c>
      <c r="J4958" t="s">
        <v>3803</v>
      </c>
      <c r="L4958">
        <v>3624000</v>
      </c>
      <c r="M4958">
        <v>362400</v>
      </c>
    </row>
    <row r="4959" spans="1:13" x14ac:dyDescent="0.25">
      <c r="A4959" t="s">
        <v>16439</v>
      </c>
      <c r="B4959" t="s">
        <v>16440</v>
      </c>
      <c r="C4959" t="s">
        <v>332</v>
      </c>
      <c r="D4959" t="s">
        <v>1310</v>
      </c>
      <c r="E4959" t="s">
        <v>15507</v>
      </c>
      <c r="F4959" t="s">
        <v>16441</v>
      </c>
      <c r="G4959" t="s">
        <v>16442</v>
      </c>
      <c r="H4959" t="str">
        <f>HYPERLINK("https://baanknet.com/view-property/285666/D7C65A6A882A0A519CD19BCBC99CDB05C2255FB2BD5CFF44AF5ECE0A5DB3E694", "https://baanknet.com/view-property/285666/D7C65A6A882A0A519CD19BCBC99CDB05C2255FB2BD5CFF44AF5ECE0A5DB3E694")</f>
        <v>https://baanknet.com/view-property/285666/D7C65A6A882A0A519CD19BCBC99CDB05C2255FB2BD5CFF44AF5ECE0A5DB3E694</v>
      </c>
      <c r="I4959" t="str">
        <f>HYPERLINK("https://baanknet.com/view-property/285666/D7C65A6A882A0A519CD19BCBC99CDB05C2255FB2BD5CFF44AF5ECE0A5DB3E694", "Open")</f>
        <v>Open</v>
      </c>
      <c r="J4959" t="s">
        <v>3803</v>
      </c>
      <c r="L4959">
        <v>18200000</v>
      </c>
      <c r="M4959">
        <v>1820000</v>
      </c>
    </row>
    <row r="4960" spans="1:13" x14ac:dyDescent="0.25">
      <c r="A4960" t="s">
        <v>16443</v>
      </c>
      <c r="B4960" t="s">
        <v>16444</v>
      </c>
      <c r="C4960" t="s">
        <v>144</v>
      </c>
      <c r="D4960" t="s">
        <v>8965</v>
      </c>
      <c r="E4960" t="s">
        <v>15507</v>
      </c>
      <c r="F4960" t="s">
        <v>16441</v>
      </c>
      <c r="G4960" t="s">
        <v>16445</v>
      </c>
      <c r="H4960" t="str">
        <f>HYPERLINK("https://baanknet.com/view-property/215169/02EAA6F671A7C78B5FA3C5B9210D2786B93DC6D6B41D4BE739E72E3A439A7C5D", "https://baanknet.com/view-property/215169/02EAA6F671A7C78B5FA3C5B9210D2786B93DC6D6B41D4BE739E72E3A439A7C5D")</f>
        <v>https://baanknet.com/view-property/215169/02EAA6F671A7C78B5FA3C5B9210D2786B93DC6D6B41D4BE739E72E3A439A7C5D</v>
      </c>
      <c r="I4960" t="str">
        <f>HYPERLINK("https://baanknet.com/view-property/215169/02EAA6F671A7C78B5FA3C5B9210D2786B93DC6D6B41D4BE739E72E3A439A7C5D", "Open")</f>
        <v>Open</v>
      </c>
      <c r="J4960" t="s">
        <v>3803</v>
      </c>
      <c r="L4960">
        <v>2307240</v>
      </c>
      <c r="M4960">
        <v>230724</v>
      </c>
    </row>
    <row r="4961" spans="1:13" x14ac:dyDescent="0.25">
      <c r="A4961" t="s">
        <v>16446</v>
      </c>
      <c r="B4961" t="s">
        <v>16447</v>
      </c>
      <c r="C4961" t="s">
        <v>144</v>
      </c>
      <c r="D4961" t="s">
        <v>3191</v>
      </c>
      <c r="E4961" t="s">
        <v>15507</v>
      </c>
      <c r="F4961" t="s">
        <v>16441</v>
      </c>
      <c r="G4961" t="s">
        <v>16448</v>
      </c>
      <c r="H4961" t="str">
        <f>HYPERLINK("https://baanknet.com/view-property/271521/5EF8541F21CAF2D3FF980617B12C669CCDD5BAF79F7EB3C4DA209ED518DE467D", "https://baanknet.com/view-property/271521/5EF8541F21CAF2D3FF980617B12C669CCDD5BAF79F7EB3C4DA209ED518DE467D")</f>
        <v>https://baanknet.com/view-property/271521/5EF8541F21CAF2D3FF980617B12C669CCDD5BAF79F7EB3C4DA209ED518DE467D</v>
      </c>
      <c r="I4961" t="str">
        <f>HYPERLINK("https://baanknet.com/view-property/271521/5EF8541F21CAF2D3FF980617B12C669CCDD5BAF79F7EB3C4DA209ED518DE467D", "Open")</f>
        <v>Open</v>
      </c>
      <c r="J4961" t="s">
        <v>3803</v>
      </c>
      <c r="L4961">
        <v>707550</v>
      </c>
      <c r="M4961">
        <v>70755</v>
      </c>
    </row>
    <row r="4962" spans="1:13" x14ac:dyDescent="0.25">
      <c r="A4962" t="s">
        <v>16449</v>
      </c>
      <c r="B4962" t="s">
        <v>16450</v>
      </c>
      <c r="C4962" t="s">
        <v>144</v>
      </c>
      <c r="D4962" t="s">
        <v>3191</v>
      </c>
      <c r="E4962" t="s">
        <v>15507</v>
      </c>
      <c r="F4962" t="s">
        <v>16441</v>
      </c>
      <c r="G4962" t="s">
        <v>16451</v>
      </c>
      <c r="H4962" t="str">
        <f>HYPERLINK("https://baanknet.com/view-property/271503/342F5AF9A5812012592E0B63C362E6E65CD722F2FDEC090FF4128D52A7490C20", "https://baanknet.com/view-property/271503/342F5AF9A5812012592E0B63C362E6E65CD722F2FDEC090FF4128D52A7490C20")</f>
        <v>https://baanknet.com/view-property/271503/342F5AF9A5812012592E0B63C362E6E65CD722F2FDEC090FF4128D52A7490C20</v>
      </c>
      <c r="I4962" t="str">
        <f>HYPERLINK("https://baanknet.com/view-property/271503/342F5AF9A5812012592E0B63C362E6E65CD722F2FDEC090FF4128D52A7490C20", "Open")</f>
        <v>Open</v>
      </c>
      <c r="J4962" t="s">
        <v>3803</v>
      </c>
      <c r="L4962">
        <v>1361700</v>
      </c>
      <c r="M4962">
        <v>136170</v>
      </c>
    </row>
    <row r="4963" spans="1:13" x14ac:dyDescent="0.25">
      <c r="A4963" t="s">
        <v>16452</v>
      </c>
      <c r="B4963" t="s">
        <v>16453</v>
      </c>
      <c r="C4963" t="s">
        <v>332</v>
      </c>
      <c r="D4963" t="s">
        <v>1380</v>
      </c>
      <c r="E4963" t="s">
        <v>15507</v>
      </c>
      <c r="F4963" t="s">
        <v>16441</v>
      </c>
      <c r="G4963" t="s">
        <v>16454</v>
      </c>
      <c r="H4963" t="str">
        <f>HYPERLINK("https://baanknet.com/view-property/283676/F72996AD9D11D5A9134D92AAD5BCA7E125C9EC742224AE31EAB716D9D4CB6E61", "https://baanknet.com/view-property/283676/F72996AD9D11D5A9134D92AAD5BCA7E125C9EC742224AE31EAB716D9D4CB6E61")</f>
        <v>https://baanknet.com/view-property/283676/F72996AD9D11D5A9134D92AAD5BCA7E125C9EC742224AE31EAB716D9D4CB6E61</v>
      </c>
      <c r="I4963" t="str">
        <f>HYPERLINK("https://baanknet.com/view-property/283676/F72996AD9D11D5A9134D92AAD5BCA7E125C9EC742224AE31EAB716D9D4CB6E61", "Open")</f>
        <v>Open</v>
      </c>
      <c r="J4963" t="s">
        <v>3803</v>
      </c>
      <c r="L4963">
        <v>9118000</v>
      </c>
      <c r="M4963">
        <v>911800</v>
      </c>
    </row>
    <row r="4964" spans="1:13" x14ac:dyDescent="0.25">
      <c r="A4964" t="s">
        <v>16455</v>
      </c>
      <c r="B4964" t="s">
        <v>16456</v>
      </c>
      <c r="C4964" t="s">
        <v>832</v>
      </c>
      <c r="D4964" t="s">
        <v>2163</v>
      </c>
      <c r="E4964" t="s">
        <v>15507</v>
      </c>
      <c r="F4964" t="s">
        <v>16441</v>
      </c>
      <c r="G4964" t="s">
        <v>16457</v>
      </c>
      <c r="H4964" t="str">
        <f>HYPERLINK("https://baanknet.com/view-property/287403/6788013D96EECE77FFB67A0B40D592B719BCA24B04E8A1F18594C77AFCB8DD1C", "https://baanknet.com/view-property/287403/6788013D96EECE77FFB67A0B40D592B719BCA24B04E8A1F18594C77AFCB8DD1C")</f>
        <v>https://baanknet.com/view-property/287403/6788013D96EECE77FFB67A0B40D592B719BCA24B04E8A1F18594C77AFCB8DD1C</v>
      </c>
      <c r="I4964" t="str">
        <f>HYPERLINK("https://baanknet.com/view-property/287403/6788013D96EECE77FFB67A0B40D592B719BCA24B04E8A1F18594C77AFCB8DD1C", "Open")</f>
        <v>Open</v>
      </c>
      <c r="J4964" t="s">
        <v>3803</v>
      </c>
      <c r="L4964">
        <v>6800000</v>
      </c>
      <c r="M4964">
        <v>680000</v>
      </c>
    </row>
    <row r="4965" spans="1:13" x14ac:dyDescent="0.25">
      <c r="A4965" t="s">
        <v>16458</v>
      </c>
      <c r="B4965" t="s">
        <v>16459</v>
      </c>
      <c r="C4965" t="s">
        <v>832</v>
      </c>
      <c r="D4965" t="s">
        <v>937</v>
      </c>
      <c r="E4965" t="s">
        <v>15507</v>
      </c>
      <c r="F4965" t="s">
        <v>16441</v>
      </c>
      <c r="G4965" t="s">
        <v>16460</v>
      </c>
      <c r="H4965" t="str">
        <f>HYPERLINK("https://baanknet.com/view-property/287425/7C050B7C926B5D78DD9899B6855A5ADF90D7FA5594A15F3C554877378C60DF5A", "https://baanknet.com/view-property/287425/7C050B7C926B5D78DD9899B6855A5ADF90D7FA5594A15F3C554877378C60DF5A")</f>
        <v>https://baanknet.com/view-property/287425/7C050B7C926B5D78DD9899B6855A5ADF90D7FA5594A15F3C554877378C60DF5A</v>
      </c>
      <c r="I4965" t="str">
        <f>HYPERLINK("https://baanknet.com/view-property/287425/7C050B7C926B5D78DD9899B6855A5ADF90D7FA5594A15F3C554877378C60DF5A", "Open")</f>
        <v>Open</v>
      </c>
      <c r="J4965" t="s">
        <v>3803</v>
      </c>
      <c r="L4965">
        <v>2736000</v>
      </c>
      <c r="M4965">
        <v>273600</v>
      </c>
    </row>
    <row r="4966" spans="1:13" x14ac:dyDescent="0.25">
      <c r="A4966" t="s">
        <v>16461</v>
      </c>
      <c r="B4966" t="s">
        <v>16462</v>
      </c>
      <c r="C4966" t="s">
        <v>121</v>
      </c>
      <c r="D4966" t="s">
        <v>16463</v>
      </c>
      <c r="E4966" t="s">
        <v>15507</v>
      </c>
      <c r="F4966" t="s">
        <v>15560</v>
      </c>
      <c r="G4966" t="s">
        <v>16464</v>
      </c>
      <c r="H4966" t="str">
        <f>HYPERLINK("https://baanknet.com/view-property/284562/19D892A229D7638DFB6D91CF972187EF62A215F5EB4D158FA6F77D7D744AF180", "https://baanknet.com/view-property/284562/19D892A229D7638DFB6D91CF972187EF62A215F5EB4D158FA6F77D7D744AF180")</f>
        <v>https://baanknet.com/view-property/284562/19D892A229D7638DFB6D91CF972187EF62A215F5EB4D158FA6F77D7D744AF180</v>
      </c>
      <c r="I4966" t="str">
        <f>HYPERLINK("https://baanknet.com/view-property/284562/19D892A229D7638DFB6D91CF972187EF62A215F5EB4D158FA6F77D7D744AF180", "Open")</f>
        <v>Open</v>
      </c>
      <c r="J4966" t="s">
        <v>3803</v>
      </c>
      <c r="L4966">
        <v>3130000</v>
      </c>
      <c r="M4966">
        <v>313000</v>
      </c>
    </row>
    <row r="4967" spans="1:13" x14ac:dyDescent="0.25">
      <c r="A4967" t="s">
        <v>16465</v>
      </c>
      <c r="B4967" t="s">
        <v>16466</v>
      </c>
      <c r="C4967" t="s">
        <v>332</v>
      </c>
      <c r="D4967" t="s">
        <v>282</v>
      </c>
      <c r="E4967" t="s">
        <v>15507</v>
      </c>
      <c r="F4967" t="s">
        <v>15560</v>
      </c>
      <c r="G4967" t="s">
        <v>16467</v>
      </c>
      <c r="H4967" t="str">
        <f>HYPERLINK("https://baanknet.com/view-property/285274/736DEA48311E9F7A58588ABBD805E199B742C4427C62322C9FEF16728944F1C5", "https://baanknet.com/view-property/285274/736DEA48311E9F7A58588ABBD805E199B742C4427C62322C9FEF16728944F1C5")</f>
        <v>https://baanknet.com/view-property/285274/736DEA48311E9F7A58588ABBD805E199B742C4427C62322C9FEF16728944F1C5</v>
      </c>
      <c r="I4967" t="str">
        <f>HYPERLINK("https://baanknet.com/view-property/285274/736DEA48311E9F7A58588ABBD805E199B742C4427C62322C9FEF16728944F1C5", "Open")</f>
        <v>Open</v>
      </c>
      <c r="J4967" t="s">
        <v>3803</v>
      </c>
      <c r="L4967">
        <v>7850000</v>
      </c>
      <c r="M4967">
        <v>785000</v>
      </c>
    </row>
    <row r="4968" spans="1:13" x14ac:dyDescent="0.25">
      <c r="A4968" t="s">
        <v>16468</v>
      </c>
      <c r="B4968" t="s">
        <v>16469</v>
      </c>
      <c r="C4968" t="s">
        <v>332</v>
      </c>
      <c r="D4968" t="s">
        <v>518</v>
      </c>
      <c r="E4968" t="s">
        <v>15507</v>
      </c>
      <c r="F4968" t="s">
        <v>15560</v>
      </c>
      <c r="G4968" t="s">
        <v>16470</v>
      </c>
      <c r="H4968" t="str">
        <f>HYPERLINK("https://baanknet.com/view-property/141265/9F5926FE50500D4FCCE8FDD9128EF69FAE5484ECE5156C2397904D90826AB238", "https://baanknet.com/view-property/141265/9F5926FE50500D4FCCE8FDD9128EF69FAE5484ECE5156C2397904D90826AB238")</f>
        <v>https://baanknet.com/view-property/141265/9F5926FE50500D4FCCE8FDD9128EF69FAE5484ECE5156C2397904D90826AB238</v>
      </c>
      <c r="I4968" t="str">
        <f>HYPERLINK("https://baanknet.com/view-property/141265/9F5926FE50500D4FCCE8FDD9128EF69FAE5484ECE5156C2397904D90826AB238", "Open")</f>
        <v>Open</v>
      </c>
      <c r="J4968" t="s">
        <v>3803</v>
      </c>
      <c r="L4968">
        <v>3400000</v>
      </c>
      <c r="M4968">
        <v>340000</v>
      </c>
    </row>
    <row r="4969" spans="1:13" x14ac:dyDescent="0.25">
      <c r="A4969" t="s">
        <v>16471</v>
      </c>
      <c r="B4969" t="s">
        <v>16472</v>
      </c>
      <c r="C4969" t="s">
        <v>332</v>
      </c>
      <c r="D4969" t="s">
        <v>937</v>
      </c>
      <c r="E4969" t="s">
        <v>15507</v>
      </c>
      <c r="F4969" t="s">
        <v>15560</v>
      </c>
      <c r="G4969" t="s">
        <v>16473</v>
      </c>
      <c r="H4969" t="str">
        <f>HYPERLINK("https://baanknet.com/view-property/263239/989E24CB7EFC649B6C68D92EB0CBF6B383695CB589E03BD5884669559B340928", "https://baanknet.com/view-property/263239/989E24CB7EFC649B6C68D92EB0CBF6B383695CB589E03BD5884669559B340928")</f>
        <v>https://baanknet.com/view-property/263239/989E24CB7EFC649B6C68D92EB0CBF6B383695CB589E03BD5884669559B340928</v>
      </c>
      <c r="I4969" t="str">
        <f>HYPERLINK("https://baanknet.com/view-property/263239/989E24CB7EFC649B6C68D92EB0CBF6B383695CB589E03BD5884669559B340928", "Open")</f>
        <v>Open</v>
      </c>
      <c r="J4969" t="s">
        <v>3803</v>
      </c>
      <c r="L4969">
        <v>1900000</v>
      </c>
      <c r="M4969">
        <v>190000</v>
      </c>
    </row>
    <row r="4970" spans="1:13" x14ac:dyDescent="0.25">
      <c r="A4970" t="s">
        <v>16474</v>
      </c>
      <c r="B4970" t="s">
        <v>16475</v>
      </c>
      <c r="C4970" t="s">
        <v>121</v>
      </c>
      <c r="D4970" t="s">
        <v>3165</v>
      </c>
      <c r="E4970" t="s">
        <v>15507</v>
      </c>
      <c r="F4970" t="s">
        <v>15560</v>
      </c>
      <c r="G4970" t="s">
        <v>16476</v>
      </c>
      <c r="H4970" t="str">
        <f>HYPERLINK("https://baanknet.com/view-property/285915/5BF44E830D8A2D9F606344AC77605006B8039C5C25E2DAB33433D0F1C4BAC96D", "https://baanknet.com/view-property/285915/5BF44E830D8A2D9F606344AC77605006B8039C5C25E2DAB33433D0F1C4BAC96D")</f>
        <v>https://baanknet.com/view-property/285915/5BF44E830D8A2D9F606344AC77605006B8039C5C25E2DAB33433D0F1C4BAC96D</v>
      </c>
      <c r="I4970" t="str">
        <f>HYPERLINK("https://baanknet.com/view-property/285915/5BF44E830D8A2D9F606344AC77605006B8039C5C25E2DAB33433D0F1C4BAC96D", "Open")</f>
        <v>Open</v>
      </c>
      <c r="J4970" t="s">
        <v>3803</v>
      </c>
      <c r="L4970">
        <v>1273000</v>
      </c>
      <c r="M4970">
        <v>127300</v>
      </c>
    </row>
    <row r="4971" spans="1:13" x14ac:dyDescent="0.25">
      <c r="A4971" t="s">
        <v>16477</v>
      </c>
      <c r="B4971" t="s">
        <v>16478</v>
      </c>
      <c r="C4971" t="s">
        <v>121</v>
      </c>
      <c r="D4971" t="s">
        <v>3165</v>
      </c>
      <c r="E4971" t="s">
        <v>15507</v>
      </c>
      <c r="F4971" t="s">
        <v>15560</v>
      </c>
      <c r="G4971" t="s">
        <v>16479</v>
      </c>
      <c r="H4971" t="str">
        <f>HYPERLINK("https://baanknet.com/view-property/285910/92BD1F7FA034AD432DD1AA1274707FF6A28B16B6F998671F2928A6A067A6EF34", "https://baanknet.com/view-property/285910/92BD1F7FA034AD432DD1AA1274707FF6A28B16B6F998671F2928A6A067A6EF34")</f>
        <v>https://baanknet.com/view-property/285910/92BD1F7FA034AD432DD1AA1274707FF6A28B16B6F998671F2928A6A067A6EF34</v>
      </c>
      <c r="I4971" t="str">
        <f>HYPERLINK("https://baanknet.com/view-property/285910/92BD1F7FA034AD432DD1AA1274707FF6A28B16B6F998671F2928A6A067A6EF34", "Open")</f>
        <v>Open</v>
      </c>
      <c r="J4971" t="s">
        <v>3803</v>
      </c>
      <c r="L4971">
        <v>1359000</v>
      </c>
      <c r="M4971">
        <v>135900</v>
      </c>
    </row>
    <row r="4972" spans="1:13" x14ac:dyDescent="0.25">
      <c r="A4972" t="s">
        <v>16480</v>
      </c>
      <c r="B4972" t="s">
        <v>16481</v>
      </c>
      <c r="C4972" t="s">
        <v>121</v>
      </c>
      <c r="D4972" t="s">
        <v>1310</v>
      </c>
      <c r="E4972" t="s">
        <v>15507</v>
      </c>
      <c r="F4972" t="s">
        <v>15560</v>
      </c>
      <c r="G4972" t="s">
        <v>16482</v>
      </c>
      <c r="H4972" t="str">
        <f>HYPERLINK("https://baanknet.com/view-property/285755/60D4F413CC5FE0D3B78AED1C611AF1ED3F424AA34770ED21C1E887F6455489C0", "https://baanknet.com/view-property/285755/60D4F413CC5FE0D3B78AED1C611AF1ED3F424AA34770ED21C1E887F6455489C0")</f>
        <v>https://baanknet.com/view-property/285755/60D4F413CC5FE0D3B78AED1C611AF1ED3F424AA34770ED21C1E887F6455489C0</v>
      </c>
      <c r="I4972" t="str">
        <f>HYPERLINK("https://baanknet.com/view-property/285755/60D4F413CC5FE0D3B78AED1C611AF1ED3F424AA34770ED21C1E887F6455489C0", "Open")</f>
        <v>Open</v>
      </c>
      <c r="J4972" t="s">
        <v>3803</v>
      </c>
      <c r="L4972">
        <v>13500000</v>
      </c>
      <c r="M4972">
        <v>1350000</v>
      </c>
    </row>
    <row r="4973" spans="1:13" x14ac:dyDescent="0.25">
      <c r="A4973" t="s">
        <v>16483</v>
      </c>
      <c r="B4973" t="s">
        <v>16484</v>
      </c>
      <c r="C4973" t="s">
        <v>121</v>
      </c>
      <c r="D4973" t="s">
        <v>157</v>
      </c>
      <c r="E4973" t="s">
        <v>15507</v>
      </c>
      <c r="F4973" t="s">
        <v>15560</v>
      </c>
      <c r="G4973" t="s">
        <v>16485</v>
      </c>
      <c r="H4973" t="str">
        <f>HYPERLINK("https://baanknet.com/view-property/286085/CEFA1687CA652107F7A5D96BA088D392F336FBBA3F5DD2E3DE0675D8DB676CA1", "https://baanknet.com/view-property/286085/CEFA1687CA652107F7A5D96BA088D392F336FBBA3F5DD2E3DE0675D8DB676CA1")</f>
        <v>https://baanknet.com/view-property/286085/CEFA1687CA652107F7A5D96BA088D392F336FBBA3F5DD2E3DE0675D8DB676CA1</v>
      </c>
      <c r="I4973" t="str">
        <f>HYPERLINK("https://baanknet.com/view-property/286085/CEFA1687CA652107F7A5D96BA088D392F336FBBA3F5DD2E3DE0675D8DB676CA1", "Open")</f>
        <v>Open</v>
      </c>
      <c r="J4973" t="s">
        <v>3803</v>
      </c>
      <c r="L4973">
        <v>1490000</v>
      </c>
      <c r="M4973">
        <v>149000</v>
      </c>
    </row>
    <row r="4974" spans="1:13" x14ac:dyDescent="0.25">
      <c r="A4974" t="s">
        <v>16486</v>
      </c>
      <c r="B4974" t="s">
        <v>16487</v>
      </c>
      <c r="C4974" t="s">
        <v>332</v>
      </c>
      <c r="D4974" t="s">
        <v>3968</v>
      </c>
      <c r="E4974" t="s">
        <v>15507</v>
      </c>
      <c r="F4974" t="s">
        <v>15560</v>
      </c>
      <c r="G4974" t="s">
        <v>16488</v>
      </c>
      <c r="H4974" t="str">
        <f>HYPERLINK("https://baanknet.com/view-property/249515/709BBFCF6C55A2A69B0A280CF544A5E77F35288A33EF5051F002D641C0DAF76F", "https://baanknet.com/view-property/249515/709BBFCF6C55A2A69B0A280CF544A5E77F35288A33EF5051F002D641C0DAF76F")</f>
        <v>https://baanknet.com/view-property/249515/709BBFCF6C55A2A69B0A280CF544A5E77F35288A33EF5051F002D641C0DAF76F</v>
      </c>
      <c r="I4974" t="str">
        <f>HYPERLINK("https://baanknet.com/view-property/249515/709BBFCF6C55A2A69B0A280CF544A5E77F35288A33EF5051F002D641C0DAF76F", "Open")</f>
        <v>Open</v>
      </c>
      <c r="J4974" t="s">
        <v>3803</v>
      </c>
      <c r="L4974">
        <v>5674000</v>
      </c>
      <c r="M4974">
        <v>567400</v>
      </c>
    </row>
    <row r="4975" spans="1:13" x14ac:dyDescent="0.25">
      <c r="A4975" t="s">
        <v>16489</v>
      </c>
      <c r="B4975" t="s">
        <v>16490</v>
      </c>
      <c r="C4975" t="s">
        <v>332</v>
      </c>
      <c r="D4975" t="s">
        <v>102</v>
      </c>
      <c r="E4975" t="s">
        <v>15507</v>
      </c>
      <c r="F4975" t="s">
        <v>15560</v>
      </c>
      <c r="G4975" t="s">
        <v>16491</v>
      </c>
      <c r="H4975" t="str">
        <f>HYPERLINK("https://baanknet.com/view-property/262624/5E1BD4EA13EC6836F1E4528A7ED7441254E8AAD160A8412FAAD2197668296C99", "https://baanknet.com/view-property/262624/5E1BD4EA13EC6836F1E4528A7ED7441254E8AAD160A8412FAAD2197668296C99")</f>
        <v>https://baanknet.com/view-property/262624/5E1BD4EA13EC6836F1E4528A7ED7441254E8AAD160A8412FAAD2197668296C99</v>
      </c>
      <c r="I4975" t="str">
        <f>HYPERLINK("https://baanknet.com/view-property/262624/5E1BD4EA13EC6836F1E4528A7ED7441254E8AAD160A8412FAAD2197668296C99", "Open")</f>
        <v>Open</v>
      </c>
      <c r="J4975" t="s">
        <v>3803</v>
      </c>
      <c r="L4975">
        <v>2113000</v>
      </c>
      <c r="M4975">
        <v>211300</v>
      </c>
    </row>
    <row r="4976" spans="1:13" x14ac:dyDescent="0.25">
      <c r="A4976" t="s">
        <v>16492</v>
      </c>
      <c r="B4976" t="s">
        <v>16493</v>
      </c>
      <c r="C4976" t="s">
        <v>121</v>
      </c>
      <c r="D4976" t="s">
        <v>157</v>
      </c>
      <c r="E4976" t="s">
        <v>15507</v>
      </c>
      <c r="F4976" t="s">
        <v>15560</v>
      </c>
      <c r="G4976" t="s">
        <v>16494</v>
      </c>
      <c r="H4976" t="str">
        <f>HYPERLINK("https://baanknet.com/view-property/286095/5BA892C3D8062C8267B43F49C86CC9A9533A696CD2FF2892AB239BA066A04CBC", "https://baanknet.com/view-property/286095/5BA892C3D8062C8267B43F49C86CC9A9533A696CD2FF2892AB239BA066A04CBC")</f>
        <v>https://baanknet.com/view-property/286095/5BA892C3D8062C8267B43F49C86CC9A9533A696CD2FF2892AB239BA066A04CBC</v>
      </c>
      <c r="I4976" t="str">
        <f>HYPERLINK("https://baanknet.com/view-property/286095/5BA892C3D8062C8267B43F49C86CC9A9533A696CD2FF2892AB239BA066A04CBC", "Open")</f>
        <v>Open</v>
      </c>
      <c r="J4976" t="s">
        <v>3803</v>
      </c>
      <c r="L4976">
        <v>1390000</v>
      </c>
      <c r="M4976">
        <v>139000</v>
      </c>
    </row>
    <row r="4977" spans="1:13" x14ac:dyDescent="0.25">
      <c r="A4977" t="s">
        <v>16495</v>
      </c>
      <c r="B4977" t="s">
        <v>16496</v>
      </c>
      <c r="C4977" t="s">
        <v>332</v>
      </c>
      <c r="D4977" t="s">
        <v>9045</v>
      </c>
      <c r="E4977" t="s">
        <v>15507</v>
      </c>
      <c r="F4977" t="s">
        <v>15560</v>
      </c>
      <c r="G4977" t="s">
        <v>16497</v>
      </c>
      <c r="H4977" t="str">
        <f>HYPERLINK("https://baanknet.com/view-property/86878/2975786A15D005B793C80977F25C3B71C286222B54A5B59C9E5DFC6DE55B9F68", "https://baanknet.com/view-property/86878/2975786A15D005B793C80977F25C3B71C286222B54A5B59C9E5DFC6DE55B9F68")</f>
        <v>https://baanknet.com/view-property/86878/2975786A15D005B793C80977F25C3B71C286222B54A5B59C9E5DFC6DE55B9F68</v>
      </c>
      <c r="I4977" t="str">
        <f>HYPERLINK("https://baanknet.com/view-property/86878/2975786A15D005B793C80977F25C3B71C286222B54A5B59C9E5DFC6DE55B9F68", "Open")</f>
        <v>Open</v>
      </c>
      <c r="J4977" t="s">
        <v>3803</v>
      </c>
      <c r="L4977">
        <v>7500000</v>
      </c>
      <c r="M4977">
        <v>750000</v>
      </c>
    </row>
    <row r="4978" spans="1:13" x14ac:dyDescent="0.25">
      <c r="A4978" t="s">
        <v>16498</v>
      </c>
      <c r="B4978" t="s">
        <v>16499</v>
      </c>
      <c r="C4978" t="s">
        <v>121</v>
      </c>
      <c r="D4978" t="s">
        <v>153</v>
      </c>
      <c r="E4978" t="s">
        <v>15507</v>
      </c>
      <c r="F4978" t="s">
        <v>15560</v>
      </c>
      <c r="G4978" t="s">
        <v>16500</v>
      </c>
      <c r="H4978" t="str">
        <f>HYPERLINK("https://baanknet.com/view-property/285798/4CD565E17960B5D2DA12475DFDBADB0FF200D73A0D194BE8F537C75C93EA90C1", "https://baanknet.com/view-property/285798/4CD565E17960B5D2DA12475DFDBADB0FF200D73A0D194BE8F537C75C93EA90C1")</f>
        <v>https://baanknet.com/view-property/285798/4CD565E17960B5D2DA12475DFDBADB0FF200D73A0D194BE8F537C75C93EA90C1</v>
      </c>
      <c r="I4978" t="str">
        <f>HYPERLINK("https://baanknet.com/view-property/285798/4CD565E17960B5D2DA12475DFDBADB0FF200D73A0D194BE8F537C75C93EA90C1", "Open")</f>
        <v>Open</v>
      </c>
      <c r="J4978" t="s">
        <v>3803</v>
      </c>
      <c r="L4978">
        <v>1898000</v>
      </c>
      <c r="M4978">
        <v>189800</v>
      </c>
    </row>
    <row r="4979" spans="1:13" x14ac:dyDescent="0.25">
      <c r="A4979" t="s">
        <v>16501</v>
      </c>
      <c r="B4979" t="s">
        <v>16502</v>
      </c>
      <c r="C4979" t="s">
        <v>121</v>
      </c>
      <c r="D4979" t="s">
        <v>6034</v>
      </c>
      <c r="E4979" t="s">
        <v>15507</v>
      </c>
      <c r="F4979" t="s">
        <v>15560</v>
      </c>
      <c r="G4979" t="s">
        <v>16503</v>
      </c>
      <c r="H4979" t="str">
        <f>HYPERLINK("https://baanknet.com/view-property/286261/20D242A8E961B3C771A7DD84B58FBBA48F580489CED703E52163B2FE53BFABCD", "https://baanknet.com/view-property/286261/20D242A8E961B3C771A7DD84B58FBBA48F580489CED703E52163B2FE53BFABCD")</f>
        <v>https://baanknet.com/view-property/286261/20D242A8E961B3C771A7DD84B58FBBA48F580489CED703E52163B2FE53BFABCD</v>
      </c>
      <c r="I4979" t="str">
        <f>HYPERLINK("https://baanknet.com/view-property/286261/20D242A8E961B3C771A7DD84B58FBBA48F580489CED703E52163B2FE53BFABCD", "Open")</f>
        <v>Open</v>
      </c>
      <c r="J4979" t="s">
        <v>3803</v>
      </c>
      <c r="L4979">
        <v>2300000</v>
      </c>
      <c r="M4979">
        <v>230000</v>
      </c>
    </row>
    <row r="4980" spans="1:13" x14ac:dyDescent="0.25">
      <c r="A4980" t="s">
        <v>16504</v>
      </c>
      <c r="B4980" t="s">
        <v>16505</v>
      </c>
      <c r="C4980" t="s">
        <v>332</v>
      </c>
      <c r="D4980" t="s">
        <v>16506</v>
      </c>
      <c r="E4980" t="s">
        <v>15507</v>
      </c>
      <c r="F4980" t="s">
        <v>15560</v>
      </c>
      <c r="G4980" t="s">
        <v>16507</v>
      </c>
      <c r="H4980" t="str">
        <f>HYPERLINK("https://baanknet.com/view-property/285520/06E662C503C049AC724F10D20726B9C646B7D5D627FBF0CD87F6043AFC03E39C", "https://baanknet.com/view-property/285520/06E662C503C049AC724F10D20726B9C646B7D5D627FBF0CD87F6043AFC03E39C")</f>
        <v>https://baanknet.com/view-property/285520/06E662C503C049AC724F10D20726B9C646B7D5D627FBF0CD87F6043AFC03E39C</v>
      </c>
      <c r="I4980" t="str">
        <f>HYPERLINK("https://baanknet.com/view-property/285520/06E662C503C049AC724F10D20726B9C646B7D5D627FBF0CD87F6043AFC03E39C", "Open")</f>
        <v>Open</v>
      </c>
      <c r="J4980" t="s">
        <v>3803</v>
      </c>
      <c r="L4980">
        <v>2300000</v>
      </c>
      <c r="M4980">
        <v>230000</v>
      </c>
    </row>
    <row r="4981" spans="1:13" x14ac:dyDescent="0.25">
      <c r="A4981" t="s">
        <v>16508</v>
      </c>
      <c r="B4981" t="s">
        <v>16509</v>
      </c>
      <c r="C4981" t="s">
        <v>121</v>
      </c>
      <c r="D4981" t="s">
        <v>153</v>
      </c>
      <c r="E4981" t="s">
        <v>15507</v>
      </c>
      <c r="F4981" t="s">
        <v>15560</v>
      </c>
      <c r="G4981" t="s">
        <v>16510</v>
      </c>
      <c r="H4981" t="str">
        <f>HYPERLINK("https://baanknet.com/view-property/244908/CFFB2C9069EC74238FE07205B7FA8AB116A0F4A5D69DFAE28D35C41971C11996", "https://baanknet.com/view-property/244908/CFFB2C9069EC74238FE07205B7FA8AB116A0F4A5D69DFAE28D35C41971C11996")</f>
        <v>https://baanknet.com/view-property/244908/CFFB2C9069EC74238FE07205B7FA8AB116A0F4A5D69DFAE28D35C41971C11996</v>
      </c>
      <c r="I4981" t="str">
        <f>HYPERLINK("https://baanknet.com/view-property/244908/CFFB2C9069EC74238FE07205B7FA8AB116A0F4A5D69DFAE28D35C41971C11996", "Open")</f>
        <v>Open</v>
      </c>
      <c r="J4981" t="s">
        <v>3803</v>
      </c>
      <c r="L4981">
        <v>1822000</v>
      </c>
      <c r="M4981">
        <v>182200</v>
      </c>
    </row>
    <row r="4982" spans="1:13" x14ac:dyDescent="0.25">
      <c r="A4982" t="s">
        <v>16511</v>
      </c>
      <c r="B4982" t="s">
        <v>16512</v>
      </c>
      <c r="C4982" t="s">
        <v>121</v>
      </c>
      <c r="D4982" t="s">
        <v>6565</v>
      </c>
      <c r="E4982" t="s">
        <v>15507</v>
      </c>
      <c r="F4982" t="s">
        <v>15560</v>
      </c>
      <c r="G4982" t="s">
        <v>16513</v>
      </c>
      <c r="H4982" t="str">
        <f>HYPERLINK("https://baanknet.com/view-property/286526/FF8C8B762DE1A3C5BAA747D598A8B4DA9445B9B18081712E400B915483F49D5F", "https://baanknet.com/view-property/286526/FF8C8B762DE1A3C5BAA747D598A8B4DA9445B9B18081712E400B915483F49D5F")</f>
        <v>https://baanknet.com/view-property/286526/FF8C8B762DE1A3C5BAA747D598A8B4DA9445B9B18081712E400B915483F49D5F</v>
      </c>
      <c r="I4982" t="str">
        <f>HYPERLINK("https://baanknet.com/view-property/286526/FF8C8B762DE1A3C5BAA747D598A8B4DA9445B9B18081712E400B915483F49D5F", "Open")</f>
        <v>Open</v>
      </c>
      <c r="J4982" t="s">
        <v>3803</v>
      </c>
      <c r="L4982">
        <v>1338000</v>
      </c>
      <c r="M4982">
        <v>133800</v>
      </c>
    </row>
    <row r="4983" spans="1:13" x14ac:dyDescent="0.25">
      <c r="A4983" t="s">
        <v>16514</v>
      </c>
      <c r="B4983" t="s">
        <v>16515</v>
      </c>
      <c r="C4983" t="s">
        <v>571</v>
      </c>
      <c r="D4983" t="s">
        <v>3344</v>
      </c>
      <c r="E4983" t="s">
        <v>15507</v>
      </c>
      <c r="F4983" t="s">
        <v>15560</v>
      </c>
      <c r="G4983" t="s">
        <v>16516</v>
      </c>
      <c r="H4983" t="str">
        <f>HYPERLINK("https://baanknet.com/view-property/286571/63B38209F8A9D0FF69166131F7338DDBB9201221F0B8F1335A846B2D925B3918", "https://baanknet.com/view-property/286571/63B38209F8A9D0FF69166131F7338DDBB9201221F0B8F1335A846B2D925B3918")</f>
        <v>https://baanknet.com/view-property/286571/63B38209F8A9D0FF69166131F7338DDBB9201221F0B8F1335A846B2D925B3918</v>
      </c>
      <c r="I4983" t="str">
        <f>HYPERLINK("https://baanknet.com/view-property/286571/63B38209F8A9D0FF69166131F7338DDBB9201221F0B8F1335A846B2D925B3918", "Open")</f>
        <v>Open</v>
      </c>
      <c r="J4983" t="s">
        <v>3803</v>
      </c>
      <c r="L4983">
        <v>3615000</v>
      </c>
      <c r="M4983">
        <v>361500</v>
      </c>
    </row>
    <row r="4984" spans="1:13" x14ac:dyDescent="0.25">
      <c r="A4984" t="s">
        <v>16517</v>
      </c>
      <c r="B4984" t="s">
        <v>16518</v>
      </c>
      <c r="C4984" t="s">
        <v>571</v>
      </c>
      <c r="D4984" t="s">
        <v>374</v>
      </c>
      <c r="E4984" t="s">
        <v>15507</v>
      </c>
      <c r="F4984" t="s">
        <v>15560</v>
      </c>
      <c r="G4984" t="s">
        <v>16519</v>
      </c>
      <c r="H4984" t="str">
        <f>HYPERLINK("https://baanknet.com/view-property/122232/F24422452494A38ABABB9015B9876C363F8B33CFED040564BEED6DDA3DBBFB45", "https://baanknet.com/view-property/122232/F24422452494A38ABABB9015B9876C363F8B33CFED040564BEED6DDA3DBBFB45")</f>
        <v>https://baanknet.com/view-property/122232/F24422452494A38ABABB9015B9876C363F8B33CFED040564BEED6DDA3DBBFB45</v>
      </c>
      <c r="I4984" t="str">
        <f>HYPERLINK("https://baanknet.com/view-property/122232/F24422452494A38ABABB9015B9876C363F8B33CFED040564BEED6DDA3DBBFB45", "Open")</f>
        <v>Open</v>
      </c>
      <c r="J4984" t="s">
        <v>3803</v>
      </c>
      <c r="L4984">
        <v>1800000</v>
      </c>
      <c r="M4984">
        <v>180000</v>
      </c>
    </row>
    <row r="4985" spans="1:13" x14ac:dyDescent="0.25">
      <c r="A4985" t="s">
        <v>16520</v>
      </c>
      <c r="B4985" t="s">
        <v>16521</v>
      </c>
      <c r="C4985" t="s">
        <v>121</v>
      </c>
      <c r="D4985" t="s">
        <v>1277</v>
      </c>
      <c r="E4985" t="s">
        <v>15507</v>
      </c>
      <c r="F4985" t="s">
        <v>15560</v>
      </c>
      <c r="G4985" t="s">
        <v>16522</v>
      </c>
      <c r="H4985" t="str">
        <f>HYPERLINK("https://baanknet.com/view-property/179544/F444CB46D0A64D148B796A5B8B97E12A59C596E3EAE6039AEDDE513D8BA1648B", "https://baanknet.com/view-property/179544/F444CB46D0A64D148B796A5B8B97E12A59C596E3EAE6039AEDDE513D8BA1648B")</f>
        <v>https://baanknet.com/view-property/179544/F444CB46D0A64D148B796A5B8B97E12A59C596E3EAE6039AEDDE513D8BA1648B</v>
      </c>
      <c r="I4985" t="str">
        <f>HYPERLINK("https://baanknet.com/view-property/179544/F444CB46D0A64D148B796A5B8B97E12A59C596E3EAE6039AEDDE513D8BA1648B", "Open")</f>
        <v>Open</v>
      </c>
      <c r="J4985" t="s">
        <v>3803</v>
      </c>
      <c r="L4985">
        <v>1845000</v>
      </c>
      <c r="M4985">
        <v>184500</v>
      </c>
    </row>
    <row r="4986" spans="1:13" x14ac:dyDescent="0.25">
      <c r="A4986" t="s">
        <v>16523</v>
      </c>
      <c r="B4986" t="s">
        <v>16524</v>
      </c>
      <c r="C4986" t="s">
        <v>121</v>
      </c>
      <c r="D4986" t="s">
        <v>16525</v>
      </c>
      <c r="E4986" t="s">
        <v>15507</v>
      </c>
      <c r="F4986" t="s">
        <v>15560</v>
      </c>
      <c r="G4986" t="s">
        <v>16526</v>
      </c>
      <c r="H4986" t="str">
        <f>HYPERLINK("https://baanknet.com/view-property/282499/59EFDC85D4E90F822A7C0B2C0B5F6A716CA72AF685571DEE64D32DCAE5E5EC0B", "https://baanknet.com/view-property/282499/59EFDC85D4E90F822A7C0B2C0B5F6A716CA72AF685571DEE64D32DCAE5E5EC0B")</f>
        <v>https://baanknet.com/view-property/282499/59EFDC85D4E90F822A7C0B2C0B5F6A716CA72AF685571DEE64D32DCAE5E5EC0B</v>
      </c>
      <c r="I4986" t="str">
        <f>HYPERLINK("https://baanknet.com/view-property/282499/59EFDC85D4E90F822A7C0B2C0B5F6A716CA72AF685571DEE64D32DCAE5E5EC0B", "Open")</f>
        <v>Open</v>
      </c>
      <c r="J4986" t="s">
        <v>3803</v>
      </c>
      <c r="L4986">
        <v>12200000</v>
      </c>
      <c r="M4986">
        <v>1220000</v>
      </c>
    </row>
    <row r="4987" spans="1:13" x14ac:dyDescent="0.25">
      <c r="A4987" t="s">
        <v>16527</v>
      </c>
      <c r="B4987" t="s">
        <v>16528</v>
      </c>
      <c r="C4987" t="s">
        <v>121</v>
      </c>
      <c r="D4987" t="s">
        <v>16529</v>
      </c>
      <c r="E4987" t="s">
        <v>15507</v>
      </c>
      <c r="F4987" t="s">
        <v>15560</v>
      </c>
      <c r="G4987" t="s">
        <v>16530</v>
      </c>
      <c r="H4987" t="str">
        <f>HYPERLINK("https://baanknet.com/view-property/231435/A82D6D394F34DAA31E483DB6CFA37B6A4BD30CCA3542E459442196CCB98FECFE", "https://baanknet.com/view-property/231435/A82D6D394F34DAA31E483DB6CFA37B6A4BD30CCA3542E459442196CCB98FECFE")</f>
        <v>https://baanknet.com/view-property/231435/A82D6D394F34DAA31E483DB6CFA37B6A4BD30CCA3542E459442196CCB98FECFE</v>
      </c>
      <c r="I4987" t="str">
        <f>HYPERLINK("https://baanknet.com/view-property/231435/A82D6D394F34DAA31E483DB6CFA37B6A4BD30CCA3542E459442196CCB98FECFE", "Open")</f>
        <v>Open</v>
      </c>
      <c r="J4987" t="s">
        <v>3803</v>
      </c>
      <c r="L4987">
        <v>3500000</v>
      </c>
      <c r="M4987">
        <v>350000</v>
      </c>
    </row>
    <row r="4988" spans="1:13" x14ac:dyDescent="0.25">
      <c r="A4988" t="s">
        <v>16531</v>
      </c>
      <c r="B4988" t="s">
        <v>16532</v>
      </c>
      <c r="C4988" t="s">
        <v>121</v>
      </c>
      <c r="D4988" t="s">
        <v>16533</v>
      </c>
      <c r="E4988" t="s">
        <v>15507</v>
      </c>
      <c r="F4988" t="s">
        <v>15560</v>
      </c>
      <c r="G4988" t="s">
        <v>16534</v>
      </c>
      <c r="H4988" t="str">
        <f>HYPERLINK("https://baanknet.com/view-property/262180/5BAFFA890119B7C237474DE9845C5423D32B90894470C779160F52B12E0F8006", "https://baanknet.com/view-property/262180/5BAFFA890119B7C237474DE9845C5423D32B90894470C779160F52B12E0F8006")</f>
        <v>https://baanknet.com/view-property/262180/5BAFFA890119B7C237474DE9845C5423D32B90894470C779160F52B12E0F8006</v>
      </c>
      <c r="I4988" t="str">
        <f>HYPERLINK("https://baanknet.com/view-property/262180/5BAFFA890119B7C237474DE9845C5423D32B90894470C779160F52B12E0F8006", "Open")</f>
        <v>Open</v>
      </c>
      <c r="J4988" t="s">
        <v>3803</v>
      </c>
      <c r="L4988">
        <v>6610000</v>
      </c>
      <c r="M4988">
        <v>661000</v>
      </c>
    </row>
    <row r="4989" spans="1:13" x14ac:dyDescent="0.25">
      <c r="A4989" t="s">
        <v>16535</v>
      </c>
      <c r="B4989" t="s">
        <v>16536</v>
      </c>
      <c r="C4989" t="s">
        <v>121</v>
      </c>
      <c r="D4989" t="s">
        <v>16533</v>
      </c>
      <c r="E4989" t="s">
        <v>15507</v>
      </c>
      <c r="F4989" t="s">
        <v>15560</v>
      </c>
      <c r="G4989" t="s">
        <v>16537</v>
      </c>
      <c r="H4989" t="str">
        <f>HYPERLINK("https://baanknet.com/view-property/234433/BB5873C115D28A798E8AF9F7CE38BD70EA9241E13B262AD3A3BA738CCC57CAB5", "https://baanknet.com/view-property/234433/BB5873C115D28A798E8AF9F7CE38BD70EA9241E13B262AD3A3BA738CCC57CAB5")</f>
        <v>https://baanknet.com/view-property/234433/BB5873C115D28A798E8AF9F7CE38BD70EA9241E13B262AD3A3BA738CCC57CAB5</v>
      </c>
      <c r="I4989" t="str">
        <f>HYPERLINK("https://baanknet.com/view-property/234433/BB5873C115D28A798E8AF9F7CE38BD70EA9241E13B262AD3A3BA738CCC57CAB5", "Open")</f>
        <v>Open</v>
      </c>
      <c r="J4989" t="s">
        <v>3803</v>
      </c>
      <c r="L4989">
        <v>3380000</v>
      </c>
      <c r="M4989">
        <v>338000</v>
      </c>
    </row>
    <row r="4990" spans="1:13" x14ac:dyDescent="0.25">
      <c r="A4990" t="s">
        <v>16538</v>
      </c>
      <c r="B4990" t="s">
        <v>16539</v>
      </c>
      <c r="C4990" t="s">
        <v>121</v>
      </c>
      <c r="D4990" t="s">
        <v>9478</v>
      </c>
      <c r="E4990" t="s">
        <v>15507</v>
      </c>
      <c r="F4990" t="s">
        <v>15560</v>
      </c>
      <c r="G4990" t="s">
        <v>16540</v>
      </c>
      <c r="H4990" t="str">
        <f>HYPERLINK("https://baanknet.com/view-property/234313/D49AF4A0EBA9AF27E3497E8D44311156AB68DC361A90BF0604C1E75056350D92", "https://baanknet.com/view-property/234313/D49AF4A0EBA9AF27E3497E8D44311156AB68DC361A90BF0604C1E75056350D92")</f>
        <v>https://baanknet.com/view-property/234313/D49AF4A0EBA9AF27E3497E8D44311156AB68DC361A90BF0604C1E75056350D92</v>
      </c>
      <c r="I4990" t="str">
        <f>HYPERLINK("https://baanknet.com/view-property/234313/D49AF4A0EBA9AF27E3497E8D44311156AB68DC361A90BF0604C1E75056350D92", "Open")</f>
        <v>Open</v>
      </c>
      <c r="J4990" t="s">
        <v>3803</v>
      </c>
      <c r="L4990">
        <v>1800000</v>
      </c>
      <c r="M4990">
        <v>180000</v>
      </c>
    </row>
    <row r="4991" spans="1:13" x14ac:dyDescent="0.25">
      <c r="A4991" t="s">
        <v>16541</v>
      </c>
      <c r="B4991" t="s">
        <v>16542</v>
      </c>
      <c r="C4991" t="s">
        <v>121</v>
      </c>
      <c r="D4991" t="s">
        <v>9478</v>
      </c>
      <c r="E4991" t="s">
        <v>15507</v>
      </c>
      <c r="F4991" t="s">
        <v>15560</v>
      </c>
      <c r="G4991" t="s">
        <v>16543</v>
      </c>
      <c r="H4991" t="str">
        <f>HYPERLINK("https://baanknet.com/view-property/231374/8C0AE47BE5587E7295B77CDFA608DB5B8C655DE94C478ADD213C1EB7AE123618", "https://baanknet.com/view-property/231374/8C0AE47BE5587E7295B77CDFA608DB5B8C655DE94C478ADD213C1EB7AE123618")</f>
        <v>https://baanknet.com/view-property/231374/8C0AE47BE5587E7295B77CDFA608DB5B8C655DE94C478ADD213C1EB7AE123618</v>
      </c>
      <c r="I4991" t="str">
        <f>HYPERLINK("https://baanknet.com/view-property/231374/8C0AE47BE5587E7295B77CDFA608DB5B8C655DE94C478ADD213C1EB7AE123618", "Open")</f>
        <v>Open</v>
      </c>
      <c r="J4991" t="s">
        <v>3803</v>
      </c>
      <c r="L4991">
        <v>3700000</v>
      </c>
      <c r="M4991">
        <v>370000</v>
      </c>
    </row>
    <row r="4992" spans="1:13" x14ac:dyDescent="0.25">
      <c r="A4992" t="s">
        <v>16544</v>
      </c>
      <c r="B4992" t="s">
        <v>16545</v>
      </c>
      <c r="C4992" t="s">
        <v>121</v>
      </c>
      <c r="D4992" t="s">
        <v>9478</v>
      </c>
      <c r="E4992" t="s">
        <v>15507</v>
      </c>
      <c r="F4992" t="s">
        <v>15560</v>
      </c>
      <c r="G4992" t="s">
        <v>16546</v>
      </c>
      <c r="H4992" t="str">
        <f>HYPERLINK("https://baanknet.com/view-property/234312/5DA8CF03A1C6E41FB761DF21197B44E07609EB50FF3B4E17E034243B1E955397", "https://baanknet.com/view-property/234312/5DA8CF03A1C6E41FB761DF21197B44E07609EB50FF3B4E17E034243B1E955397")</f>
        <v>https://baanknet.com/view-property/234312/5DA8CF03A1C6E41FB761DF21197B44E07609EB50FF3B4E17E034243B1E955397</v>
      </c>
      <c r="I4992" t="str">
        <f>HYPERLINK("https://baanknet.com/view-property/234312/5DA8CF03A1C6E41FB761DF21197B44E07609EB50FF3B4E17E034243B1E955397", "Open")</f>
        <v>Open</v>
      </c>
      <c r="J4992" t="s">
        <v>3803</v>
      </c>
      <c r="L4992">
        <v>2600000</v>
      </c>
      <c r="M4992">
        <v>260000</v>
      </c>
    </row>
    <row r="4993" spans="1:13" x14ac:dyDescent="0.25">
      <c r="A4993" t="s">
        <v>16547</v>
      </c>
      <c r="B4993" t="s">
        <v>16548</v>
      </c>
      <c r="C4993" t="s">
        <v>121</v>
      </c>
      <c r="D4993" t="s">
        <v>15261</v>
      </c>
      <c r="E4993" t="s">
        <v>15507</v>
      </c>
      <c r="F4993" t="s">
        <v>15560</v>
      </c>
      <c r="G4993" t="s">
        <v>16549</v>
      </c>
      <c r="H4993" t="str">
        <f>HYPERLINK("https://baanknet.com/view-property/173808/5CC8BECC648CF51D20F91951B0EE8F6E6A4EB933B2B1615083906508CF2F38CF", "https://baanknet.com/view-property/173808/5CC8BECC648CF51D20F91951B0EE8F6E6A4EB933B2B1615083906508CF2F38CF")</f>
        <v>https://baanknet.com/view-property/173808/5CC8BECC648CF51D20F91951B0EE8F6E6A4EB933B2B1615083906508CF2F38CF</v>
      </c>
      <c r="I4993" t="str">
        <f>HYPERLINK("https://baanknet.com/view-property/173808/5CC8BECC648CF51D20F91951B0EE8F6E6A4EB933B2B1615083906508CF2F38CF", "Open")</f>
        <v>Open</v>
      </c>
      <c r="J4993" t="s">
        <v>3803</v>
      </c>
      <c r="L4993">
        <v>2800000</v>
      </c>
      <c r="M4993">
        <v>280000</v>
      </c>
    </row>
    <row r="4994" spans="1:13" x14ac:dyDescent="0.25">
      <c r="A4994" t="s">
        <v>16550</v>
      </c>
      <c r="B4994" t="s">
        <v>16551</v>
      </c>
      <c r="C4994" t="s">
        <v>121</v>
      </c>
      <c r="D4994" t="s">
        <v>16525</v>
      </c>
      <c r="E4994" t="s">
        <v>15507</v>
      </c>
      <c r="F4994" t="s">
        <v>15560</v>
      </c>
      <c r="G4994" t="s">
        <v>16552</v>
      </c>
      <c r="H4994" t="str">
        <f>HYPERLINK("https://baanknet.com/view-property/282497/25BBE718721B6328EC3BD18AF0F2E2CA4433E93A10988847601650DE3A31522B", "https://baanknet.com/view-property/282497/25BBE718721B6328EC3BD18AF0F2E2CA4433E93A10988847601650DE3A31522B")</f>
        <v>https://baanknet.com/view-property/282497/25BBE718721B6328EC3BD18AF0F2E2CA4433E93A10988847601650DE3A31522B</v>
      </c>
      <c r="I4994" t="str">
        <f>HYPERLINK("https://baanknet.com/view-property/282497/25BBE718721B6328EC3BD18AF0F2E2CA4433E93A10988847601650DE3A31522B", "Open")</f>
        <v>Open</v>
      </c>
      <c r="J4994" t="s">
        <v>3803</v>
      </c>
      <c r="L4994">
        <v>9000000</v>
      </c>
      <c r="M4994">
        <v>900000</v>
      </c>
    </row>
    <row r="4995" spans="1:13" x14ac:dyDescent="0.25">
      <c r="A4995" t="s">
        <v>16553</v>
      </c>
      <c r="B4995" t="s">
        <v>16554</v>
      </c>
      <c r="C4995" t="s">
        <v>121</v>
      </c>
      <c r="D4995" t="s">
        <v>16525</v>
      </c>
      <c r="E4995" t="s">
        <v>15507</v>
      </c>
      <c r="F4995" t="s">
        <v>15560</v>
      </c>
      <c r="G4995" t="s">
        <v>16555</v>
      </c>
      <c r="H4995" t="str">
        <f>HYPERLINK("https://baanknet.com/view-property/282491/7BFED335D98536ADE4BF0556122BD473016F0A757D46DA1911F9424513EA0E78", "https://baanknet.com/view-property/282491/7BFED335D98536ADE4BF0556122BD473016F0A757D46DA1911F9424513EA0E78")</f>
        <v>https://baanknet.com/view-property/282491/7BFED335D98536ADE4BF0556122BD473016F0A757D46DA1911F9424513EA0E78</v>
      </c>
      <c r="I4995" t="str">
        <f>HYPERLINK("https://baanknet.com/view-property/282491/7BFED335D98536ADE4BF0556122BD473016F0A757D46DA1911F9424513EA0E78", "Open")</f>
        <v>Open</v>
      </c>
      <c r="J4995" t="s">
        <v>3803</v>
      </c>
      <c r="L4995">
        <v>13300000</v>
      </c>
      <c r="M4995">
        <v>1330000</v>
      </c>
    </row>
    <row r="4996" spans="1:13" x14ac:dyDescent="0.25">
      <c r="A4996" t="s">
        <v>16556</v>
      </c>
      <c r="B4996" t="s">
        <v>16557</v>
      </c>
      <c r="C4996" t="s">
        <v>121</v>
      </c>
      <c r="D4996" t="s">
        <v>6034</v>
      </c>
      <c r="E4996" t="s">
        <v>15507</v>
      </c>
      <c r="F4996" t="s">
        <v>15560</v>
      </c>
      <c r="G4996" t="s">
        <v>16558</v>
      </c>
      <c r="H4996" t="str">
        <f>HYPERLINK("https://baanknet.com/view-property/271669/0DE48CFE0FCEEA35FBCC59B000439245011813F3A8696A80804F233F14F3C510", "https://baanknet.com/view-property/271669/0DE48CFE0FCEEA35FBCC59B000439245011813F3A8696A80804F233F14F3C510")</f>
        <v>https://baanknet.com/view-property/271669/0DE48CFE0FCEEA35FBCC59B000439245011813F3A8696A80804F233F14F3C510</v>
      </c>
      <c r="I4996" t="str">
        <f>HYPERLINK("https://baanknet.com/view-property/271669/0DE48CFE0FCEEA35FBCC59B000439245011813F3A8696A80804F233F14F3C510", "Open")</f>
        <v>Open</v>
      </c>
      <c r="J4996" t="s">
        <v>3803</v>
      </c>
      <c r="L4996">
        <v>1700000</v>
      </c>
      <c r="M4996">
        <v>170000</v>
      </c>
    </row>
    <row r="4997" spans="1:13" x14ac:dyDescent="0.25">
      <c r="A4997" t="s">
        <v>16559</v>
      </c>
      <c r="B4997" t="s">
        <v>16560</v>
      </c>
      <c r="C4997" t="s">
        <v>121</v>
      </c>
      <c r="D4997" t="s">
        <v>6034</v>
      </c>
      <c r="E4997" t="s">
        <v>15507</v>
      </c>
      <c r="F4997" t="s">
        <v>15560</v>
      </c>
      <c r="G4997" t="s">
        <v>16561</v>
      </c>
      <c r="H4997" t="str">
        <f>HYPERLINK("https://baanknet.com/view-property/271671/4080E17E329A1DBCA23D6D3C3F25B374856D58FAA0BB75D17D6A650AC430DB7E", "https://baanknet.com/view-property/271671/4080E17E329A1DBCA23D6D3C3F25B374856D58FAA0BB75D17D6A650AC430DB7E")</f>
        <v>https://baanknet.com/view-property/271671/4080E17E329A1DBCA23D6D3C3F25B374856D58FAA0BB75D17D6A650AC430DB7E</v>
      </c>
      <c r="I4997" t="str">
        <f>HYPERLINK("https://baanknet.com/view-property/271671/4080E17E329A1DBCA23D6D3C3F25B374856D58FAA0BB75D17D6A650AC430DB7E", "Open")</f>
        <v>Open</v>
      </c>
      <c r="J4997" t="s">
        <v>3803</v>
      </c>
      <c r="L4997">
        <v>1450000</v>
      </c>
      <c r="M4997">
        <v>145000</v>
      </c>
    </row>
    <row r="4998" spans="1:13" x14ac:dyDescent="0.25">
      <c r="A4998" t="s">
        <v>16562</v>
      </c>
      <c r="B4998" t="s">
        <v>16563</v>
      </c>
      <c r="C4998" t="s">
        <v>121</v>
      </c>
      <c r="D4998" t="s">
        <v>16564</v>
      </c>
      <c r="E4998" t="s">
        <v>15507</v>
      </c>
      <c r="F4998" t="s">
        <v>15560</v>
      </c>
      <c r="G4998" t="s">
        <v>16565</v>
      </c>
      <c r="H4998" t="str">
        <f>HYPERLINK("https://baanknet.com/view-property/233242/A556E66E4CB8092B6482A88D52FD02A4D96EE9CDC0FE96A3CEEB9EA511C4D077", "https://baanknet.com/view-property/233242/A556E66E4CB8092B6482A88D52FD02A4D96EE9CDC0FE96A3CEEB9EA511C4D077")</f>
        <v>https://baanknet.com/view-property/233242/A556E66E4CB8092B6482A88D52FD02A4D96EE9CDC0FE96A3CEEB9EA511C4D077</v>
      </c>
      <c r="I4998" t="str">
        <f>HYPERLINK("https://baanknet.com/view-property/233242/A556E66E4CB8092B6482A88D52FD02A4D96EE9CDC0FE96A3CEEB9EA511C4D077", "Open")</f>
        <v>Open</v>
      </c>
      <c r="J4998" t="s">
        <v>3803</v>
      </c>
      <c r="L4998">
        <v>2700000</v>
      </c>
      <c r="M4998">
        <v>270000</v>
      </c>
    </row>
    <row r="4999" spans="1:13" x14ac:dyDescent="0.25">
      <c r="A4999" t="s">
        <v>16566</v>
      </c>
      <c r="B4999" t="s">
        <v>16567</v>
      </c>
      <c r="C4999" t="s">
        <v>121</v>
      </c>
      <c r="D4999" t="s">
        <v>6034</v>
      </c>
      <c r="E4999" t="s">
        <v>15507</v>
      </c>
      <c r="F4999" t="s">
        <v>15560</v>
      </c>
      <c r="G4999" t="s">
        <v>16568</v>
      </c>
      <c r="H4999" t="str">
        <f>HYPERLINK("https://baanknet.com/view-property/271662/BBB6A6D6AA7B18B9425EBE2A17F4BE2ED99783E8B2BBC9AD64EE69DA85B77D01", "https://baanknet.com/view-property/271662/BBB6A6D6AA7B18B9425EBE2A17F4BE2ED99783E8B2BBC9AD64EE69DA85B77D01")</f>
        <v>https://baanknet.com/view-property/271662/BBB6A6D6AA7B18B9425EBE2A17F4BE2ED99783E8B2BBC9AD64EE69DA85B77D01</v>
      </c>
      <c r="I4999" t="str">
        <f>HYPERLINK("https://baanknet.com/view-property/271662/BBB6A6D6AA7B18B9425EBE2A17F4BE2ED99783E8B2BBC9AD64EE69DA85B77D01", "Open")</f>
        <v>Open</v>
      </c>
      <c r="J4999" t="s">
        <v>3803</v>
      </c>
      <c r="L4999">
        <v>2160000</v>
      </c>
      <c r="M4999">
        <v>216000</v>
      </c>
    </row>
    <row r="5000" spans="1:13" x14ac:dyDescent="0.25">
      <c r="A5000" t="s">
        <v>16569</v>
      </c>
      <c r="B5000" t="s">
        <v>16570</v>
      </c>
      <c r="C5000" t="s">
        <v>121</v>
      </c>
      <c r="D5000" t="s">
        <v>6034</v>
      </c>
      <c r="E5000" t="s">
        <v>15507</v>
      </c>
      <c r="F5000" t="s">
        <v>15560</v>
      </c>
      <c r="G5000" t="s">
        <v>16571</v>
      </c>
      <c r="H5000" t="str">
        <f>HYPERLINK("https://baanknet.com/view-property/173822/D324F1E198227A89667C28E6906D315F72FF2D8DB8B2988627C60C159C4CD257", "https://baanknet.com/view-property/173822/D324F1E198227A89667C28E6906D315F72FF2D8DB8B2988627C60C159C4CD257")</f>
        <v>https://baanknet.com/view-property/173822/D324F1E198227A89667C28E6906D315F72FF2D8DB8B2988627C60C159C4CD257</v>
      </c>
      <c r="I5000" t="str">
        <f>HYPERLINK("https://baanknet.com/view-property/173822/D324F1E198227A89667C28E6906D315F72FF2D8DB8B2988627C60C159C4CD257", "Open")</f>
        <v>Open</v>
      </c>
      <c r="J5000" t="s">
        <v>3803</v>
      </c>
      <c r="L5000">
        <v>3700000</v>
      </c>
      <c r="M5000">
        <v>370000</v>
      </c>
    </row>
    <row r="5001" spans="1:13" x14ac:dyDescent="0.25">
      <c r="A5001" t="s">
        <v>16572</v>
      </c>
      <c r="B5001" t="s">
        <v>16573</v>
      </c>
      <c r="C5001" t="s">
        <v>571</v>
      </c>
      <c r="D5001" t="s">
        <v>383</v>
      </c>
      <c r="E5001" t="s">
        <v>15507</v>
      </c>
      <c r="F5001" t="s">
        <v>15560</v>
      </c>
      <c r="G5001" t="s">
        <v>16574</v>
      </c>
      <c r="H5001" t="str">
        <f>HYPERLINK("https://baanknet.com/view-property/280500/C8310EB858ED0127B31F0B03381DC3293DC77BCABF6E75A672C91E44472E46C6", "https://baanknet.com/view-property/280500/C8310EB858ED0127B31F0B03381DC3293DC77BCABF6E75A672C91E44472E46C6")</f>
        <v>https://baanknet.com/view-property/280500/C8310EB858ED0127B31F0B03381DC3293DC77BCABF6E75A672C91E44472E46C6</v>
      </c>
      <c r="I5001" t="str">
        <f>HYPERLINK("https://baanknet.com/view-property/280500/C8310EB858ED0127B31F0B03381DC3293DC77BCABF6E75A672C91E44472E46C6", "Open")</f>
        <v>Open</v>
      </c>
      <c r="J5001" t="s">
        <v>3803</v>
      </c>
      <c r="L5001">
        <v>2700000</v>
      </c>
      <c r="M5001">
        <v>270000</v>
      </c>
    </row>
    <row r="5002" spans="1:13" x14ac:dyDescent="0.25">
      <c r="A5002" t="s">
        <v>16575</v>
      </c>
      <c r="B5002" t="s">
        <v>16576</v>
      </c>
      <c r="C5002" t="s">
        <v>121</v>
      </c>
      <c r="D5002" t="s">
        <v>4317</v>
      </c>
      <c r="E5002" t="s">
        <v>15507</v>
      </c>
      <c r="F5002" t="s">
        <v>15560</v>
      </c>
      <c r="G5002" t="s">
        <v>16577</v>
      </c>
      <c r="H5002" t="str">
        <f>HYPERLINK("https://baanknet.com/view-property/180219/350771556C909A686EC5849AE0F3D0B45D641243C2601818EDA1C1CB09E33A5F", "https://baanknet.com/view-property/180219/350771556C909A686EC5849AE0F3D0B45D641243C2601818EDA1C1CB09E33A5F")</f>
        <v>https://baanknet.com/view-property/180219/350771556C909A686EC5849AE0F3D0B45D641243C2601818EDA1C1CB09E33A5F</v>
      </c>
      <c r="I5002" t="str">
        <f>HYPERLINK("https://baanknet.com/view-property/180219/350771556C909A686EC5849AE0F3D0B45D641243C2601818EDA1C1CB09E33A5F", "Open")</f>
        <v>Open</v>
      </c>
      <c r="J5002" t="s">
        <v>3803</v>
      </c>
      <c r="L5002">
        <v>37406000</v>
      </c>
      <c r="M5002">
        <v>3740600</v>
      </c>
    </row>
    <row r="5003" spans="1:13" x14ac:dyDescent="0.25">
      <c r="A5003" t="s">
        <v>16578</v>
      </c>
      <c r="B5003" t="s">
        <v>16579</v>
      </c>
      <c r="C5003" t="s">
        <v>387</v>
      </c>
      <c r="D5003" t="s">
        <v>1488</v>
      </c>
      <c r="E5003" t="s">
        <v>15507</v>
      </c>
      <c r="F5003" t="s">
        <v>15560</v>
      </c>
      <c r="G5003" t="s">
        <v>16580</v>
      </c>
      <c r="H5003" t="str">
        <f>HYPERLINK("https://baanknet.com/view-property/255245/9EF8317A171A4E6C38E094528CB23CA52420B3A8F7487BF40C53C1FCD6D77531", "https://baanknet.com/view-property/255245/9EF8317A171A4E6C38E094528CB23CA52420B3A8F7487BF40C53C1FCD6D77531")</f>
        <v>https://baanknet.com/view-property/255245/9EF8317A171A4E6C38E094528CB23CA52420B3A8F7487BF40C53C1FCD6D77531</v>
      </c>
      <c r="I5003" t="str">
        <f>HYPERLINK("https://baanknet.com/view-property/255245/9EF8317A171A4E6C38E094528CB23CA52420B3A8F7487BF40C53C1FCD6D77531", "Open")</f>
        <v>Open</v>
      </c>
      <c r="J5003" t="s">
        <v>3803</v>
      </c>
      <c r="L5003">
        <v>1770000</v>
      </c>
      <c r="M5003">
        <v>177000</v>
      </c>
    </row>
    <row r="5004" spans="1:13" x14ac:dyDescent="0.25">
      <c r="A5004" t="s">
        <v>16581</v>
      </c>
      <c r="B5004" t="s">
        <v>16582</v>
      </c>
      <c r="C5004" t="s">
        <v>332</v>
      </c>
      <c r="D5004" t="s">
        <v>9495</v>
      </c>
      <c r="E5004" t="s">
        <v>15507</v>
      </c>
      <c r="F5004" t="s">
        <v>15560</v>
      </c>
      <c r="G5004" t="s">
        <v>16583</v>
      </c>
      <c r="H5004" t="str">
        <f>HYPERLINK("https://baanknet.com/view-property/278161/77014C1F05783B18FAFCF3493759577E3BB3055DE121AA7F561305AF08EDA8C9", "https://baanknet.com/view-property/278161/77014C1F05783B18FAFCF3493759577E3BB3055DE121AA7F561305AF08EDA8C9")</f>
        <v>https://baanknet.com/view-property/278161/77014C1F05783B18FAFCF3493759577E3BB3055DE121AA7F561305AF08EDA8C9</v>
      </c>
      <c r="I5004" t="str">
        <f>HYPERLINK("https://baanknet.com/view-property/278161/77014C1F05783B18FAFCF3493759577E3BB3055DE121AA7F561305AF08EDA8C9", "Open")</f>
        <v>Open</v>
      </c>
      <c r="J5004" t="s">
        <v>3803</v>
      </c>
      <c r="L5004">
        <v>100400000</v>
      </c>
      <c r="M5004">
        <v>10040000</v>
      </c>
    </row>
    <row r="5005" spans="1:13" x14ac:dyDescent="0.25">
      <c r="A5005" t="s">
        <v>16584</v>
      </c>
      <c r="B5005" t="s">
        <v>16585</v>
      </c>
      <c r="C5005" t="s">
        <v>332</v>
      </c>
      <c r="D5005" t="s">
        <v>324</v>
      </c>
      <c r="E5005" t="s">
        <v>15507</v>
      </c>
      <c r="F5005" t="s">
        <v>15560</v>
      </c>
      <c r="G5005" t="s">
        <v>16586</v>
      </c>
      <c r="H5005" t="str">
        <f>HYPERLINK("https://baanknet.com/view-property/278182/39AC66167AE74E12BCEFFBCA0885E19F61BC3818BFE1711982775D6E4446853D", "https://baanknet.com/view-property/278182/39AC66167AE74E12BCEFFBCA0885E19F61BC3818BFE1711982775D6E4446853D")</f>
        <v>https://baanknet.com/view-property/278182/39AC66167AE74E12BCEFFBCA0885E19F61BC3818BFE1711982775D6E4446853D</v>
      </c>
      <c r="I5005" t="str">
        <f>HYPERLINK("https://baanknet.com/view-property/278182/39AC66167AE74E12BCEFFBCA0885E19F61BC3818BFE1711982775D6E4446853D", "Open")</f>
        <v>Open</v>
      </c>
      <c r="J5005" t="s">
        <v>3803</v>
      </c>
      <c r="L5005">
        <v>19100000</v>
      </c>
      <c r="M5005">
        <v>1910000</v>
      </c>
    </row>
    <row r="5006" spans="1:13" x14ac:dyDescent="0.25">
      <c r="A5006" t="s">
        <v>16587</v>
      </c>
      <c r="B5006" t="s">
        <v>16588</v>
      </c>
      <c r="C5006" t="s">
        <v>332</v>
      </c>
      <c r="D5006" t="s">
        <v>907</v>
      </c>
      <c r="E5006" t="s">
        <v>15507</v>
      </c>
      <c r="F5006" t="s">
        <v>15560</v>
      </c>
      <c r="G5006" t="s">
        <v>16589</v>
      </c>
      <c r="H5006" t="str">
        <f>HYPERLINK("https://baanknet.com/view-property/3325/BF593289E7E29D18A8EB1AED50913CF5CE6110F043248B75B6047723D672150C", "https://baanknet.com/view-property/3325/BF593289E7E29D18A8EB1AED50913CF5CE6110F043248B75B6047723D672150C")</f>
        <v>https://baanknet.com/view-property/3325/BF593289E7E29D18A8EB1AED50913CF5CE6110F043248B75B6047723D672150C</v>
      </c>
      <c r="I5006" t="str">
        <f>HYPERLINK("https://baanknet.com/view-property/3325/BF593289E7E29D18A8EB1AED50913CF5CE6110F043248B75B6047723D672150C", "Open")</f>
        <v>Open</v>
      </c>
      <c r="J5006" t="s">
        <v>3803</v>
      </c>
      <c r="L5006">
        <v>17500000</v>
      </c>
      <c r="M5006">
        <v>1750000</v>
      </c>
    </row>
    <row r="5007" spans="1:13" x14ac:dyDescent="0.25">
      <c r="A5007" t="s">
        <v>16590</v>
      </c>
      <c r="B5007" t="s">
        <v>16591</v>
      </c>
      <c r="C5007" t="s">
        <v>121</v>
      </c>
      <c r="D5007" t="s">
        <v>10573</v>
      </c>
      <c r="E5007" t="s">
        <v>15507</v>
      </c>
      <c r="F5007" t="s">
        <v>15560</v>
      </c>
      <c r="G5007" t="s">
        <v>16592</v>
      </c>
      <c r="H5007" t="str">
        <f>HYPERLINK("https://baanknet.com/view-property/255328/1EB020B17FDB1EB4757A3FF1010EE0DCD8172F4E49E786A1EF3C9C02893EF3A0", "https://baanknet.com/view-property/255328/1EB020B17FDB1EB4757A3FF1010EE0DCD8172F4E49E786A1EF3C9C02893EF3A0")</f>
        <v>https://baanknet.com/view-property/255328/1EB020B17FDB1EB4757A3FF1010EE0DCD8172F4E49E786A1EF3C9C02893EF3A0</v>
      </c>
      <c r="I5007" t="str">
        <f>HYPERLINK("https://baanknet.com/view-property/255328/1EB020B17FDB1EB4757A3FF1010EE0DCD8172F4E49E786A1EF3C9C02893EF3A0", "Open")</f>
        <v>Open</v>
      </c>
      <c r="J5007" t="s">
        <v>3803</v>
      </c>
      <c r="L5007">
        <v>1569000</v>
      </c>
      <c r="M5007">
        <v>156900</v>
      </c>
    </row>
    <row r="5008" spans="1:13" x14ac:dyDescent="0.25">
      <c r="A5008" t="s">
        <v>16593</v>
      </c>
      <c r="B5008" t="s">
        <v>16594</v>
      </c>
      <c r="C5008" t="s">
        <v>121</v>
      </c>
      <c r="D5008" t="s">
        <v>1051</v>
      </c>
      <c r="E5008" t="s">
        <v>15507</v>
      </c>
      <c r="F5008" t="s">
        <v>15560</v>
      </c>
      <c r="G5008" t="s">
        <v>16595</v>
      </c>
      <c r="H5008" t="str">
        <f>HYPERLINK("https://baanknet.com/view-property/175978/D8A5FA1781219D3BA60AFDB45B92FB50251C24603238A814486F4245B9D4FDAA", "https://baanknet.com/view-property/175978/D8A5FA1781219D3BA60AFDB45B92FB50251C24603238A814486F4245B9D4FDAA")</f>
        <v>https://baanknet.com/view-property/175978/D8A5FA1781219D3BA60AFDB45B92FB50251C24603238A814486F4245B9D4FDAA</v>
      </c>
      <c r="I5008" t="str">
        <f>HYPERLINK("https://baanknet.com/view-property/175978/D8A5FA1781219D3BA60AFDB45B92FB50251C24603238A814486F4245B9D4FDAA", "Open")</f>
        <v>Open</v>
      </c>
      <c r="J5008" t="s">
        <v>3803</v>
      </c>
      <c r="L5008">
        <v>9578000</v>
      </c>
      <c r="M5008">
        <v>957800</v>
      </c>
    </row>
    <row r="5009" spans="1:13" x14ac:dyDescent="0.25">
      <c r="A5009" t="s">
        <v>16596</v>
      </c>
      <c r="B5009" t="s">
        <v>16597</v>
      </c>
      <c r="C5009" t="s">
        <v>121</v>
      </c>
      <c r="D5009" t="s">
        <v>1051</v>
      </c>
      <c r="E5009" t="s">
        <v>15507</v>
      </c>
      <c r="F5009" t="s">
        <v>15560</v>
      </c>
      <c r="G5009" t="s">
        <v>16598</v>
      </c>
      <c r="H5009" t="str">
        <f>HYPERLINK("https://baanknet.com/view-property/185689/F4F354D7E2A11573BC4ECE50C8617432C6D7D69439F5ACDDAE23790A457FD1D6", "https://baanknet.com/view-property/185689/F4F354D7E2A11573BC4ECE50C8617432C6D7D69439F5ACDDAE23790A457FD1D6")</f>
        <v>https://baanknet.com/view-property/185689/F4F354D7E2A11573BC4ECE50C8617432C6D7D69439F5ACDDAE23790A457FD1D6</v>
      </c>
      <c r="I5009" t="str">
        <f>HYPERLINK("https://baanknet.com/view-property/185689/F4F354D7E2A11573BC4ECE50C8617432C6D7D69439F5ACDDAE23790A457FD1D6", "Open")</f>
        <v>Open</v>
      </c>
      <c r="J5009" t="s">
        <v>3803</v>
      </c>
      <c r="L5009">
        <v>12094000</v>
      </c>
      <c r="M5009">
        <v>1209400</v>
      </c>
    </row>
    <row r="5010" spans="1:13" x14ac:dyDescent="0.25">
      <c r="A5010" t="s">
        <v>16599</v>
      </c>
      <c r="B5010" t="s">
        <v>16600</v>
      </c>
      <c r="C5010" t="s">
        <v>121</v>
      </c>
      <c r="D5010" t="s">
        <v>706</v>
      </c>
      <c r="E5010" t="s">
        <v>15507</v>
      </c>
      <c r="F5010" t="s">
        <v>15560</v>
      </c>
      <c r="G5010" t="s">
        <v>16601</v>
      </c>
      <c r="H5010" t="str">
        <f>HYPERLINK("https://baanknet.com/view-property/185937/9F37F5481327AD343B5510F28C0ED49AFF8D3C6062C3EBAEC11F8709E5B604B7", "https://baanknet.com/view-property/185937/9F37F5481327AD343B5510F28C0ED49AFF8D3C6062C3EBAEC11F8709E5B604B7")</f>
        <v>https://baanknet.com/view-property/185937/9F37F5481327AD343B5510F28C0ED49AFF8D3C6062C3EBAEC11F8709E5B604B7</v>
      </c>
      <c r="I5010" t="str">
        <f>HYPERLINK("https://baanknet.com/view-property/185937/9F37F5481327AD343B5510F28C0ED49AFF8D3C6062C3EBAEC11F8709E5B604B7", "Open")</f>
        <v>Open</v>
      </c>
      <c r="J5010" t="s">
        <v>3803</v>
      </c>
      <c r="L5010">
        <v>2034000</v>
      </c>
      <c r="M5010">
        <v>203400</v>
      </c>
    </row>
    <row r="5011" spans="1:13" x14ac:dyDescent="0.25">
      <c r="A5011" t="s">
        <v>16602</v>
      </c>
      <c r="B5011" t="s">
        <v>16603</v>
      </c>
      <c r="C5011" t="s">
        <v>121</v>
      </c>
      <c r="D5011" t="s">
        <v>553</v>
      </c>
      <c r="E5011" t="s">
        <v>15507</v>
      </c>
      <c r="F5011" t="s">
        <v>15560</v>
      </c>
      <c r="G5011" t="s">
        <v>16604</v>
      </c>
      <c r="H5011" t="str">
        <f>HYPERLINK("https://baanknet.com/view-property/266158/5E3E3443FBEA1E762B2F0142F6307F065C6448E01B6853208CA67DE35F337664", "https://baanknet.com/view-property/266158/5E3E3443FBEA1E762B2F0142F6307F065C6448E01B6853208CA67DE35F337664")</f>
        <v>https://baanknet.com/view-property/266158/5E3E3443FBEA1E762B2F0142F6307F065C6448E01B6853208CA67DE35F337664</v>
      </c>
      <c r="I5011" t="str">
        <f>HYPERLINK("https://baanknet.com/view-property/266158/5E3E3443FBEA1E762B2F0142F6307F065C6448E01B6853208CA67DE35F337664", "Open")</f>
        <v>Open</v>
      </c>
      <c r="J5011" t="s">
        <v>3803</v>
      </c>
      <c r="L5011">
        <v>2100000</v>
      </c>
      <c r="M5011">
        <v>210000</v>
      </c>
    </row>
    <row r="5012" spans="1:13" x14ac:dyDescent="0.25">
      <c r="A5012" t="s">
        <v>16605</v>
      </c>
      <c r="B5012" t="s">
        <v>16606</v>
      </c>
      <c r="C5012" t="s">
        <v>121</v>
      </c>
      <c r="D5012" t="s">
        <v>1481</v>
      </c>
      <c r="E5012" t="s">
        <v>15507</v>
      </c>
      <c r="F5012" t="s">
        <v>15560</v>
      </c>
      <c r="G5012" t="s">
        <v>16607</v>
      </c>
      <c r="H5012" t="str">
        <f>HYPERLINK("https://baanknet.com/view-property/177985/9FE7FE6FAC061732A85F723C1F64106222937A36A7C66CAA38889FB67E14672F", "https://baanknet.com/view-property/177985/9FE7FE6FAC061732A85F723C1F64106222937A36A7C66CAA38889FB67E14672F")</f>
        <v>https://baanknet.com/view-property/177985/9FE7FE6FAC061732A85F723C1F64106222937A36A7C66CAA38889FB67E14672F</v>
      </c>
      <c r="I5012" t="str">
        <f>HYPERLINK("https://baanknet.com/view-property/177985/9FE7FE6FAC061732A85F723C1F64106222937A36A7C66CAA38889FB67E14672F", "Open")</f>
        <v>Open</v>
      </c>
      <c r="J5012" t="s">
        <v>3803</v>
      </c>
      <c r="L5012">
        <v>4600000</v>
      </c>
      <c r="M5012">
        <v>460000</v>
      </c>
    </row>
    <row r="5013" spans="1:13" x14ac:dyDescent="0.25">
      <c r="A5013" t="s">
        <v>16608</v>
      </c>
      <c r="B5013" t="s">
        <v>16609</v>
      </c>
      <c r="C5013" t="s">
        <v>121</v>
      </c>
      <c r="D5013" t="s">
        <v>706</v>
      </c>
      <c r="E5013" t="s">
        <v>15507</v>
      </c>
      <c r="F5013" t="s">
        <v>15560</v>
      </c>
      <c r="G5013" t="s">
        <v>16610</v>
      </c>
      <c r="H5013" t="str">
        <f>HYPERLINK("https://baanknet.com/view-property/179551/14A9FD4A6AC01896D01F1A6FD59FCC3FDC0970A0C67F6688BF440AB9B6BB65CC", "https://baanknet.com/view-property/179551/14A9FD4A6AC01896D01F1A6FD59FCC3FDC0970A0C67F6688BF440AB9B6BB65CC")</f>
        <v>https://baanknet.com/view-property/179551/14A9FD4A6AC01896D01F1A6FD59FCC3FDC0970A0C67F6688BF440AB9B6BB65CC</v>
      </c>
      <c r="I5013" t="str">
        <f>HYPERLINK("https://baanknet.com/view-property/179551/14A9FD4A6AC01896D01F1A6FD59FCC3FDC0970A0C67F6688BF440AB9B6BB65CC", "Open")</f>
        <v>Open</v>
      </c>
      <c r="J5013" t="s">
        <v>3803</v>
      </c>
      <c r="L5013">
        <v>3846000</v>
      </c>
      <c r="M5013">
        <v>384600</v>
      </c>
    </row>
    <row r="5014" spans="1:13" x14ac:dyDescent="0.25">
      <c r="A5014" t="s">
        <v>16611</v>
      </c>
      <c r="B5014" t="s">
        <v>16612</v>
      </c>
      <c r="C5014" t="s">
        <v>121</v>
      </c>
      <c r="D5014" t="s">
        <v>553</v>
      </c>
      <c r="E5014" t="s">
        <v>15507</v>
      </c>
      <c r="F5014" t="s">
        <v>15560</v>
      </c>
      <c r="G5014" t="s">
        <v>16613</v>
      </c>
      <c r="H5014" t="str">
        <f>HYPERLINK("https://baanknet.com/view-property/266143/257C0B3C9B46739574E8EA323C37AD9EB52E08B49AE73B4ABD22884B46199F8B", "https://baanknet.com/view-property/266143/257C0B3C9B46739574E8EA323C37AD9EB52E08B49AE73B4ABD22884B46199F8B")</f>
        <v>https://baanknet.com/view-property/266143/257C0B3C9B46739574E8EA323C37AD9EB52E08B49AE73B4ABD22884B46199F8B</v>
      </c>
      <c r="I5014" t="str">
        <f>HYPERLINK("https://baanknet.com/view-property/266143/257C0B3C9B46739574E8EA323C37AD9EB52E08B49AE73B4ABD22884B46199F8B", "Open")</f>
        <v>Open</v>
      </c>
      <c r="J5014" t="s">
        <v>3803</v>
      </c>
      <c r="L5014">
        <v>5940000</v>
      </c>
      <c r="M5014">
        <v>594000</v>
      </c>
    </row>
    <row r="5015" spans="1:13" x14ac:dyDescent="0.25">
      <c r="A5015" t="s">
        <v>16614</v>
      </c>
      <c r="B5015" t="s">
        <v>16615</v>
      </c>
      <c r="C5015" t="s">
        <v>121</v>
      </c>
      <c r="D5015" t="s">
        <v>1300</v>
      </c>
      <c r="E5015" t="s">
        <v>15507</v>
      </c>
      <c r="F5015" t="s">
        <v>15560</v>
      </c>
      <c r="G5015" t="s">
        <v>16616</v>
      </c>
      <c r="H5015" t="str">
        <f>HYPERLINK("https://baanknet.com/view-property/185938/40C2038ACC6BDFC8E8D2F9BC55DC866DF2F3A31DD97DD709A49CB401FDB67640", "https://baanknet.com/view-property/185938/40C2038ACC6BDFC8E8D2F9BC55DC866DF2F3A31DD97DD709A49CB401FDB67640")</f>
        <v>https://baanknet.com/view-property/185938/40C2038ACC6BDFC8E8D2F9BC55DC866DF2F3A31DD97DD709A49CB401FDB67640</v>
      </c>
      <c r="I5015" t="str">
        <f>HYPERLINK("https://baanknet.com/view-property/185938/40C2038ACC6BDFC8E8D2F9BC55DC866DF2F3A31DD97DD709A49CB401FDB67640", "Open")</f>
        <v>Open</v>
      </c>
      <c r="J5015" t="s">
        <v>3803</v>
      </c>
      <c r="L5015">
        <v>5875000</v>
      </c>
      <c r="M5015">
        <v>587500</v>
      </c>
    </row>
    <row r="5016" spans="1:13" x14ac:dyDescent="0.25">
      <c r="A5016" t="s">
        <v>16617</v>
      </c>
      <c r="B5016" t="s">
        <v>16618</v>
      </c>
      <c r="C5016" t="s">
        <v>121</v>
      </c>
      <c r="D5016" t="s">
        <v>1300</v>
      </c>
      <c r="E5016" t="s">
        <v>15507</v>
      </c>
      <c r="F5016" t="s">
        <v>15560</v>
      </c>
      <c r="G5016" t="s">
        <v>16619</v>
      </c>
      <c r="H5016" t="str">
        <f>HYPERLINK("https://baanknet.com/view-property/172391/0ED8894402AF627D3F6779CFFEF517E4B7CDE09EB9520B3F053275E9BAC7BB4F", "https://baanknet.com/view-property/172391/0ED8894402AF627D3F6779CFFEF517E4B7CDE09EB9520B3F053275E9BAC7BB4F")</f>
        <v>https://baanknet.com/view-property/172391/0ED8894402AF627D3F6779CFFEF517E4B7CDE09EB9520B3F053275E9BAC7BB4F</v>
      </c>
      <c r="I5016" t="str">
        <f>HYPERLINK("https://baanknet.com/view-property/172391/0ED8894402AF627D3F6779CFFEF517E4B7CDE09EB9520B3F053275E9BAC7BB4F", "Open")</f>
        <v>Open</v>
      </c>
      <c r="J5016" t="s">
        <v>3803</v>
      </c>
      <c r="L5016">
        <v>4100000</v>
      </c>
      <c r="M5016">
        <v>410000</v>
      </c>
    </row>
    <row r="5017" spans="1:13" x14ac:dyDescent="0.25">
      <c r="A5017" t="s">
        <v>16620</v>
      </c>
      <c r="B5017" t="s">
        <v>16621</v>
      </c>
      <c r="C5017" t="s">
        <v>121</v>
      </c>
      <c r="D5017" t="s">
        <v>1481</v>
      </c>
      <c r="E5017" t="s">
        <v>15507</v>
      </c>
      <c r="F5017" t="s">
        <v>15560</v>
      </c>
      <c r="G5017" t="s">
        <v>16622</v>
      </c>
      <c r="H5017" t="str">
        <f>HYPERLINK("https://baanknet.com/view-property/185608/8692D0F1B4E82079A4B275E716167B26B707E999788583DA7D8114E93475529E", "https://baanknet.com/view-property/185608/8692D0F1B4E82079A4B275E716167B26B707E999788583DA7D8114E93475529E")</f>
        <v>https://baanknet.com/view-property/185608/8692D0F1B4E82079A4B275E716167B26B707E999788583DA7D8114E93475529E</v>
      </c>
      <c r="I5017" t="str">
        <f>HYPERLINK("https://baanknet.com/view-property/185608/8692D0F1B4E82079A4B275E716167B26B707E999788583DA7D8114E93475529E", "Open")</f>
        <v>Open</v>
      </c>
      <c r="J5017" t="s">
        <v>3803</v>
      </c>
      <c r="L5017">
        <v>2950000</v>
      </c>
      <c r="M5017">
        <v>295000</v>
      </c>
    </row>
    <row r="5018" spans="1:13" x14ac:dyDescent="0.25">
      <c r="A5018" t="s">
        <v>16623</v>
      </c>
      <c r="B5018" t="s">
        <v>16624</v>
      </c>
      <c r="C5018" t="s">
        <v>121</v>
      </c>
      <c r="D5018" t="s">
        <v>16625</v>
      </c>
      <c r="E5018" t="s">
        <v>15507</v>
      </c>
      <c r="F5018" t="s">
        <v>15560</v>
      </c>
      <c r="G5018" t="s">
        <v>16626</v>
      </c>
      <c r="H5018" t="str">
        <f>HYPERLINK("https://baanknet.com/view-property/274879/3547FD4FA34DCEAB8FD6336C5E3A48DC307D0147B830778579690B7E43A6C4A8", "https://baanknet.com/view-property/274879/3547FD4FA34DCEAB8FD6336C5E3A48DC307D0147B830778579690B7E43A6C4A8")</f>
        <v>https://baanknet.com/view-property/274879/3547FD4FA34DCEAB8FD6336C5E3A48DC307D0147B830778579690B7E43A6C4A8</v>
      </c>
      <c r="I5018" t="str">
        <f>HYPERLINK("https://baanknet.com/view-property/274879/3547FD4FA34DCEAB8FD6336C5E3A48DC307D0147B830778579690B7E43A6C4A8", "Open")</f>
        <v>Open</v>
      </c>
      <c r="J5018" t="s">
        <v>3803</v>
      </c>
      <c r="L5018">
        <v>3400000</v>
      </c>
      <c r="M5018">
        <v>340000</v>
      </c>
    </row>
    <row r="5019" spans="1:13" x14ac:dyDescent="0.25">
      <c r="A5019" t="s">
        <v>16627</v>
      </c>
      <c r="B5019" t="s">
        <v>16628</v>
      </c>
      <c r="C5019" t="s">
        <v>121</v>
      </c>
      <c r="D5019" t="s">
        <v>1481</v>
      </c>
      <c r="E5019" t="s">
        <v>15507</v>
      </c>
      <c r="F5019" t="s">
        <v>15560</v>
      </c>
      <c r="G5019" t="s">
        <v>16629</v>
      </c>
      <c r="H5019" t="str">
        <f>HYPERLINK("https://baanknet.com/view-property/173863/BFAF81D347B3EC5606D91AD26CA65E7DC6DD624A4D646D02329626190B57D8A1", "https://baanknet.com/view-property/173863/BFAF81D347B3EC5606D91AD26CA65E7DC6DD624A4D646D02329626190B57D8A1")</f>
        <v>https://baanknet.com/view-property/173863/BFAF81D347B3EC5606D91AD26CA65E7DC6DD624A4D646D02329626190B57D8A1</v>
      </c>
      <c r="I5019" t="str">
        <f>HYPERLINK("https://baanknet.com/view-property/173863/BFAF81D347B3EC5606D91AD26CA65E7DC6DD624A4D646D02329626190B57D8A1", "Open")</f>
        <v>Open</v>
      </c>
      <c r="J5019" t="s">
        <v>3803</v>
      </c>
      <c r="L5019">
        <v>1828000</v>
      </c>
      <c r="M5019">
        <v>182800</v>
      </c>
    </row>
    <row r="5020" spans="1:13" x14ac:dyDescent="0.25">
      <c r="A5020" t="s">
        <v>16630</v>
      </c>
      <c r="B5020" t="s">
        <v>16631</v>
      </c>
      <c r="C5020" t="s">
        <v>121</v>
      </c>
      <c r="D5020" t="s">
        <v>1277</v>
      </c>
      <c r="E5020" t="s">
        <v>15507</v>
      </c>
      <c r="F5020" t="s">
        <v>15560</v>
      </c>
      <c r="G5020" t="s">
        <v>16632</v>
      </c>
      <c r="H5020" t="str">
        <f>HYPERLINK("https://baanknet.com/view-property/184513/4CA09364DFF17ADFA6AEF5351AA161128C24FBD5CF603D5D7957BD759BBCF5DD", "https://baanknet.com/view-property/184513/4CA09364DFF17ADFA6AEF5351AA161128C24FBD5CF603D5D7957BD759BBCF5DD")</f>
        <v>https://baanknet.com/view-property/184513/4CA09364DFF17ADFA6AEF5351AA161128C24FBD5CF603D5D7957BD759BBCF5DD</v>
      </c>
      <c r="I5020" t="str">
        <f>HYPERLINK("https://baanknet.com/view-property/184513/4CA09364DFF17ADFA6AEF5351AA161128C24FBD5CF603D5D7957BD759BBCF5DD", "Open")</f>
        <v>Open</v>
      </c>
      <c r="J5020" t="s">
        <v>3803</v>
      </c>
      <c r="L5020">
        <v>3690000</v>
      </c>
      <c r="M5020">
        <v>369000</v>
      </c>
    </row>
    <row r="5021" spans="1:13" x14ac:dyDescent="0.25">
      <c r="A5021" t="s">
        <v>16633</v>
      </c>
      <c r="B5021" t="s">
        <v>16634</v>
      </c>
      <c r="C5021" t="s">
        <v>121</v>
      </c>
      <c r="D5021" t="s">
        <v>1481</v>
      </c>
      <c r="E5021" t="s">
        <v>15507</v>
      </c>
      <c r="F5021" t="s">
        <v>15560</v>
      </c>
      <c r="G5021" t="s">
        <v>16635</v>
      </c>
      <c r="H5021" t="str">
        <f>HYPERLINK("https://baanknet.com/view-property/173864/A8CEA4F82156A4D89EC13B4CA92C375181000B585A2CDDE068317F37AEF18F9F", "https://baanknet.com/view-property/173864/A8CEA4F82156A4D89EC13B4CA92C375181000B585A2CDDE068317F37AEF18F9F")</f>
        <v>https://baanknet.com/view-property/173864/A8CEA4F82156A4D89EC13B4CA92C375181000B585A2CDDE068317F37AEF18F9F</v>
      </c>
      <c r="I5021" t="str">
        <f>HYPERLINK("https://baanknet.com/view-property/173864/A8CEA4F82156A4D89EC13B4CA92C375181000B585A2CDDE068317F37AEF18F9F", "Open")</f>
        <v>Open</v>
      </c>
      <c r="J5021" t="s">
        <v>3803</v>
      </c>
      <c r="L5021">
        <v>1828000</v>
      </c>
      <c r="M5021">
        <v>182800</v>
      </c>
    </row>
    <row r="5022" spans="1:13" x14ac:dyDescent="0.25">
      <c r="A5022" t="s">
        <v>16636</v>
      </c>
      <c r="B5022" t="s">
        <v>16637</v>
      </c>
      <c r="C5022" t="s">
        <v>121</v>
      </c>
      <c r="D5022" t="s">
        <v>1300</v>
      </c>
      <c r="E5022" t="s">
        <v>15507</v>
      </c>
      <c r="F5022" t="s">
        <v>15560</v>
      </c>
      <c r="G5022" t="s">
        <v>16638</v>
      </c>
      <c r="H5022" t="str">
        <f>HYPERLINK("https://baanknet.com/view-property/177675/E6309DE9397C2E5280187EEE32880170BE1D13D1E71FD77B77B1E7AE45EB1F62", "https://baanknet.com/view-property/177675/E6309DE9397C2E5280187EEE32880170BE1D13D1E71FD77B77B1E7AE45EB1F62")</f>
        <v>https://baanknet.com/view-property/177675/E6309DE9397C2E5280187EEE32880170BE1D13D1E71FD77B77B1E7AE45EB1F62</v>
      </c>
      <c r="I5022" t="str">
        <f>HYPERLINK("https://baanknet.com/view-property/177675/E6309DE9397C2E5280187EEE32880170BE1D13D1E71FD77B77B1E7AE45EB1F62", "Open")</f>
        <v>Open</v>
      </c>
      <c r="J5022" t="s">
        <v>3803</v>
      </c>
      <c r="L5022">
        <v>2750000</v>
      </c>
      <c r="M5022">
        <v>275000</v>
      </c>
    </row>
    <row r="5023" spans="1:13" x14ac:dyDescent="0.25">
      <c r="A5023" t="s">
        <v>16639</v>
      </c>
      <c r="B5023" t="s">
        <v>16640</v>
      </c>
      <c r="C5023" t="s">
        <v>121</v>
      </c>
      <c r="D5023" t="s">
        <v>1300</v>
      </c>
      <c r="E5023" t="s">
        <v>15507</v>
      </c>
      <c r="F5023" t="s">
        <v>15560</v>
      </c>
      <c r="G5023" t="s">
        <v>16641</v>
      </c>
      <c r="H5023" t="str">
        <f>HYPERLINK("https://baanknet.com/view-property/177676/6A1FC981553D05DCA379F0D27B81B34D29F35000DAC37D736C7BA38FB7A2F1CC", "https://baanknet.com/view-property/177676/6A1FC981553D05DCA379F0D27B81B34D29F35000DAC37D736C7BA38FB7A2F1CC")</f>
        <v>https://baanknet.com/view-property/177676/6A1FC981553D05DCA379F0D27B81B34D29F35000DAC37D736C7BA38FB7A2F1CC</v>
      </c>
      <c r="I5023" t="str">
        <f>HYPERLINK("https://baanknet.com/view-property/177676/6A1FC981553D05DCA379F0D27B81B34D29F35000DAC37D736C7BA38FB7A2F1CC", "Open")</f>
        <v>Open</v>
      </c>
      <c r="J5023" t="s">
        <v>3803</v>
      </c>
      <c r="L5023">
        <v>2555000</v>
      </c>
      <c r="M5023">
        <v>255500</v>
      </c>
    </row>
    <row r="5024" spans="1:13" x14ac:dyDescent="0.25">
      <c r="A5024" t="s">
        <v>16642</v>
      </c>
      <c r="B5024" t="s">
        <v>16643</v>
      </c>
      <c r="C5024" t="s">
        <v>121</v>
      </c>
      <c r="D5024" t="s">
        <v>6906</v>
      </c>
      <c r="E5024" t="s">
        <v>15507</v>
      </c>
      <c r="F5024" t="s">
        <v>15560</v>
      </c>
      <c r="G5024" t="s">
        <v>16644</v>
      </c>
      <c r="H5024" t="str">
        <f>HYPERLINK("https://baanknet.com/view-property/201386/C4A19C5DC00BA9190F9AAA1649794903E735AFFC77908BC7767D8C693E1A60CF", "https://baanknet.com/view-property/201386/C4A19C5DC00BA9190F9AAA1649794903E735AFFC77908BC7767D8C693E1A60CF")</f>
        <v>https://baanknet.com/view-property/201386/C4A19C5DC00BA9190F9AAA1649794903E735AFFC77908BC7767D8C693E1A60CF</v>
      </c>
      <c r="I5024" t="str">
        <f>HYPERLINK("https://baanknet.com/view-property/201386/C4A19C5DC00BA9190F9AAA1649794903E735AFFC77908BC7767D8C693E1A60CF", "Open")</f>
        <v>Open</v>
      </c>
      <c r="J5024" t="s">
        <v>3803</v>
      </c>
      <c r="L5024">
        <v>3600000</v>
      </c>
      <c r="M5024">
        <v>360000</v>
      </c>
    </row>
    <row r="5025" spans="1:13" x14ac:dyDescent="0.25">
      <c r="A5025" t="s">
        <v>16645</v>
      </c>
      <c r="B5025" t="s">
        <v>16646</v>
      </c>
      <c r="C5025" t="s">
        <v>121</v>
      </c>
      <c r="D5025" t="s">
        <v>1481</v>
      </c>
      <c r="E5025" t="s">
        <v>15507</v>
      </c>
      <c r="F5025" t="s">
        <v>15560</v>
      </c>
      <c r="G5025" t="s">
        <v>16647</v>
      </c>
      <c r="H5025" t="str">
        <f>HYPERLINK("https://baanknet.com/view-property/214504/51239A6A2F5752734719751165B7A35C2B1CE0614FDCB912E3E951DB46288D20", "https://baanknet.com/view-property/214504/51239A6A2F5752734719751165B7A35C2B1CE0614FDCB912E3E951DB46288D20")</f>
        <v>https://baanknet.com/view-property/214504/51239A6A2F5752734719751165B7A35C2B1CE0614FDCB912E3E951DB46288D20</v>
      </c>
      <c r="I5025" t="str">
        <f>HYPERLINK("https://baanknet.com/view-property/214504/51239A6A2F5752734719751165B7A35C2B1CE0614FDCB912E3E951DB46288D20", "Open")</f>
        <v>Open</v>
      </c>
      <c r="J5025" t="s">
        <v>3803</v>
      </c>
      <c r="L5025">
        <v>5010000</v>
      </c>
      <c r="M5025">
        <v>501000</v>
      </c>
    </row>
    <row r="5026" spans="1:13" x14ac:dyDescent="0.25">
      <c r="A5026" t="s">
        <v>16648</v>
      </c>
      <c r="B5026" t="s">
        <v>16649</v>
      </c>
      <c r="C5026" t="s">
        <v>121</v>
      </c>
      <c r="D5026" t="s">
        <v>6034</v>
      </c>
      <c r="E5026" t="s">
        <v>15507</v>
      </c>
      <c r="F5026" t="s">
        <v>15560</v>
      </c>
      <c r="G5026" t="s">
        <v>16650</v>
      </c>
      <c r="H5026" t="str">
        <f>HYPERLINK("https://baanknet.com/view-property/265050/C29178BBC4A976B1C78CEA360E422133BC21CEFE117D214324CDC136BE363D6A", "https://baanknet.com/view-property/265050/C29178BBC4A976B1C78CEA360E422133BC21CEFE117D214324CDC136BE363D6A")</f>
        <v>https://baanknet.com/view-property/265050/C29178BBC4A976B1C78CEA360E422133BC21CEFE117D214324CDC136BE363D6A</v>
      </c>
      <c r="I5026" t="str">
        <f>HYPERLINK("https://baanknet.com/view-property/265050/C29178BBC4A976B1C78CEA360E422133BC21CEFE117D214324CDC136BE363D6A", "Open")</f>
        <v>Open</v>
      </c>
      <c r="J5026" t="s">
        <v>3803</v>
      </c>
      <c r="L5026">
        <v>1800000</v>
      </c>
      <c r="M5026">
        <v>180000</v>
      </c>
    </row>
    <row r="5027" spans="1:13" x14ac:dyDescent="0.25">
      <c r="A5027" t="s">
        <v>16651</v>
      </c>
      <c r="B5027" t="s">
        <v>16652</v>
      </c>
      <c r="C5027" t="s">
        <v>121</v>
      </c>
      <c r="D5027" t="s">
        <v>1310</v>
      </c>
      <c r="E5027" t="s">
        <v>15507</v>
      </c>
      <c r="F5027" t="s">
        <v>15560</v>
      </c>
      <c r="G5027" t="s">
        <v>16653</v>
      </c>
      <c r="H5027" t="str">
        <f>HYPERLINK("https://baanknet.com/view-property/253681/4F005BF1A33E081A859FD84629DA3941106A190564E8A9C2DD6F3C98E4A2BF9A", "https://baanknet.com/view-property/253681/4F005BF1A33E081A859FD84629DA3941106A190564E8A9C2DD6F3C98E4A2BF9A")</f>
        <v>https://baanknet.com/view-property/253681/4F005BF1A33E081A859FD84629DA3941106A190564E8A9C2DD6F3C98E4A2BF9A</v>
      </c>
      <c r="I5027" t="str">
        <f>HYPERLINK("https://baanknet.com/view-property/253681/4F005BF1A33E081A859FD84629DA3941106A190564E8A9C2DD6F3C98E4A2BF9A", "Open")</f>
        <v>Open</v>
      </c>
      <c r="J5027" t="s">
        <v>3803</v>
      </c>
      <c r="L5027">
        <v>29500000</v>
      </c>
      <c r="M5027">
        <v>2950000</v>
      </c>
    </row>
    <row r="5028" spans="1:13" x14ac:dyDescent="0.25">
      <c r="A5028" t="s">
        <v>16654</v>
      </c>
      <c r="B5028" t="s">
        <v>16655</v>
      </c>
      <c r="C5028" t="s">
        <v>121</v>
      </c>
      <c r="D5028" t="s">
        <v>1300</v>
      </c>
      <c r="E5028" t="s">
        <v>15507</v>
      </c>
      <c r="F5028" t="s">
        <v>15560</v>
      </c>
      <c r="G5028" t="s">
        <v>16656</v>
      </c>
      <c r="H5028" t="str">
        <f>HYPERLINK("https://baanknet.com/view-property/177992/1C33545C4D40DB8044349E33190F5D73BD364A09A2CBDF7CBE41CF6745E4CFB0", "https://baanknet.com/view-property/177992/1C33545C4D40DB8044349E33190F5D73BD364A09A2CBDF7CBE41CF6745E4CFB0")</f>
        <v>https://baanknet.com/view-property/177992/1C33545C4D40DB8044349E33190F5D73BD364A09A2CBDF7CBE41CF6745E4CFB0</v>
      </c>
      <c r="I5028" t="str">
        <f>HYPERLINK("https://baanknet.com/view-property/177992/1C33545C4D40DB8044349E33190F5D73BD364A09A2CBDF7CBE41CF6745E4CFB0", "Open")</f>
        <v>Open</v>
      </c>
      <c r="J5028" t="s">
        <v>3803</v>
      </c>
      <c r="L5028">
        <v>6116000</v>
      </c>
      <c r="M5028">
        <v>611600</v>
      </c>
    </row>
    <row r="5029" spans="1:13" x14ac:dyDescent="0.25">
      <c r="A5029" t="s">
        <v>16657</v>
      </c>
      <c r="B5029" t="s">
        <v>16658</v>
      </c>
      <c r="C5029" t="s">
        <v>121</v>
      </c>
      <c r="D5029" t="s">
        <v>1277</v>
      </c>
      <c r="E5029" t="s">
        <v>15507</v>
      </c>
      <c r="F5029" t="s">
        <v>15560</v>
      </c>
      <c r="G5029" t="s">
        <v>16659</v>
      </c>
      <c r="H5029" t="str">
        <f>HYPERLINK("https://baanknet.com/view-property/263645/AA6596668EA3773A1FBBD1742B00D51858BBD06F68BE930737A0C8CA3FE02D88", "https://baanknet.com/view-property/263645/AA6596668EA3773A1FBBD1742B00D51858BBD06F68BE930737A0C8CA3FE02D88")</f>
        <v>https://baanknet.com/view-property/263645/AA6596668EA3773A1FBBD1742B00D51858BBD06F68BE930737A0C8CA3FE02D88</v>
      </c>
      <c r="I5029" t="str">
        <f>HYPERLINK("https://baanknet.com/view-property/263645/AA6596668EA3773A1FBBD1742B00D51858BBD06F68BE930737A0C8CA3FE02D88", "Open")</f>
        <v>Open</v>
      </c>
      <c r="J5029" t="s">
        <v>3803</v>
      </c>
      <c r="L5029">
        <v>3825000</v>
      </c>
      <c r="M5029">
        <v>382500</v>
      </c>
    </row>
    <row r="5030" spans="1:13" x14ac:dyDescent="0.25">
      <c r="A5030" t="s">
        <v>16660</v>
      </c>
      <c r="B5030" t="s">
        <v>16661</v>
      </c>
      <c r="C5030" t="s">
        <v>121</v>
      </c>
      <c r="D5030" t="s">
        <v>1581</v>
      </c>
      <c r="E5030" t="s">
        <v>15507</v>
      </c>
      <c r="F5030" t="s">
        <v>15560</v>
      </c>
      <c r="G5030" t="s">
        <v>16662</v>
      </c>
      <c r="H5030" t="str">
        <f>HYPERLINK("https://baanknet.com/view-property/266872/7428A35FD6DACDB641763B6668AB0294BF093176FF5F50C79BA433E0C60AC3D0", "https://baanknet.com/view-property/266872/7428A35FD6DACDB641763B6668AB0294BF093176FF5F50C79BA433E0C60AC3D0")</f>
        <v>https://baanknet.com/view-property/266872/7428A35FD6DACDB641763B6668AB0294BF093176FF5F50C79BA433E0C60AC3D0</v>
      </c>
      <c r="I5030" t="str">
        <f>HYPERLINK("https://baanknet.com/view-property/266872/7428A35FD6DACDB641763B6668AB0294BF093176FF5F50C79BA433E0C60AC3D0", "Open")</f>
        <v>Open</v>
      </c>
      <c r="J5030" t="s">
        <v>3803</v>
      </c>
      <c r="L5030">
        <v>510000</v>
      </c>
      <c r="M5030">
        <v>51000</v>
      </c>
    </row>
    <row r="5031" spans="1:13" x14ac:dyDescent="0.25">
      <c r="A5031" t="s">
        <v>16663</v>
      </c>
      <c r="B5031" t="s">
        <v>16664</v>
      </c>
      <c r="C5031" t="s">
        <v>832</v>
      </c>
      <c r="D5031" t="s">
        <v>1003</v>
      </c>
      <c r="E5031" t="s">
        <v>15507</v>
      </c>
      <c r="F5031" t="s">
        <v>15560</v>
      </c>
      <c r="G5031" t="s">
        <v>16665</v>
      </c>
      <c r="H5031" t="str">
        <f>HYPERLINK("https://baanknet.com/view-property/287218/43A58F9088E7DE581F81CBDF1A26D18298A1C75BF276BFBD22A0A6C4FC147D84", "https://baanknet.com/view-property/287218/43A58F9088E7DE581F81CBDF1A26D18298A1C75BF276BFBD22A0A6C4FC147D84")</f>
        <v>https://baanknet.com/view-property/287218/43A58F9088E7DE581F81CBDF1A26D18298A1C75BF276BFBD22A0A6C4FC147D84</v>
      </c>
      <c r="I5031" t="str">
        <f>HYPERLINK("https://baanknet.com/view-property/287218/43A58F9088E7DE581F81CBDF1A26D18298A1C75BF276BFBD22A0A6C4FC147D84", "Open")</f>
        <v>Open</v>
      </c>
      <c r="J5031" t="s">
        <v>3803</v>
      </c>
      <c r="L5031">
        <v>5700000</v>
      </c>
      <c r="M5031">
        <v>570000</v>
      </c>
    </row>
    <row r="5032" spans="1:13" x14ac:dyDescent="0.25">
      <c r="A5032" t="s">
        <v>16666</v>
      </c>
      <c r="B5032" t="s">
        <v>16667</v>
      </c>
      <c r="C5032" t="s">
        <v>832</v>
      </c>
      <c r="D5032" t="s">
        <v>16668</v>
      </c>
      <c r="E5032" t="s">
        <v>15507</v>
      </c>
      <c r="F5032" t="s">
        <v>15560</v>
      </c>
      <c r="G5032" t="s">
        <v>16669</v>
      </c>
      <c r="H5032" t="str">
        <f>HYPERLINK("https://baanknet.com/view-property/287191/1705C53AE7C3990C5DDE7CD93AE43926712818020ED425247EE6385AAD73233D", "https://baanknet.com/view-property/287191/1705C53AE7C3990C5DDE7CD93AE43926712818020ED425247EE6385AAD73233D")</f>
        <v>https://baanknet.com/view-property/287191/1705C53AE7C3990C5DDE7CD93AE43926712818020ED425247EE6385AAD73233D</v>
      </c>
      <c r="I5032" t="str">
        <f>HYPERLINK("https://baanknet.com/view-property/287191/1705C53AE7C3990C5DDE7CD93AE43926712818020ED425247EE6385AAD73233D", "Open")</f>
        <v>Open</v>
      </c>
      <c r="J5032" t="s">
        <v>3803</v>
      </c>
      <c r="L5032">
        <v>4800000</v>
      </c>
      <c r="M5032">
        <v>480000</v>
      </c>
    </row>
    <row r="5033" spans="1:13" x14ac:dyDescent="0.25">
      <c r="A5033" t="s">
        <v>16670</v>
      </c>
      <c r="B5033" t="s">
        <v>16671</v>
      </c>
      <c r="C5033" t="s">
        <v>832</v>
      </c>
      <c r="D5033" t="s">
        <v>937</v>
      </c>
      <c r="E5033" t="s">
        <v>15507</v>
      </c>
      <c r="F5033" t="s">
        <v>15560</v>
      </c>
      <c r="G5033" t="s">
        <v>16672</v>
      </c>
      <c r="H5033" t="str">
        <f>HYPERLINK("https://baanknet.com/view-property/287206/55A8FDB9D7007B6734F6C9F6F3160DE666749473B59E84511F072D222105B39A", "https://baanknet.com/view-property/287206/55A8FDB9D7007B6734F6C9F6F3160DE666749473B59E84511F072D222105B39A")</f>
        <v>https://baanknet.com/view-property/287206/55A8FDB9D7007B6734F6C9F6F3160DE666749473B59E84511F072D222105B39A</v>
      </c>
      <c r="I5033" t="str">
        <f>HYPERLINK("https://baanknet.com/view-property/287206/55A8FDB9D7007B6734F6C9F6F3160DE666749473B59E84511F072D222105B39A", "Open")</f>
        <v>Open</v>
      </c>
      <c r="J5033" t="s">
        <v>3803</v>
      </c>
      <c r="L5033">
        <v>12300000</v>
      </c>
      <c r="M5033">
        <v>1230000</v>
      </c>
    </row>
    <row r="5034" spans="1:13" x14ac:dyDescent="0.25">
      <c r="A5034" t="s">
        <v>16673</v>
      </c>
      <c r="B5034" t="s">
        <v>16674</v>
      </c>
      <c r="C5034" t="s">
        <v>832</v>
      </c>
      <c r="D5034" t="s">
        <v>5365</v>
      </c>
      <c r="E5034" t="s">
        <v>15507</v>
      </c>
      <c r="F5034" t="s">
        <v>15560</v>
      </c>
      <c r="G5034" t="s">
        <v>16675</v>
      </c>
      <c r="H5034" t="str">
        <f>HYPERLINK("https://baanknet.com/view-property/287214/35921D141F9D788F485841459DD10B4DCF53774192B0423422716F9EE5E4663C", "https://baanknet.com/view-property/287214/35921D141F9D788F485841459DD10B4DCF53774192B0423422716F9EE5E4663C")</f>
        <v>https://baanknet.com/view-property/287214/35921D141F9D788F485841459DD10B4DCF53774192B0423422716F9EE5E4663C</v>
      </c>
      <c r="I5034" t="str">
        <f>HYPERLINK("https://baanknet.com/view-property/287214/35921D141F9D788F485841459DD10B4DCF53774192B0423422716F9EE5E4663C", "Open")</f>
        <v>Open</v>
      </c>
      <c r="J5034" t="s">
        <v>3803</v>
      </c>
      <c r="L5034">
        <v>5100000</v>
      </c>
      <c r="M5034">
        <v>510000</v>
      </c>
    </row>
    <row r="5035" spans="1:13" x14ac:dyDescent="0.25">
      <c r="A5035" t="s">
        <v>16676</v>
      </c>
      <c r="B5035" t="s">
        <v>16677</v>
      </c>
      <c r="C5035" t="s">
        <v>5457</v>
      </c>
      <c r="D5035" t="s">
        <v>3165</v>
      </c>
      <c r="E5035" t="s">
        <v>15507</v>
      </c>
      <c r="F5035" t="s">
        <v>15560</v>
      </c>
      <c r="G5035" t="s">
        <v>16678</v>
      </c>
      <c r="H5035" t="str">
        <f>HYPERLINK("https://baanknet.com/view-property/287225/7D929509F245BC32BDFAF2D2E108058979EF7AF6F002A6AEC5CF58810140D1BB", "https://baanknet.com/view-property/287225/7D929509F245BC32BDFAF2D2E108058979EF7AF6F002A6AEC5CF58810140D1BB")</f>
        <v>https://baanknet.com/view-property/287225/7D929509F245BC32BDFAF2D2E108058979EF7AF6F002A6AEC5CF58810140D1BB</v>
      </c>
      <c r="I5035" t="str">
        <f>HYPERLINK("https://baanknet.com/view-property/287225/7D929509F245BC32BDFAF2D2E108058979EF7AF6F002A6AEC5CF58810140D1BB", "Open")</f>
        <v>Open</v>
      </c>
      <c r="J5035" t="s">
        <v>3803</v>
      </c>
      <c r="L5035">
        <v>1068000</v>
      </c>
      <c r="M5035">
        <v>106800</v>
      </c>
    </row>
    <row r="5036" spans="1:13" x14ac:dyDescent="0.25">
      <c r="A5036" t="s">
        <v>16679</v>
      </c>
      <c r="B5036" t="s">
        <v>16680</v>
      </c>
      <c r="C5036" t="s">
        <v>5457</v>
      </c>
      <c r="D5036" t="s">
        <v>3165</v>
      </c>
      <c r="E5036" t="s">
        <v>15507</v>
      </c>
      <c r="F5036" t="s">
        <v>15560</v>
      </c>
      <c r="G5036" t="s">
        <v>16681</v>
      </c>
      <c r="H5036" t="str">
        <f>HYPERLINK("https://baanknet.com/view-property/287217/4A264BA98448C4E2F1B899C85E4B2760F5DC6E0D90D605369617AFE785A68438", "https://baanknet.com/view-property/287217/4A264BA98448C4E2F1B899C85E4B2760F5DC6E0D90D605369617AFE785A68438")</f>
        <v>https://baanknet.com/view-property/287217/4A264BA98448C4E2F1B899C85E4B2760F5DC6E0D90D605369617AFE785A68438</v>
      </c>
      <c r="I5036" t="str">
        <f>HYPERLINK("https://baanknet.com/view-property/287217/4A264BA98448C4E2F1B899C85E4B2760F5DC6E0D90D605369617AFE785A68438", "Open")</f>
        <v>Open</v>
      </c>
      <c r="J5036" t="s">
        <v>3803</v>
      </c>
      <c r="L5036">
        <v>381000</v>
      </c>
      <c r="M5036">
        <v>38100</v>
      </c>
    </row>
    <row r="5037" spans="1:13" x14ac:dyDescent="0.25">
      <c r="A5037" t="s">
        <v>16682</v>
      </c>
      <c r="B5037" t="s">
        <v>16683</v>
      </c>
      <c r="C5037" t="s">
        <v>5457</v>
      </c>
      <c r="D5037" t="s">
        <v>3165</v>
      </c>
      <c r="E5037" t="s">
        <v>15507</v>
      </c>
      <c r="F5037" t="s">
        <v>15560</v>
      </c>
      <c r="G5037" t="s">
        <v>16684</v>
      </c>
      <c r="H5037" t="str">
        <f>HYPERLINK("https://baanknet.com/view-property/287098/F1253311B880D769D925C88E3DE84B547D3781673DA0C05C99B2C0B5A334F401", "https://baanknet.com/view-property/287098/F1253311B880D769D925C88E3DE84B547D3781673DA0C05C99B2C0B5A334F401")</f>
        <v>https://baanknet.com/view-property/287098/F1253311B880D769D925C88E3DE84B547D3781673DA0C05C99B2C0B5A334F401</v>
      </c>
      <c r="I5037" t="str">
        <f>HYPERLINK("https://baanknet.com/view-property/287098/F1253311B880D769D925C88E3DE84B547D3781673DA0C05C99B2C0B5A334F401", "Open")</f>
        <v>Open</v>
      </c>
      <c r="J5037" t="s">
        <v>3803</v>
      </c>
      <c r="L5037">
        <v>455000</v>
      </c>
      <c r="M5037">
        <v>45500</v>
      </c>
    </row>
    <row r="5038" spans="1:13" x14ac:dyDescent="0.25">
      <c r="A5038" t="s">
        <v>16685</v>
      </c>
      <c r="B5038" t="s">
        <v>16686</v>
      </c>
      <c r="C5038" t="s">
        <v>121</v>
      </c>
      <c r="D5038" t="s">
        <v>16687</v>
      </c>
      <c r="E5038" t="s">
        <v>15507</v>
      </c>
      <c r="F5038" t="s">
        <v>15560</v>
      </c>
      <c r="G5038" t="s">
        <v>16688</v>
      </c>
      <c r="H5038" t="str">
        <f>HYPERLINK("https://baanknet.com/view-property/249392/61999DD005180AF02481E8C58F715CA2E292E7625ABECE8391EE572A08BADB4A", "https://baanknet.com/view-property/249392/61999DD005180AF02481E8C58F715CA2E292E7625ABECE8391EE572A08BADB4A")</f>
        <v>https://baanknet.com/view-property/249392/61999DD005180AF02481E8C58F715CA2E292E7625ABECE8391EE572A08BADB4A</v>
      </c>
      <c r="I5038" t="str">
        <f>HYPERLINK("https://baanknet.com/view-property/249392/61999DD005180AF02481E8C58F715CA2E292E7625ABECE8391EE572A08BADB4A", "Open")</f>
        <v>Open</v>
      </c>
      <c r="J5038" t="s">
        <v>3803</v>
      </c>
      <c r="L5038">
        <v>6529000</v>
      </c>
      <c r="M5038">
        <v>652900</v>
      </c>
    </row>
    <row r="5039" spans="1:13" x14ac:dyDescent="0.25">
      <c r="A5039" t="s">
        <v>16689</v>
      </c>
      <c r="B5039" t="s">
        <v>16690</v>
      </c>
      <c r="C5039" t="s">
        <v>121</v>
      </c>
      <c r="D5039" t="s">
        <v>1504</v>
      </c>
      <c r="E5039" t="s">
        <v>15507</v>
      </c>
      <c r="F5039" t="s">
        <v>15560</v>
      </c>
      <c r="G5039" t="s">
        <v>16691</v>
      </c>
      <c r="H5039" t="str">
        <f>HYPERLINK("https://baanknet.com/view-property/192708/9E9CCCE3D00879A70AFA2B600A326FD47F19E95F061A62F260497D26AD816403", "https://baanknet.com/view-property/192708/9E9CCCE3D00879A70AFA2B600A326FD47F19E95F061A62F260497D26AD816403")</f>
        <v>https://baanknet.com/view-property/192708/9E9CCCE3D00879A70AFA2B600A326FD47F19E95F061A62F260497D26AD816403</v>
      </c>
      <c r="I5039" t="str">
        <f>HYPERLINK("https://baanknet.com/view-property/192708/9E9CCCE3D00879A70AFA2B600A326FD47F19E95F061A62F260497D26AD816403", "Open")</f>
        <v>Open</v>
      </c>
      <c r="J5039" t="s">
        <v>3803</v>
      </c>
      <c r="L5039">
        <v>8212000</v>
      </c>
      <c r="M5039">
        <v>821200</v>
      </c>
    </row>
    <row r="5040" spans="1:13" x14ac:dyDescent="0.25">
      <c r="A5040" t="s">
        <v>16692</v>
      </c>
      <c r="B5040" t="s">
        <v>16693</v>
      </c>
      <c r="C5040" t="s">
        <v>121</v>
      </c>
      <c r="D5040" t="s">
        <v>1504</v>
      </c>
      <c r="E5040" t="s">
        <v>15507</v>
      </c>
      <c r="F5040" t="s">
        <v>15560</v>
      </c>
      <c r="G5040" t="s">
        <v>16694</v>
      </c>
      <c r="H5040" t="str">
        <f>HYPERLINK("https://baanknet.com/view-property/227476/E6D36C90773363D19E90E74F57716AE8D97ECDCB5417DF9B5CE8C81E3F840F31", "https://baanknet.com/view-property/227476/E6D36C90773363D19E90E74F57716AE8D97ECDCB5417DF9B5CE8C81E3F840F31")</f>
        <v>https://baanknet.com/view-property/227476/E6D36C90773363D19E90E74F57716AE8D97ECDCB5417DF9B5CE8C81E3F840F31</v>
      </c>
      <c r="I5040" t="str">
        <f>HYPERLINK("https://baanknet.com/view-property/227476/E6D36C90773363D19E90E74F57716AE8D97ECDCB5417DF9B5CE8C81E3F840F31", "Open")</f>
        <v>Open</v>
      </c>
      <c r="J5040" t="s">
        <v>3803</v>
      </c>
      <c r="L5040">
        <v>10679000</v>
      </c>
      <c r="M5040">
        <v>1067900</v>
      </c>
    </row>
    <row r="5041" spans="1:13" x14ac:dyDescent="0.25">
      <c r="A5041" t="s">
        <v>16695</v>
      </c>
      <c r="B5041" t="s">
        <v>16696</v>
      </c>
      <c r="C5041" t="s">
        <v>121</v>
      </c>
      <c r="D5041" t="s">
        <v>1481</v>
      </c>
      <c r="E5041" t="s">
        <v>15507</v>
      </c>
      <c r="F5041" t="s">
        <v>15560</v>
      </c>
      <c r="G5041" t="s">
        <v>16697</v>
      </c>
      <c r="H5041" t="str">
        <f>HYPERLINK("https://baanknet.com/view-property/179542/B953F74248813956C2476F504B0277C89878E0C5E81CF8CE7F2C06D08F701898", "https://baanknet.com/view-property/179542/B953F74248813956C2476F504B0277C89878E0C5E81CF8CE7F2C06D08F701898")</f>
        <v>https://baanknet.com/view-property/179542/B953F74248813956C2476F504B0277C89878E0C5E81CF8CE7F2C06D08F701898</v>
      </c>
      <c r="I5041" t="str">
        <f>HYPERLINK("https://baanknet.com/view-property/179542/B953F74248813956C2476F504B0277C89878E0C5E81CF8CE7F2C06D08F701898", "Open")</f>
        <v>Open</v>
      </c>
      <c r="J5041" t="s">
        <v>3803</v>
      </c>
      <c r="L5041">
        <v>2451000</v>
      </c>
      <c r="M5041">
        <v>245100</v>
      </c>
    </row>
    <row r="5042" spans="1:13" x14ac:dyDescent="0.25">
      <c r="A5042" t="s">
        <v>16698</v>
      </c>
      <c r="B5042" t="s">
        <v>16699</v>
      </c>
      <c r="C5042" t="s">
        <v>121</v>
      </c>
      <c r="D5042" t="s">
        <v>1300</v>
      </c>
      <c r="E5042" t="s">
        <v>15507</v>
      </c>
      <c r="F5042" t="s">
        <v>15560</v>
      </c>
      <c r="G5042" t="s">
        <v>16700</v>
      </c>
      <c r="H5042" t="str">
        <f>HYPERLINK("https://baanknet.com/view-property/178125/EA64A2A3C552EAFD271C6833E164374765CE82D38E852115A8004AF01F5D8B04", "https://baanknet.com/view-property/178125/EA64A2A3C552EAFD271C6833E164374765CE82D38E852115A8004AF01F5D8B04")</f>
        <v>https://baanknet.com/view-property/178125/EA64A2A3C552EAFD271C6833E164374765CE82D38E852115A8004AF01F5D8B04</v>
      </c>
      <c r="I5042" t="str">
        <f>HYPERLINK("https://baanknet.com/view-property/178125/EA64A2A3C552EAFD271C6833E164374765CE82D38E852115A8004AF01F5D8B04", "Open")</f>
        <v>Open</v>
      </c>
      <c r="J5042" t="s">
        <v>3803</v>
      </c>
      <c r="L5042">
        <v>1562000</v>
      </c>
      <c r="M5042">
        <v>156200</v>
      </c>
    </row>
    <row r="5043" spans="1:13" x14ac:dyDescent="0.25">
      <c r="A5043" t="s">
        <v>16701</v>
      </c>
      <c r="B5043" t="s">
        <v>16702</v>
      </c>
      <c r="C5043" t="s">
        <v>121</v>
      </c>
      <c r="D5043" t="s">
        <v>1300</v>
      </c>
      <c r="E5043" t="s">
        <v>15507</v>
      </c>
      <c r="F5043" t="s">
        <v>15560</v>
      </c>
      <c r="G5043" t="s">
        <v>16703</v>
      </c>
      <c r="H5043" t="str">
        <f>HYPERLINK("https://baanknet.com/view-property/178126/12AEBF4C5F592AD2C02E72F22F2034A66B9A51759803B76EE84F4677524CEACA", "https://baanknet.com/view-property/178126/12AEBF4C5F592AD2C02E72F22F2034A66B9A51759803B76EE84F4677524CEACA")</f>
        <v>https://baanknet.com/view-property/178126/12AEBF4C5F592AD2C02E72F22F2034A66B9A51759803B76EE84F4677524CEACA</v>
      </c>
      <c r="I5043" t="str">
        <f>HYPERLINK("https://baanknet.com/view-property/178126/12AEBF4C5F592AD2C02E72F22F2034A66B9A51759803B76EE84F4677524CEACA", "Open")</f>
        <v>Open</v>
      </c>
      <c r="J5043" t="s">
        <v>3803</v>
      </c>
      <c r="L5043">
        <v>1562000</v>
      </c>
      <c r="M5043">
        <v>156200</v>
      </c>
    </row>
    <row r="5044" spans="1:13" x14ac:dyDescent="0.25">
      <c r="A5044" t="s">
        <v>16704</v>
      </c>
      <c r="B5044" t="s">
        <v>16705</v>
      </c>
      <c r="C5044" t="s">
        <v>144</v>
      </c>
      <c r="D5044" t="s">
        <v>1007</v>
      </c>
      <c r="E5044" t="s">
        <v>15507</v>
      </c>
      <c r="F5044" t="s">
        <v>15560</v>
      </c>
      <c r="G5044" t="s">
        <v>16706</v>
      </c>
      <c r="H5044" t="str">
        <f>HYPERLINK("https://baanknet.com/view-property/111147/EFC1595C71BC1610BACD8B400E80F5C4181315893454E1DCA72835015873F85A", "https://baanknet.com/view-property/111147/EFC1595C71BC1610BACD8B400E80F5C4181315893454E1DCA72835015873F85A")</f>
        <v>https://baanknet.com/view-property/111147/EFC1595C71BC1610BACD8B400E80F5C4181315893454E1DCA72835015873F85A</v>
      </c>
      <c r="I5044" t="str">
        <f>HYPERLINK("https://baanknet.com/view-property/111147/EFC1595C71BC1610BACD8B400E80F5C4181315893454E1DCA72835015873F85A", "Open")</f>
        <v>Open</v>
      </c>
      <c r="J5044" t="s">
        <v>3803</v>
      </c>
      <c r="L5044">
        <v>3600000</v>
      </c>
      <c r="M5044">
        <v>360000</v>
      </c>
    </row>
    <row r="5045" spans="1:13" x14ac:dyDescent="0.25">
      <c r="A5045" t="s">
        <v>16707</v>
      </c>
      <c r="B5045" t="s">
        <v>16708</v>
      </c>
      <c r="C5045" t="s">
        <v>144</v>
      </c>
      <c r="D5045" t="s">
        <v>1120</v>
      </c>
      <c r="E5045" t="s">
        <v>15507</v>
      </c>
      <c r="F5045" t="s">
        <v>15560</v>
      </c>
      <c r="G5045" t="s">
        <v>16709</v>
      </c>
      <c r="H5045" t="str">
        <f>HYPERLINK("https://baanknet.com/view-property/277603/7191ABF1935E1E4E494BBED5BA7967ABF943CB49B267AC8D9249FF0F3F45B508", "https://baanknet.com/view-property/277603/7191ABF1935E1E4E494BBED5BA7967ABF943CB49B267AC8D9249FF0F3F45B508")</f>
        <v>https://baanknet.com/view-property/277603/7191ABF1935E1E4E494BBED5BA7967ABF943CB49B267AC8D9249FF0F3F45B508</v>
      </c>
      <c r="I5045" t="str">
        <f>HYPERLINK("https://baanknet.com/view-property/277603/7191ABF1935E1E4E494BBED5BA7967ABF943CB49B267AC8D9249FF0F3F45B508", "Open")</f>
        <v>Open</v>
      </c>
      <c r="J5045" t="s">
        <v>3803</v>
      </c>
      <c r="L5045">
        <v>1686000</v>
      </c>
      <c r="M5045">
        <v>168600</v>
      </c>
    </row>
    <row r="5046" spans="1:13" x14ac:dyDescent="0.25">
      <c r="A5046" t="s">
        <v>16710</v>
      </c>
      <c r="B5046" t="s">
        <v>16711</v>
      </c>
      <c r="C5046" t="s">
        <v>144</v>
      </c>
      <c r="D5046" t="s">
        <v>1839</v>
      </c>
      <c r="E5046" t="s">
        <v>15507</v>
      </c>
      <c r="F5046" t="s">
        <v>15560</v>
      </c>
      <c r="G5046" t="s">
        <v>16712</v>
      </c>
      <c r="H5046" t="str">
        <f>HYPERLINK("https://baanknet.com/view-property/88464/521FBD0AE55C92E84C50BC058D71E4DC2D812718E6CBBDADAE0CFE7A1BF058B5", "https://baanknet.com/view-property/88464/521FBD0AE55C92E84C50BC058D71E4DC2D812718E6CBBDADAE0CFE7A1BF058B5")</f>
        <v>https://baanknet.com/view-property/88464/521FBD0AE55C92E84C50BC058D71E4DC2D812718E6CBBDADAE0CFE7A1BF058B5</v>
      </c>
      <c r="I5046" t="str">
        <f>HYPERLINK("https://baanknet.com/view-property/88464/521FBD0AE55C92E84C50BC058D71E4DC2D812718E6CBBDADAE0CFE7A1BF058B5", "Open")</f>
        <v>Open</v>
      </c>
      <c r="J5046" t="s">
        <v>3803</v>
      </c>
      <c r="L5046">
        <v>2810400</v>
      </c>
      <c r="M5046">
        <v>281040</v>
      </c>
    </row>
    <row r="5047" spans="1:13" x14ac:dyDescent="0.25">
      <c r="A5047" t="s">
        <v>16713</v>
      </c>
      <c r="B5047" t="s">
        <v>16714</v>
      </c>
      <c r="C5047" t="s">
        <v>144</v>
      </c>
      <c r="D5047" t="s">
        <v>1839</v>
      </c>
      <c r="E5047" t="s">
        <v>15507</v>
      </c>
      <c r="F5047" t="s">
        <v>15560</v>
      </c>
      <c r="G5047" t="s">
        <v>16715</v>
      </c>
      <c r="H5047" t="str">
        <f>HYPERLINK("https://baanknet.com/view-property/121371/034CD34A86101105EDC8F1EB6D4A53D0FBCE2B1BA329CB7215CD8FA65FD28C3F", "https://baanknet.com/view-property/121371/034CD34A86101105EDC8F1EB6D4A53D0FBCE2B1BA329CB7215CD8FA65FD28C3F")</f>
        <v>https://baanknet.com/view-property/121371/034CD34A86101105EDC8F1EB6D4A53D0FBCE2B1BA329CB7215CD8FA65FD28C3F</v>
      </c>
      <c r="I5047" t="str">
        <f>HYPERLINK("https://baanknet.com/view-property/121371/034CD34A86101105EDC8F1EB6D4A53D0FBCE2B1BA329CB7215CD8FA65FD28C3F", "Open")</f>
        <v>Open</v>
      </c>
      <c r="J5047" t="s">
        <v>3803</v>
      </c>
      <c r="L5047">
        <v>2977000</v>
      </c>
      <c r="M5047">
        <v>297700</v>
      </c>
    </row>
    <row r="5048" spans="1:13" x14ac:dyDescent="0.25">
      <c r="A5048" t="s">
        <v>16716</v>
      </c>
      <c r="B5048" t="s">
        <v>16717</v>
      </c>
      <c r="C5048" t="s">
        <v>121</v>
      </c>
      <c r="D5048" t="s">
        <v>11487</v>
      </c>
      <c r="E5048" t="s">
        <v>15507</v>
      </c>
      <c r="F5048" t="s">
        <v>15560</v>
      </c>
      <c r="G5048" t="s">
        <v>16718</v>
      </c>
      <c r="H5048" t="str">
        <f>HYPERLINK("https://baanknet.com/view-property/255139/2E3C57EB6939A599B050773DFF6AAB2EE8D0C9BF496ABE7B76D39B509086F334", "https://baanknet.com/view-property/255139/2E3C57EB6939A599B050773DFF6AAB2EE8D0C9BF496ABE7B76D39B509086F334")</f>
        <v>https://baanknet.com/view-property/255139/2E3C57EB6939A599B050773DFF6AAB2EE8D0C9BF496ABE7B76D39B509086F334</v>
      </c>
      <c r="I5048" t="str">
        <f>HYPERLINK("https://baanknet.com/view-property/255139/2E3C57EB6939A599B050773DFF6AAB2EE8D0C9BF496ABE7B76D39B509086F334", "Open")</f>
        <v>Open</v>
      </c>
      <c r="J5048" t="s">
        <v>3803</v>
      </c>
      <c r="L5048">
        <v>2066000</v>
      </c>
      <c r="M5048">
        <v>206600</v>
      </c>
    </row>
    <row r="5049" spans="1:13" x14ac:dyDescent="0.25">
      <c r="A5049" t="s">
        <v>16719</v>
      </c>
      <c r="B5049" t="s">
        <v>16720</v>
      </c>
      <c r="C5049" t="s">
        <v>144</v>
      </c>
      <c r="D5049" t="s">
        <v>2167</v>
      </c>
      <c r="E5049" t="s">
        <v>15507</v>
      </c>
      <c r="F5049" t="s">
        <v>15560</v>
      </c>
      <c r="G5049" t="s">
        <v>16721</v>
      </c>
      <c r="H5049" t="str">
        <f>HYPERLINK("https://baanknet.com/view-property/271795/19B7F755EE406944368F8A40AC60C3DE12B48F01214AB10BB1EEBB3BE95B3C10", "https://baanknet.com/view-property/271795/19B7F755EE406944368F8A40AC60C3DE12B48F01214AB10BB1EEBB3BE95B3C10")</f>
        <v>https://baanknet.com/view-property/271795/19B7F755EE406944368F8A40AC60C3DE12B48F01214AB10BB1EEBB3BE95B3C10</v>
      </c>
      <c r="I5049" t="str">
        <f>HYPERLINK("https://baanknet.com/view-property/271795/19B7F755EE406944368F8A40AC60C3DE12B48F01214AB10BB1EEBB3BE95B3C10", "Open")</f>
        <v>Open</v>
      </c>
      <c r="J5049" t="s">
        <v>3803</v>
      </c>
      <c r="L5049">
        <v>775000</v>
      </c>
      <c r="M5049">
        <v>77500</v>
      </c>
    </row>
    <row r="5050" spans="1:13" x14ac:dyDescent="0.25">
      <c r="A5050" t="s">
        <v>16722</v>
      </c>
      <c r="B5050" t="s">
        <v>16723</v>
      </c>
      <c r="C5050" t="s">
        <v>144</v>
      </c>
      <c r="D5050" t="s">
        <v>2167</v>
      </c>
      <c r="E5050" t="s">
        <v>15507</v>
      </c>
      <c r="F5050" t="s">
        <v>15560</v>
      </c>
      <c r="G5050" t="s">
        <v>16724</v>
      </c>
      <c r="H5050" t="str">
        <f>HYPERLINK("https://baanknet.com/view-property/271809/26B5BDE60744FF6756C7F3AFACD21E3313B029387164708E2A6F1AC7A32B614C", "https://baanknet.com/view-property/271809/26B5BDE60744FF6756C7F3AFACD21E3313B029387164708E2A6F1AC7A32B614C")</f>
        <v>https://baanknet.com/view-property/271809/26B5BDE60744FF6756C7F3AFACD21E3313B029387164708E2A6F1AC7A32B614C</v>
      </c>
      <c r="I5050" t="str">
        <f>HYPERLINK("https://baanknet.com/view-property/271809/26B5BDE60744FF6756C7F3AFACD21E3313B029387164708E2A6F1AC7A32B614C", "Open")</f>
        <v>Open</v>
      </c>
      <c r="J5050" t="s">
        <v>3803</v>
      </c>
      <c r="L5050">
        <v>570000</v>
      </c>
      <c r="M5050">
        <v>57000</v>
      </c>
    </row>
    <row r="5051" spans="1:13" x14ac:dyDescent="0.25">
      <c r="A5051" t="s">
        <v>16725</v>
      </c>
      <c r="B5051" t="s">
        <v>16726</v>
      </c>
      <c r="C5051" t="s">
        <v>144</v>
      </c>
      <c r="D5051" t="s">
        <v>1120</v>
      </c>
      <c r="E5051" t="s">
        <v>15507</v>
      </c>
      <c r="F5051" t="s">
        <v>15560</v>
      </c>
      <c r="G5051" t="s">
        <v>16727</v>
      </c>
      <c r="H5051" t="str">
        <f>HYPERLINK("https://baanknet.com/view-property/277620/DEC40006E11206A65A197C38549B27605A1E62814995831AB4E4034503E73253", "https://baanknet.com/view-property/277620/DEC40006E11206A65A197C38549B27605A1E62814995831AB4E4034503E73253")</f>
        <v>https://baanknet.com/view-property/277620/DEC40006E11206A65A197C38549B27605A1E62814995831AB4E4034503E73253</v>
      </c>
      <c r="I5051" t="str">
        <f>HYPERLINK("https://baanknet.com/view-property/277620/DEC40006E11206A65A197C38549B27605A1E62814995831AB4E4034503E73253", "Open")</f>
        <v>Open</v>
      </c>
      <c r="J5051" t="s">
        <v>3803</v>
      </c>
      <c r="L5051">
        <v>1508400</v>
      </c>
      <c r="M5051">
        <v>150840</v>
      </c>
    </row>
    <row r="5052" spans="1:13" x14ac:dyDescent="0.25">
      <c r="A5052" t="s">
        <v>16728</v>
      </c>
      <c r="B5052" t="s">
        <v>16729</v>
      </c>
      <c r="C5052" t="s">
        <v>144</v>
      </c>
      <c r="D5052" t="s">
        <v>7528</v>
      </c>
      <c r="E5052" t="s">
        <v>15507</v>
      </c>
      <c r="F5052" t="s">
        <v>15560</v>
      </c>
      <c r="G5052" t="s">
        <v>16730</v>
      </c>
      <c r="H5052" t="str">
        <f>HYPERLINK("https://baanknet.com/view-property/274436/AA0FCB02BB3AC559297E5922C41068AE0D4E4ED7BB6E2E8208D270A29677AFFA", "https://baanknet.com/view-property/274436/AA0FCB02BB3AC559297E5922C41068AE0D4E4ED7BB6E2E8208D270A29677AFFA")</f>
        <v>https://baanknet.com/view-property/274436/AA0FCB02BB3AC559297E5922C41068AE0D4E4ED7BB6E2E8208D270A29677AFFA</v>
      </c>
      <c r="I5052" t="str">
        <f>HYPERLINK("https://baanknet.com/view-property/274436/AA0FCB02BB3AC559297E5922C41068AE0D4E4ED7BB6E2E8208D270A29677AFFA", "Open")</f>
        <v>Open</v>
      </c>
      <c r="J5052" t="s">
        <v>3803</v>
      </c>
      <c r="L5052">
        <v>1451000</v>
      </c>
      <c r="M5052">
        <v>145100</v>
      </c>
    </row>
    <row r="5053" spans="1:13" x14ac:dyDescent="0.25">
      <c r="A5053" t="s">
        <v>16731</v>
      </c>
      <c r="B5053" t="s">
        <v>16732</v>
      </c>
      <c r="C5053" t="s">
        <v>144</v>
      </c>
      <c r="D5053" t="s">
        <v>1120</v>
      </c>
      <c r="E5053" t="s">
        <v>15507</v>
      </c>
      <c r="F5053" t="s">
        <v>15560</v>
      </c>
      <c r="G5053" t="s">
        <v>16733</v>
      </c>
      <c r="H5053" t="str">
        <f>HYPERLINK("https://baanknet.com/view-property/277616/57A9813B02AE6DF10E84FA8597A7F796EFA5735E240607A4E9B60309DAA18C12", "https://baanknet.com/view-property/277616/57A9813B02AE6DF10E84FA8597A7F796EFA5735E240607A4E9B60309DAA18C12")</f>
        <v>https://baanknet.com/view-property/277616/57A9813B02AE6DF10E84FA8597A7F796EFA5735E240607A4E9B60309DAA18C12</v>
      </c>
      <c r="I5053" t="str">
        <f>HYPERLINK("https://baanknet.com/view-property/277616/57A9813B02AE6DF10E84FA8597A7F796EFA5735E240607A4E9B60309DAA18C12", "Open")</f>
        <v>Open</v>
      </c>
      <c r="J5053" t="s">
        <v>3803</v>
      </c>
      <c r="L5053">
        <v>1000000</v>
      </c>
      <c r="M5053">
        <v>100000</v>
      </c>
    </row>
    <row r="5054" spans="1:13" x14ac:dyDescent="0.25">
      <c r="A5054" t="s">
        <v>16734</v>
      </c>
      <c r="B5054" t="s">
        <v>16735</v>
      </c>
      <c r="C5054" t="s">
        <v>144</v>
      </c>
      <c r="D5054" t="s">
        <v>813</v>
      </c>
      <c r="E5054" t="s">
        <v>15507</v>
      </c>
      <c r="F5054" t="s">
        <v>15560</v>
      </c>
      <c r="G5054" t="s">
        <v>16736</v>
      </c>
      <c r="H5054" t="str">
        <f>HYPERLINK("https://baanknet.com/view-property/226914/22F395D9F9C3BDF952FD0502B5769A7502A2AE032290287F39663CA42D35D680", "https://baanknet.com/view-property/226914/22F395D9F9C3BDF952FD0502B5769A7502A2AE032290287F39663CA42D35D680")</f>
        <v>https://baanknet.com/view-property/226914/22F395D9F9C3BDF952FD0502B5769A7502A2AE032290287F39663CA42D35D680</v>
      </c>
      <c r="I5054" t="str">
        <f>HYPERLINK("https://baanknet.com/view-property/226914/22F395D9F9C3BDF952FD0502B5769A7502A2AE032290287F39663CA42D35D680", "Open")</f>
        <v>Open</v>
      </c>
      <c r="J5054" t="s">
        <v>3803</v>
      </c>
      <c r="L5054">
        <v>3300000</v>
      </c>
      <c r="M5054">
        <v>330000</v>
      </c>
    </row>
    <row r="5055" spans="1:13" x14ac:dyDescent="0.25">
      <c r="A5055" t="s">
        <v>16737</v>
      </c>
      <c r="B5055" t="s">
        <v>16738</v>
      </c>
      <c r="C5055" t="s">
        <v>144</v>
      </c>
      <c r="D5055" t="s">
        <v>12525</v>
      </c>
      <c r="E5055" t="s">
        <v>15507</v>
      </c>
      <c r="F5055" t="s">
        <v>15560</v>
      </c>
      <c r="G5055" t="s">
        <v>16739</v>
      </c>
      <c r="H5055" t="str">
        <f>HYPERLINK("https://baanknet.com/view-property/65869/080CD08491010E361788CA860F04C8CA378D94603F43135CE9E1BB8985A6CF86", "https://baanknet.com/view-property/65869/080CD08491010E361788CA860F04C8CA378D94603F43135CE9E1BB8985A6CF86")</f>
        <v>https://baanknet.com/view-property/65869/080CD08491010E361788CA860F04C8CA378D94603F43135CE9E1BB8985A6CF86</v>
      </c>
      <c r="I5055" t="str">
        <f>HYPERLINK("https://baanknet.com/view-property/65869/080CD08491010E361788CA860F04C8CA378D94603F43135CE9E1BB8985A6CF86", "Open")</f>
        <v>Open</v>
      </c>
      <c r="J5055" t="s">
        <v>3803</v>
      </c>
      <c r="L5055">
        <v>1080000</v>
      </c>
      <c r="M5055">
        <v>108000</v>
      </c>
    </row>
    <row r="5056" spans="1:13" x14ac:dyDescent="0.25">
      <c r="A5056" t="s">
        <v>16740</v>
      </c>
      <c r="B5056" t="s">
        <v>16741</v>
      </c>
      <c r="C5056" t="s">
        <v>144</v>
      </c>
      <c r="D5056" t="s">
        <v>813</v>
      </c>
      <c r="E5056" t="s">
        <v>15507</v>
      </c>
      <c r="F5056" t="s">
        <v>15560</v>
      </c>
      <c r="G5056" t="s">
        <v>16742</v>
      </c>
      <c r="H5056" t="str">
        <f>HYPERLINK("https://baanknet.com/view-property/220792/91ED02E1F02D70236DFB6E786357611587F0B948A018DCA36316B22B25FC7F54", "https://baanknet.com/view-property/220792/91ED02E1F02D70236DFB6E786357611587F0B948A018DCA36316B22B25FC7F54")</f>
        <v>https://baanknet.com/view-property/220792/91ED02E1F02D70236DFB6E786357611587F0B948A018DCA36316B22B25FC7F54</v>
      </c>
      <c r="I5056" t="str">
        <f>HYPERLINK("https://baanknet.com/view-property/220792/91ED02E1F02D70236DFB6E786357611587F0B948A018DCA36316B22B25FC7F54", "Open")</f>
        <v>Open</v>
      </c>
      <c r="J5056" t="s">
        <v>3803</v>
      </c>
      <c r="L5056">
        <v>1035000</v>
      </c>
      <c r="M5056">
        <v>103500</v>
      </c>
    </row>
    <row r="5057" spans="1:13" x14ac:dyDescent="0.25">
      <c r="A5057" t="s">
        <v>16743</v>
      </c>
      <c r="B5057" t="s">
        <v>16744</v>
      </c>
      <c r="C5057" t="s">
        <v>144</v>
      </c>
      <c r="D5057" t="s">
        <v>12525</v>
      </c>
      <c r="E5057" t="s">
        <v>15507</v>
      </c>
      <c r="F5057" t="s">
        <v>15560</v>
      </c>
      <c r="G5057" t="s">
        <v>16745</v>
      </c>
      <c r="H5057" t="str">
        <f>HYPERLINK("https://baanknet.com/view-property/673/6D3B527F02B342AB37652D8447D1E1C3A890500B7A407FFBF3B3E79732E09984", "https://baanknet.com/view-property/673/6D3B527F02B342AB37652D8447D1E1C3A890500B7A407FFBF3B3E79732E09984")</f>
        <v>https://baanknet.com/view-property/673/6D3B527F02B342AB37652D8447D1E1C3A890500B7A407FFBF3B3E79732E09984</v>
      </c>
      <c r="I5057" t="str">
        <f>HYPERLINK("https://baanknet.com/view-property/673/6D3B527F02B342AB37652D8447D1E1C3A890500B7A407FFBF3B3E79732E09984", "Open")</f>
        <v>Open</v>
      </c>
      <c r="J5057" t="s">
        <v>3803</v>
      </c>
      <c r="L5057">
        <v>1530000</v>
      </c>
      <c r="M5057">
        <v>153000</v>
      </c>
    </row>
    <row r="5058" spans="1:13" x14ac:dyDescent="0.25">
      <c r="A5058" t="s">
        <v>16746</v>
      </c>
      <c r="B5058" t="s">
        <v>16747</v>
      </c>
      <c r="C5058" t="s">
        <v>144</v>
      </c>
      <c r="D5058" t="s">
        <v>16748</v>
      </c>
      <c r="E5058" t="s">
        <v>15507</v>
      </c>
      <c r="F5058" t="s">
        <v>15560</v>
      </c>
      <c r="G5058" t="s">
        <v>16749</v>
      </c>
      <c r="H5058" t="str">
        <f>HYPERLINK("https://baanknet.com/view-property/274447/52A9517957A16A3EEEEB2D086DE2F5FD095DE0E12C9618C6613FD7A6706199B4", "https://baanknet.com/view-property/274447/52A9517957A16A3EEEEB2D086DE2F5FD095DE0E12C9618C6613FD7A6706199B4")</f>
        <v>https://baanknet.com/view-property/274447/52A9517957A16A3EEEEB2D086DE2F5FD095DE0E12C9618C6613FD7A6706199B4</v>
      </c>
      <c r="I5058" t="str">
        <f>HYPERLINK("https://baanknet.com/view-property/274447/52A9517957A16A3EEEEB2D086DE2F5FD095DE0E12C9618C6613FD7A6706199B4", "Open")</f>
        <v>Open</v>
      </c>
      <c r="J5058" t="s">
        <v>3803</v>
      </c>
      <c r="L5058">
        <v>4388000</v>
      </c>
      <c r="M5058">
        <v>438800</v>
      </c>
    </row>
    <row r="5059" spans="1:13" x14ac:dyDescent="0.25">
      <c r="A5059" t="s">
        <v>16750</v>
      </c>
      <c r="B5059" t="s">
        <v>16751</v>
      </c>
      <c r="C5059" t="s">
        <v>121</v>
      </c>
      <c r="D5059" t="s">
        <v>157</v>
      </c>
      <c r="E5059" t="s">
        <v>15507</v>
      </c>
      <c r="F5059" t="s">
        <v>15560</v>
      </c>
      <c r="G5059" t="s">
        <v>16752</v>
      </c>
      <c r="H5059" t="str">
        <f>HYPERLINK("https://baanknet.com/view-property/177244/571EA946D83EB15D977DDA66A8AACCF7DF9CA7E43E82A99BDF5E5CB9E8CCCFB6", "https://baanknet.com/view-property/177244/571EA946D83EB15D977DDA66A8AACCF7DF9CA7E43E82A99BDF5E5CB9E8CCCFB6")</f>
        <v>https://baanknet.com/view-property/177244/571EA946D83EB15D977DDA66A8AACCF7DF9CA7E43E82A99BDF5E5CB9E8CCCFB6</v>
      </c>
      <c r="I5059" t="str">
        <f>HYPERLINK("https://baanknet.com/view-property/177244/571EA946D83EB15D977DDA66A8AACCF7DF9CA7E43E82A99BDF5E5CB9E8CCCFB6", "Open")</f>
        <v>Open</v>
      </c>
      <c r="J5059" t="s">
        <v>3803</v>
      </c>
      <c r="L5059">
        <v>20504000</v>
      </c>
      <c r="M5059">
        <v>2050400</v>
      </c>
    </row>
    <row r="5060" spans="1:13" x14ac:dyDescent="0.25">
      <c r="A5060" t="s">
        <v>16753</v>
      </c>
      <c r="B5060" t="s">
        <v>16754</v>
      </c>
      <c r="C5060" t="s">
        <v>121</v>
      </c>
      <c r="D5060" t="s">
        <v>2248</v>
      </c>
      <c r="E5060" t="s">
        <v>15507</v>
      </c>
      <c r="F5060" t="s">
        <v>15560</v>
      </c>
      <c r="G5060" t="s">
        <v>16755</v>
      </c>
      <c r="H5060" t="str">
        <f>HYPERLINK("https://baanknet.com/view-property/280014/02E143369170E7EB7CEEC5B98ABA0F3E9F553987F6EF815A634E4ECFACD7477F", "https://baanknet.com/view-property/280014/02E143369170E7EB7CEEC5B98ABA0F3E9F553987F6EF815A634E4ECFACD7477F")</f>
        <v>https://baanknet.com/view-property/280014/02E143369170E7EB7CEEC5B98ABA0F3E9F553987F6EF815A634E4ECFACD7477F</v>
      </c>
      <c r="I5060" t="str">
        <f>HYPERLINK("https://baanknet.com/view-property/280014/02E143369170E7EB7CEEC5B98ABA0F3E9F553987F6EF815A634E4ECFACD7477F", "Open")</f>
        <v>Open</v>
      </c>
      <c r="J5060" t="s">
        <v>3803</v>
      </c>
      <c r="L5060">
        <v>29655000</v>
      </c>
      <c r="M5060">
        <v>2965500</v>
      </c>
    </row>
    <row r="5061" spans="1:13" x14ac:dyDescent="0.25">
      <c r="A5061" t="s">
        <v>16756</v>
      </c>
      <c r="B5061" t="s">
        <v>16757</v>
      </c>
      <c r="C5061" t="s">
        <v>121</v>
      </c>
      <c r="D5061" t="s">
        <v>578</v>
      </c>
      <c r="E5061" t="s">
        <v>15507</v>
      </c>
      <c r="F5061" t="s">
        <v>15560</v>
      </c>
      <c r="G5061" t="s">
        <v>16758</v>
      </c>
      <c r="H5061" t="str">
        <f>HYPERLINK("https://baanknet.com/view-property/280034/9D4EC415CF5E1781144D6673F75E7F4A0B0AB82D738DC7AA691FB84D802A2E51", "https://baanknet.com/view-property/280034/9D4EC415CF5E1781144D6673F75E7F4A0B0AB82D738DC7AA691FB84D802A2E51")</f>
        <v>https://baanknet.com/view-property/280034/9D4EC415CF5E1781144D6673F75E7F4A0B0AB82D738DC7AA691FB84D802A2E51</v>
      </c>
      <c r="I5061" t="str">
        <f>HYPERLINK("https://baanknet.com/view-property/280034/9D4EC415CF5E1781144D6673F75E7F4A0B0AB82D738DC7AA691FB84D802A2E51", "Open")</f>
        <v>Open</v>
      </c>
      <c r="J5061" t="s">
        <v>3803</v>
      </c>
      <c r="L5061">
        <v>31680000</v>
      </c>
      <c r="M5061">
        <v>3168000</v>
      </c>
    </row>
    <row r="5062" spans="1:13" x14ac:dyDescent="0.25">
      <c r="A5062" t="s">
        <v>16759</v>
      </c>
      <c r="B5062" t="s">
        <v>16760</v>
      </c>
      <c r="C5062" t="s">
        <v>121</v>
      </c>
      <c r="D5062" t="s">
        <v>2248</v>
      </c>
      <c r="E5062" t="s">
        <v>15507</v>
      </c>
      <c r="F5062" t="s">
        <v>15560</v>
      </c>
      <c r="G5062" t="s">
        <v>16761</v>
      </c>
      <c r="H5062" t="str">
        <f>HYPERLINK("https://baanknet.com/view-property/280044/6F438172E4405CA3ECDCB1714FA06B68142D3CF0EF8F88458D5769F6AF9582ED", "https://baanknet.com/view-property/280044/6F438172E4405CA3ECDCB1714FA06B68142D3CF0EF8F88458D5769F6AF9582ED")</f>
        <v>https://baanknet.com/view-property/280044/6F438172E4405CA3ECDCB1714FA06B68142D3CF0EF8F88458D5769F6AF9582ED</v>
      </c>
      <c r="I5062" t="str">
        <f>HYPERLINK("https://baanknet.com/view-property/280044/6F438172E4405CA3ECDCB1714FA06B68142D3CF0EF8F88458D5769F6AF9582ED", "Open")</f>
        <v>Open</v>
      </c>
      <c r="J5062" t="s">
        <v>3803</v>
      </c>
      <c r="L5062">
        <v>26412000</v>
      </c>
      <c r="M5062">
        <v>2641200</v>
      </c>
    </row>
    <row r="5063" spans="1:13" x14ac:dyDescent="0.25">
      <c r="A5063" t="s">
        <v>16762</v>
      </c>
      <c r="B5063" t="s">
        <v>16763</v>
      </c>
      <c r="C5063" t="s">
        <v>121</v>
      </c>
      <c r="D5063" t="s">
        <v>2248</v>
      </c>
      <c r="E5063" t="s">
        <v>15507</v>
      </c>
      <c r="F5063" t="s">
        <v>15560</v>
      </c>
      <c r="G5063" t="s">
        <v>16764</v>
      </c>
      <c r="H5063" t="str">
        <f>HYPERLINK("https://baanknet.com/view-property/280050/D451BF747A7BC1A8032DC752F03CAA5962F1BEEF3781E34FF2FB53382DBB933E", "https://baanknet.com/view-property/280050/D451BF747A7BC1A8032DC752F03CAA5962F1BEEF3781E34FF2FB53382DBB933E")</f>
        <v>https://baanknet.com/view-property/280050/D451BF747A7BC1A8032DC752F03CAA5962F1BEEF3781E34FF2FB53382DBB933E</v>
      </c>
      <c r="I5063" t="str">
        <f>HYPERLINK("https://baanknet.com/view-property/280050/D451BF747A7BC1A8032DC752F03CAA5962F1BEEF3781E34FF2FB53382DBB933E", "Open")</f>
        <v>Open</v>
      </c>
      <c r="J5063" t="s">
        <v>3803</v>
      </c>
      <c r="L5063">
        <v>24183000</v>
      </c>
      <c r="M5063">
        <v>2418300</v>
      </c>
    </row>
    <row r="5064" spans="1:13" x14ac:dyDescent="0.25">
      <c r="A5064" t="s">
        <v>16765</v>
      </c>
      <c r="B5064" t="s">
        <v>16766</v>
      </c>
      <c r="C5064" t="s">
        <v>121</v>
      </c>
      <c r="D5064" t="s">
        <v>2248</v>
      </c>
      <c r="E5064" t="s">
        <v>15507</v>
      </c>
      <c r="F5064" t="s">
        <v>15560</v>
      </c>
      <c r="G5064" t="s">
        <v>16767</v>
      </c>
      <c r="H5064" t="str">
        <f>HYPERLINK("https://baanknet.com/view-property/280054/B45B06712B985A345188205CB72297C93AFD237F8765F3297A0849DBC3C7E5DF", "https://baanknet.com/view-property/280054/B45B06712B985A345188205CB72297C93AFD237F8765F3297A0849DBC3C7E5DF")</f>
        <v>https://baanknet.com/view-property/280054/B45B06712B985A345188205CB72297C93AFD237F8765F3297A0849DBC3C7E5DF</v>
      </c>
      <c r="I5064" t="str">
        <f>HYPERLINK("https://baanknet.com/view-property/280054/B45B06712B985A345188205CB72297C93AFD237F8765F3297A0849DBC3C7E5DF", "Open")</f>
        <v>Open</v>
      </c>
      <c r="J5064" t="s">
        <v>3803</v>
      </c>
      <c r="L5064">
        <v>4055000</v>
      </c>
      <c r="M5064">
        <v>405500</v>
      </c>
    </row>
    <row r="5065" spans="1:13" x14ac:dyDescent="0.25">
      <c r="A5065" t="s">
        <v>16768</v>
      </c>
      <c r="B5065" t="s">
        <v>16769</v>
      </c>
      <c r="C5065" t="s">
        <v>121</v>
      </c>
      <c r="D5065" t="s">
        <v>2248</v>
      </c>
      <c r="E5065" t="s">
        <v>15507</v>
      </c>
      <c r="F5065" t="s">
        <v>15560</v>
      </c>
      <c r="G5065" t="s">
        <v>16770</v>
      </c>
      <c r="H5065" t="str">
        <f>HYPERLINK("https://baanknet.com/view-property/280063/4DE833AF193AEC27BB1E10E4095CBFB58A79AD1D2D14D5408BFC8379C86129CD", "https://baanknet.com/view-property/280063/4DE833AF193AEC27BB1E10E4095CBFB58A79AD1D2D14D5408BFC8379C86129CD")</f>
        <v>https://baanknet.com/view-property/280063/4DE833AF193AEC27BB1E10E4095CBFB58A79AD1D2D14D5408BFC8379C86129CD</v>
      </c>
      <c r="I5065" t="str">
        <f>HYPERLINK("https://baanknet.com/view-property/280063/4DE833AF193AEC27BB1E10E4095CBFB58A79AD1D2D14D5408BFC8379C86129CD", "Open")</f>
        <v>Open</v>
      </c>
      <c r="J5065" t="s">
        <v>3803</v>
      </c>
      <c r="L5065">
        <v>28328000</v>
      </c>
      <c r="M5065">
        <v>2832800</v>
      </c>
    </row>
    <row r="5066" spans="1:13" x14ac:dyDescent="0.25">
      <c r="A5066" t="s">
        <v>16771</v>
      </c>
      <c r="B5066" t="s">
        <v>16772</v>
      </c>
      <c r="C5066" t="s">
        <v>121</v>
      </c>
      <c r="D5066" t="s">
        <v>2248</v>
      </c>
      <c r="E5066" t="s">
        <v>15507</v>
      </c>
      <c r="F5066" t="s">
        <v>15560</v>
      </c>
      <c r="G5066" t="s">
        <v>16773</v>
      </c>
      <c r="H5066" t="str">
        <f>HYPERLINK("https://baanknet.com/view-property/280069/071FC3B95D53879AC4E59D08A4B31FEA278D71E3712285BC9BD1687C03E2D2CE", "https://baanknet.com/view-property/280069/071FC3B95D53879AC4E59D08A4B31FEA278D71E3712285BC9BD1687C03E2D2CE")</f>
        <v>https://baanknet.com/view-property/280069/071FC3B95D53879AC4E59D08A4B31FEA278D71E3712285BC9BD1687C03E2D2CE</v>
      </c>
      <c r="I5066" t="str">
        <f>HYPERLINK("https://baanknet.com/view-property/280069/071FC3B95D53879AC4E59D08A4B31FEA278D71E3712285BC9BD1687C03E2D2CE", "Open")</f>
        <v>Open</v>
      </c>
      <c r="J5066" t="s">
        <v>3803</v>
      </c>
      <c r="L5066">
        <v>10676000</v>
      </c>
      <c r="M5066">
        <v>1067600</v>
      </c>
    </row>
    <row r="5067" spans="1:13" x14ac:dyDescent="0.25">
      <c r="A5067" t="s">
        <v>16774</v>
      </c>
      <c r="B5067" t="s">
        <v>16775</v>
      </c>
      <c r="C5067" t="s">
        <v>121</v>
      </c>
      <c r="D5067" t="s">
        <v>2248</v>
      </c>
      <c r="E5067" t="s">
        <v>15507</v>
      </c>
      <c r="F5067" t="s">
        <v>15560</v>
      </c>
      <c r="G5067" t="s">
        <v>16776</v>
      </c>
      <c r="H5067" t="str">
        <f>HYPERLINK("https://baanknet.com/view-property/280077/1CA1EA1AB06702B9A5E273CC3C495495EADB40418DF57D8D591C62FA1417F59B", "https://baanknet.com/view-property/280077/1CA1EA1AB06702B9A5E273CC3C495495EADB40418DF57D8D591C62FA1417F59B")</f>
        <v>https://baanknet.com/view-property/280077/1CA1EA1AB06702B9A5E273CC3C495495EADB40418DF57D8D591C62FA1417F59B</v>
      </c>
      <c r="I5067" t="str">
        <f>HYPERLINK("https://baanknet.com/view-property/280077/1CA1EA1AB06702B9A5E273CC3C495495EADB40418DF57D8D591C62FA1417F59B", "Open")</f>
        <v>Open</v>
      </c>
      <c r="J5067" t="s">
        <v>3803</v>
      </c>
      <c r="L5067">
        <v>4668000</v>
      </c>
      <c r="M5067">
        <v>466800</v>
      </c>
    </row>
    <row r="5068" spans="1:13" x14ac:dyDescent="0.25">
      <c r="A5068" t="s">
        <v>16777</v>
      </c>
      <c r="B5068" t="s">
        <v>16778</v>
      </c>
      <c r="C5068" t="s">
        <v>571</v>
      </c>
      <c r="D5068" t="s">
        <v>8454</v>
      </c>
      <c r="E5068" t="s">
        <v>15507</v>
      </c>
      <c r="F5068" t="s">
        <v>15560</v>
      </c>
      <c r="G5068" t="s">
        <v>16779</v>
      </c>
      <c r="H5068" t="str">
        <f>HYPERLINK("https://baanknet.com/view-property/26053/81688DC898F37CDD83F30B3A579822052975D82876E920CB734AEAB495C9423F", "https://baanknet.com/view-property/26053/81688DC898F37CDD83F30B3A579822052975D82876E920CB734AEAB495C9423F")</f>
        <v>https://baanknet.com/view-property/26053/81688DC898F37CDD83F30B3A579822052975D82876E920CB734AEAB495C9423F</v>
      </c>
      <c r="I5068" t="str">
        <f>HYPERLINK("https://baanknet.com/view-property/26053/81688DC898F37CDD83F30B3A579822052975D82876E920CB734AEAB495C9423F", "Open")</f>
        <v>Open</v>
      </c>
      <c r="J5068" t="s">
        <v>3803</v>
      </c>
      <c r="L5068">
        <v>1333000</v>
      </c>
      <c r="M5068">
        <v>133300</v>
      </c>
    </row>
    <row r="5069" spans="1:13" x14ac:dyDescent="0.25">
      <c r="A5069" t="s">
        <v>16780</v>
      </c>
      <c r="B5069" t="s">
        <v>16781</v>
      </c>
      <c r="C5069" t="s">
        <v>121</v>
      </c>
      <c r="D5069" t="s">
        <v>533</v>
      </c>
      <c r="E5069" t="s">
        <v>15507</v>
      </c>
      <c r="F5069" t="s">
        <v>15560</v>
      </c>
      <c r="G5069" t="s">
        <v>16782</v>
      </c>
      <c r="H5069" t="str">
        <f>HYPERLINK("https://baanknet.com/view-property/233079/53DBA586093AB0622414530C2332FA5A989294BA7D17CD0AA8DDEE26EF6F94D2", "https://baanknet.com/view-property/233079/53DBA586093AB0622414530C2332FA5A989294BA7D17CD0AA8DDEE26EF6F94D2")</f>
        <v>https://baanknet.com/view-property/233079/53DBA586093AB0622414530C2332FA5A989294BA7D17CD0AA8DDEE26EF6F94D2</v>
      </c>
      <c r="I5069" t="str">
        <f>HYPERLINK("https://baanknet.com/view-property/233079/53DBA586093AB0622414530C2332FA5A989294BA7D17CD0AA8DDEE26EF6F94D2", "Open")</f>
        <v>Open</v>
      </c>
      <c r="J5069" t="s">
        <v>3803</v>
      </c>
      <c r="L5069">
        <v>27200000</v>
      </c>
      <c r="M5069">
        <v>2720000</v>
      </c>
    </row>
    <row r="5070" spans="1:13" x14ac:dyDescent="0.25">
      <c r="A5070" t="s">
        <v>16783</v>
      </c>
      <c r="B5070" t="s">
        <v>16784</v>
      </c>
      <c r="C5070" t="s">
        <v>121</v>
      </c>
      <c r="D5070" t="s">
        <v>16785</v>
      </c>
      <c r="E5070" t="s">
        <v>15507</v>
      </c>
      <c r="F5070" t="s">
        <v>15560</v>
      </c>
      <c r="G5070" t="s">
        <v>16786</v>
      </c>
      <c r="H5070" t="str">
        <f>HYPERLINK("https://baanknet.com/view-property/174745/9B9FD386C89F40E6B23AFA58D722F704450D9C812EBCCD2A6ABAF4112C0F2E93", "https://baanknet.com/view-property/174745/9B9FD386C89F40E6B23AFA58D722F704450D9C812EBCCD2A6ABAF4112C0F2E93")</f>
        <v>https://baanknet.com/view-property/174745/9B9FD386C89F40E6B23AFA58D722F704450D9C812EBCCD2A6ABAF4112C0F2E93</v>
      </c>
      <c r="I5070" t="str">
        <f>HYPERLINK("https://baanknet.com/view-property/174745/9B9FD386C89F40E6B23AFA58D722F704450D9C812EBCCD2A6ABAF4112C0F2E93", "Open")</f>
        <v>Open</v>
      </c>
      <c r="J5070" t="s">
        <v>3803</v>
      </c>
      <c r="L5070">
        <v>2290000</v>
      </c>
      <c r="M5070">
        <v>229000</v>
      </c>
    </row>
    <row r="5071" spans="1:13" x14ac:dyDescent="0.25">
      <c r="A5071" t="s">
        <v>16787</v>
      </c>
      <c r="B5071" t="s">
        <v>16788</v>
      </c>
      <c r="C5071" t="s">
        <v>121</v>
      </c>
      <c r="D5071" t="s">
        <v>2742</v>
      </c>
      <c r="E5071" t="s">
        <v>15507</v>
      </c>
      <c r="F5071" t="s">
        <v>15560</v>
      </c>
      <c r="G5071" t="s">
        <v>16789</v>
      </c>
      <c r="H5071" t="str">
        <f>HYPERLINK("https://baanknet.com/view-property/287023/7CC0B5B6B79B82C3AB90C9DF507BE88CFDD021DDECA02507E547CC4D68EC7A2D", "https://baanknet.com/view-property/287023/7CC0B5B6B79B82C3AB90C9DF507BE88CFDD021DDECA02507E547CC4D68EC7A2D")</f>
        <v>https://baanknet.com/view-property/287023/7CC0B5B6B79B82C3AB90C9DF507BE88CFDD021DDECA02507E547CC4D68EC7A2D</v>
      </c>
      <c r="I5071" t="str">
        <f>HYPERLINK("https://baanknet.com/view-property/287023/7CC0B5B6B79B82C3AB90C9DF507BE88CFDD021DDECA02507E547CC4D68EC7A2D", "Open")</f>
        <v>Open</v>
      </c>
      <c r="J5071" t="s">
        <v>3803</v>
      </c>
      <c r="L5071">
        <v>1020000</v>
      </c>
      <c r="M5071">
        <v>102000</v>
      </c>
    </row>
    <row r="5072" spans="1:13" x14ac:dyDescent="0.25">
      <c r="A5072" t="s">
        <v>16790</v>
      </c>
      <c r="B5072" t="s">
        <v>16791</v>
      </c>
      <c r="C5072" t="s">
        <v>121</v>
      </c>
      <c r="D5072" t="s">
        <v>2531</v>
      </c>
      <c r="E5072" t="s">
        <v>15507</v>
      </c>
      <c r="F5072" t="s">
        <v>15560</v>
      </c>
      <c r="G5072" t="s">
        <v>16792</v>
      </c>
      <c r="H5072" t="str">
        <f>HYPERLINK("https://baanknet.com/view-property/177273/939922E0616D5C5F9FE69CFF1907993543F7056F4C52DB9D2C6E92C882B93EAB", "https://baanknet.com/view-property/177273/939922E0616D5C5F9FE69CFF1907993543F7056F4C52DB9D2C6E92C882B93EAB")</f>
        <v>https://baanknet.com/view-property/177273/939922E0616D5C5F9FE69CFF1907993543F7056F4C52DB9D2C6E92C882B93EAB</v>
      </c>
      <c r="I5072" t="str">
        <f>HYPERLINK("https://baanknet.com/view-property/177273/939922E0616D5C5F9FE69CFF1907993543F7056F4C52DB9D2C6E92C882B93EAB", "Open")</f>
        <v>Open</v>
      </c>
      <c r="J5072" t="s">
        <v>3803</v>
      </c>
      <c r="L5072">
        <v>2100000</v>
      </c>
      <c r="M5072">
        <v>210000</v>
      </c>
    </row>
    <row r="5073" spans="1:13" x14ac:dyDescent="0.25">
      <c r="A5073" t="s">
        <v>16793</v>
      </c>
      <c r="B5073" t="s">
        <v>16794</v>
      </c>
      <c r="C5073" t="s">
        <v>121</v>
      </c>
      <c r="D5073" t="s">
        <v>16795</v>
      </c>
      <c r="E5073" t="s">
        <v>15507</v>
      </c>
      <c r="F5073" t="s">
        <v>15560</v>
      </c>
      <c r="G5073" t="s">
        <v>16796</v>
      </c>
      <c r="H5073" t="str">
        <f>HYPERLINK("https://baanknet.com/view-property/187723/D43F61A159F26A7BECCDF8E8594D9A5BB1A12668A6914FBBC8A2E235736AC3DA", "https://baanknet.com/view-property/187723/D43F61A159F26A7BECCDF8E8594D9A5BB1A12668A6914FBBC8A2E235736AC3DA")</f>
        <v>https://baanknet.com/view-property/187723/D43F61A159F26A7BECCDF8E8594D9A5BB1A12668A6914FBBC8A2E235736AC3DA</v>
      </c>
      <c r="I5073" t="str">
        <f>HYPERLINK("https://baanknet.com/view-property/187723/D43F61A159F26A7BECCDF8E8594D9A5BB1A12668A6914FBBC8A2E235736AC3DA", "Open")</f>
        <v>Open</v>
      </c>
      <c r="J5073" t="s">
        <v>3803</v>
      </c>
      <c r="L5073">
        <v>4335000</v>
      </c>
      <c r="M5073">
        <v>433500</v>
      </c>
    </row>
    <row r="5074" spans="1:13" x14ac:dyDescent="0.25">
      <c r="A5074" t="s">
        <v>16797</v>
      </c>
      <c r="B5074" t="s">
        <v>16798</v>
      </c>
      <c r="C5074" t="s">
        <v>121</v>
      </c>
      <c r="D5074" t="s">
        <v>2541</v>
      </c>
      <c r="E5074" t="s">
        <v>15507</v>
      </c>
      <c r="F5074" t="s">
        <v>15560</v>
      </c>
      <c r="G5074" t="s">
        <v>16799</v>
      </c>
      <c r="H5074" t="str">
        <f>HYPERLINK("https://baanknet.com/view-property/177281/6D818E713C327E09F874BCEA5BA8EB6979656E5604D877252F3F5F9EEACDD82D", "https://baanknet.com/view-property/177281/6D818E713C327E09F874BCEA5BA8EB6979656E5604D877252F3F5F9EEACDD82D")</f>
        <v>https://baanknet.com/view-property/177281/6D818E713C327E09F874BCEA5BA8EB6979656E5604D877252F3F5F9EEACDD82D</v>
      </c>
      <c r="I5074" t="str">
        <f>HYPERLINK("https://baanknet.com/view-property/177281/6D818E713C327E09F874BCEA5BA8EB6979656E5604D877252F3F5F9EEACDD82D", "Open")</f>
        <v>Open</v>
      </c>
      <c r="J5074" t="s">
        <v>3803</v>
      </c>
      <c r="L5074">
        <v>10200000</v>
      </c>
      <c r="M5074">
        <v>1020000</v>
      </c>
    </row>
    <row r="5075" spans="1:13" x14ac:dyDescent="0.25">
      <c r="A5075" t="s">
        <v>16800</v>
      </c>
      <c r="B5075" t="s">
        <v>16801</v>
      </c>
      <c r="C5075" t="s">
        <v>332</v>
      </c>
      <c r="D5075" t="s">
        <v>16802</v>
      </c>
      <c r="E5075" t="s">
        <v>15507</v>
      </c>
      <c r="F5075" t="s">
        <v>15560</v>
      </c>
      <c r="G5075" t="s">
        <v>16803</v>
      </c>
      <c r="H5075" t="str">
        <f>HYPERLINK("https://baanknet.com/view-property/287546/CCE66DF4C9BA7D6B3EE133F4D9AC7494BEBEE5CC1AB12280D125CACB6C713CA7", "https://baanknet.com/view-property/287546/CCE66DF4C9BA7D6B3EE133F4D9AC7494BEBEE5CC1AB12280D125CACB6C713CA7")</f>
        <v>https://baanknet.com/view-property/287546/CCE66DF4C9BA7D6B3EE133F4D9AC7494BEBEE5CC1AB12280D125CACB6C713CA7</v>
      </c>
      <c r="I5075" t="str">
        <f>HYPERLINK("https://baanknet.com/view-property/287546/CCE66DF4C9BA7D6B3EE133F4D9AC7494BEBEE5CC1AB12280D125CACB6C713CA7", "Open")</f>
        <v>Open</v>
      </c>
      <c r="J5075" t="s">
        <v>3803</v>
      </c>
      <c r="L5075">
        <v>6200000</v>
      </c>
      <c r="M5075">
        <v>620000</v>
      </c>
    </row>
    <row r="5076" spans="1:13" x14ac:dyDescent="0.25">
      <c r="A5076" t="s">
        <v>16804</v>
      </c>
      <c r="B5076" t="s">
        <v>16805</v>
      </c>
      <c r="C5076" t="s">
        <v>571</v>
      </c>
      <c r="D5076" t="s">
        <v>16806</v>
      </c>
      <c r="E5076" t="s">
        <v>15507</v>
      </c>
      <c r="F5076" t="s">
        <v>15608</v>
      </c>
      <c r="G5076" t="s">
        <v>16807</v>
      </c>
      <c r="H5076" t="str">
        <f>HYPERLINK("https://baanknet.com/view-property/216109/6A1FE925E91EC6642D4DB8FF1884A0DCE79597673B4C177E999DA476CE8B6B7E", "https://baanknet.com/view-property/216109/6A1FE925E91EC6642D4DB8FF1884A0DCE79597673B4C177E999DA476CE8B6B7E")</f>
        <v>https://baanknet.com/view-property/216109/6A1FE925E91EC6642D4DB8FF1884A0DCE79597673B4C177E999DA476CE8B6B7E</v>
      </c>
      <c r="I5076" t="str">
        <f>HYPERLINK("https://baanknet.com/view-property/216109/6A1FE925E91EC6642D4DB8FF1884A0DCE79597673B4C177E999DA476CE8B6B7E", "Open")</f>
        <v>Open</v>
      </c>
      <c r="J5076" t="s">
        <v>3803</v>
      </c>
      <c r="L5076">
        <v>9700000</v>
      </c>
      <c r="M5076">
        <v>970000</v>
      </c>
    </row>
    <row r="5077" spans="1:13" x14ac:dyDescent="0.25">
      <c r="A5077" t="s">
        <v>16808</v>
      </c>
      <c r="B5077" t="s">
        <v>16809</v>
      </c>
      <c r="C5077" t="s">
        <v>571</v>
      </c>
      <c r="D5077" t="s">
        <v>3225</v>
      </c>
      <c r="E5077" t="s">
        <v>15507</v>
      </c>
      <c r="F5077" t="s">
        <v>15608</v>
      </c>
      <c r="G5077" t="s">
        <v>16810</v>
      </c>
      <c r="H5077" t="str">
        <f>HYPERLINK("https://baanknet.com/view-property/213463/60AC649F6A967C8085B7A7BC41A9069D231B4F994436CFBF0BD482DB7CB537D6", "https://baanknet.com/view-property/213463/60AC649F6A967C8085B7A7BC41A9069D231B4F994436CFBF0BD482DB7CB537D6")</f>
        <v>https://baanknet.com/view-property/213463/60AC649F6A967C8085B7A7BC41A9069D231B4F994436CFBF0BD482DB7CB537D6</v>
      </c>
      <c r="I5077" t="str">
        <f>HYPERLINK("https://baanknet.com/view-property/213463/60AC649F6A967C8085B7A7BC41A9069D231B4F994436CFBF0BD482DB7CB537D6", "Open")</f>
        <v>Open</v>
      </c>
      <c r="J5077" t="s">
        <v>3803</v>
      </c>
      <c r="L5077">
        <v>2000000</v>
      </c>
      <c r="M5077">
        <v>200000</v>
      </c>
    </row>
    <row r="5078" spans="1:13" x14ac:dyDescent="0.25">
      <c r="A5078" t="s">
        <v>16811</v>
      </c>
      <c r="B5078" t="s">
        <v>16812</v>
      </c>
      <c r="C5078" t="s">
        <v>571</v>
      </c>
      <c r="D5078" t="s">
        <v>4379</v>
      </c>
      <c r="E5078" t="s">
        <v>15507</v>
      </c>
      <c r="F5078" t="s">
        <v>15608</v>
      </c>
      <c r="G5078" t="s">
        <v>16813</v>
      </c>
      <c r="H5078" t="str">
        <f>HYPERLINK("https://baanknet.com/view-property/251827/D2B7E6B902F937177ABA32802A03E180B0F16DF70C6FA2F646B384AFAD267486", "https://baanknet.com/view-property/251827/D2B7E6B902F937177ABA32802A03E180B0F16DF70C6FA2F646B384AFAD267486")</f>
        <v>https://baanknet.com/view-property/251827/D2B7E6B902F937177ABA32802A03E180B0F16DF70C6FA2F646B384AFAD267486</v>
      </c>
      <c r="I5078" t="str">
        <f>HYPERLINK("https://baanknet.com/view-property/251827/D2B7E6B902F937177ABA32802A03E180B0F16DF70C6FA2F646B384AFAD267486", "Open")</f>
        <v>Open</v>
      </c>
      <c r="J5078" t="s">
        <v>3803</v>
      </c>
      <c r="L5078">
        <v>2200000</v>
      </c>
      <c r="M5078">
        <v>220000</v>
      </c>
    </row>
    <row r="5079" spans="1:13" x14ac:dyDescent="0.25">
      <c r="A5079" t="s">
        <v>16814</v>
      </c>
      <c r="B5079" t="s">
        <v>16815</v>
      </c>
      <c r="C5079" t="s">
        <v>15</v>
      </c>
      <c r="D5079" t="s">
        <v>3250</v>
      </c>
      <c r="E5079" t="s">
        <v>15507</v>
      </c>
      <c r="F5079" t="s">
        <v>15608</v>
      </c>
      <c r="G5079" t="s">
        <v>16816</v>
      </c>
      <c r="H5079" t="str">
        <f>HYPERLINK("https://baanknet.com/view-property/240296/E93C9CFBB1C571865E1C1F776952BD628F101B33DE8733E1777F62B7C82C1106", "https://baanknet.com/view-property/240296/E93C9CFBB1C571865E1C1F776952BD628F101B33DE8733E1777F62B7C82C1106")</f>
        <v>https://baanknet.com/view-property/240296/E93C9CFBB1C571865E1C1F776952BD628F101B33DE8733E1777F62B7C82C1106</v>
      </c>
      <c r="I5079" t="str">
        <f>HYPERLINK("https://baanknet.com/view-property/240296/E93C9CFBB1C571865E1C1F776952BD628F101B33DE8733E1777F62B7C82C1106", "Open")</f>
        <v>Open</v>
      </c>
      <c r="J5079" t="s">
        <v>3803</v>
      </c>
      <c r="L5079">
        <v>2860000</v>
      </c>
      <c r="M5079">
        <v>286000</v>
      </c>
    </row>
    <row r="5080" spans="1:13" x14ac:dyDescent="0.25">
      <c r="A5080" t="s">
        <v>16817</v>
      </c>
      <c r="B5080" t="s">
        <v>16818</v>
      </c>
      <c r="C5080" t="s">
        <v>589</v>
      </c>
      <c r="D5080" t="s">
        <v>10904</v>
      </c>
      <c r="E5080" t="s">
        <v>15507</v>
      </c>
      <c r="F5080" t="s">
        <v>15608</v>
      </c>
      <c r="G5080" t="s">
        <v>16819</v>
      </c>
      <c r="H5080" t="str">
        <f>HYPERLINK("https://baanknet.com/view-property/286600/465A165A672EBED06688B7C4EE4474BF523E26A9B38918B84BD175BBDA43D1FC", "https://baanknet.com/view-property/286600/465A165A672EBED06688B7C4EE4474BF523E26A9B38918B84BD175BBDA43D1FC")</f>
        <v>https://baanknet.com/view-property/286600/465A165A672EBED06688B7C4EE4474BF523E26A9B38918B84BD175BBDA43D1FC</v>
      </c>
      <c r="I5080" t="str">
        <f>HYPERLINK("https://baanknet.com/view-property/286600/465A165A672EBED06688B7C4EE4474BF523E26A9B38918B84BD175BBDA43D1FC", "Open")</f>
        <v>Open</v>
      </c>
      <c r="J5080" t="s">
        <v>3803</v>
      </c>
      <c r="L5080">
        <v>6347000</v>
      </c>
      <c r="M5080">
        <v>634700</v>
      </c>
    </row>
    <row r="5081" spans="1:13" x14ac:dyDescent="0.25">
      <c r="A5081" t="s">
        <v>16820</v>
      </c>
      <c r="B5081" t="s">
        <v>16821</v>
      </c>
      <c r="C5081" t="s">
        <v>571</v>
      </c>
      <c r="D5081" t="s">
        <v>4301</v>
      </c>
      <c r="E5081" t="s">
        <v>15507</v>
      </c>
      <c r="F5081" t="s">
        <v>15608</v>
      </c>
      <c r="G5081" t="s">
        <v>16822</v>
      </c>
      <c r="H5081" t="str">
        <f>HYPERLINK("https://baanknet.com/view-property/33612/DB9D64E08026852ED0495D7DC0DA0D340756CDA12D9DADF6E27F072AF965EE86", "https://baanknet.com/view-property/33612/DB9D64E08026852ED0495D7DC0DA0D340756CDA12D9DADF6E27F072AF965EE86")</f>
        <v>https://baanknet.com/view-property/33612/DB9D64E08026852ED0495D7DC0DA0D340756CDA12D9DADF6E27F072AF965EE86</v>
      </c>
      <c r="I5081" t="str">
        <f>HYPERLINK("https://baanknet.com/view-property/33612/DB9D64E08026852ED0495D7DC0DA0D340756CDA12D9DADF6E27F072AF965EE86", "Open")</f>
        <v>Open</v>
      </c>
      <c r="J5081" t="s">
        <v>3803</v>
      </c>
      <c r="L5081">
        <v>956000</v>
      </c>
      <c r="M5081">
        <v>95600</v>
      </c>
    </row>
    <row r="5082" spans="1:13" x14ac:dyDescent="0.25">
      <c r="A5082" t="s">
        <v>16823</v>
      </c>
      <c r="B5082" t="s">
        <v>16824</v>
      </c>
      <c r="C5082" t="s">
        <v>571</v>
      </c>
      <c r="D5082" t="s">
        <v>6876</v>
      </c>
      <c r="E5082" t="s">
        <v>15507</v>
      </c>
      <c r="F5082" t="s">
        <v>15608</v>
      </c>
      <c r="G5082" t="s">
        <v>16825</v>
      </c>
      <c r="H5082" t="str">
        <f>HYPERLINK("https://baanknet.com/view-property/277490/9C91CFB2CA846E130714E0A7E7B88774F5615C36F02EB47FE58B4221D531AE66", "https://baanknet.com/view-property/277490/9C91CFB2CA846E130714E0A7E7B88774F5615C36F02EB47FE58B4221D531AE66")</f>
        <v>https://baanknet.com/view-property/277490/9C91CFB2CA846E130714E0A7E7B88774F5615C36F02EB47FE58B4221D531AE66</v>
      </c>
      <c r="I5082" t="str">
        <f>HYPERLINK("https://baanknet.com/view-property/277490/9C91CFB2CA846E130714E0A7E7B88774F5615C36F02EB47FE58B4221D531AE66", "Open")</f>
        <v>Open</v>
      </c>
      <c r="J5082" t="s">
        <v>3803</v>
      </c>
      <c r="L5082">
        <v>6350000</v>
      </c>
      <c r="M5082">
        <v>635000</v>
      </c>
    </row>
    <row r="5083" spans="1:13" x14ac:dyDescent="0.25">
      <c r="A5083" t="s">
        <v>16826</v>
      </c>
      <c r="B5083" t="s">
        <v>16827</v>
      </c>
      <c r="C5083" t="s">
        <v>571</v>
      </c>
      <c r="D5083" t="s">
        <v>16828</v>
      </c>
      <c r="E5083" t="s">
        <v>15507</v>
      </c>
      <c r="F5083" t="s">
        <v>15608</v>
      </c>
      <c r="G5083" t="s">
        <v>16829</v>
      </c>
      <c r="H5083" t="str">
        <f>HYPERLINK("https://baanknet.com/view-property/123440/98CCAF7A0FAF242767F45986771D000E5036A3E39293ED35CF9A501D5228E13E", "https://baanknet.com/view-property/123440/98CCAF7A0FAF242767F45986771D000E5036A3E39293ED35CF9A501D5228E13E")</f>
        <v>https://baanknet.com/view-property/123440/98CCAF7A0FAF242767F45986771D000E5036A3E39293ED35CF9A501D5228E13E</v>
      </c>
      <c r="I5083" t="str">
        <f>HYPERLINK("https://baanknet.com/view-property/123440/98CCAF7A0FAF242767F45986771D000E5036A3E39293ED35CF9A501D5228E13E", "Open")</f>
        <v>Open</v>
      </c>
      <c r="J5083" t="s">
        <v>3803</v>
      </c>
    </row>
    <row r="5084" spans="1:13" x14ac:dyDescent="0.25">
      <c r="A5084" t="s">
        <v>16830</v>
      </c>
      <c r="B5084" t="s">
        <v>16831</v>
      </c>
      <c r="C5084" t="s">
        <v>589</v>
      </c>
      <c r="D5084" t="s">
        <v>422</v>
      </c>
      <c r="E5084" t="s">
        <v>15507</v>
      </c>
      <c r="F5084" t="s">
        <v>15608</v>
      </c>
      <c r="G5084" t="s">
        <v>16832</v>
      </c>
      <c r="H5084" t="str">
        <f>HYPERLINK("https://baanknet.com/view-property/287669/17434AE3C6B74B380EBAA9F6BDFE5949489030598DC96DD511BEE5D9AFA69B38", "https://baanknet.com/view-property/287669/17434AE3C6B74B380EBAA9F6BDFE5949489030598DC96DD511BEE5D9AFA69B38")</f>
        <v>https://baanknet.com/view-property/287669/17434AE3C6B74B380EBAA9F6BDFE5949489030598DC96DD511BEE5D9AFA69B38</v>
      </c>
      <c r="I5084" t="str">
        <f>HYPERLINK("https://baanknet.com/view-property/287669/17434AE3C6B74B380EBAA9F6BDFE5949489030598DC96DD511BEE5D9AFA69B38", "Open")</f>
        <v>Open</v>
      </c>
      <c r="J5084" t="s">
        <v>3803</v>
      </c>
      <c r="L5084">
        <v>19000000</v>
      </c>
      <c r="M5084">
        <v>1900000</v>
      </c>
    </row>
    <row r="5085" spans="1:13" x14ac:dyDescent="0.25">
      <c r="A5085" t="s">
        <v>16833</v>
      </c>
      <c r="B5085" t="s">
        <v>16834</v>
      </c>
      <c r="C5085" t="s">
        <v>7449</v>
      </c>
      <c r="D5085" t="s">
        <v>778</v>
      </c>
      <c r="E5085" t="s">
        <v>15507</v>
      </c>
      <c r="F5085" t="s">
        <v>15608</v>
      </c>
      <c r="G5085" t="s">
        <v>16835</v>
      </c>
      <c r="H5085" t="str">
        <f>HYPERLINK("https://baanknet.com/view-property/237021/738EF4B1A75637453C8F9CA66970C6C6F718F0C86B793FF42B956E5E67771B15", "https://baanknet.com/view-property/237021/738EF4B1A75637453C8F9CA66970C6C6F718F0C86B793FF42B956E5E67771B15")</f>
        <v>https://baanknet.com/view-property/237021/738EF4B1A75637453C8F9CA66970C6C6F718F0C86B793FF42B956E5E67771B15</v>
      </c>
      <c r="I5085" t="str">
        <f>HYPERLINK("https://baanknet.com/view-property/237021/738EF4B1A75637453C8F9CA66970C6C6F718F0C86B793FF42B956E5E67771B15", "Open")</f>
        <v>Open</v>
      </c>
      <c r="J5085" t="s">
        <v>3803</v>
      </c>
      <c r="L5085">
        <v>6715000</v>
      </c>
      <c r="M5085">
        <v>671500</v>
      </c>
    </row>
    <row r="5086" spans="1:13" x14ac:dyDescent="0.25">
      <c r="A5086" t="s">
        <v>16836</v>
      </c>
      <c r="B5086" t="s">
        <v>16837</v>
      </c>
      <c r="C5086" t="s">
        <v>7449</v>
      </c>
      <c r="D5086" t="s">
        <v>16838</v>
      </c>
      <c r="E5086" t="s">
        <v>15507</v>
      </c>
      <c r="F5086" t="s">
        <v>15608</v>
      </c>
      <c r="G5086" t="s">
        <v>16839</v>
      </c>
      <c r="H5086" t="str">
        <f>HYPERLINK("https://baanknet.com/view-property/271549/FB539DD8B531D379153A5E4C4298247244CBA34EB7F0D078F8B963ACE33F2E1E", "https://baanknet.com/view-property/271549/FB539DD8B531D379153A5E4C4298247244CBA34EB7F0D078F8B963ACE33F2E1E")</f>
        <v>https://baanknet.com/view-property/271549/FB539DD8B531D379153A5E4C4298247244CBA34EB7F0D078F8B963ACE33F2E1E</v>
      </c>
      <c r="I5086" t="str">
        <f>HYPERLINK("https://baanknet.com/view-property/271549/FB539DD8B531D379153A5E4C4298247244CBA34EB7F0D078F8B963ACE33F2E1E", "Open")</f>
        <v>Open</v>
      </c>
      <c r="J5086" t="s">
        <v>3803</v>
      </c>
      <c r="L5086">
        <v>4500000</v>
      </c>
      <c r="M5086">
        <v>450000</v>
      </c>
    </row>
    <row r="5087" spans="1:13" x14ac:dyDescent="0.25">
      <c r="A5087" t="s">
        <v>16840</v>
      </c>
      <c r="B5087" t="s">
        <v>16841</v>
      </c>
      <c r="C5087" t="s">
        <v>387</v>
      </c>
      <c r="D5087" t="s">
        <v>16842</v>
      </c>
      <c r="E5087" t="s">
        <v>15507</v>
      </c>
      <c r="F5087" t="s">
        <v>15608</v>
      </c>
      <c r="G5087" t="s">
        <v>16843</v>
      </c>
      <c r="H5087" t="str">
        <f>HYPERLINK("https://baanknet.com/view-property/259127/65555FEE4B13C381CE8EB5EC62A8229530DFF6706C6E2F25B11897A3970F6861", "https://baanknet.com/view-property/259127/65555FEE4B13C381CE8EB5EC62A8229530DFF6706C6E2F25B11897A3970F6861")</f>
        <v>https://baanknet.com/view-property/259127/65555FEE4B13C381CE8EB5EC62A8229530DFF6706C6E2F25B11897A3970F6861</v>
      </c>
      <c r="I5087" t="str">
        <f>HYPERLINK("https://baanknet.com/view-property/259127/65555FEE4B13C381CE8EB5EC62A8229530DFF6706C6E2F25B11897A3970F6861", "Open")</f>
        <v>Open</v>
      </c>
      <c r="J5087" t="s">
        <v>3803</v>
      </c>
      <c r="L5087">
        <v>1050000</v>
      </c>
      <c r="M5087">
        <v>105000</v>
      </c>
    </row>
    <row r="5088" spans="1:13" x14ac:dyDescent="0.25">
      <c r="A5088" t="s">
        <v>16844</v>
      </c>
      <c r="B5088" t="s">
        <v>16845</v>
      </c>
      <c r="C5088" t="s">
        <v>387</v>
      </c>
      <c r="D5088" t="s">
        <v>16846</v>
      </c>
      <c r="E5088" t="s">
        <v>15507</v>
      </c>
      <c r="F5088" t="s">
        <v>15608</v>
      </c>
      <c r="G5088" t="s">
        <v>16847</v>
      </c>
      <c r="H5088" t="str">
        <f>HYPERLINK("https://baanknet.com/view-property/278890/83C1D65BC6BAA21214387B5BD1BB7883E145BF02D258C8EC4D92AFD416640431", "https://baanknet.com/view-property/278890/83C1D65BC6BAA21214387B5BD1BB7883E145BF02D258C8EC4D92AFD416640431")</f>
        <v>https://baanknet.com/view-property/278890/83C1D65BC6BAA21214387B5BD1BB7883E145BF02D258C8EC4D92AFD416640431</v>
      </c>
      <c r="I5088" t="str">
        <f>HYPERLINK("https://baanknet.com/view-property/278890/83C1D65BC6BAA21214387B5BD1BB7883E145BF02D258C8EC4D92AFD416640431", "Open")</f>
        <v>Open</v>
      </c>
      <c r="J5088" t="s">
        <v>3803</v>
      </c>
      <c r="L5088">
        <v>3946000</v>
      </c>
      <c r="M5088">
        <v>394600</v>
      </c>
    </row>
    <row r="5089" spans="1:13" x14ac:dyDescent="0.25">
      <c r="A5089" t="s">
        <v>16848</v>
      </c>
      <c r="B5089" t="s">
        <v>16849</v>
      </c>
      <c r="C5089" t="s">
        <v>387</v>
      </c>
      <c r="D5089" t="s">
        <v>11438</v>
      </c>
      <c r="E5089" t="s">
        <v>15507</v>
      </c>
      <c r="F5089" t="s">
        <v>15608</v>
      </c>
      <c r="G5089" t="s">
        <v>16850</v>
      </c>
      <c r="H5089" t="str">
        <f>HYPERLINK("https://baanknet.com/view-property/225846/068351572F00AC70051EE87E8F490B6EA47F57AC04F22902D814F1C56A5CD6F9", "https://baanknet.com/view-property/225846/068351572F00AC70051EE87E8F490B6EA47F57AC04F22902D814F1C56A5CD6F9")</f>
        <v>https://baanknet.com/view-property/225846/068351572F00AC70051EE87E8F490B6EA47F57AC04F22902D814F1C56A5CD6F9</v>
      </c>
      <c r="I5089" t="str">
        <f>HYPERLINK("https://baanknet.com/view-property/225846/068351572F00AC70051EE87E8F490B6EA47F57AC04F22902D814F1C56A5CD6F9", "Open")</f>
        <v>Open</v>
      </c>
      <c r="J5089" t="s">
        <v>3803</v>
      </c>
      <c r="L5089">
        <v>2240000</v>
      </c>
      <c r="M5089">
        <v>224000</v>
      </c>
    </row>
    <row r="5090" spans="1:13" x14ac:dyDescent="0.25">
      <c r="A5090" t="s">
        <v>16851</v>
      </c>
      <c r="B5090" t="s">
        <v>16852</v>
      </c>
      <c r="C5090" t="s">
        <v>387</v>
      </c>
      <c r="D5090" t="s">
        <v>16853</v>
      </c>
      <c r="E5090" t="s">
        <v>15507</v>
      </c>
      <c r="F5090" t="s">
        <v>15608</v>
      </c>
      <c r="G5090" t="s">
        <v>16854</v>
      </c>
      <c r="H5090" t="str">
        <f>HYPERLINK("https://baanknet.com/view-property/278878/30B42F29A5457AA7DE787E839C7686BCAF9384A25D891A14286642F1B7868383", "https://baanknet.com/view-property/278878/30B42F29A5457AA7DE787E839C7686BCAF9384A25D891A14286642F1B7868383")</f>
        <v>https://baanknet.com/view-property/278878/30B42F29A5457AA7DE787E839C7686BCAF9384A25D891A14286642F1B7868383</v>
      </c>
      <c r="I5090" t="str">
        <f>HYPERLINK("https://baanknet.com/view-property/278878/30B42F29A5457AA7DE787E839C7686BCAF9384A25D891A14286642F1B7868383", "Open")</f>
        <v>Open</v>
      </c>
      <c r="J5090" t="s">
        <v>3803</v>
      </c>
      <c r="L5090">
        <v>755000</v>
      </c>
      <c r="M5090">
        <v>75500</v>
      </c>
    </row>
    <row r="5091" spans="1:13" x14ac:dyDescent="0.25">
      <c r="A5091" t="s">
        <v>16855</v>
      </c>
      <c r="B5091" t="s">
        <v>16856</v>
      </c>
      <c r="C5091" t="s">
        <v>387</v>
      </c>
      <c r="D5091" t="s">
        <v>11438</v>
      </c>
      <c r="E5091" t="s">
        <v>15507</v>
      </c>
      <c r="F5091" t="s">
        <v>15608</v>
      </c>
      <c r="G5091" t="s">
        <v>16857</v>
      </c>
      <c r="H5091" t="str">
        <f>HYPERLINK("https://baanknet.com/view-property/278979/0072D5C0301A4E79FFBD1F4F1216EF31AA0613A212748E0983A3B72C911CF672", "https://baanknet.com/view-property/278979/0072D5C0301A4E79FFBD1F4F1216EF31AA0613A212748E0983A3B72C911CF672")</f>
        <v>https://baanknet.com/view-property/278979/0072D5C0301A4E79FFBD1F4F1216EF31AA0613A212748E0983A3B72C911CF672</v>
      </c>
      <c r="I5091" t="str">
        <f>HYPERLINK("https://baanknet.com/view-property/278979/0072D5C0301A4E79FFBD1F4F1216EF31AA0613A212748E0983A3B72C911CF672", "Open")</f>
        <v>Open</v>
      </c>
      <c r="J5091" t="s">
        <v>3803</v>
      </c>
      <c r="L5091">
        <v>1211000</v>
      </c>
      <c r="M5091">
        <v>121100</v>
      </c>
    </row>
    <row r="5092" spans="1:13" x14ac:dyDescent="0.25">
      <c r="A5092" t="s">
        <v>16858</v>
      </c>
      <c r="B5092" t="s">
        <v>16859</v>
      </c>
      <c r="C5092" t="s">
        <v>387</v>
      </c>
      <c r="D5092" t="s">
        <v>11438</v>
      </c>
      <c r="E5092" t="s">
        <v>15507</v>
      </c>
      <c r="F5092" t="s">
        <v>15608</v>
      </c>
      <c r="G5092" t="s">
        <v>16860</v>
      </c>
      <c r="H5092" t="str">
        <f>HYPERLINK("https://baanknet.com/view-property/259078/4F07FC95FA78E670AE3F4204335AFAA58A0AD394ACF4CA8E05A59B79E4C82365", "https://baanknet.com/view-property/259078/4F07FC95FA78E670AE3F4204335AFAA58A0AD394ACF4CA8E05A59B79E4C82365")</f>
        <v>https://baanknet.com/view-property/259078/4F07FC95FA78E670AE3F4204335AFAA58A0AD394ACF4CA8E05A59B79E4C82365</v>
      </c>
      <c r="I5092" t="str">
        <f>HYPERLINK("https://baanknet.com/view-property/259078/4F07FC95FA78E670AE3F4204335AFAA58A0AD394ACF4CA8E05A59B79E4C82365", "Open")</f>
        <v>Open</v>
      </c>
      <c r="J5092" t="s">
        <v>3803</v>
      </c>
      <c r="L5092">
        <v>3578000</v>
      </c>
      <c r="M5092">
        <v>357800</v>
      </c>
    </row>
    <row r="5093" spans="1:13" x14ac:dyDescent="0.25">
      <c r="A5093" t="s">
        <v>16861</v>
      </c>
      <c r="B5093" t="s">
        <v>16862</v>
      </c>
      <c r="C5093" t="s">
        <v>387</v>
      </c>
      <c r="D5093" t="s">
        <v>11438</v>
      </c>
      <c r="E5093" t="s">
        <v>15507</v>
      </c>
      <c r="F5093" t="s">
        <v>15608</v>
      </c>
      <c r="G5093" t="s">
        <v>16863</v>
      </c>
      <c r="H5093" t="str">
        <f>HYPERLINK("https://baanknet.com/view-property/258911/49B7E3774A1643F694484E3AEB09E4E293FF9FF39891D293D900D83EBF277942", "https://baanknet.com/view-property/258911/49B7E3774A1643F694484E3AEB09E4E293FF9FF39891D293D900D83EBF277942")</f>
        <v>https://baanknet.com/view-property/258911/49B7E3774A1643F694484E3AEB09E4E293FF9FF39891D293D900D83EBF277942</v>
      </c>
      <c r="I5093" t="str">
        <f>HYPERLINK("https://baanknet.com/view-property/258911/49B7E3774A1643F694484E3AEB09E4E293FF9FF39891D293D900D83EBF277942", "Open")</f>
        <v>Open</v>
      </c>
      <c r="J5093" t="s">
        <v>3803</v>
      </c>
      <c r="L5093">
        <v>3937000</v>
      </c>
      <c r="M5093">
        <v>393700</v>
      </c>
    </row>
    <row r="5094" spans="1:13" x14ac:dyDescent="0.25">
      <c r="A5094" t="s">
        <v>16864</v>
      </c>
      <c r="B5094" t="s">
        <v>16865</v>
      </c>
      <c r="C5094" t="s">
        <v>387</v>
      </c>
      <c r="D5094" t="s">
        <v>11438</v>
      </c>
      <c r="E5094" t="s">
        <v>15507</v>
      </c>
      <c r="F5094" t="s">
        <v>15608</v>
      </c>
      <c r="G5094" t="s">
        <v>16866</v>
      </c>
      <c r="H5094" t="str">
        <f>HYPERLINK("https://baanknet.com/view-property/278963/8D72AEC3FB2D28FFB4F7CE47686CB8D3E8F42A459047075CF444415248881E94", "https://baanknet.com/view-property/278963/8D72AEC3FB2D28FFB4F7CE47686CB8D3E8F42A459047075CF444415248881E94")</f>
        <v>https://baanknet.com/view-property/278963/8D72AEC3FB2D28FFB4F7CE47686CB8D3E8F42A459047075CF444415248881E94</v>
      </c>
      <c r="I5094" t="str">
        <f>HYPERLINK("https://baanknet.com/view-property/278963/8D72AEC3FB2D28FFB4F7CE47686CB8D3E8F42A459047075CF444415248881E94", "Open")</f>
        <v>Open</v>
      </c>
      <c r="J5094" t="s">
        <v>3803</v>
      </c>
      <c r="L5094">
        <v>1452000</v>
      </c>
      <c r="M5094">
        <v>145200</v>
      </c>
    </row>
    <row r="5095" spans="1:13" x14ac:dyDescent="0.25">
      <c r="A5095" t="s">
        <v>16867</v>
      </c>
      <c r="B5095" t="s">
        <v>16868</v>
      </c>
      <c r="C5095" t="s">
        <v>387</v>
      </c>
      <c r="D5095" t="s">
        <v>11438</v>
      </c>
      <c r="E5095" t="s">
        <v>15507</v>
      </c>
      <c r="F5095" t="s">
        <v>15608</v>
      </c>
      <c r="G5095" t="s">
        <v>16869</v>
      </c>
      <c r="H5095" t="str">
        <f>HYPERLINK("https://baanknet.com/view-property/278984/A0BED6B397FD75CF589012F5B2524C0D4058C78DC8BBF4291FD58F4D547C17FA", "https://baanknet.com/view-property/278984/A0BED6B397FD75CF589012F5B2524C0D4058C78DC8BBF4291FD58F4D547C17FA")</f>
        <v>https://baanknet.com/view-property/278984/A0BED6B397FD75CF589012F5B2524C0D4058C78DC8BBF4291FD58F4D547C17FA</v>
      </c>
      <c r="I5095" t="str">
        <f>HYPERLINK("https://baanknet.com/view-property/278984/A0BED6B397FD75CF589012F5B2524C0D4058C78DC8BBF4291FD58F4D547C17FA", "Open")</f>
        <v>Open</v>
      </c>
      <c r="J5095" t="s">
        <v>3803</v>
      </c>
      <c r="L5095">
        <v>2005000</v>
      </c>
      <c r="M5095">
        <v>200500</v>
      </c>
    </row>
    <row r="5096" spans="1:13" x14ac:dyDescent="0.25">
      <c r="A5096" t="s">
        <v>16870</v>
      </c>
      <c r="B5096" t="s">
        <v>16871</v>
      </c>
      <c r="C5096" t="s">
        <v>15</v>
      </c>
      <c r="D5096" t="s">
        <v>16872</v>
      </c>
      <c r="E5096" t="s">
        <v>15646</v>
      </c>
      <c r="F5096" t="s">
        <v>14001</v>
      </c>
      <c r="G5096" t="s">
        <v>16873</v>
      </c>
      <c r="H5096" t="str">
        <f>HYPERLINK("https://baanknet.com/view-property/200194/4A8CB7FEF42FC6B7DC58C5BB62B58020A7E5992D255AD3DA6907E60181F64884", "https://baanknet.com/view-property/200194/4A8CB7FEF42FC6B7DC58C5BB62B58020A7E5992D255AD3DA6907E60181F64884")</f>
        <v>https://baanknet.com/view-property/200194/4A8CB7FEF42FC6B7DC58C5BB62B58020A7E5992D255AD3DA6907E60181F64884</v>
      </c>
      <c r="I5096" t="str">
        <f>HYPERLINK("https://baanknet.com/view-property/200194/4A8CB7FEF42FC6B7DC58C5BB62B58020A7E5992D255AD3DA6907E60181F64884", "Open")</f>
        <v>Open</v>
      </c>
      <c r="J5096" t="s">
        <v>3803</v>
      </c>
      <c r="L5096">
        <v>2164100</v>
      </c>
      <c r="M5096">
        <v>216410</v>
      </c>
    </row>
    <row r="5097" spans="1:13" x14ac:dyDescent="0.25">
      <c r="A5097" t="s">
        <v>16874</v>
      </c>
      <c r="B5097" t="s">
        <v>16875</v>
      </c>
      <c r="C5097" t="s">
        <v>15</v>
      </c>
      <c r="D5097" t="s">
        <v>16876</v>
      </c>
      <c r="E5097" t="s">
        <v>15646</v>
      </c>
      <c r="F5097" t="s">
        <v>14001</v>
      </c>
      <c r="G5097" t="s">
        <v>16877</v>
      </c>
      <c r="H5097" t="str">
        <f>HYPERLINK("https://baanknet.com/view-property/232159/EE0BF92A5DF8059ED811BDFEA560CD0D428903F4B537AC29B1C9314EAB242C0D", "https://baanknet.com/view-property/232159/EE0BF92A5DF8059ED811BDFEA560CD0D428903F4B537AC29B1C9314EAB242C0D")</f>
        <v>https://baanknet.com/view-property/232159/EE0BF92A5DF8059ED811BDFEA560CD0D428903F4B537AC29B1C9314EAB242C0D</v>
      </c>
      <c r="I5097" t="str">
        <f>HYPERLINK("https://baanknet.com/view-property/232159/EE0BF92A5DF8059ED811BDFEA560CD0D428903F4B537AC29B1C9314EAB242C0D", "Open")</f>
        <v>Open</v>
      </c>
      <c r="J5097" t="s">
        <v>3803</v>
      </c>
      <c r="L5097">
        <v>4516050</v>
      </c>
      <c r="M5097">
        <v>451605</v>
      </c>
    </row>
    <row r="5098" spans="1:13" x14ac:dyDescent="0.25">
      <c r="A5098" t="s">
        <v>16878</v>
      </c>
      <c r="B5098" t="s">
        <v>16879</v>
      </c>
      <c r="C5098" t="s">
        <v>15</v>
      </c>
      <c r="D5098" t="s">
        <v>10132</v>
      </c>
      <c r="E5098" t="s">
        <v>15646</v>
      </c>
      <c r="F5098" t="s">
        <v>14001</v>
      </c>
      <c r="G5098" t="s">
        <v>16880</v>
      </c>
      <c r="H5098" t="str">
        <f>HYPERLINK("https://baanknet.com/view-property/279003/B354E420DDC9EEBE0549D119D1AB907217EFF2661DD36C43CB44F73637A4294B", "https://baanknet.com/view-property/279003/B354E420DDC9EEBE0549D119D1AB907217EFF2661DD36C43CB44F73637A4294B")</f>
        <v>https://baanknet.com/view-property/279003/B354E420DDC9EEBE0549D119D1AB907217EFF2661DD36C43CB44F73637A4294B</v>
      </c>
      <c r="I5098" t="str">
        <f>HYPERLINK("https://baanknet.com/view-property/279003/B354E420DDC9EEBE0549D119D1AB907217EFF2661DD36C43CB44F73637A4294B", "Open")</f>
        <v>Open</v>
      </c>
      <c r="J5098" t="s">
        <v>3803</v>
      </c>
      <c r="L5098">
        <v>7000000</v>
      </c>
      <c r="M5098">
        <v>700000</v>
      </c>
    </row>
    <row r="5099" spans="1:13" x14ac:dyDescent="0.25">
      <c r="A5099" t="s">
        <v>16881</v>
      </c>
      <c r="B5099" t="s">
        <v>16882</v>
      </c>
      <c r="C5099" t="s">
        <v>15</v>
      </c>
      <c r="D5099" t="s">
        <v>9925</v>
      </c>
      <c r="E5099" t="s">
        <v>15646</v>
      </c>
      <c r="F5099" t="s">
        <v>14001</v>
      </c>
      <c r="G5099" t="s">
        <v>16883</v>
      </c>
      <c r="H5099" t="str">
        <f>HYPERLINK("https://baanknet.com/view-property/206060/9DB2C94F1CC7967BA20660A5B04B00B55A512E32613086E3E32954DE93BF1061", "https://baanknet.com/view-property/206060/9DB2C94F1CC7967BA20660A5B04B00B55A512E32613086E3E32954DE93BF1061")</f>
        <v>https://baanknet.com/view-property/206060/9DB2C94F1CC7967BA20660A5B04B00B55A512E32613086E3E32954DE93BF1061</v>
      </c>
      <c r="I5099" t="str">
        <f>HYPERLINK("https://baanknet.com/view-property/206060/9DB2C94F1CC7967BA20660A5B04B00B55A512E32613086E3E32954DE93BF1061", "Open")</f>
        <v>Open</v>
      </c>
      <c r="J5099" t="s">
        <v>3803</v>
      </c>
      <c r="L5099">
        <v>9304000</v>
      </c>
      <c r="M5099">
        <v>930400</v>
      </c>
    </row>
    <row r="5100" spans="1:13" x14ac:dyDescent="0.25">
      <c r="A5100" t="s">
        <v>16884</v>
      </c>
      <c r="B5100" t="s">
        <v>16885</v>
      </c>
      <c r="C5100" t="s">
        <v>15</v>
      </c>
      <c r="D5100" t="s">
        <v>3285</v>
      </c>
      <c r="E5100" t="s">
        <v>15646</v>
      </c>
      <c r="F5100" t="s">
        <v>14001</v>
      </c>
      <c r="G5100" t="s">
        <v>16886</v>
      </c>
      <c r="H5100" t="str">
        <f>HYPERLINK("https://baanknet.com/view-property/238353/5941854C0C86A6D311BEFBD7F5EE885E97FB442168A813C136D0C7BE21051B88", "https://baanknet.com/view-property/238353/5941854C0C86A6D311BEFBD7F5EE885E97FB442168A813C136D0C7BE21051B88")</f>
        <v>https://baanknet.com/view-property/238353/5941854C0C86A6D311BEFBD7F5EE885E97FB442168A813C136D0C7BE21051B88</v>
      </c>
      <c r="I5100" t="str">
        <f>HYPERLINK("https://baanknet.com/view-property/238353/5941854C0C86A6D311BEFBD7F5EE885E97FB442168A813C136D0C7BE21051B88", "Open")</f>
        <v>Open</v>
      </c>
      <c r="J5100" t="s">
        <v>3803</v>
      </c>
      <c r="L5100">
        <v>2727000</v>
      </c>
      <c r="M5100">
        <v>272700</v>
      </c>
    </row>
    <row r="5101" spans="1:13" x14ac:dyDescent="0.25">
      <c r="A5101" t="s">
        <v>16887</v>
      </c>
      <c r="B5101" t="s">
        <v>16888</v>
      </c>
      <c r="C5101" t="s">
        <v>15</v>
      </c>
      <c r="D5101" t="s">
        <v>6974</v>
      </c>
      <c r="E5101" t="s">
        <v>15646</v>
      </c>
      <c r="F5101" t="s">
        <v>14001</v>
      </c>
      <c r="G5101" t="s">
        <v>16889</v>
      </c>
      <c r="H5101" t="str">
        <f>HYPERLINK("https://baanknet.com/view-property/264107/D56A799CAEFD1C42E7B8660ED2968527ACFAB597C140277B468D5B90A8A747CC", "https://baanknet.com/view-property/264107/D56A799CAEFD1C42E7B8660ED2968527ACFAB597C140277B468D5B90A8A747CC")</f>
        <v>https://baanknet.com/view-property/264107/D56A799CAEFD1C42E7B8660ED2968527ACFAB597C140277B468D5B90A8A747CC</v>
      </c>
      <c r="I5101" t="str">
        <f>HYPERLINK("https://baanknet.com/view-property/264107/D56A799CAEFD1C42E7B8660ED2968527ACFAB597C140277B468D5B90A8A747CC", "Open")</f>
        <v>Open</v>
      </c>
      <c r="J5101" t="s">
        <v>3803</v>
      </c>
      <c r="L5101">
        <v>1035000</v>
      </c>
      <c r="M5101">
        <v>103500</v>
      </c>
    </row>
    <row r="5102" spans="1:13" x14ac:dyDescent="0.25">
      <c r="A5102" t="s">
        <v>16890</v>
      </c>
      <c r="B5102" t="s">
        <v>16891</v>
      </c>
      <c r="C5102" t="s">
        <v>15</v>
      </c>
      <c r="D5102" t="s">
        <v>102</v>
      </c>
      <c r="E5102" t="s">
        <v>15646</v>
      </c>
      <c r="F5102" t="s">
        <v>14001</v>
      </c>
      <c r="G5102" t="s">
        <v>16892</v>
      </c>
      <c r="H5102" t="str">
        <f>HYPERLINK("https://baanknet.com/view-property/285737/10DE2278676C4360D5F02549C81BC47E2D3A4BCE3B0A0513C7E32950AF22481C", "https://baanknet.com/view-property/285737/10DE2278676C4360D5F02549C81BC47E2D3A4BCE3B0A0513C7E32950AF22481C")</f>
        <v>https://baanknet.com/view-property/285737/10DE2278676C4360D5F02549C81BC47E2D3A4BCE3B0A0513C7E32950AF22481C</v>
      </c>
      <c r="I5102" t="str">
        <f>HYPERLINK("https://baanknet.com/view-property/285737/10DE2278676C4360D5F02549C81BC47E2D3A4BCE3B0A0513C7E32950AF22481C", "Open")</f>
        <v>Open</v>
      </c>
      <c r="J5102" t="s">
        <v>3803</v>
      </c>
      <c r="L5102">
        <v>180000</v>
      </c>
      <c r="M5102">
        <v>18000</v>
      </c>
    </row>
    <row r="5103" spans="1:13" x14ac:dyDescent="0.25">
      <c r="A5103" t="s">
        <v>16893</v>
      </c>
      <c r="B5103" t="s">
        <v>16894</v>
      </c>
      <c r="C5103" t="s">
        <v>15</v>
      </c>
      <c r="D5103" t="s">
        <v>16895</v>
      </c>
      <c r="E5103" t="s">
        <v>15646</v>
      </c>
      <c r="F5103" t="s">
        <v>14001</v>
      </c>
      <c r="G5103" t="s">
        <v>16896</v>
      </c>
      <c r="H5103" t="str">
        <f>HYPERLINK("https://baanknet.com/view-property/285750/B9303FAA65004B8F1F9F78BBF4A8B41F75F3FAA60CC260A56F2730E43E7372D2", "https://baanknet.com/view-property/285750/B9303FAA65004B8F1F9F78BBF4A8B41F75F3FAA60CC260A56F2730E43E7372D2")</f>
        <v>https://baanknet.com/view-property/285750/B9303FAA65004B8F1F9F78BBF4A8B41F75F3FAA60CC260A56F2730E43E7372D2</v>
      </c>
      <c r="I5103" t="str">
        <f>HYPERLINK("https://baanknet.com/view-property/285750/B9303FAA65004B8F1F9F78BBF4A8B41F75F3FAA60CC260A56F2730E43E7372D2", "Open")</f>
        <v>Open</v>
      </c>
      <c r="J5103" t="s">
        <v>3803</v>
      </c>
      <c r="L5103">
        <v>2096000</v>
      </c>
      <c r="M5103">
        <v>209600</v>
      </c>
    </row>
    <row r="5104" spans="1:13" x14ac:dyDescent="0.25">
      <c r="A5104" t="s">
        <v>16897</v>
      </c>
      <c r="B5104" t="s">
        <v>16898</v>
      </c>
      <c r="C5104" t="s">
        <v>15</v>
      </c>
      <c r="D5104" t="s">
        <v>16899</v>
      </c>
      <c r="E5104" t="s">
        <v>15646</v>
      </c>
      <c r="F5104" t="s">
        <v>14001</v>
      </c>
      <c r="G5104" t="s">
        <v>16900</v>
      </c>
      <c r="H5104" t="str">
        <f>HYPERLINK("https://baanknet.com/view-property/285757/21AB79FBD541E4646995B1A01E11C10565C92797AC400D642662007E1666878B", "https://baanknet.com/view-property/285757/21AB79FBD541E4646995B1A01E11C10565C92797AC400D642662007E1666878B")</f>
        <v>https://baanknet.com/view-property/285757/21AB79FBD541E4646995B1A01E11C10565C92797AC400D642662007E1666878B</v>
      </c>
      <c r="I5104" t="str">
        <f>HYPERLINK("https://baanknet.com/view-property/285757/21AB79FBD541E4646995B1A01E11C10565C92797AC400D642662007E1666878B", "Open")</f>
        <v>Open</v>
      </c>
      <c r="J5104" t="s">
        <v>3803</v>
      </c>
      <c r="L5104">
        <v>855000</v>
      </c>
      <c r="M5104">
        <v>85500</v>
      </c>
    </row>
    <row r="5105" spans="1:13" x14ac:dyDescent="0.25">
      <c r="A5105" t="s">
        <v>16901</v>
      </c>
      <c r="B5105" t="s">
        <v>16902</v>
      </c>
      <c r="C5105" t="s">
        <v>15</v>
      </c>
      <c r="D5105" t="s">
        <v>16903</v>
      </c>
      <c r="E5105" t="s">
        <v>15646</v>
      </c>
      <c r="F5105" t="s">
        <v>14001</v>
      </c>
      <c r="G5105" t="s">
        <v>16904</v>
      </c>
      <c r="H5105" t="str">
        <f>HYPERLINK("https://baanknet.com/view-property/285381/D36FDA6F4122CE98EA92092AC2E54EE3569DDBC9A7CB1CA74EA005B54F288A54", "https://baanknet.com/view-property/285381/D36FDA6F4122CE98EA92092AC2E54EE3569DDBC9A7CB1CA74EA005B54F288A54")</f>
        <v>https://baanknet.com/view-property/285381/D36FDA6F4122CE98EA92092AC2E54EE3569DDBC9A7CB1CA74EA005B54F288A54</v>
      </c>
      <c r="I5105" t="str">
        <f>HYPERLINK("https://baanknet.com/view-property/285381/D36FDA6F4122CE98EA92092AC2E54EE3569DDBC9A7CB1CA74EA005B54F288A54", "Open")</f>
        <v>Open</v>
      </c>
      <c r="J5105" t="s">
        <v>3803</v>
      </c>
      <c r="L5105">
        <v>3161000</v>
      </c>
      <c r="M5105">
        <v>316100</v>
      </c>
    </row>
    <row r="5106" spans="1:13" x14ac:dyDescent="0.25">
      <c r="A5106" t="s">
        <v>16905</v>
      </c>
      <c r="B5106" t="s">
        <v>16906</v>
      </c>
      <c r="C5106" t="s">
        <v>15</v>
      </c>
      <c r="D5106" t="s">
        <v>3822</v>
      </c>
      <c r="E5106" t="s">
        <v>15646</v>
      </c>
      <c r="F5106" t="s">
        <v>14001</v>
      </c>
      <c r="G5106" t="s">
        <v>16907</v>
      </c>
      <c r="H5106" t="str">
        <f>HYPERLINK("https://baanknet.com/view-property/277646/64681DCE98BB902487FE90BB9E742BC7515787DC8CFBDF73B290047B6B944261", "https://baanknet.com/view-property/277646/64681DCE98BB902487FE90BB9E742BC7515787DC8CFBDF73B290047B6B944261")</f>
        <v>https://baanknet.com/view-property/277646/64681DCE98BB902487FE90BB9E742BC7515787DC8CFBDF73B290047B6B944261</v>
      </c>
      <c r="I5106" t="str">
        <f>HYPERLINK("https://baanknet.com/view-property/277646/64681DCE98BB902487FE90BB9E742BC7515787DC8CFBDF73B290047B6B944261", "Open")</f>
        <v>Open</v>
      </c>
      <c r="J5106" t="s">
        <v>3803</v>
      </c>
      <c r="L5106">
        <v>5900000</v>
      </c>
      <c r="M5106">
        <v>590000</v>
      </c>
    </row>
    <row r="5107" spans="1:13" x14ac:dyDescent="0.25">
      <c r="A5107" t="s">
        <v>16908</v>
      </c>
      <c r="B5107" t="s">
        <v>16909</v>
      </c>
      <c r="C5107" t="s">
        <v>15</v>
      </c>
      <c r="D5107" t="s">
        <v>16910</v>
      </c>
      <c r="E5107" t="s">
        <v>15646</v>
      </c>
      <c r="F5107" t="s">
        <v>14001</v>
      </c>
      <c r="G5107" t="s">
        <v>16911</v>
      </c>
      <c r="H5107" t="str">
        <f>HYPERLINK("https://baanknet.com/view-property/262839/ADA09E5975161B779605396F8B928A2DEC22135888DBDD16E0447678DDEB874D", "https://baanknet.com/view-property/262839/ADA09E5975161B779605396F8B928A2DEC22135888DBDD16E0447678DDEB874D")</f>
        <v>https://baanknet.com/view-property/262839/ADA09E5975161B779605396F8B928A2DEC22135888DBDD16E0447678DDEB874D</v>
      </c>
      <c r="I5107" t="str">
        <f>HYPERLINK("https://baanknet.com/view-property/262839/ADA09E5975161B779605396F8B928A2DEC22135888DBDD16E0447678DDEB874D", "Open")</f>
        <v>Open</v>
      </c>
      <c r="J5107" t="s">
        <v>3803</v>
      </c>
      <c r="L5107">
        <v>1734000</v>
      </c>
      <c r="M5107">
        <v>173400</v>
      </c>
    </row>
    <row r="5108" spans="1:13" x14ac:dyDescent="0.25">
      <c r="A5108" t="s">
        <v>16912</v>
      </c>
      <c r="B5108" t="s">
        <v>16913</v>
      </c>
      <c r="C5108" t="s">
        <v>15</v>
      </c>
      <c r="D5108" t="s">
        <v>16914</v>
      </c>
      <c r="E5108" t="s">
        <v>15646</v>
      </c>
      <c r="F5108" t="s">
        <v>14001</v>
      </c>
      <c r="G5108" t="s">
        <v>16915</v>
      </c>
      <c r="H5108" t="str">
        <f>HYPERLINK("https://baanknet.com/view-property/281451/D121D25FCB1408C673D05B8FC3836EFA2490497B3653FF3D451E1FD4C0BF4CF6", "https://baanknet.com/view-property/281451/D121D25FCB1408C673D05B8FC3836EFA2490497B3653FF3D451E1FD4C0BF4CF6")</f>
        <v>https://baanknet.com/view-property/281451/D121D25FCB1408C673D05B8FC3836EFA2490497B3653FF3D451E1FD4C0BF4CF6</v>
      </c>
      <c r="I5108" t="str">
        <f>HYPERLINK("https://baanknet.com/view-property/281451/D121D25FCB1408C673D05B8FC3836EFA2490497B3653FF3D451E1FD4C0BF4CF6", "Open")</f>
        <v>Open</v>
      </c>
      <c r="J5108" t="s">
        <v>3803</v>
      </c>
      <c r="L5108">
        <v>6704000</v>
      </c>
      <c r="M5108">
        <v>670400</v>
      </c>
    </row>
    <row r="5109" spans="1:13" x14ac:dyDescent="0.25">
      <c r="A5109" t="s">
        <v>16916</v>
      </c>
      <c r="B5109" t="s">
        <v>16917</v>
      </c>
      <c r="C5109" t="s">
        <v>15</v>
      </c>
      <c r="D5109" t="s">
        <v>16918</v>
      </c>
      <c r="E5109" t="s">
        <v>15646</v>
      </c>
      <c r="F5109" t="s">
        <v>14001</v>
      </c>
      <c r="G5109" t="s">
        <v>16919</v>
      </c>
      <c r="H5109" t="str">
        <f>HYPERLINK("https://baanknet.com/view-property/265631/23DCD06789EE8B04893A6313530056A2DDA836049A2A4ADA1565D75A5ABC6DE6", "https://baanknet.com/view-property/265631/23DCD06789EE8B04893A6313530056A2DDA836049A2A4ADA1565D75A5ABC6DE6")</f>
        <v>https://baanknet.com/view-property/265631/23DCD06789EE8B04893A6313530056A2DDA836049A2A4ADA1565D75A5ABC6DE6</v>
      </c>
      <c r="I5109" t="str">
        <f>HYPERLINK("https://baanknet.com/view-property/265631/23DCD06789EE8B04893A6313530056A2DDA836049A2A4ADA1565D75A5ABC6DE6", "Open")</f>
        <v>Open</v>
      </c>
      <c r="J5109" t="s">
        <v>3803</v>
      </c>
      <c r="L5109">
        <v>14362000</v>
      </c>
      <c r="M5109">
        <v>1436200</v>
      </c>
    </row>
    <row r="5110" spans="1:13" x14ac:dyDescent="0.25">
      <c r="A5110" t="s">
        <v>16920</v>
      </c>
      <c r="B5110" t="s">
        <v>16921</v>
      </c>
      <c r="C5110" t="s">
        <v>15</v>
      </c>
      <c r="D5110" t="s">
        <v>16922</v>
      </c>
      <c r="E5110" t="s">
        <v>15646</v>
      </c>
      <c r="F5110" t="s">
        <v>14001</v>
      </c>
      <c r="G5110" t="s">
        <v>16923</v>
      </c>
      <c r="H5110" t="str">
        <f>HYPERLINK("https://baanknet.com/view-property/262009/E08D8C88F2B1CACAA37E3820331445B2D5E33BB129A6B75B9E0FD3B69860AD00", "https://baanknet.com/view-property/262009/E08D8C88F2B1CACAA37E3820331445B2D5E33BB129A6B75B9E0FD3B69860AD00")</f>
        <v>https://baanknet.com/view-property/262009/E08D8C88F2B1CACAA37E3820331445B2D5E33BB129A6B75B9E0FD3B69860AD00</v>
      </c>
      <c r="I5110" t="str">
        <f>HYPERLINK("https://baanknet.com/view-property/262009/E08D8C88F2B1CACAA37E3820331445B2D5E33BB129A6B75B9E0FD3B69860AD00", "Open")</f>
        <v>Open</v>
      </c>
      <c r="J5110" t="s">
        <v>3803</v>
      </c>
      <c r="L5110">
        <v>1100000</v>
      </c>
      <c r="M5110">
        <v>110000</v>
      </c>
    </row>
    <row r="5111" spans="1:13" x14ac:dyDescent="0.25">
      <c r="A5111" t="s">
        <v>16924</v>
      </c>
      <c r="B5111" t="s">
        <v>16925</v>
      </c>
      <c r="C5111" t="s">
        <v>15</v>
      </c>
      <c r="D5111" t="s">
        <v>16926</v>
      </c>
      <c r="E5111" t="s">
        <v>15646</v>
      </c>
      <c r="F5111" t="s">
        <v>14001</v>
      </c>
      <c r="G5111" t="s">
        <v>16927</v>
      </c>
      <c r="H5111" t="str">
        <f>HYPERLINK("https://baanknet.com/view-property/278575/A94007A9447E56B87CC669DC5ED3273A5AE2400EDFA545A288C0A1AB47CA85C8", "https://baanknet.com/view-property/278575/A94007A9447E56B87CC669DC5ED3273A5AE2400EDFA545A288C0A1AB47CA85C8")</f>
        <v>https://baanknet.com/view-property/278575/A94007A9447E56B87CC669DC5ED3273A5AE2400EDFA545A288C0A1AB47CA85C8</v>
      </c>
      <c r="I5111" t="str">
        <f>HYPERLINK("https://baanknet.com/view-property/278575/A94007A9447E56B87CC669DC5ED3273A5AE2400EDFA545A288C0A1AB47CA85C8", "Open")</f>
        <v>Open</v>
      </c>
      <c r="J5111" t="s">
        <v>3803</v>
      </c>
      <c r="L5111">
        <v>6800000</v>
      </c>
      <c r="M5111">
        <v>680000</v>
      </c>
    </row>
    <row r="5112" spans="1:13" x14ac:dyDescent="0.25">
      <c r="A5112" t="s">
        <v>16928</v>
      </c>
      <c r="B5112" t="s">
        <v>16929</v>
      </c>
      <c r="C5112" t="s">
        <v>15</v>
      </c>
      <c r="D5112" t="s">
        <v>3250</v>
      </c>
      <c r="E5112" t="s">
        <v>15646</v>
      </c>
      <c r="F5112" t="s">
        <v>14001</v>
      </c>
      <c r="G5112" t="s">
        <v>16930</v>
      </c>
      <c r="H5112" t="str">
        <f>HYPERLINK("https://baanknet.com/view-property/282994/A8ABE1FACA133C7441857C1C6FEFD67527C5BFC085DC98A8980232F8622D583A", "https://baanknet.com/view-property/282994/A8ABE1FACA133C7441857C1C6FEFD67527C5BFC085DC98A8980232F8622D583A")</f>
        <v>https://baanknet.com/view-property/282994/A8ABE1FACA133C7441857C1C6FEFD67527C5BFC085DC98A8980232F8622D583A</v>
      </c>
      <c r="I5112" t="str">
        <f>HYPERLINK("https://baanknet.com/view-property/282994/A8ABE1FACA133C7441857C1C6FEFD67527C5BFC085DC98A8980232F8622D583A", "Open")</f>
        <v>Open</v>
      </c>
      <c r="J5112" t="s">
        <v>3803</v>
      </c>
      <c r="L5112">
        <v>4082000</v>
      </c>
      <c r="M5112">
        <v>408200</v>
      </c>
    </row>
    <row r="5113" spans="1:13" x14ac:dyDescent="0.25">
      <c r="A5113" t="s">
        <v>16931</v>
      </c>
      <c r="B5113" t="s">
        <v>16932</v>
      </c>
      <c r="C5113" t="s">
        <v>15</v>
      </c>
      <c r="D5113" t="s">
        <v>4557</v>
      </c>
      <c r="E5113" t="s">
        <v>15646</v>
      </c>
      <c r="F5113" t="s">
        <v>14001</v>
      </c>
      <c r="G5113" t="s">
        <v>16933</v>
      </c>
      <c r="H5113" t="str">
        <f>HYPERLINK("https://baanknet.com/view-property/236206/8938A760E3210035A5E46C55B930D2590E3C0A8393AE31D1491409B4DC07C820", "https://baanknet.com/view-property/236206/8938A760E3210035A5E46C55B930D2590E3C0A8393AE31D1491409B4DC07C820")</f>
        <v>https://baanknet.com/view-property/236206/8938A760E3210035A5E46C55B930D2590E3C0A8393AE31D1491409B4DC07C820</v>
      </c>
      <c r="I5113" t="str">
        <f>HYPERLINK("https://baanknet.com/view-property/236206/8938A760E3210035A5E46C55B930D2590E3C0A8393AE31D1491409B4DC07C820", "Open")</f>
        <v>Open</v>
      </c>
      <c r="J5113" t="s">
        <v>3803</v>
      </c>
      <c r="L5113">
        <v>8000000</v>
      </c>
      <c r="M5113">
        <v>800000</v>
      </c>
    </row>
    <row r="5114" spans="1:13" x14ac:dyDescent="0.25">
      <c r="A5114" t="s">
        <v>16934</v>
      </c>
      <c r="B5114" t="s">
        <v>16935</v>
      </c>
      <c r="C5114" t="s">
        <v>15</v>
      </c>
      <c r="D5114" t="s">
        <v>7155</v>
      </c>
      <c r="E5114" t="s">
        <v>15646</v>
      </c>
      <c r="F5114" t="s">
        <v>14001</v>
      </c>
      <c r="G5114" t="s">
        <v>16936</v>
      </c>
      <c r="H5114" t="str">
        <f>HYPERLINK("https://baanknet.com/view-property/254204/D8A2FDC0BD71580F77802EEF1D95F5876FC91F48A235869587E770DD9B9F0B10", "https://baanknet.com/view-property/254204/D8A2FDC0BD71580F77802EEF1D95F5876FC91F48A235869587E770DD9B9F0B10")</f>
        <v>https://baanknet.com/view-property/254204/D8A2FDC0BD71580F77802EEF1D95F5876FC91F48A235869587E770DD9B9F0B10</v>
      </c>
      <c r="I5114" t="str">
        <f>HYPERLINK("https://baanknet.com/view-property/254204/D8A2FDC0BD71580F77802EEF1D95F5876FC91F48A235869587E770DD9B9F0B10", "Open")</f>
        <v>Open</v>
      </c>
      <c r="J5114" t="s">
        <v>3803</v>
      </c>
      <c r="L5114">
        <v>3600000</v>
      </c>
      <c r="M5114">
        <v>360000</v>
      </c>
    </row>
    <row r="5115" spans="1:13" x14ac:dyDescent="0.25">
      <c r="A5115" t="s">
        <v>16937</v>
      </c>
      <c r="B5115" t="s">
        <v>16938</v>
      </c>
      <c r="C5115" t="s">
        <v>15</v>
      </c>
      <c r="D5115" t="s">
        <v>32</v>
      </c>
      <c r="E5115" t="s">
        <v>15646</v>
      </c>
      <c r="F5115" t="s">
        <v>14001</v>
      </c>
      <c r="G5115" t="s">
        <v>16939</v>
      </c>
      <c r="H5115" t="str">
        <f>HYPERLINK("https://baanknet.com/view-property/240874/02E2F667FD82A14CD8243E12F88184EB9F655E8B01FC7AE4AEFC0B9A558FD4C1", "https://baanknet.com/view-property/240874/02E2F667FD82A14CD8243E12F88184EB9F655E8B01FC7AE4AEFC0B9A558FD4C1")</f>
        <v>https://baanknet.com/view-property/240874/02E2F667FD82A14CD8243E12F88184EB9F655E8B01FC7AE4AEFC0B9A558FD4C1</v>
      </c>
      <c r="I5115" t="str">
        <f>HYPERLINK("https://baanknet.com/view-property/240874/02E2F667FD82A14CD8243E12F88184EB9F655E8B01FC7AE4AEFC0B9A558FD4C1", "Open")</f>
        <v>Open</v>
      </c>
      <c r="J5115" t="s">
        <v>3803</v>
      </c>
      <c r="L5115">
        <v>12100000</v>
      </c>
      <c r="M5115">
        <v>1210000</v>
      </c>
    </row>
    <row r="5116" spans="1:13" x14ac:dyDescent="0.25">
      <c r="A5116" t="s">
        <v>16940</v>
      </c>
      <c r="B5116" t="s">
        <v>16941</v>
      </c>
      <c r="C5116" t="s">
        <v>15</v>
      </c>
      <c r="D5116" t="s">
        <v>12578</v>
      </c>
      <c r="E5116" t="s">
        <v>15646</v>
      </c>
      <c r="F5116" t="s">
        <v>14001</v>
      </c>
      <c r="G5116" t="s">
        <v>16942</v>
      </c>
      <c r="H5116" t="str">
        <f>HYPERLINK("https://baanknet.com/view-property/240904/75585554871D34BE538A792C7290560FCC55F50069D49390C0A84BEA9B3F9786", "https://baanknet.com/view-property/240904/75585554871D34BE538A792C7290560FCC55F50069D49390C0A84BEA9B3F9786")</f>
        <v>https://baanknet.com/view-property/240904/75585554871D34BE538A792C7290560FCC55F50069D49390C0A84BEA9B3F9786</v>
      </c>
      <c r="I5116" t="str">
        <f>HYPERLINK("https://baanknet.com/view-property/240904/75585554871D34BE538A792C7290560FCC55F50069D49390C0A84BEA9B3F9786", "Open")</f>
        <v>Open</v>
      </c>
      <c r="J5116" t="s">
        <v>3803</v>
      </c>
      <c r="L5116">
        <v>18573000</v>
      </c>
      <c r="M5116">
        <v>1857300</v>
      </c>
    </row>
    <row r="5117" spans="1:13" x14ac:dyDescent="0.25">
      <c r="A5117" t="s">
        <v>16943</v>
      </c>
      <c r="B5117" t="s">
        <v>16944</v>
      </c>
      <c r="C5117" t="s">
        <v>15</v>
      </c>
      <c r="D5117" t="s">
        <v>32</v>
      </c>
      <c r="E5117" t="s">
        <v>15646</v>
      </c>
      <c r="F5117" t="s">
        <v>14001</v>
      </c>
      <c r="G5117" t="s">
        <v>16945</v>
      </c>
      <c r="H5117" t="str">
        <f>HYPERLINK("https://baanknet.com/view-property/250791/09C58CBBFF432BC7FF31FF8C826E111F59276AA953EA42F97811EE356D3CACE3", "https://baanknet.com/view-property/250791/09C58CBBFF432BC7FF31FF8C826E111F59276AA953EA42F97811EE356D3CACE3")</f>
        <v>https://baanknet.com/view-property/250791/09C58CBBFF432BC7FF31FF8C826E111F59276AA953EA42F97811EE356D3CACE3</v>
      </c>
      <c r="I5117" t="str">
        <f>HYPERLINK("https://baanknet.com/view-property/250791/09C58CBBFF432BC7FF31FF8C826E111F59276AA953EA42F97811EE356D3CACE3", "Open")</f>
        <v>Open</v>
      </c>
      <c r="J5117" t="s">
        <v>3803</v>
      </c>
      <c r="L5117">
        <v>7335000</v>
      </c>
      <c r="M5117">
        <v>733500</v>
      </c>
    </row>
    <row r="5118" spans="1:13" x14ac:dyDescent="0.25">
      <c r="A5118" t="s">
        <v>16946</v>
      </c>
      <c r="B5118" t="s">
        <v>16947</v>
      </c>
      <c r="C5118" t="s">
        <v>15</v>
      </c>
      <c r="D5118" t="s">
        <v>32</v>
      </c>
      <c r="E5118" t="s">
        <v>15646</v>
      </c>
      <c r="F5118" t="s">
        <v>14001</v>
      </c>
      <c r="G5118" t="s">
        <v>16948</v>
      </c>
      <c r="H5118" t="str">
        <f>HYPERLINK("https://baanknet.com/view-property/266046/40EA6B4AC3E246D6E0390B3E8C59BE24D0957E976044B5E470DF4280CE9FC35D", "https://baanknet.com/view-property/266046/40EA6B4AC3E246D6E0390B3E8C59BE24D0957E976044B5E470DF4280CE9FC35D")</f>
        <v>https://baanknet.com/view-property/266046/40EA6B4AC3E246D6E0390B3E8C59BE24D0957E976044B5E470DF4280CE9FC35D</v>
      </c>
      <c r="I5118" t="str">
        <f>HYPERLINK("https://baanknet.com/view-property/266046/40EA6B4AC3E246D6E0390B3E8C59BE24D0957E976044B5E470DF4280CE9FC35D", "Open")</f>
        <v>Open</v>
      </c>
      <c r="J5118" t="s">
        <v>3803</v>
      </c>
      <c r="L5118">
        <v>85341000</v>
      </c>
      <c r="M5118">
        <v>8534100</v>
      </c>
    </row>
    <row r="5119" spans="1:13" x14ac:dyDescent="0.25">
      <c r="A5119" t="s">
        <v>16949</v>
      </c>
      <c r="B5119" t="s">
        <v>16950</v>
      </c>
      <c r="C5119" t="s">
        <v>332</v>
      </c>
      <c r="D5119" t="s">
        <v>7466</v>
      </c>
      <c r="E5119" t="s">
        <v>15646</v>
      </c>
      <c r="F5119" t="s">
        <v>14001</v>
      </c>
      <c r="G5119" t="s">
        <v>16951</v>
      </c>
      <c r="H5119" t="str">
        <f>HYPERLINK("https://baanknet.com/view-property/286082/20F1319AE2A7B77C096EEF17346A94F780C4D4185E3FFBCF11B21E484F9D963D", "https://baanknet.com/view-property/286082/20F1319AE2A7B77C096EEF17346A94F780C4D4185E3FFBCF11B21E484F9D963D")</f>
        <v>https://baanknet.com/view-property/286082/20F1319AE2A7B77C096EEF17346A94F780C4D4185E3FFBCF11B21E484F9D963D</v>
      </c>
      <c r="I5119" t="str">
        <f>HYPERLINK("https://baanknet.com/view-property/286082/20F1319AE2A7B77C096EEF17346A94F780C4D4185E3FFBCF11B21E484F9D963D", "Open")</f>
        <v>Open</v>
      </c>
      <c r="J5119" t="s">
        <v>3803</v>
      </c>
      <c r="L5119">
        <v>2991951</v>
      </c>
      <c r="M5119">
        <v>299195.09999999998</v>
      </c>
    </row>
    <row r="5120" spans="1:13" x14ac:dyDescent="0.25">
      <c r="A5120" t="s">
        <v>16952</v>
      </c>
      <c r="B5120" t="s">
        <v>16953</v>
      </c>
      <c r="C5120" t="s">
        <v>15</v>
      </c>
      <c r="D5120" t="s">
        <v>16954</v>
      </c>
      <c r="E5120" t="s">
        <v>15646</v>
      </c>
      <c r="F5120" t="s">
        <v>14001</v>
      </c>
      <c r="G5120" t="s">
        <v>16955</v>
      </c>
      <c r="H5120" t="str">
        <f>HYPERLINK("https://baanknet.com/view-property/240915/6DA61A307CE349C863E27D54E707D5A5DD0163B8A6E59FE3A4CB9089E51558FD", "https://baanknet.com/view-property/240915/6DA61A307CE349C863E27D54E707D5A5DD0163B8A6E59FE3A4CB9089E51558FD")</f>
        <v>https://baanknet.com/view-property/240915/6DA61A307CE349C863E27D54E707D5A5DD0163B8A6E59FE3A4CB9089E51558FD</v>
      </c>
      <c r="I5120" t="str">
        <f>HYPERLINK("https://baanknet.com/view-property/240915/6DA61A307CE349C863E27D54E707D5A5DD0163B8A6E59FE3A4CB9089E51558FD", "Open")</f>
        <v>Open</v>
      </c>
      <c r="J5120" t="s">
        <v>3803</v>
      </c>
      <c r="L5120">
        <v>1027000</v>
      </c>
      <c r="M5120">
        <v>102700</v>
      </c>
    </row>
    <row r="5121" spans="1:13" x14ac:dyDescent="0.25">
      <c r="A5121" t="s">
        <v>16956</v>
      </c>
      <c r="B5121" t="s">
        <v>16957</v>
      </c>
      <c r="C5121" t="s">
        <v>15</v>
      </c>
      <c r="D5121" t="s">
        <v>16954</v>
      </c>
      <c r="E5121" t="s">
        <v>15646</v>
      </c>
      <c r="F5121" t="s">
        <v>14001</v>
      </c>
      <c r="G5121" t="s">
        <v>16958</v>
      </c>
      <c r="H5121" t="str">
        <f>HYPERLINK("https://baanknet.com/view-property/240914/86BF07CB9695AA5E214264E2BD1ABB5A7D3D64103CAFA2203BF829C6A139ED16", "https://baanknet.com/view-property/240914/86BF07CB9695AA5E214264E2BD1ABB5A7D3D64103CAFA2203BF829C6A139ED16")</f>
        <v>https://baanknet.com/view-property/240914/86BF07CB9695AA5E214264E2BD1ABB5A7D3D64103CAFA2203BF829C6A139ED16</v>
      </c>
      <c r="I5121" t="str">
        <f>HYPERLINK("https://baanknet.com/view-property/240914/86BF07CB9695AA5E214264E2BD1ABB5A7D3D64103CAFA2203BF829C6A139ED16", "Open")</f>
        <v>Open</v>
      </c>
      <c r="J5121" t="s">
        <v>3803</v>
      </c>
      <c r="L5121">
        <v>1221000</v>
      </c>
      <c r="M5121">
        <v>122100</v>
      </c>
    </row>
    <row r="5122" spans="1:13" x14ac:dyDescent="0.25">
      <c r="A5122" t="s">
        <v>16959</v>
      </c>
      <c r="B5122" t="s">
        <v>16960</v>
      </c>
      <c r="C5122" t="s">
        <v>15</v>
      </c>
      <c r="D5122" t="s">
        <v>16954</v>
      </c>
      <c r="E5122" t="s">
        <v>15646</v>
      </c>
      <c r="F5122" t="s">
        <v>14001</v>
      </c>
      <c r="G5122" t="s">
        <v>16961</v>
      </c>
      <c r="H5122" t="str">
        <f>HYPERLINK("https://baanknet.com/view-property/240913/0E48DA70532A1A8C751B8199056B65D4D78CD9ED18C840CF941675820189404C", "https://baanknet.com/view-property/240913/0E48DA70532A1A8C751B8199056B65D4D78CD9ED18C840CF941675820189404C")</f>
        <v>https://baanknet.com/view-property/240913/0E48DA70532A1A8C751B8199056B65D4D78CD9ED18C840CF941675820189404C</v>
      </c>
      <c r="I5122" t="str">
        <f>HYPERLINK("https://baanknet.com/view-property/240913/0E48DA70532A1A8C751B8199056B65D4D78CD9ED18C840CF941675820189404C", "Open")</f>
        <v>Open</v>
      </c>
      <c r="J5122" t="s">
        <v>3803</v>
      </c>
      <c r="L5122">
        <v>1221000</v>
      </c>
      <c r="M5122">
        <v>122100</v>
      </c>
    </row>
    <row r="5123" spans="1:13" x14ac:dyDescent="0.25">
      <c r="A5123" t="s">
        <v>16962</v>
      </c>
      <c r="B5123" t="s">
        <v>16963</v>
      </c>
      <c r="C5123" t="s">
        <v>15</v>
      </c>
      <c r="D5123" t="s">
        <v>16954</v>
      </c>
      <c r="E5123" t="s">
        <v>15646</v>
      </c>
      <c r="F5123" t="s">
        <v>14001</v>
      </c>
      <c r="G5123" t="s">
        <v>16964</v>
      </c>
      <c r="H5123" t="str">
        <f>HYPERLINK("https://baanknet.com/view-property/240922/B3693322B048495238A342B4E8901D217E8AC3694B434C4F4E95E1365E484528", "https://baanknet.com/view-property/240922/B3693322B048495238A342B4E8901D217E8AC3694B434C4F4E95E1365E484528")</f>
        <v>https://baanknet.com/view-property/240922/B3693322B048495238A342B4E8901D217E8AC3694B434C4F4E95E1365E484528</v>
      </c>
      <c r="I5123" t="str">
        <f>HYPERLINK("https://baanknet.com/view-property/240922/B3693322B048495238A342B4E8901D217E8AC3694B434C4F4E95E1365E484528", "Open")</f>
        <v>Open</v>
      </c>
      <c r="J5123" t="s">
        <v>3803</v>
      </c>
      <c r="L5123">
        <v>1186000</v>
      </c>
      <c r="M5123">
        <v>118600</v>
      </c>
    </row>
    <row r="5124" spans="1:13" x14ac:dyDescent="0.25">
      <c r="A5124" t="s">
        <v>16965</v>
      </c>
      <c r="B5124" t="s">
        <v>16966</v>
      </c>
      <c r="C5124" t="s">
        <v>15</v>
      </c>
      <c r="D5124" t="s">
        <v>16954</v>
      </c>
      <c r="E5124" t="s">
        <v>15646</v>
      </c>
      <c r="F5124" t="s">
        <v>14001</v>
      </c>
      <c r="G5124" t="s">
        <v>16967</v>
      </c>
      <c r="H5124" t="str">
        <f>HYPERLINK("https://baanknet.com/view-property/240921/EFEBF24233F3DD0A1CD773C2B36D7BC69112C597A8F4AC43FC3131CB0B1673E7", "https://baanknet.com/view-property/240921/EFEBF24233F3DD0A1CD773C2B36D7BC69112C597A8F4AC43FC3131CB0B1673E7")</f>
        <v>https://baanknet.com/view-property/240921/EFEBF24233F3DD0A1CD773C2B36D7BC69112C597A8F4AC43FC3131CB0B1673E7</v>
      </c>
      <c r="I5124" t="str">
        <f>HYPERLINK("https://baanknet.com/view-property/240921/EFEBF24233F3DD0A1CD773C2B36D7BC69112C597A8F4AC43FC3131CB0B1673E7", "Open")</f>
        <v>Open</v>
      </c>
      <c r="J5124" t="s">
        <v>3803</v>
      </c>
      <c r="L5124">
        <v>1221000</v>
      </c>
      <c r="M5124">
        <v>122100</v>
      </c>
    </row>
    <row r="5125" spans="1:13" x14ac:dyDescent="0.25">
      <c r="A5125" t="s">
        <v>16968</v>
      </c>
      <c r="B5125" t="s">
        <v>16969</v>
      </c>
      <c r="C5125" t="s">
        <v>15</v>
      </c>
      <c r="D5125" t="s">
        <v>102</v>
      </c>
      <c r="E5125" t="s">
        <v>15646</v>
      </c>
      <c r="F5125" t="s">
        <v>14001</v>
      </c>
      <c r="G5125" t="s">
        <v>16970</v>
      </c>
      <c r="H5125" t="str">
        <f>HYPERLINK("https://baanknet.com/view-property/238363/FB9F517A013ADA0543EC7C439FA559F6F3519E37CB19A622EA4915B9285357D7", "https://baanknet.com/view-property/238363/FB9F517A013ADA0543EC7C439FA559F6F3519E37CB19A622EA4915B9285357D7")</f>
        <v>https://baanknet.com/view-property/238363/FB9F517A013ADA0543EC7C439FA559F6F3519E37CB19A622EA4915B9285357D7</v>
      </c>
      <c r="I5125" t="str">
        <f>HYPERLINK("https://baanknet.com/view-property/238363/FB9F517A013ADA0543EC7C439FA559F6F3519E37CB19A622EA4915B9285357D7", "Open")</f>
        <v>Open</v>
      </c>
      <c r="J5125" t="s">
        <v>3803</v>
      </c>
      <c r="L5125">
        <v>2700000</v>
      </c>
      <c r="M5125">
        <v>270000</v>
      </c>
    </row>
    <row r="5126" spans="1:13" x14ac:dyDescent="0.25">
      <c r="A5126" t="s">
        <v>16971</v>
      </c>
      <c r="B5126" t="s">
        <v>16972</v>
      </c>
      <c r="C5126" t="s">
        <v>15</v>
      </c>
      <c r="D5126" t="s">
        <v>16973</v>
      </c>
      <c r="E5126" t="s">
        <v>15646</v>
      </c>
      <c r="F5126" t="s">
        <v>14001</v>
      </c>
      <c r="G5126" t="s">
        <v>16974</v>
      </c>
      <c r="H5126" t="str">
        <f>HYPERLINK("https://baanknet.com/view-property/280474/34B6422F0EA71F1B52567E3E699A7127758500565F2F3462C45354A8CC60FD5D", "https://baanknet.com/view-property/280474/34B6422F0EA71F1B52567E3E699A7127758500565F2F3462C45354A8CC60FD5D")</f>
        <v>https://baanknet.com/view-property/280474/34B6422F0EA71F1B52567E3E699A7127758500565F2F3462C45354A8CC60FD5D</v>
      </c>
      <c r="I5126" t="str">
        <f>HYPERLINK("https://baanknet.com/view-property/280474/34B6422F0EA71F1B52567E3E699A7127758500565F2F3462C45354A8CC60FD5D", "Open")</f>
        <v>Open</v>
      </c>
      <c r="J5126" t="s">
        <v>3803</v>
      </c>
      <c r="L5126">
        <v>740000</v>
      </c>
      <c r="M5126">
        <v>74000</v>
      </c>
    </row>
    <row r="5127" spans="1:13" x14ac:dyDescent="0.25">
      <c r="A5127" t="s">
        <v>16975</v>
      </c>
      <c r="B5127" t="s">
        <v>16976</v>
      </c>
      <c r="C5127" t="s">
        <v>15</v>
      </c>
      <c r="D5127" t="s">
        <v>16977</v>
      </c>
      <c r="E5127" t="s">
        <v>15646</v>
      </c>
      <c r="F5127" t="s">
        <v>14001</v>
      </c>
      <c r="G5127" t="s">
        <v>16978</v>
      </c>
      <c r="H5127" t="str">
        <f>HYPERLINK("https://baanknet.com/view-property/279586/D7C3786F964CCFDC10484CD647EB7A90551C10E9DE4DBD4C2BD82CE3590AFB41", "https://baanknet.com/view-property/279586/D7C3786F964CCFDC10484CD647EB7A90551C10E9DE4DBD4C2BD82CE3590AFB41")</f>
        <v>https://baanknet.com/view-property/279586/D7C3786F964CCFDC10484CD647EB7A90551C10E9DE4DBD4C2BD82CE3590AFB41</v>
      </c>
      <c r="I5127" t="str">
        <f>HYPERLINK("https://baanknet.com/view-property/279586/D7C3786F964CCFDC10484CD647EB7A90551C10E9DE4DBD4C2BD82CE3590AFB41", "Open")</f>
        <v>Open</v>
      </c>
      <c r="J5127" t="s">
        <v>3803</v>
      </c>
      <c r="L5127">
        <v>6138000</v>
      </c>
      <c r="M5127">
        <v>613800</v>
      </c>
    </row>
    <row r="5128" spans="1:13" x14ac:dyDescent="0.25">
      <c r="A5128" t="s">
        <v>16979</v>
      </c>
      <c r="B5128" t="s">
        <v>16980</v>
      </c>
      <c r="C5128" t="s">
        <v>15</v>
      </c>
      <c r="D5128" t="s">
        <v>3213</v>
      </c>
      <c r="E5128" t="s">
        <v>15646</v>
      </c>
      <c r="F5128" t="s">
        <v>14001</v>
      </c>
      <c r="G5128" t="s">
        <v>16981</v>
      </c>
      <c r="H5128" t="str">
        <f>HYPERLINK("https://baanknet.com/view-property/283341/052E6BE95F8E3F4D9DA9C91E287DE2A903A88C62D7175E29052CFA750276E016", "https://baanknet.com/view-property/283341/052E6BE95F8E3F4D9DA9C91E287DE2A903A88C62D7175E29052CFA750276E016")</f>
        <v>https://baanknet.com/view-property/283341/052E6BE95F8E3F4D9DA9C91E287DE2A903A88C62D7175E29052CFA750276E016</v>
      </c>
      <c r="I5128" t="str">
        <f>HYPERLINK("https://baanknet.com/view-property/283341/052E6BE95F8E3F4D9DA9C91E287DE2A903A88C62D7175E29052CFA750276E016", "Open")</f>
        <v>Open</v>
      </c>
      <c r="J5128" t="s">
        <v>3803</v>
      </c>
      <c r="L5128">
        <v>2300000</v>
      </c>
      <c r="M5128">
        <v>230000</v>
      </c>
    </row>
    <row r="5129" spans="1:13" x14ac:dyDescent="0.25">
      <c r="A5129" t="s">
        <v>16982</v>
      </c>
      <c r="B5129" t="s">
        <v>16983</v>
      </c>
      <c r="C5129" t="s">
        <v>15</v>
      </c>
      <c r="D5129" t="s">
        <v>9939</v>
      </c>
      <c r="E5129" t="s">
        <v>15646</v>
      </c>
      <c r="F5129" t="s">
        <v>14001</v>
      </c>
      <c r="G5129" t="s">
        <v>16984</v>
      </c>
      <c r="H5129" t="str">
        <f>HYPERLINK("https://baanknet.com/view-property/286071/82FE465BFC930FEE66B846A0FF599BEC5CF26785462FEB506B12AA650F765677", "https://baanknet.com/view-property/286071/82FE465BFC930FEE66B846A0FF599BEC5CF26785462FEB506B12AA650F765677")</f>
        <v>https://baanknet.com/view-property/286071/82FE465BFC930FEE66B846A0FF599BEC5CF26785462FEB506B12AA650F765677</v>
      </c>
      <c r="I5129" t="str">
        <f>HYPERLINK("https://baanknet.com/view-property/286071/82FE465BFC930FEE66B846A0FF599BEC5CF26785462FEB506B12AA650F765677", "Open")</f>
        <v>Open</v>
      </c>
      <c r="J5129" t="s">
        <v>3803</v>
      </c>
      <c r="L5129">
        <v>5200000</v>
      </c>
      <c r="M5129">
        <v>520000</v>
      </c>
    </row>
    <row r="5130" spans="1:13" x14ac:dyDescent="0.25">
      <c r="A5130" t="s">
        <v>16985</v>
      </c>
      <c r="B5130" t="s">
        <v>16986</v>
      </c>
      <c r="C5130" t="s">
        <v>15</v>
      </c>
      <c r="D5130" t="s">
        <v>7098</v>
      </c>
      <c r="E5130" t="s">
        <v>15646</v>
      </c>
      <c r="F5130" t="s">
        <v>14001</v>
      </c>
      <c r="G5130" t="s">
        <v>16987</v>
      </c>
      <c r="H5130" t="str">
        <f>HYPERLINK("https://baanknet.com/view-property/199037/0A180BD6CD476449BAB0632CD3EB28D5A5259D73512B3F8A002AB4B559F95EF1", "https://baanknet.com/view-property/199037/0A180BD6CD476449BAB0632CD3EB28D5A5259D73512B3F8A002AB4B559F95EF1")</f>
        <v>https://baanknet.com/view-property/199037/0A180BD6CD476449BAB0632CD3EB28D5A5259D73512B3F8A002AB4B559F95EF1</v>
      </c>
      <c r="I5130" t="str">
        <f>HYPERLINK("https://baanknet.com/view-property/199037/0A180BD6CD476449BAB0632CD3EB28D5A5259D73512B3F8A002AB4B559F95EF1", "Open")</f>
        <v>Open</v>
      </c>
      <c r="J5130" t="s">
        <v>3803</v>
      </c>
      <c r="L5130">
        <v>900000</v>
      </c>
      <c r="M5130">
        <v>90000</v>
      </c>
    </row>
    <row r="5131" spans="1:13" x14ac:dyDescent="0.25">
      <c r="A5131" t="s">
        <v>16988</v>
      </c>
      <c r="B5131" t="s">
        <v>16989</v>
      </c>
      <c r="C5131" t="s">
        <v>15</v>
      </c>
      <c r="D5131" t="s">
        <v>16899</v>
      </c>
      <c r="E5131" t="s">
        <v>15646</v>
      </c>
      <c r="F5131" t="s">
        <v>14001</v>
      </c>
      <c r="G5131" t="s">
        <v>16990</v>
      </c>
      <c r="H5131" t="str">
        <f>HYPERLINK("https://baanknet.com/view-property/238965/8FA83BB54C01200C534C3CE8FBDC16CCFD80B0617702ED14DF70151495860427", "https://baanknet.com/view-property/238965/8FA83BB54C01200C534C3CE8FBDC16CCFD80B0617702ED14DF70151495860427")</f>
        <v>https://baanknet.com/view-property/238965/8FA83BB54C01200C534C3CE8FBDC16CCFD80B0617702ED14DF70151495860427</v>
      </c>
      <c r="I5131" t="str">
        <f>HYPERLINK("https://baanknet.com/view-property/238965/8FA83BB54C01200C534C3CE8FBDC16CCFD80B0617702ED14DF70151495860427", "Open")</f>
        <v>Open</v>
      </c>
      <c r="J5131" t="s">
        <v>3803</v>
      </c>
      <c r="L5131">
        <v>2090000</v>
      </c>
      <c r="M5131">
        <v>209000</v>
      </c>
    </row>
    <row r="5132" spans="1:13" x14ac:dyDescent="0.25">
      <c r="A5132" t="s">
        <v>16991</v>
      </c>
      <c r="B5132" t="s">
        <v>16992</v>
      </c>
      <c r="C5132" t="s">
        <v>15</v>
      </c>
      <c r="D5132" t="s">
        <v>7098</v>
      </c>
      <c r="E5132" t="s">
        <v>15646</v>
      </c>
      <c r="F5132" t="s">
        <v>14001</v>
      </c>
      <c r="G5132" t="s">
        <v>16993</v>
      </c>
      <c r="H5132" t="str">
        <f>HYPERLINK("https://baanknet.com/view-property/283305/C3ABE5CE3C0EF6E24C3FC23CEA8A46452D876729092DA46CEFDB5720E6114AA6", "https://baanknet.com/view-property/283305/C3ABE5CE3C0EF6E24C3FC23CEA8A46452D876729092DA46CEFDB5720E6114AA6")</f>
        <v>https://baanknet.com/view-property/283305/C3ABE5CE3C0EF6E24C3FC23CEA8A46452D876729092DA46CEFDB5720E6114AA6</v>
      </c>
      <c r="I5132" t="str">
        <f>HYPERLINK("https://baanknet.com/view-property/283305/C3ABE5CE3C0EF6E24C3FC23CEA8A46452D876729092DA46CEFDB5720E6114AA6", "Open")</f>
        <v>Open</v>
      </c>
      <c r="J5132" t="s">
        <v>3803</v>
      </c>
      <c r="L5132">
        <v>1030000</v>
      </c>
      <c r="M5132">
        <v>103000</v>
      </c>
    </row>
    <row r="5133" spans="1:13" x14ac:dyDescent="0.25">
      <c r="A5133" t="s">
        <v>16994</v>
      </c>
      <c r="B5133" t="s">
        <v>16995</v>
      </c>
      <c r="C5133" t="s">
        <v>15</v>
      </c>
      <c r="D5133" t="s">
        <v>16899</v>
      </c>
      <c r="E5133" t="s">
        <v>15646</v>
      </c>
      <c r="F5133" t="s">
        <v>14001</v>
      </c>
      <c r="G5133" t="s">
        <v>16996</v>
      </c>
      <c r="H5133" t="str">
        <f>HYPERLINK("https://baanknet.com/view-property/263863/A62D850FAACAABB56C8CFB536160E30F96C17095FCF1B5C5578F255917FCCDE1", "https://baanknet.com/view-property/263863/A62D850FAACAABB56C8CFB536160E30F96C17095FCF1B5C5578F255917FCCDE1")</f>
        <v>https://baanknet.com/view-property/263863/A62D850FAACAABB56C8CFB536160E30F96C17095FCF1B5C5578F255917FCCDE1</v>
      </c>
      <c r="I5133" t="str">
        <f>HYPERLINK("https://baanknet.com/view-property/263863/A62D850FAACAABB56C8CFB536160E30F96C17095FCF1B5C5578F255917FCCDE1", "Open")</f>
        <v>Open</v>
      </c>
      <c r="J5133" t="s">
        <v>3803</v>
      </c>
      <c r="L5133">
        <v>875000</v>
      </c>
      <c r="M5133">
        <v>87500</v>
      </c>
    </row>
    <row r="5134" spans="1:13" x14ac:dyDescent="0.25">
      <c r="A5134" t="s">
        <v>16997</v>
      </c>
      <c r="B5134" t="s">
        <v>16998</v>
      </c>
      <c r="C5134" t="s">
        <v>15</v>
      </c>
      <c r="D5134" t="s">
        <v>7098</v>
      </c>
      <c r="E5134" t="s">
        <v>15646</v>
      </c>
      <c r="F5134" t="s">
        <v>14001</v>
      </c>
      <c r="G5134" t="s">
        <v>16999</v>
      </c>
      <c r="H5134" t="str">
        <f>HYPERLINK("https://baanknet.com/view-property/282337/E7CB59A5ACF231EB62C249F94E2A30217B3B989FACB3FC06D73F3BF3CE1EA5BF", "https://baanknet.com/view-property/282337/E7CB59A5ACF231EB62C249F94E2A30217B3B989FACB3FC06D73F3BF3CE1EA5BF")</f>
        <v>https://baanknet.com/view-property/282337/E7CB59A5ACF231EB62C249F94E2A30217B3B989FACB3FC06D73F3BF3CE1EA5BF</v>
      </c>
      <c r="I5134" t="str">
        <f>HYPERLINK("https://baanknet.com/view-property/282337/E7CB59A5ACF231EB62C249F94E2A30217B3B989FACB3FC06D73F3BF3CE1EA5BF", "Open")</f>
        <v>Open</v>
      </c>
      <c r="J5134" t="s">
        <v>3803</v>
      </c>
      <c r="L5134">
        <v>650000</v>
      </c>
      <c r="M5134">
        <v>65000</v>
      </c>
    </row>
    <row r="5135" spans="1:13" x14ac:dyDescent="0.25">
      <c r="A5135" t="s">
        <v>17000</v>
      </c>
      <c r="B5135" t="s">
        <v>17001</v>
      </c>
      <c r="C5135" t="s">
        <v>15</v>
      </c>
      <c r="D5135" t="s">
        <v>17002</v>
      </c>
      <c r="E5135" t="s">
        <v>15646</v>
      </c>
      <c r="F5135" t="s">
        <v>14001</v>
      </c>
      <c r="G5135" t="s">
        <v>17003</v>
      </c>
      <c r="H5135" t="str">
        <f>HYPERLINK("https://baanknet.com/view-property/236490/97BCC210ED0CC44B99DE8F750646D490E7A45D5BE2F836BBB8FA055B40DA3212", "https://baanknet.com/view-property/236490/97BCC210ED0CC44B99DE8F750646D490E7A45D5BE2F836BBB8FA055B40DA3212")</f>
        <v>https://baanknet.com/view-property/236490/97BCC210ED0CC44B99DE8F750646D490E7A45D5BE2F836BBB8FA055B40DA3212</v>
      </c>
      <c r="I5135" t="str">
        <f>HYPERLINK("https://baanknet.com/view-property/236490/97BCC210ED0CC44B99DE8F750646D490E7A45D5BE2F836BBB8FA055B40DA3212", "Open")</f>
        <v>Open</v>
      </c>
      <c r="J5135" t="s">
        <v>3803</v>
      </c>
      <c r="L5135">
        <v>970000</v>
      </c>
      <c r="M5135">
        <v>97000</v>
      </c>
    </row>
    <row r="5136" spans="1:13" x14ac:dyDescent="0.25">
      <c r="A5136" t="s">
        <v>17004</v>
      </c>
      <c r="B5136" t="s">
        <v>17005</v>
      </c>
      <c r="C5136" t="s">
        <v>15</v>
      </c>
      <c r="D5136" t="s">
        <v>17006</v>
      </c>
      <c r="E5136" t="s">
        <v>15646</v>
      </c>
      <c r="F5136" t="s">
        <v>14001</v>
      </c>
      <c r="G5136" t="s">
        <v>17007</v>
      </c>
      <c r="H5136" t="str">
        <f>HYPERLINK("https://baanknet.com/view-property/284704/4A6CAF2F2C07A5605AF9E7C8216490A768EC9A207AD84713DCF6D3878E821B08", "https://baanknet.com/view-property/284704/4A6CAF2F2C07A5605AF9E7C8216490A768EC9A207AD84713DCF6D3878E821B08")</f>
        <v>https://baanknet.com/view-property/284704/4A6CAF2F2C07A5605AF9E7C8216490A768EC9A207AD84713DCF6D3878E821B08</v>
      </c>
      <c r="I5136" t="str">
        <f>HYPERLINK("https://baanknet.com/view-property/284704/4A6CAF2F2C07A5605AF9E7C8216490A768EC9A207AD84713DCF6D3878E821B08", "Open")</f>
        <v>Open</v>
      </c>
      <c r="J5136" t="s">
        <v>3803</v>
      </c>
      <c r="L5136">
        <v>2250000</v>
      </c>
      <c r="M5136">
        <v>225000</v>
      </c>
    </row>
    <row r="5137" spans="1:13" x14ac:dyDescent="0.25">
      <c r="A5137" t="s">
        <v>17008</v>
      </c>
      <c r="B5137" t="s">
        <v>17009</v>
      </c>
      <c r="C5137" t="s">
        <v>15</v>
      </c>
      <c r="D5137" t="s">
        <v>7098</v>
      </c>
      <c r="E5137" t="s">
        <v>15646</v>
      </c>
      <c r="F5137" t="s">
        <v>14001</v>
      </c>
      <c r="G5137" t="s">
        <v>17010</v>
      </c>
      <c r="H5137" t="str">
        <f>HYPERLINK("https://baanknet.com/view-property/229882/0FE052CCED584B5B2B91F91670D6ED9DC0A0DEE68C3475242FC89CC65D60598C", "https://baanknet.com/view-property/229882/0FE052CCED584B5B2B91F91670D6ED9DC0A0DEE68C3475242FC89CC65D60598C")</f>
        <v>https://baanknet.com/view-property/229882/0FE052CCED584B5B2B91F91670D6ED9DC0A0DEE68C3475242FC89CC65D60598C</v>
      </c>
      <c r="I5137" t="str">
        <f>HYPERLINK("https://baanknet.com/view-property/229882/0FE052CCED584B5B2B91F91670D6ED9DC0A0DEE68C3475242FC89CC65D60598C", "Open")</f>
        <v>Open</v>
      </c>
      <c r="J5137" t="s">
        <v>3803</v>
      </c>
      <c r="L5137">
        <v>1100000</v>
      </c>
      <c r="M5137">
        <v>110000</v>
      </c>
    </row>
    <row r="5138" spans="1:13" x14ac:dyDescent="0.25">
      <c r="A5138" t="s">
        <v>17011</v>
      </c>
      <c r="B5138" t="s">
        <v>17012</v>
      </c>
      <c r="C5138" t="s">
        <v>15</v>
      </c>
      <c r="D5138" t="s">
        <v>7098</v>
      </c>
      <c r="E5138" t="s">
        <v>15646</v>
      </c>
      <c r="F5138" t="s">
        <v>14001</v>
      </c>
      <c r="G5138" t="s">
        <v>17013</v>
      </c>
      <c r="H5138" t="str">
        <f>HYPERLINK("https://baanknet.com/view-property/198080/D40175C79024FBDDFAEA09B07FCD5D2506634FC69927682FFB66CC94E43C91DC", "https://baanknet.com/view-property/198080/D40175C79024FBDDFAEA09B07FCD5D2506634FC69927682FFB66CC94E43C91DC")</f>
        <v>https://baanknet.com/view-property/198080/D40175C79024FBDDFAEA09B07FCD5D2506634FC69927682FFB66CC94E43C91DC</v>
      </c>
      <c r="I5138" t="str">
        <f>HYPERLINK("https://baanknet.com/view-property/198080/D40175C79024FBDDFAEA09B07FCD5D2506634FC69927682FFB66CC94E43C91DC", "Open")</f>
        <v>Open</v>
      </c>
      <c r="J5138" t="s">
        <v>3803</v>
      </c>
      <c r="L5138">
        <v>1600000</v>
      </c>
      <c r="M5138">
        <v>160000</v>
      </c>
    </row>
    <row r="5139" spans="1:13" x14ac:dyDescent="0.25">
      <c r="A5139" t="s">
        <v>17014</v>
      </c>
      <c r="B5139" t="s">
        <v>17015</v>
      </c>
      <c r="C5139" t="s">
        <v>15</v>
      </c>
      <c r="D5139" t="s">
        <v>7098</v>
      </c>
      <c r="E5139" t="s">
        <v>15646</v>
      </c>
      <c r="F5139" t="s">
        <v>14001</v>
      </c>
      <c r="G5139" t="s">
        <v>17016</v>
      </c>
      <c r="H5139" t="str">
        <f>HYPERLINK("https://baanknet.com/view-property/198339/4262D172A7FE6CD91DBCE62591C8ACCF4E942AC3803C72CE66CCA911A2BF750B", "https://baanknet.com/view-property/198339/4262D172A7FE6CD91DBCE62591C8ACCF4E942AC3803C72CE66CCA911A2BF750B")</f>
        <v>https://baanknet.com/view-property/198339/4262D172A7FE6CD91DBCE62591C8ACCF4E942AC3803C72CE66CCA911A2BF750B</v>
      </c>
      <c r="I5139" t="str">
        <f>HYPERLINK("https://baanknet.com/view-property/198339/4262D172A7FE6CD91DBCE62591C8ACCF4E942AC3803C72CE66CCA911A2BF750B", "Open")</f>
        <v>Open</v>
      </c>
      <c r="J5139" t="s">
        <v>3803</v>
      </c>
      <c r="L5139">
        <v>500000</v>
      </c>
      <c r="M5139">
        <v>50000</v>
      </c>
    </row>
    <row r="5140" spans="1:13" x14ac:dyDescent="0.25">
      <c r="A5140" t="s">
        <v>17017</v>
      </c>
      <c r="B5140" t="s">
        <v>17018</v>
      </c>
      <c r="C5140" t="s">
        <v>15</v>
      </c>
      <c r="D5140" t="s">
        <v>7098</v>
      </c>
      <c r="E5140" t="s">
        <v>15646</v>
      </c>
      <c r="F5140" t="s">
        <v>14001</v>
      </c>
      <c r="G5140" t="s">
        <v>17019</v>
      </c>
      <c r="H5140" t="str">
        <f>HYPERLINK("https://baanknet.com/view-property/229640/403F18F2FC774E4A5DE4994F9FB6D0FB61D4C86EE81E802B34A3D4F8FEB27E9E", "https://baanknet.com/view-property/229640/403F18F2FC774E4A5DE4994F9FB6D0FB61D4C86EE81E802B34A3D4F8FEB27E9E")</f>
        <v>https://baanknet.com/view-property/229640/403F18F2FC774E4A5DE4994F9FB6D0FB61D4C86EE81E802B34A3D4F8FEB27E9E</v>
      </c>
      <c r="I5140" t="str">
        <f>HYPERLINK("https://baanknet.com/view-property/229640/403F18F2FC774E4A5DE4994F9FB6D0FB61D4C86EE81E802B34A3D4F8FEB27E9E", "Open")</f>
        <v>Open</v>
      </c>
      <c r="J5140" t="s">
        <v>3803</v>
      </c>
      <c r="L5140">
        <v>1000000</v>
      </c>
      <c r="M5140">
        <v>100000</v>
      </c>
    </row>
    <row r="5141" spans="1:13" x14ac:dyDescent="0.25">
      <c r="A5141" t="s">
        <v>17020</v>
      </c>
      <c r="B5141" t="s">
        <v>17021</v>
      </c>
      <c r="C5141" t="s">
        <v>15</v>
      </c>
      <c r="D5141" t="s">
        <v>7098</v>
      </c>
      <c r="E5141" t="s">
        <v>15646</v>
      </c>
      <c r="F5141" t="s">
        <v>14001</v>
      </c>
      <c r="G5141" t="s">
        <v>17022</v>
      </c>
      <c r="H5141" t="str">
        <f>HYPERLINK("https://baanknet.com/view-property/198713/B58D1DC724769191346F359F052FAF00FFA3CCD02274CB22FE5470A193122D3E", "https://baanknet.com/view-property/198713/B58D1DC724769191346F359F052FAF00FFA3CCD02274CB22FE5470A193122D3E")</f>
        <v>https://baanknet.com/view-property/198713/B58D1DC724769191346F359F052FAF00FFA3CCD02274CB22FE5470A193122D3E</v>
      </c>
      <c r="I5141" t="str">
        <f>HYPERLINK("https://baanknet.com/view-property/198713/B58D1DC724769191346F359F052FAF00FFA3CCD02274CB22FE5470A193122D3E", "Open")</f>
        <v>Open</v>
      </c>
      <c r="J5141" t="s">
        <v>3803</v>
      </c>
      <c r="L5141">
        <v>1100000</v>
      </c>
      <c r="M5141">
        <v>110000</v>
      </c>
    </row>
    <row r="5142" spans="1:13" x14ac:dyDescent="0.25">
      <c r="A5142" t="s">
        <v>17023</v>
      </c>
      <c r="B5142" t="s">
        <v>17024</v>
      </c>
      <c r="C5142" t="s">
        <v>15</v>
      </c>
      <c r="D5142" t="s">
        <v>7155</v>
      </c>
      <c r="E5142" t="s">
        <v>15646</v>
      </c>
      <c r="F5142" t="s">
        <v>14001</v>
      </c>
      <c r="G5142" t="s">
        <v>17025</v>
      </c>
      <c r="H5142" t="str">
        <f>HYPERLINK("https://baanknet.com/view-property/254183/4DB9F5929E55AF52B32388D67E280290098EE87C55CE2130B730C95DD05426E5", "https://baanknet.com/view-property/254183/4DB9F5929E55AF52B32388D67E280290098EE87C55CE2130B730C95DD05426E5")</f>
        <v>https://baanknet.com/view-property/254183/4DB9F5929E55AF52B32388D67E280290098EE87C55CE2130B730C95DD05426E5</v>
      </c>
      <c r="I5142" t="str">
        <f>HYPERLINK("https://baanknet.com/view-property/254183/4DB9F5929E55AF52B32388D67E280290098EE87C55CE2130B730C95DD05426E5", "Open")</f>
        <v>Open</v>
      </c>
      <c r="J5142" t="s">
        <v>3803</v>
      </c>
      <c r="L5142">
        <v>5000000</v>
      </c>
      <c r="M5142">
        <v>500000</v>
      </c>
    </row>
    <row r="5143" spans="1:13" x14ac:dyDescent="0.25">
      <c r="A5143" t="s">
        <v>17026</v>
      </c>
      <c r="B5143" t="s">
        <v>17027</v>
      </c>
      <c r="C5143" t="s">
        <v>15</v>
      </c>
      <c r="D5143" t="s">
        <v>17028</v>
      </c>
      <c r="E5143" t="s">
        <v>15646</v>
      </c>
      <c r="F5143" t="s">
        <v>14001</v>
      </c>
      <c r="G5143" t="s">
        <v>17029</v>
      </c>
      <c r="H5143" t="str">
        <f>HYPERLINK("https://baanknet.com/view-property/197626/1CA046BFFAE734292C43DAAF31AE14460676487F4B73826724FCDA80923818D7", "https://baanknet.com/view-property/197626/1CA046BFFAE734292C43DAAF31AE14460676487F4B73826724FCDA80923818D7")</f>
        <v>https://baanknet.com/view-property/197626/1CA046BFFAE734292C43DAAF31AE14460676487F4B73826724FCDA80923818D7</v>
      </c>
      <c r="I5143" t="str">
        <f>HYPERLINK("https://baanknet.com/view-property/197626/1CA046BFFAE734292C43DAAF31AE14460676487F4B73826724FCDA80923818D7", "Open")</f>
        <v>Open</v>
      </c>
      <c r="J5143" t="s">
        <v>3803</v>
      </c>
      <c r="L5143">
        <v>4950000</v>
      </c>
      <c r="M5143">
        <v>495000</v>
      </c>
    </row>
    <row r="5144" spans="1:13" x14ac:dyDescent="0.25">
      <c r="A5144" t="s">
        <v>17030</v>
      </c>
      <c r="B5144" t="s">
        <v>17031</v>
      </c>
      <c r="C5144" t="s">
        <v>15</v>
      </c>
      <c r="D5144" t="s">
        <v>17032</v>
      </c>
      <c r="E5144" t="s">
        <v>15646</v>
      </c>
      <c r="F5144" t="s">
        <v>14001</v>
      </c>
      <c r="G5144" t="s">
        <v>17033</v>
      </c>
      <c r="H5144" t="str">
        <f>HYPERLINK("https://baanknet.com/view-property/254245/FD592FFA16D7D38A4FD7CDF8E4D7F6209506486F1ED04965A0E0076C3CC14D32", "https://baanknet.com/view-property/254245/FD592FFA16D7D38A4FD7CDF8E4D7F6209506486F1ED04965A0E0076C3CC14D32")</f>
        <v>https://baanknet.com/view-property/254245/FD592FFA16D7D38A4FD7CDF8E4D7F6209506486F1ED04965A0E0076C3CC14D32</v>
      </c>
      <c r="I5144" t="str">
        <f>HYPERLINK("https://baanknet.com/view-property/254245/FD592FFA16D7D38A4FD7CDF8E4D7F6209506486F1ED04965A0E0076C3CC14D32", "Open")</f>
        <v>Open</v>
      </c>
      <c r="J5144" t="s">
        <v>3803</v>
      </c>
      <c r="L5144">
        <v>1125000</v>
      </c>
      <c r="M5144">
        <v>112500</v>
      </c>
    </row>
    <row r="5145" spans="1:13" x14ac:dyDescent="0.25">
      <c r="A5145" t="s">
        <v>17034</v>
      </c>
      <c r="B5145" t="s">
        <v>17035</v>
      </c>
      <c r="C5145" t="s">
        <v>15</v>
      </c>
      <c r="D5145" t="s">
        <v>4679</v>
      </c>
      <c r="E5145" t="s">
        <v>15646</v>
      </c>
      <c r="F5145" t="s">
        <v>14001</v>
      </c>
      <c r="G5145" t="s">
        <v>17036</v>
      </c>
      <c r="H5145" t="str">
        <f>HYPERLINK("https://baanknet.com/view-property/244781/DD8BFC2DCAC54185723C8A6212E51A9B3DDDEB4C2C4F4D85EBF2CD9B9839A250", "https://baanknet.com/view-property/244781/DD8BFC2DCAC54185723C8A6212E51A9B3DDDEB4C2C4F4D85EBF2CD9B9839A250")</f>
        <v>https://baanknet.com/view-property/244781/DD8BFC2DCAC54185723C8A6212E51A9B3DDDEB4C2C4F4D85EBF2CD9B9839A250</v>
      </c>
      <c r="I5145" t="str">
        <f>HYPERLINK("https://baanknet.com/view-property/244781/DD8BFC2DCAC54185723C8A6212E51A9B3DDDEB4C2C4F4D85EBF2CD9B9839A250", "Open")</f>
        <v>Open</v>
      </c>
      <c r="J5145" t="s">
        <v>3803</v>
      </c>
      <c r="L5145">
        <v>1685000</v>
      </c>
      <c r="M5145">
        <v>168500</v>
      </c>
    </row>
    <row r="5146" spans="1:13" x14ac:dyDescent="0.25">
      <c r="A5146" t="s">
        <v>17037</v>
      </c>
      <c r="B5146" t="s">
        <v>17038</v>
      </c>
      <c r="C5146" t="s">
        <v>15</v>
      </c>
      <c r="D5146" t="s">
        <v>7167</v>
      </c>
      <c r="E5146" t="s">
        <v>15646</v>
      </c>
      <c r="F5146" t="s">
        <v>14001</v>
      </c>
      <c r="G5146" t="s">
        <v>17039</v>
      </c>
      <c r="H5146" t="str">
        <f>HYPERLINK("https://baanknet.com/view-property/267415/0A0D613D21A28D12158619CBF7075A23759C821D0878FF26AF73E01E12096684", "https://baanknet.com/view-property/267415/0A0D613D21A28D12158619CBF7075A23759C821D0878FF26AF73E01E12096684")</f>
        <v>https://baanknet.com/view-property/267415/0A0D613D21A28D12158619CBF7075A23759C821D0878FF26AF73E01E12096684</v>
      </c>
      <c r="I5146" t="str">
        <f>HYPERLINK("https://baanknet.com/view-property/267415/0A0D613D21A28D12158619CBF7075A23759C821D0878FF26AF73E01E12096684", "Open")</f>
        <v>Open</v>
      </c>
      <c r="J5146" t="s">
        <v>3803</v>
      </c>
      <c r="L5146">
        <v>2200000</v>
      </c>
      <c r="M5146">
        <v>220000</v>
      </c>
    </row>
    <row r="5147" spans="1:13" x14ac:dyDescent="0.25">
      <c r="A5147" t="s">
        <v>17040</v>
      </c>
      <c r="B5147" t="s">
        <v>17041</v>
      </c>
      <c r="C5147" t="s">
        <v>15</v>
      </c>
      <c r="D5147" t="s">
        <v>17042</v>
      </c>
      <c r="E5147" t="s">
        <v>15646</v>
      </c>
      <c r="F5147" t="s">
        <v>14001</v>
      </c>
      <c r="G5147" t="s">
        <v>17043</v>
      </c>
      <c r="H5147" t="str">
        <f>HYPERLINK("https://baanknet.com/view-property/278971/E7DAE45CB76170BAE0B86FA1474DC61CE3529607709E129BB60610881BD2201A", "https://baanknet.com/view-property/278971/E7DAE45CB76170BAE0B86FA1474DC61CE3529607709E129BB60610881BD2201A")</f>
        <v>https://baanknet.com/view-property/278971/E7DAE45CB76170BAE0B86FA1474DC61CE3529607709E129BB60610881BD2201A</v>
      </c>
      <c r="I5147" t="str">
        <f>HYPERLINK("https://baanknet.com/view-property/278971/E7DAE45CB76170BAE0B86FA1474DC61CE3529607709E129BB60610881BD2201A", "Open")</f>
        <v>Open</v>
      </c>
      <c r="J5147" t="s">
        <v>3803</v>
      </c>
      <c r="L5147">
        <v>12626000</v>
      </c>
      <c r="M5147">
        <v>1262600</v>
      </c>
    </row>
    <row r="5148" spans="1:13" x14ac:dyDescent="0.25">
      <c r="A5148" t="s">
        <v>17044</v>
      </c>
      <c r="B5148" t="s">
        <v>17045</v>
      </c>
      <c r="C5148" t="s">
        <v>15</v>
      </c>
      <c r="D5148" t="s">
        <v>7167</v>
      </c>
      <c r="E5148" t="s">
        <v>15646</v>
      </c>
      <c r="F5148" t="s">
        <v>14001</v>
      </c>
      <c r="G5148" t="s">
        <v>17046</v>
      </c>
      <c r="H5148" t="str">
        <f>HYPERLINK("https://baanknet.com/view-property/235353/78AD156EAAF95E2031A2B51D2C678CFC3BF06FA25CCBCB712C5F4D3F767A472F", "https://baanknet.com/view-property/235353/78AD156EAAF95E2031A2B51D2C678CFC3BF06FA25CCBCB712C5F4D3F767A472F")</f>
        <v>https://baanknet.com/view-property/235353/78AD156EAAF95E2031A2B51D2C678CFC3BF06FA25CCBCB712C5F4D3F767A472F</v>
      </c>
      <c r="I5148" t="str">
        <f>HYPERLINK("https://baanknet.com/view-property/235353/78AD156EAAF95E2031A2B51D2C678CFC3BF06FA25CCBCB712C5F4D3F767A472F", "Open")</f>
        <v>Open</v>
      </c>
      <c r="J5148" t="s">
        <v>3803</v>
      </c>
      <c r="L5148">
        <v>1800000</v>
      </c>
      <c r="M5148">
        <v>180000</v>
      </c>
    </row>
    <row r="5149" spans="1:13" x14ac:dyDescent="0.25">
      <c r="A5149" t="s">
        <v>17047</v>
      </c>
      <c r="B5149" t="s">
        <v>17048</v>
      </c>
      <c r="C5149" t="s">
        <v>15</v>
      </c>
      <c r="D5149" t="s">
        <v>7246</v>
      </c>
      <c r="E5149" t="s">
        <v>15646</v>
      </c>
      <c r="F5149" t="s">
        <v>14001</v>
      </c>
      <c r="G5149" t="s">
        <v>17049</v>
      </c>
      <c r="H5149" t="str">
        <f>HYPERLINK("https://baanknet.com/view-property/212712/37F45A975D8A2FB6D3E1B977FD98E6E950AB0D0447A864A2E50CE8FBB6A9DA09", "https://baanknet.com/view-property/212712/37F45A975D8A2FB6D3E1B977FD98E6E950AB0D0447A864A2E50CE8FBB6A9DA09")</f>
        <v>https://baanknet.com/view-property/212712/37F45A975D8A2FB6D3E1B977FD98E6E950AB0D0447A864A2E50CE8FBB6A9DA09</v>
      </c>
      <c r="I5149" t="str">
        <f>HYPERLINK("https://baanknet.com/view-property/212712/37F45A975D8A2FB6D3E1B977FD98E6E950AB0D0447A864A2E50CE8FBB6A9DA09", "Open")</f>
        <v>Open</v>
      </c>
      <c r="J5149" t="s">
        <v>3803</v>
      </c>
      <c r="L5149">
        <v>2250000</v>
      </c>
      <c r="M5149">
        <v>225000</v>
      </c>
    </row>
    <row r="5150" spans="1:13" x14ac:dyDescent="0.25">
      <c r="A5150" t="s">
        <v>17050</v>
      </c>
      <c r="B5150" t="s">
        <v>17051</v>
      </c>
      <c r="C5150" t="s">
        <v>15</v>
      </c>
      <c r="D5150" t="s">
        <v>102</v>
      </c>
      <c r="E5150" t="s">
        <v>15646</v>
      </c>
      <c r="F5150" t="s">
        <v>14001</v>
      </c>
      <c r="G5150" t="s">
        <v>17052</v>
      </c>
      <c r="H5150" t="str">
        <f>HYPERLINK("https://baanknet.com/view-property/227408/F11881C605C73CDD63F543C841AB9212B13C236E5A0F95E839262DF7DEB60D52", "https://baanknet.com/view-property/227408/F11881C605C73CDD63F543C841AB9212B13C236E5A0F95E839262DF7DEB60D52")</f>
        <v>https://baanknet.com/view-property/227408/F11881C605C73CDD63F543C841AB9212B13C236E5A0F95E839262DF7DEB60D52</v>
      </c>
      <c r="I5150" t="str">
        <f>HYPERLINK("https://baanknet.com/view-property/227408/F11881C605C73CDD63F543C841AB9212B13C236E5A0F95E839262DF7DEB60D52", "Open")</f>
        <v>Open</v>
      </c>
      <c r="J5150" t="s">
        <v>3803</v>
      </c>
      <c r="L5150">
        <v>7670000</v>
      </c>
      <c r="M5150">
        <v>767000</v>
      </c>
    </row>
    <row r="5151" spans="1:13" x14ac:dyDescent="0.25">
      <c r="A5151" t="s">
        <v>17053</v>
      </c>
      <c r="B5151" t="s">
        <v>17054</v>
      </c>
      <c r="C5151" t="s">
        <v>15</v>
      </c>
      <c r="D5151" t="s">
        <v>4557</v>
      </c>
      <c r="E5151" t="s">
        <v>15646</v>
      </c>
      <c r="F5151" t="s">
        <v>14001</v>
      </c>
      <c r="G5151" t="s">
        <v>17055</v>
      </c>
      <c r="H5151" t="str">
        <f>HYPERLINK("https://baanknet.com/view-property/227581/1C9FB8EB89B5088843B2C44B408BDEC8C08A49DFFC9DA1BD2DE833598409FBB7", "https://baanknet.com/view-property/227581/1C9FB8EB89B5088843B2C44B408BDEC8C08A49DFFC9DA1BD2DE833598409FBB7")</f>
        <v>https://baanknet.com/view-property/227581/1C9FB8EB89B5088843B2C44B408BDEC8C08A49DFFC9DA1BD2DE833598409FBB7</v>
      </c>
      <c r="I5151" t="str">
        <f>HYPERLINK("https://baanknet.com/view-property/227581/1C9FB8EB89B5088843B2C44B408BDEC8C08A49DFFC9DA1BD2DE833598409FBB7", "Open")</f>
        <v>Open</v>
      </c>
      <c r="J5151" t="s">
        <v>3803</v>
      </c>
      <c r="L5151">
        <v>1050000</v>
      </c>
      <c r="M5151">
        <v>105000</v>
      </c>
    </row>
    <row r="5152" spans="1:13" x14ac:dyDescent="0.25">
      <c r="A5152" t="s">
        <v>17056</v>
      </c>
      <c r="B5152" t="s">
        <v>17057</v>
      </c>
      <c r="C5152" t="s">
        <v>15</v>
      </c>
      <c r="D5152" t="s">
        <v>4557</v>
      </c>
      <c r="E5152" t="s">
        <v>15646</v>
      </c>
      <c r="F5152" t="s">
        <v>14001</v>
      </c>
      <c r="G5152" t="s">
        <v>17058</v>
      </c>
      <c r="H5152" t="str">
        <f>HYPERLINK("https://baanknet.com/view-property/229621/BA8CC959F89FE4EA4555F4D4DE1B0C7D5F45B10157E860CF31C8E89D79850B4E", "https://baanknet.com/view-property/229621/BA8CC959F89FE4EA4555F4D4DE1B0C7D5F45B10157E860CF31C8E89D79850B4E")</f>
        <v>https://baanknet.com/view-property/229621/BA8CC959F89FE4EA4555F4D4DE1B0C7D5F45B10157E860CF31C8E89D79850B4E</v>
      </c>
      <c r="I5152" t="str">
        <f>HYPERLINK("https://baanknet.com/view-property/229621/BA8CC959F89FE4EA4555F4D4DE1B0C7D5F45B10157E860CF31C8E89D79850B4E", "Open")</f>
        <v>Open</v>
      </c>
      <c r="J5152" t="s">
        <v>3803</v>
      </c>
      <c r="L5152">
        <v>1950000</v>
      </c>
      <c r="M5152">
        <v>195000</v>
      </c>
    </row>
    <row r="5153" spans="1:13" x14ac:dyDescent="0.25">
      <c r="A5153" t="s">
        <v>17059</v>
      </c>
      <c r="B5153" t="s">
        <v>17060</v>
      </c>
      <c r="C5153" t="s">
        <v>15</v>
      </c>
      <c r="D5153" t="s">
        <v>463</v>
      </c>
      <c r="E5153" t="s">
        <v>15646</v>
      </c>
      <c r="F5153" t="s">
        <v>14001</v>
      </c>
      <c r="G5153" t="s">
        <v>17061</v>
      </c>
      <c r="H5153" t="str">
        <f>HYPERLINK("https://baanknet.com/view-property/227612/8900B73182BFD61050E9F83E756404FD6865A170256ACE8DACB72C208DA3CF34", "https://baanknet.com/view-property/227612/8900B73182BFD61050E9F83E756404FD6865A170256ACE8DACB72C208DA3CF34")</f>
        <v>https://baanknet.com/view-property/227612/8900B73182BFD61050E9F83E756404FD6865A170256ACE8DACB72C208DA3CF34</v>
      </c>
      <c r="I5153" t="str">
        <f>HYPERLINK("https://baanknet.com/view-property/227612/8900B73182BFD61050E9F83E756404FD6865A170256ACE8DACB72C208DA3CF34", "Open")</f>
        <v>Open</v>
      </c>
      <c r="J5153" t="s">
        <v>3803</v>
      </c>
      <c r="L5153">
        <v>2250000</v>
      </c>
      <c r="M5153">
        <v>225000</v>
      </c>
    </row>
    <row r="5154" spans="1:13" x14ac:dyDescent="0.25">
      <c r="A5154" t="s">
        <v>17062</v>
      </c>
      <c r="B5154" t="s">
        <v>17063</v>
      </c>
      <c r="C5154" t="s">
        <v>15</v>
      </c>
      <c r="D5154" t="s">
        <v>17064</v>
      </c>
      <c r="E5154" t="s">
        <v>15646</v>
      </c>
      <c r="F5154" t="s">
        <v>14001</v>
      </c>
      <c r="G5154" t="s">
        <v>17065</v>
      </c>
      <c r="H5154" t="str">
        <f>HYPERLINK("https://baanknet.com/view-property/213186/11BA59557C820405C0F5D58E62A5BD8788C4DEFFBF70E2B5F269A2C077F96E45", "https://baanknet.com/view-property/213186/11BA59557C820405C0F5D58E62A5BD8788C4DEFFBF70E2B5F269A2C077F96E45")</f>
        <v>https://baanknet.com/view-property/213186/11BA59557C820405C0F5D58E62A5BD8788C4DEFFBF70E2B5F269A2C077F96E45</v>
      </c>
      <c r="I5154" t="str">
        <f>HYPERLINK("https://baanknet.com/view-property/213186/11BA59557C820405C0F5D58E62A5BD8788C4DEFFBF70E2B5F269A2C077F96E45", "Open")</f>
        <v>Open</v>
      </c>
      <c r="J5154" t="s">
        <v>3803</v>
      </c>
      <c r="L5154">
        <v>2400000</v>
      </c>
      <c r="M5154">
        <v>240000</v>
      </c>
    </row>
    <row r="5155" spans="1:13" x14ac:dyDescent="0.25">
      <c r="A5155" t="s">
        <v>17066</v>
      </c>
      <c r="B5155" t="s">
        <v>17067</v>
      </c>
      <c r="C5155" t="s">
        <v>15</v>
      </c>
      <c r="D5155" t="s">
        <v>7257</v>
      </c>
      <c r="E5155" t="s">
        <v>15646</v>
      </c>
      <c r="F5155" t="s">
        <v>14001</v>
      </c>
      <c r="G5155" t="s">
        <v>17068</v>
      </c>
      <c r="H5155" t="str">
        <f>HYPERLINK("https://baanknet.com/view-property/213097/BB501E4DD95DF6697C93BF014AC3DBB9B0BB3CFB1AE2C77135A23321325B9A3E", "https://baanknet.com/view-property/213097/BB501E4DD95DF6697C93BF014AC3DBB9B0BB3CFB1AE2C77135A23321325B9A3E")</f>
        <v>https://baanknet.com/view-property/213097/BB501E4DD95DF6697C93BF014AC3DBB9B0BB3CFB1AE2C77135A23321325B9A3E</v>
      </c>
      <c r="I5155" t="str">
        <f>HYPERLINK("https://baanknet.com/view-property/213097/BB501E4DD95DF6697C93BF014AC3DBB9B0BB3CFB1AE2C77135A23321325B9A3E", "Open")</f>
        <v>Open</v>
      </c>
      <c r="J5155" t="s">
        <v>3803</v>
      </c>
      <c r="L5155">
        <v>800000</v>
      </c>
      <c r="M5155">
        <v>80000</v>
      </c>
    </row>
    <row r="5156" spans="1:13" x14ac:dyDescent="0.25">
      <c r="A5156" t="s">
        <v>17069</v>
      </c>
      <c r="B5156" t="s">
        <v>17070</v>
      </c>
      <c r="C5156" t="s">
        <v>15</v>
      </c>
      <c r="D5156" t="s">
        <v>4557</v>
      </c>
      <c r="E5156" t="s">
        <v>15646</v>
      </c>
      <c r="F5156" t="s">
        <v>14001</v>
      </c>
      <c r="G5156" t="s">
        <v>17071</v>
      </c>
      <c r="H5156" t="str">
        <f>HYPERLINK("https://baanknet.com/view-property/260989/1646982F76D7F457053A4EF9B695A38B241513A21C9A63BD3FA3B8DCB26C2219", "https://baanknet.com/view-property/260989/1646982F76D7F457053A4EF9B695A38B241513A21C9A63BD3FA3B8DCB26C2219")</f>
        <v>https://baanknet.com/view-property/260989/1646982F76D7F457053A4EF9B695A38B241513A21C9A63BD3FA3B8DCB26C2219</v>
      </c>
      <c r="I5156" t="str">
        <f>HYPERLINK("https://baanknet.com/view-property/260989/1646982F76D7F457053A4EF9B695A38B241513A21C9A63BD3FA3B8DCB26C2219", "Open")</f>
        <v>Open</v>
      </c>
      <c r="J5156" t="s">
        <v>3803</v>
      </c>
      <c r="L5156">
        <v>5300000</v>
      </c>
      <c r="M5156">
        <v>530000</v>
      </c>
    </row>
    <row r="5157" spans="1:13" x14ac:dyDescent="0.25">
      <c r="A5157" t="s">
        <v>17072</v>
      </c>
      <c r="B5157" t="s">
        <v>17073</v>
      </c>
      <c r="C5157" t="s">
        <v>15</v>
      </c>
      <c r="D5157" t="s">
        <v>463</v>
      </c>
      <c r="E5157" t="s">
        <v>15646</v>
      </c>
      <c r="F5157" t="s">
        <v>14001</v>
      </c>
      <c r="G5157" t="s">
        <v>17074</v>
      </c>
      <c r="H5157" t="str">
        <f>HYPERLINK("https://baanknet.com/view-property/207029/D729210B2631F2680F184183CDEE34E14FD7AA391853D4DDA90273A192ABEA51", "https://baanknet.com/view-property/207029/D729210B2631F2680F184183CDEE34E14FD7AA391853D4DDA90273A192ABEA51")</f>
        <v>https://baanknet.com/view-property/207029/D729210B2631F2680F184183CDEE34E14FD7AA391853D4DDA90273A192ABEA51</v>
      </c>
      <c r="I5157" t="str">
        <f>HYPERLINK("https://baanknet.com/view-property/207029/D729210B2631F2680F184183CDEE34E14FD7AA391853D4DDA90273A192ABEA51", "Open")</f>
        <v>Open</v>
      </c>
      <c r="J5157" t="s">
        <v>3803</v>
      </c>
      <c r="L5157">
        <v>875000</v>
      </c>
      <c r="M5157">
        <v>87500</v>
      </c>
    </row>
    <row r="5158" spans="1:13" x14ac:dyDescent="0.25">
      <c r="A5158" t="s">
        <v>17075</v>
      </c>
      <c r="B5158" t="s">
        <v>17076</v>
      </c>
      <c r="C5158" t="s">
        <v>15</v>
      </c>
      <c r="D5158" t="s">
        <v>17077</v>
      </c>
      <c r="E5158" t="s">
        <v>15646</v>
      </c>
      <c r="F5158" t="s">
        <v>14001</v>
      </c>
      <c r="G5158" t="s">
        <v>17078</v>
      </c>
      <c r="H5158" t="str">
        <f>HYPERLINK("https://baanknet.com/view-property/260996/B098A30719464B93F4AC4C531F4720A65BBA0D88400581831621E8D419710177", "https://baanknet.com/view-property/260996/B098A30719464B93F4AC4C531F4720A65BBA0D88400581831621E8D419710177")</f>
        <v>https://baanknet.com/view-property/260996/B098A30719464B93F4AC4C531F4720A65BBA0D88400581831621E8D419710177</v>
      </c>
      <c r="I5158" t="str">
        <f>HYPERLINK("https://baanknet.com/view-property/260996/B098A30719464B93F4AC4C531F4720A65BBA0D88400581831621E8D419710177", "Open")</f>
        <v>Open</v>
      </c>
      <c r="J5158" t="s">
        <v>3803</v>
      </c>
      <c r="L5158">
        <v>1950000</v>
      </c>
      <c r="M5158">
        <v>195000</v>
      </c>
    </row>
    <row r="5159" spans="1:13" x14ac:dyDescent="0.25">
      <c r="A5159" t="s">
        <v>17079</v>
      </c>
      <c r="B5159" t="s">
        <v>17080</v>
      </c>
      <c r="C5159" t="s">
        <v>15</v>
      </c>
      <c r="D5159" t="s">
        <v>7163</v>
      </c>
      <c r="E5159" t="s">
        <v>15646</v>
      </c>
      <c r="F5159" t="s">
        <v>14001</v>
      </c>
      <c r="G5159" t="s">
        <v>17081</v>
      </c>
      <c r="H5159" t="str">
        <f>HYPERLINK("https://baanknet.com/view-property/249262/193B0CC09627EBD8F416F1199986AB07F399D1E8F11182C76C943913425B4877", "https://baanknet.com/view-property/249262/193B0CC09627EBD8F416F1199986AB07F399D1E8F11182C76C943913425B4877")</f>
        <v>https://baanknet.com/view-property/249262/193B0CC09627EBD8F416F1199986AB07F399D1E8F11182C76C943913425B4877</v>
      </c>
      <c r="I5159" t="str">
        <f>HYPERLINK("https://baanknet.com/view-property/249262/193B0CC09627EBD8F416F1199986AB07F399D1E8F11182C76C943913425B4877", "Open")</f>
        <v>Open</v>
      </c>
      <c r="J5159" t="s">
        <v>3803</v>
      </c>
      <c r="L5159">
        <v>10900000</v>
      </c>
      <c r="M5159">
        <v>1090000</v>
      </c>
    </row>
    <row r="5160" spans="1:13" x14ac:dyDescent="0.25">
      <c r="A5160" t="s">
        <v>17082</v>
      </c>
      <c r="B5160" t="s">
        <v>17083</v>
      </c>
      <c r="C5160" t="s">
        <v>15</v>
      </c>
      <c r="D5160" t="s">
        <v>7909</v>
      </c>
      <c r="E5160" t="s">
        <v>15646</v>
      </c>
      <c r="F5160" t="s">
        <v>14001</v>
      </c>
      <c r="G5160" t="s">
        <v>17084</v>
      </c>
      <c r="H5160" t="str">
        <f>HYPERLINK("https://baanknet.com/view-property/249766/6A6760F5EF0C7017B9825F275F5AC8AA5DC767736C8D6EA244F39271DC83EF33", "https://baanknet.com/view-property/249766/6A6760F5EF0C7017B9825F275F5AC8AA5DC767736C8D6EA244F39271DC83EF33")</f>
        <v>https://baanknet.com/view-property/249766/6A6760F5EF0C7017B9825F275F5AC8AA5DC767736C8D6EA244F39271DC83EF33</v>
      </c>
      <c r="I5160" t="str">
        <f>HYPERLINK("https://baanknet.com/view-property/249766/6A6760F5EF0C7017B9825F275F5AC8AA5DC767736C8D6EA244F39271DC83EF33", "Open")</f>
        <v>Open</v>
      </c>
      <c r="J5160" t="s">
        <v>3803</v>
      </c>
      <c r="L5160">
        <v>4720000</v>
      </c>
      <c r="M5160">
        <v>472000</v>
      </c>
    </row>
    <row r="5161" spans="1:13" x14ac:dyDescent="0.25">
      <c r="A5161" t="s">
        <v>17085</v>
      </c>
      <c r="B5161" t="s">
        <v>17086</v>
      </c>
      <c r="C5161" t="s">
        <v>15</v>
      </c>
      <c r="D5161" t="s">
        <v>463</v>
      </c>
      <c r="E5161" t="s">
        <v>15646</v>
      </c>
      <c r="F5161" t="s">
        <v>14001</v>
      </c>
      <c r="G5161" t="s">
        <v>17087</v>
      </c>
      <c r="H5161" t="str">
        <f>HYPERLINK("https://baanknet.com/view-property/226845/350917708D0282A12C3D1FA444CAD5B3FD7B70FC128C7426DDA3C9E58F66CC4A", "https://baanknet.com/view-property/226845/350917708D0282A12C3D1FA444CAD5B3FD7B70FC128C7426DDA3C9E58F66CC4A")</f>
        <v>https://baanknet.com/view-property/226845/350917708D0282A12C3D1FA444CAD5B3FD7B70FC128C7426DDA3C9E58F66CC4A</v>
      </c>
      <c r="I5161" t="str">
        <f>HYPERLINK("https://baanknet.com/view-property/226845/350917708D0282A12C3D1FA444CAD5B3FD7B70FC128C7426DDA3C9E58F66CC4A", "Open")</f>
        <v>Open</v>
      </c>
      <c r="J5161" t="s">
        <v>3803</v>
      </c>
      <c r="L5161">
        <v>7000000</v>
      </c>
      <c r="M5161">
        <v>700000</v>
      </c>
    </row>
    <row r="5162" spans="1:13" x14ac:dyDescent="0.25">
      <c r="A5162" t="s">
        <v>17088</v>
      </c>
      <c r="B5162" t="s">
        <v>17089</v>
      </c>
      <c r="C5162" t="s">
        <v>15</v>
      </c>
      <c r="D5162" t="s">
        <v>4553</v>
      </c>
      <c r="E5162" t="s">
        <v>15646</v>
      </c>
      <c r="F5162" t="s">
        <v>14001</v>
      </c>
      <c r="G5162" t="s">
        <v>17090</v>
      </c>
      <c r="H5162" t="str">
        <f>HYPERLINK("https://baanknet.com/view-property/263304/5133CF6A41D6BDC7088434F50CE578506791DCB538C8C1507A236C1B04A0DC6B", "https://baanknet.com/view-property/263304/5133CF6A41D6BDC7088434F50CE578506791DCB538C8C1507A236C1B04A0DC6B")</f>
        <v>https://baanknet.com/view-property/263304/5133CF6A41D6BDC7088434F50CE578506791DCB538C8C1507A236C1B04A0DC6B</v>
      </c>
      <c r="I5162" t="str">
        <f>HYPERLINK("https://baanknet.com/view-property/263304/5133CF6A41D6BDC7088434F50CE578506791DCB538C8C1507A236C1B04A0DC6B", "Open")</f>
        <v>Open</v>
      </c>
      <c r="J5162" t="s">
        <v>3803</v>
      </c>
      <c r="L5162">
        <v>3550000</v>
      </c>
      <c r="M5162">
        <v>355000</v>
      </c>
    </row>
    <row r="5163" spans="1:13" x14ac:dyDescent="0.25">
      <c r="A5163" t="s">
        <v>17091</v>
      </c>
      <c r="B5163" t="s">
        <v>17092</v>
      </c>
      <c r="C5163" t="s">
        <v>15</v>
      </c>
      <c r="D5163" t="s">
        <v>7163</v>
      </c>
      <c r="E5163" t="s">
        <v>15646</v>
      </c>
      <c r="F5163" t="s">
        <v>14001</v>
      </c>
      <c r="G5163" t="s">
        <v>17093</v>
      </c>
      <c r="H5163" t="str">
        <f>HYPERLINK("https://baanknet.com/view-property/260999/B188991856F9C82B2399F7233567B965262DC50D893C66FC82070CF6C1451A2C", "https://baanknet.com/view-property/260999/B188991856F9C82B2399F7233567B965262DC50D893C66FC82070CF6C1451A2C")</f>
        <v>https://baanknet.com/view-property/260999/B188991856F9C82B2399F7233567B965262DC50D893C66FC82070CF6C1451A2C</v>
      </c>
      <c r="I5163" t="str">
        <f>HYPERLINK("https://baanknet.com/view-property/260999/B188991856F9C82B2399F7233567B965262DC50D893C66FC82070CF6C1451A2C", "Open")</f>
        <v>Open</v>
      </c>
      <c r="J5163" t="s">
        <v>3803</v>
      </c>
      <c r="L5163">
        <v>1978000</v>
      </c>
      <c r="M5163">
        <v>197800</v>
      </c>
    </row>
    <row r="5164" spans="1:13" x14ac:dyDescent="0.25">
      <c r="A5164" t="s">
        <v>17094</v>
      </c>
      <c r="B5164" t="s">
        <v>17095</v>
      </c>
      <c r="C5164" t="s">
        <v>15</v>
      </c>
      <c r="D5164" t="s">
        <v>17077</v>
      </c>
      <c r="E5164" t="s">
        <v>15646</v>
      </c>
      <c r="F5164" t="s">
        <v>14001</v>
      </c>
      <c r="G5164" t="s">
        <v>17096</v>
      </c>
      <c r="H5164" t="str">
        <f>HYPERLINK("https://baanknet.com/view-property/275457/EE76E4AE982C17C55BC3E0CA2A993FCC51E3546D359A67FD7216F5A0180EE252", "https://baanknet.com/view-property/275457/EE76E4AE982C17C55BC3E0CA2A993FCC51E3546D359A67FD7216F5A0180EE252")</f>
        <v>https://baanknet.com/view-property/275457/EE76E4AE982C17C55BC3E0CA2A993FCC51E3546D359A67FD7216F5A0180EE252</v>
      </c>
      <c r="I5164" t="str">
        <f>HYPERLINK("https://baanknet.com/view-property/275457/EE76E4AE982C17C55BC3E0CA2A993FCC51E3546D359A67FD7216F5A0180EE252", "Open")</f>
        <v>Open</v>
      </c>
      <c r="J5164" t="s">
        <v>3803</v>
      </c>
      <c r="L5164">
        <v>2111000</v>
      </c>
      <c r="M5164">
        <v>211100</v>
      </c>
    </row>
    <row r="5165" spans="1:13" x14ac:dyDescent="0.25">
      <c r="A5165" t="s">
        <v>17097</v>
      </c>
      <c r="B5165" t="s">
        <v>17098</v>
      </c>
      <c r="C5165" t="s">
        <v>15</v>
      </c>
      <c r="D5165" t="s">
        <v>17099</v>
      </c>
      <c r="E5165" t="s">
        <v>15646</v>
      </c>
      <c r="F5165" t="s">
        <v>14001</v>
      </c>
      <c r="G5165" t="s">
        <v>17100</v>
      </c>
      <c r="H5165" t="str">
        <f>HYPERLINK("https://baanknet.com/view-property/237412/28CA65F9F061CE33B5BA8942B35D337240A5F1EA0DB0EADF42159DCCBECA2D75", "https://baanknet.com/view-property/237412/28CA65F9F061CE33B5BA8942B35D337240A5F1EA0DB0EADF42159DCCBECA2D75")</f>
        <v>https://baanknet.com/view-property/237412/28CA65F9F061CE33B5BA8942B35D337240A5F1EA0DB0EADF42159DCCBECA2D75</v>
      </c>
      <c r="I5165" t="str">
        <f>HYPERLINK("https://baanknet.com/view-property/237412/28CA65F9F061CE33B5BA8942B35D337240A5F1EA0DB0EADF42159DCCBECA2D75", "Open")</f>
        <v>Open</v>
      </c>
      <c r="J5165" t="s">
        <v>3803</v>
      </c>
      <c r="L5165">
        <v>2700000</v>
      </c>
      <c r="M5165">
        <v>270000</v>
      </c>
    </row>
    <row r="5166" spans="1:13" x14ac:dyDescent="0.25">
      <c r="A5166" t="s">
        <v>17101</v>
      </c>
      <c r="B5166" t="s">
        <v>17102</v>
      </c>
      <c r="C5166" t="s">
        <v>15</v>
      </c>
      <c r="D5166" t="s">
        <v>32</v>
      </c>
      <c r="E5166" t="s">
        <v>15646</v>
      </c>
      <c r="F5166" t="s">
        <v>14001</v>
      </c>
      <c r="G5166" t="s">
        <v>17103</v>
      </c>
      <c r="H5166" t="str">
        <f>HYPERLINK("https://baanknet.com/view-property/251331/4612A20F6582C00B7BD44FD2E53FA9E0DE8BC79A9D66EE61320B039BA977788E", "https://baanknet.com/view-property/251331/4612A20F6582C00B7BD44FD2E53FA9E0DE8BC79A9D66EE61320B039BA977788E")</f>
        <v>https://baanknet.com/view-property/251331/4612A20F6582C00B7BD44FD2E53FA9E0DE8BC79A9D66EE61320B039BA977788E</v>
      </c>
      <c r="I5166" t="str">
        <f>HYPERLINK("https://baanknet.com/view-property/251331/4612A20F6582C00B7BD44FD2E53FA9E0DE8BC79A9D66EE61320B039BA977788E", "Open")</f>
        <v>Open</v>
      </c>
      <c r="J5166" t="s">
        <v>3803</v>
      </c>
      <c r="L5166">
        <v>4018000</v>
      </c>
      <c r="M5166">
        <v>401800</v>
      </c>
    </row>
    <row r="5167" spans="1:13" x14ac:dyDescent="0.25">
      <c r="A5167" t="s">
        <v>17104</v>
      </c>
      <c r="B5167" t="s">
        <v>17105</v>
      </c>
      <c r="C5167" t="s">
        <v>15</v>
      </c>
      <c r="D5167" t="s">
        <v>3325</v>
      </c>
      <c r="E5167" t="s">
        <v>15646</v>
      </c>
      <c r="F5167" t="s">
        <v>14001</v>
      </c>
      <c r="G5167" t="s">
        <v>17106</v>
      </c>
      <c r="H5167" t="str">
        <f>HYPERLINK("https://baanknet.com/view-property/243361/B9844917C7AF09D669A021224D5BA1237F785A55ABCC72FE0918458E089E5740", "https://baanknet.com/view-property/243361/B9844917C7AF09D669A021224D5BA1237F785A55ABCC72FE0918458E089E5740")</f>
        <v>https://baanknet.com/view-property/243361/B9844917C7AF09D669A021224D5BA1237F785A55ABCC72FE0918458E089E5740</v>
      </c>
      <c r="I5167" t="str">
        <f>HYPERLINK("https://baanknet.com/view-property/243361/B9844917C7AF09D669A021224D5BA1237F785A55ABCC72FE0918458E089E5740", "Open")</f>
        <v>Open</v>
      </c>
      <c r="J5167" t="s">
        <v>3803</v>
      </c>
      <c r="L5167">
        <v>8500000</v>
      </c>
      <c r="M5167">
        <v>850000</v>
      </c>
    </row>
    <row r="5168" spans="1:13" x14ac:dyDescent="0.25">
      <c r="A5168" t="s">
        <v>17107</v>
      </c>
      <c r="B5168" t="s">
        <v>17108</v>
      </c>
      <c r="C5168" t="s">
        <v>15</v>
      </c>
      <c r="D5168" t="s">
        <v>16872</v>
      </c>
      <c r="E5168" t="s">
        <v>15646</v>
      </c>
      <c r="F5168" t="s">
        <v>14001</v>
      </c>
      <c r="G5168" t="s">
        <v>17109</v>
      </c>
      <c r="H5168" t="str">
        <f>HYPERLINK("https://baanknet.com/view-property/278592/AE81EC21CC3B175AB5B73A3CE569699337B36C23C11F25BF0130F4B20AC78CF5", "https://baanknet.com/view-property/278592/AE81EC21CC3B175AB5B73A3CE569699337B36C23C11F25BF0130F4B20AC78CF5")</f>
        <v>https://baanknet.com/view-property/278592/AE81EC21CC3B175AB5B73A3CE569699337B36C23C11F25BF0130F4B20AC78CF5</v>
      </c>
      <c r="I5168" t="str">
        <f>HYPERLINK("https://baanknet.com/view-property/278592/AE81EC21CC3B175AB5B73A3CE569699337B36C23C11F25BF0130F4B20AC78CF5", "Open")</f>
        <v>Open</v>
      </c>
      <c r="J5168" t="s">
        <v>3803</v>
      </c>
      <c r="L5168">
        <v>1130000</v>
      </c>
      <c r="M5168">
        <v>113000</v>
      </c>
    </row>
    <row r="5169" spans="1:13" x14ac:dyDescent="0.25">
      <c r="A5169" t="s">
        <v>17110</v>
      </c>
      <c r="B5169" t="s">
        <v>17111</v>
      </c>
      <c r="C5169" t="s">
        <v>15</v>
      </c>
      <c r="D5169" t="s">
        <v>7102</v>
      </c>
      <c r="E5169" t="s">
        <v>15646</v>
      </c>
      <c r="F5169" t="s">
        <v>14001</v>
      </c>
      <c r="G5169" t="s">
        <v>17112</v>
      </c>
      <c r="H5169" t="str">
        <f>HYPERLINK("https://baanknet.com/view-property/278580/561AC07D04CBADC4AA888CDBB3FBE8E5EEB528226304D1073ADF79B695E63BE0", "https://baanknet.com/view-property/278580/561AC07D04CBADC4AA888CDBB3FBE8E5EEB528226304D1073ADF79B695E63BE0")</f>
        <v>https://baanknet.com/view-property/278580/561AC07D04CBADC4AA888CDBB3FBE8E5EEB528226304D1073ADF79B695E63BE0</v>
      </c>
      <c r="I5169" t="str">
        <f>HYPERLINK("https://baanknet.com/view-property/278580/561AC07D04CBADC4AA888CDBB3FBE8E5EEB528226304D1073ADF79B695E63BE0", "Open")</f>
        <v>Open</v>
      </c>
      <c r="J5169" t="s">
        <v>3803</v>
      </c>
      <c r="L5169">
        <v>670000</v>
      </c>
      <c r="M5169">
        <v>67000</v>
      </c>
    </row>
    <row r="5170" spans="1:13" x14ac:dyDescent="0.25">
      <c r="A5170" t="s">
        <v>17113</v>
      </c>
      <c r="B5170" t="s">
        <v>17114</v>
      </c>
      <c r="C5170" t="s">
        <v>15</v>
      </c>
      <c r="D5170" t="s">
        <v>7102</v>
      </c>
      <c r="E5170" t="s">
        <v>15646</v>
      </c>
      <c r="F5170" t="s">
        <v>14001</v>
      </c>
      <c r="G5170" t="s">
        <v>17115</v>
      </c>
      <c r="H5170" t="str">
        <f>HYPERLINK("https://baanknet.com/view-property/275266/BA91458761BE860949AF36EA8E3109162A636D876609D1FD4519F9D979B254DC", "https://baanknet.com/view-property/275266/BA91458761BE860949AF36EA8E3109162A636D876609D1FD4519F9D979B254DC")</f>
        <v>https://baanknet.com/view-property/275266/BA91458761BE860949AF36EA8E3109162A636D876609D1FD4519F9D979B254DC</v>
      </c>
      <c r="I5170" t="str">
        <f>HYPERLINK("https://baanknet.com/view-property/275266/BA91458761BE860949AF36EA8E3109162A636D876609D1FD4519F9D979B254DC", "Open")</f>
        <v>Open</v>
      </c>
      <c r="J5170" t="s">
        <v>3803</v>
      </c>
      <c r="L5170">
        <v>414200</v>
      </c>
      <c r="M5170">
        <v>41420</v>
      </c>
    </row>
    <row r="5171" spans="1:13" x14ac:dyDescent="0.25">
      <c r="A5171" t="s">
        <v>17116</v>
      </c>
      <c r="B5171" t="s">
        <v>17117</v>
      </c>
      <c r="C5171" t="s">
        <v>15</v>
      </c>
      <c r="D5171" t="s">
        <v>4557</v>
      </c>
      <c r="E5171" t="s">
        <v>15646</v>
      </c>
      <c r="F5171" t="s">
        <v>14001</v>
      </c>
      <c r="G5171" t="s">
        <v>17118</v>
      </c>
      <c r="H5171" t="str">
        <f>HYPERLINK("https://baanknet.com/view-property/257791/5ABF5FA5124F4BFDC8AE1389475DDC0CFC5B33DEF5F6FA2B8596A072A8361734", "https://baanknet.com/view-property/257791/5ABF5FA5124F4BFDC8AE1389475DDC0CFC5B33DEF5F6FA2B8596A072A8361734")</f>
        <v>https://baanknet.com/view-property/257791/5ABF5FA5124F4BFDC8AE1389475DDC0CFC5B33DEF5F6FA2B8596A072A8361734</v>
      </c>
      <c r="I5171" t="str">
        <f>HYPERLINK("https://baanknet.com/view-property/257791/5ABF5FA5124F4BFDC8AE1389475DDC0CFC5B33DEF5F6FA2B8596A072A8361734", "Open")</f>
        <v>Open</v>
      </c>
      <c r="J5171" t="s">
        <v>3803</v>
      </c>
      <c r="L5171">
        <v>1950000</v>
      </c>
      <c r="M5171">
        <v>195000</v>
      </c>
    </row>
    <row r="5172" spans="1:13" x14ac:dyDescent="0.25">
      <c r="A5172" t="s">
        <v>17119</v>
      </c>
      <c r="B5172" t="s">
        <v>17120</v>
      </c>
      <c r="C5172" t="s">
        <v>15</v>
      </c>
      <c r="D5172" t="s">
        <v>4557</v>
      </c>
      <c r="E5172" t="s">
        <v>15646</v>
      </c>
      <c r="F5172" t="s">
        <v>14001</v>
      </c>
      <c r="G5172" t="s">
        <v>17121</v>
      </c>
      <c r="H5172" t="str">
        <f>HYPERLINK("https://baanknet.com/view-property/254228/2238AC7E72E74435583348810C0238367EF7C34C01E59C65F17B4699CF075E33", "https://baanknet.com/view-property/254228/2238AC7E72E74435583348810C0238367EF7C34C01E59C65F17B4699CF075E33")</f>
        <v>https://baanknet.com/view-property/254228/2238AC7E72E74435583348810C0238367EF7C34C01E59C65F17B4699CF075E33</v>
      </c>
      <c r="I5172" t="str">
        <f>HYPERLINK("https://baanknet.com/view-property/254228/2238AC7E72E74435583348810C0238367EF7C34C01E59C65F17B4699CF075E33", "Open")</f>
        <v>Open</v>
      </c>
      <c r="J5172" t="s">
        <v>3803</v>
      </c>
      <c r="L5172">
        <v>2650000</v>
      </c>
      <c r="M5172">
        <v>265000</v>
      </c>
    </row>
    <row r="5173" spans="1:13" x14ac:dyDescent="0.25">
      <c r="A5173" t="s">
        <v>17122</v>
      </c>
      <c r="B5173" t="s">
        <v>17123</v>
      </c>
      <c r="C5173" t="s">
        <v>15</v>
      </c>
      <c r="D5173" t="s">
        <v>4557</v>
      </c>
      <c r="E5173" t="s">
        <v>15646</v>
      </c>
      <c r="F5173" t="s">
        <v>14001</v>
      </c>
      <c r="G5173" t="s">
        <v>17124</v>
      </c>
      <c r="H5173" t="str">
        <f>HYPERLINK("https://baanknet.com/view-property/234394/7A850363D1ADF9874F95FA287B7C9FF848487D827858CBCBB49817C6C63D2832", "https://baanknet.com/view-property/234394/7A850363D1ADF9874F95FA287B7C9FF848487D827858CBCBB49817C6C63D2832")</f>
        <v>https://baanknet.com/view-property/234394/7A850363D1ADF9874F95FA287B7C9FF848487D827858CBCBB49817C6C63D2832</v>
      </c>
      <c r="I5173" t="str">
        <f>HYPERLINK("https://baanknet.com/view-property/234394/7A850363D1ADF9874F95FA287B7C9FF848487D827858CBCBB49817C6C63D2832", "Open")</f>
        <v>Open</v>
      </c>
      <c r="J5173" t="s">
        <v>3803</v>
      </c>
      <c r="L5173">
        <v>1000000</v>
      </c>
      <c r="M5173">
        <v>100000</v>
      </c>
    </row>
    <row r="5174" spans="1:13" x14ac:dyDescent="0.25">
      <c r="A5174" t="s">
        <v>17125</v>
      </c>
      <c r="B5174" t="s">
        <v>17126</v>
      </c>
      <c r="C5174" t="s">
        <v>15</v>
      </c>
      <c r="D5174" t="s">
        <v>4557</v>
      </c>
      <c r="E5174" t="s">
        <v>15646</v>
      </c>
      <c r="F5174" t="s">
        <v>14001</v>
      </c>
      <c r="G5174" t="s">
        <v>17127</v>
      </c>
      <c r="H5174" t="str">
        <f>HYPERLINK("https://baanknet.com/view-property/226909/F64F299AF271E26B3FF446A21C28DE80ADEC410E3D36A600FFF33E43D99A3631", "https://baanknet.com/view-property/226909/F64F299AF271E26B3FF446A21C28DE80ADEC410E3D36A600FFF33E43D99A3631")</f>
        <v>https://baanknet.com/view-property/226909/F64F299AF271E26B3FF446A21C28DE80ADEC410E3D36A600FFF33E43D99A3631</v>
      </c>
      <c r="I5174" t="str">
        <f>HYPERLINK("https://baanknet.com/view-property/226909/F64F299AF271E26B3FF446A21C28DE80ADEC410E3D36A600FFF33E43D99A3631", "Open")</f>
        <v>Open</v>
      </c>
      <c r="J5174" t="s">
        <v>3803</v>
      </c>
      <c r="L5174">
        <v>14700000</v>
      </c>
      <c r="M5174">
        <v>1470000</v>
      </c>
    </row>
    <row r="5175" spans="1:13" x14ac:dyDescent="0.25">
      <c r="A5175" t="s">
        <v>17128</v>
      </c>
      <c r="B5175" t="s">
        <v>17129</v>
      </c>
      <c r="C5175" t="s">
        <v>15</v>
      </c>
      <c r="D5175" t="s">
        <v>7167</v>
      </c>
      <c r="E5175" t="s">
        <v>15646</v>
      </c>
      <c r="F5175" t="s">
        <v>14001</v>
      </c>
      <c r="G5175" t="s">
        <v>17130</v>
      </c>
      <c r="H5175" t="str">
        <f>HYPERLINK("https://baanknet.com/view-property/250268/1FFC2F0CF9A06D5A6DFD98FDB1DBACC9C7C6472005BFEC08F46E22DC0A0CA9C6", "https://baanknet.com/view-property/250268/1FFC2F0CF9A06D5A6DFD98FDB1DBACC9C7C6472005BFEC08F46E22DC0A0CA9C6")</f>
        <v>https://baanknet.com/view-property/250268/1FFC2F0CF9A06D5A6DFD98FDB1DBACC9C7C6472005BFEC08F46E22DC0A0CA9C6</v>
      </c>
      <c r="I5175" t="str">
        <f>HYPERLINK("https://baanknet.com/view-property/250268/1FFC2F0CF9A06D5A6DFD98FDB1DBACC9C7C6472005BFEC08F46E22DC0A0CA9C6", "Open")</f>
        <v>Open</v>
      </c>
      <c r="J5175" t="s">
        <v>3803</v>
      </c>
      <c r="L5175">
        <v>2900000</v>
      </c>
      <c r="M5175">
        <v>290000</v>
      </c>
    </row>
    <row r="5176" spans="1:13" x14ac:dyDescent="0.25">
      <c r="A5176" t="s">
        <v>17131</v>
      </c>
      <c r="B5176" t="s">
        <v>17132</v>
      </c>
      <c r="C5176" t="s">
        <v>15</v>
      </c>
      <c r="D5176" t="s">
        <v>4553</v>
      </c>
      <c r="E5176" t="s">
        <v>15646</v>
      </c>
      <c r="F5176" t="s">
        <v>14001</v>
      </c>
      <c r="G5176" t="s">
        <v>17133</v>
      </c>
      <c r="H5176" t="str">
        <f>HYPERLINK("https://baanknet.com/view-property/250233/C461726FD094196720879E132D444DD55375D6246966A8B86595E4B3CCC2B4F5", "https://baanknet.com/view-property/250233/C461726FD094196720879E132D444DD55375D6246966A8B86595E4B3CCC2B4F5")</f>
        <v>https://baanknet.com/view-property/250233/C461726FD094196720879E132D444DD55375D6246966A8B86595E4B3CCC2B4F5</v>
      </c>
      <c r="I5176" t="str">
        <f>HYPERLINK("https://baanknet.com/view-property/250233/C461726FD094196720879E132D444DD55375D6246966A8B86595E4B3CCC2B4F5", "Open")</f>
        <v>Open</v>
      </c>
      <c r="J5176" t="s">
        <v>3803</v>
      </c>
      <c r="L5176">
        <v>6300000</v>
      </c>
      <c r="M5176">
        <v>630000</v>
      </c>
    </row>
    <row r="5177" spans="1:13" x14ac:dyDescent="0.25">
      <c r="A5177" t="s">
        <v>17134</v>
      </c>
      <c r="B5177" t="s">
        <v>17135</v>
      </c>
      <c r="C5177" t="s">
        <v>15</v>
      </c>
      <c r="D5177" t="s">
        <v>4557</v>
      </c>
      <c r="E5177" t="s">
        <v>15646</v>
      </c>
      <c r="F5177" t="s">
        <v>14001</v>
      </c>
      <c r="G5177" t="s">
        <v>17136</v>
      </c>
      <c r="H5177" t="str">
        <f>HYPERLINK("https://baanknet.com/view-property/232245/15DE72B03F3241723264DC69D50196C8B54AD789052D9CECC7F9F452B8B2EB68", "https://baanknet.com/view-property/232245/15DE72B03F3241723264DC69D50196C8B54AD789052D9CECC7F9F452B8B2EB68")</f>
        <v>https://baanknet.com/view-property/232245/15DE72B03F3241723264DC69D50196C8B54AD789052D9CECC7F9F452B8B2EB68</v>
      </c>
      <c r="I5177" t="str">
        <f>HYPERLINK("https://baanknet.com/view-property/232245/15DE72B03F3241723264DC69D50196C8B54AD789052D9CECC7F9F452B8B2EB68", "Open")</f>
        <v>Open</v>
      </c>
      <c r="J5177" t="s">
        <v>3803</v>
      </c>
      <c r="L5177">
        <v>775000</v>
      </c>
      <c r="M5177">
        <v>77500</v>
      </c>
    </row>
    <row r="5178" spans="1:13" x14ac:dyDescent="0.25">
      <c r="A5178" t="s">
        <v>17137</v>
      </c>
      <c r="B5178" t="s">
        <v>17138</v>
      </c>
      <c r="C5178" t="s">
        <v>15</v>
      </c>
      <c r="D5178" t="s">
        <v>7155</v>
      </c>
      <c r="E5178" t="s">
        <v>15646</v>
      </c>
      <c r="F5178" t="s">
        <v>14001</v>
      </c>
      <c r="G5178" t="s">
        <v>17139</v>
      </c>
      <c r="H5178" t="str">
        <f>HYPERLINK("https://baanknet.com/view-property/237386/97146C22CE1EBFA03B6683CD43C4C6F464D9C05B8838EA25FD58428F883C71D2", "https://baanknet.com/view-property/237386/97146C22CE1EBFA03B6683CD43C4C6F464D9C05B8838EA25FD58428F883C71D2")</f>
        <v>https://baanknet.com/view-property/237386/97146C22CE1EBFA03B6683CD43C4C6F464D9C05B8838EA25FD58428F883C71D2</v>
      </c>
      <c r="I5178" t="str">
        <f>HYPERLINK("https://baanknet.com/view-property/237386/97146C22CE1EBFA03B6683CD43C4C6F464D9C05B8838EA25FD58428F883C71D2", "Open")</f>
        <v>Open</v>
      </c>
      <c r="J5178" t="s">
        <v>3803</v>
      </c>
      <c r="L5178">
        <v>826000</v>
      </c>
      <c r="M5178">
        <v>82600</v>
      </c>
    </row>
    <row r="5179" spans="1:13" x14ac:dyDescent="0.25">
      <c r="A5179" t="s">
        <v>17140</v>
      </c>
      <c r="B5179" t="s">
        <v>17141</v>
      </c>
      <c r="C5179" t="s">
        <v>15</v>
      </c>
      <c r="D5179" t="s">
        <v>17142</v>
      </c>
      <c r="E5179" t="s">
        <v>15646</v>
      </c>
      <c r="F5179" t="s">
        <v>14001</v>
      </c>
      <c r="G5179" t="s">
        <v>17143</v>
      </c>
      <c r="H5179" t="str">
        <f>HYPERLINK("https://baanknet.com/view-property/250289/EF32307360F7ABF65E77D30818EDC744AD591E4C9308FB6FE1311FD129607617", "https://baanknet.com/view-property/250289/EF32307360F7ABF65E77D30818EDC744AD591E4C9308FB6FE1311FD129607617")</f>
        <v>https://baanknet.com/view-property/250289/EF32307360F7ABF65E77D30818EDC744AD591E4C9308FB6FE1311FD129607617</v>
      </c>
      <c r="I5179" t="str">
        <f>HYPERLINK("https://baanknet.com/view-property/250289/EF32307360F7ABF65E77D30818EDC744AD591E4C9308FB6FE1311FD129607617", "Open")</f>
        <v>Open</v>
      </c>
      <c r="J5179" t="s">
        <v>3803</v>
      </c>
      <c r="L5179">
        <v>2000000</v>
      </c>
      <c r="M5179">
        <v>200000</v>
      </c>
    </row>
    <row r="5180" spans="1:13" x14ac:dyDescent="0.25">
      <c r="A5180" t="s">
        <v>17144</v>
      </c>
      <c r="B5180" t="s">
        <v>17145</v>
      </c>
      <c r="C5180" t="s">
        <v>15</v>
      </c>
      <c r="D5180" t="s">
        <v>17146</v>
      </c>
      <c r="E5180" t="s">
        <v>15646</v>
      </c>
      <c r="F5180" t="s">
        <v>14001</v>
      </c>
      <c r="G5180" t="s">
        <v>17147</v>
      </c>
      <c r="H5180" t="str">
        <f>HYPERLINK("https://baanknet.com/view-property/279804/C4F83B24FB229B513407BE9C7086D7384C50388587C02A6143350F314552EB0D", "https://baanknet.com/view-property/279804/C4F83B24FB229B513407BE9C7086D7384C50388587C02A6143350F314552EB0D")</f>
        <v>https://baanknet.com/view-property/279804/C4F83B24FB229B513407BE9C7086D7384C50388587C02A6143350F314552EB0D</v>
      </c>
      <c r="I5180" t="str">
        <f>HYPERLINK("https://baanknet.com/view-property/279804/C4F83B24FB229B513407BE9C7086D7384C50388587C02A6143350F314552EB0D", "Open")</f>
        <v>Open</v>
      </c>
      <c r="J5180" t="s">
        <v>3803</v>
      </c>
      <c r="L5180">
        <v>2020000</v>
      </c>
      <c r="M5180">
        <v>202000</v>
      </c>
    </row>
    <row r="5181" spans="1:13" x14ac:dyDescent="0.25">
      <c r="A5181" t="s">
        <v>17148</v>
      </c>
      <c r="B5181" t="s">
        <v>17149</v>
      </c>
      <c r="C5181" t="s">
        <v>15</v>
      </c>
      <c r="D5181" t="s">
        <v>17099</v>
      </c>
      <c r="E5181" t="s">
        <v>15646</v>
      </c>
      <c r="F5181" t="s">
        <v>14001</v>
      </c>
      <c r="G5181" t="s">
        <v>17150</v>
      </c>
      <c r="H5181" t="str">
        <f>HYPERLINK("https://baanknet.com/view-property/250221/F5F56562522003F47001074C65ED7429D0892C062504AD30B540BFDC5D65A0F5", "https://baanknet.com/view-property/250221/F5F56562522003F47001074C65ED7429D0892C062504AD30B540BFDC5D65A0F5")</f>
        <v>https://baanknet.com/view-property/250221/F5F56562522003F47001074C65ED7429D0892C062504AD30B540BFDC5D65A0F5</v>
      </c>
      <c r="I5181" t="str">
        <f>HYPERLINK("https://baanknet.com/view-property/250221/F5F56562522003F47001074C65ED7429D0892C062504AD30B540BFDC5D65A0F5", "Open")</f>
        <v>Open</v>
      </c>
      <c r="J5181" t="s">
        <v>3803</v>
      </c>
      <c r="L5181">
        <v>5500000</v>
      </c>
      <c r="M5181">
        <v>550000</v>
      </c>
    </row>
    <row r="5182" spans="1:13" x14ac:dyDescent="0.25">
      <c r="A5182" t="s">
        <v>17151</v>
      </c>
      <c r="B5182" t="s">
        <v>17152</v>
      </c>
      <c r="C5182" t="s">
        <v>15</v>
      </c>
      <c r="D5182" t="s">
        <v>17153</v>
      </c>
      <c r="E5182" t="s">
        <v>15646</v>
      </c>
      <c r="F5182" t="s">
        <v>14001</v>
      </c>
      <c r="G5182" t="s">
        <v>17154</v>
      </c>
      <c r="H5182" t="str">
        <f>HYPERLINK("https://baanknet.com/view-property/250029/DCEDFEA7654963659660B18D1558CEC1AB3BBBDD2253D662DE144DB8AE20BDC9", "https://baanknet.com/view-property/250029/DCEDFEA7654963659660B18D1558CEC1AB3BBBDD2253D662DE144DB8AE20BDC9")</f>
        <v>https://baanknet.com/view-property/250029/DCEDFEA7654963659660B18D1558CEC1AB3BBBDD2253D662DE144DB8AE20BDC9</v>
      </c>
      <c r="I5182" t="str">
        <f>HYPERLINK("https://baanknet.com/view-property/250029/DCEDFEA7654963659660B18D1558CEC1AB3BBBDD2253D662DE144DB8AE20BDC9", "Open")</f>
        <v>Open</v>
      </c>
      <c r="J5182" t="s">
        <v>3803</v>
      </c>
      <c r="L5182">
        <v>1200000</v>
      </c>
      <c r="M5182">
        <v>120000</v>
      </c>
    </row>
    <row r="5183" spans="1:13" x14ac:dyDescent="0.25">
      <c r="A5183" t="s">
        <v>17155</v>
      </c>
      <c r="B5183" t="s">
        <v>17156</v>
      </c>
      <c r="C5183" t="s">
        <v>15</v>
      </c>
      <c r="D5183" t="s">
        <v>17153</v>
      </c>
      <c r="E5183" t="s">
        <v>15646</v>
      </c>
      <c r="F5183" t="s">
        <v>14001</v>
      </c>
      <c r="G5183" t="s">
        <v>17157</v>
      </c>
      <c r="H5183" t="str">
        <f>HYPERLINK("https://baanknet.com/view-property/257878/B648BBDE8389845BB835D341A4480DA4757B809A2A7ED24BDF074EC7C9AFF732", "https://baanknet.com/view-property/257878/B648BBDE8389845BB835D341A4480DA4757B809A2A7ED24BDF074EC7C9AFF732")</f>
        <v>https://baanknet.com/view-property/257878/B648BBDE8389845BB835D341A4480DA4757B809A2A7ED24BDF074EC7C9AFF732</v>
      </c>
      <c r="I5183" t="str">
        <f>HYPERLINK("https://baanknet.com/view-property/257878/B648BBDE8389845BB835D341A4480DA4757B809A2A7ED24BDF074EC7C9AFF732", "Open")</f>
        <v>Open</v>
      </c>
      <c r="J5183" t="s">
        <v>3803</v>
      </c>
      <c r="L5183">
        <v>1300000</v>
      </c>
      <c r="M5183">
        <v>130000</v>
      </c>
    </row>
    <row r="5184" spans="1:13" x14ac:dyDescent="0.25">
      <c r="A5184" t="s">
        <v>17158</v>
      </c>
      <c r="B5184" t="s">
        <v>17159</v>
      </c>
      <c r="C5184" t="s">
        <v>15</v>
      </c>
      <c r="D5184" t="s">
        <v>7167</v>
      </c>
      <c r="E5184" t="s">
        <v>15646</v>
      </c>
      <c r="F5184" t="s">
        <v>14001</v>
      </c>
      <c r="G5184" t="s">
        <v>17160</v>
      </c>
      <c r="H5184" t="str">
        <f>HYPERLINK("https://baanknet.com/view-property/212711/FCE51C6B95F3C4C951CA12AD65C985EC9D303156A2059E8DE6F00089D8D4433D", "https://baanknet.com/view-property/212711/FCE51C6B95F3C4C951CA12AD65C985EC9D303156A2059E8DE6F00089D8D4433D")</f>
        <v>https://baanknet.com/view-property/212711/FCE51C6B95F3C4C951CA12AD65C985EC9D303156A2059E8DE6F00089D8D4433D</v>
      </c>
      <c r="I5184" t="str">
        <f>HYPERLINK("https://baanknet.com/view-property/212711/FCE51C6B95F3C4C951CA12AD65C985EC9D303156A2059E8DE6F00089D8D4433D", "Open")</f>
        <v>Open</v>
      </c>
      <c r="J5184" t="s">
        <v>3803</v>
      </c>
      <c r="L5184">
        <v>1650000</v>
      </c>
      <c r="M5184">
        <v>165000</v>
      </c>
    </row>
    <row r="5185" spans="1:13" x14ac:dyDescent="0.25">
      <c r="A5185" t="s">
        <v>17161</v>
      </c>
      <c r="B5185" t="s">
        <v>17162</v>
      </c>
      <c r="C5185" t="s">
        <v>15</v>
      </c>
      <c r="D5185" t="s">
        <v>17163</v>
      </c>
      <c r="E5185" t="s">
        <v>15646</v>
      </c>
      <c r="F5185" t="s">
        <v>14001</v>
      </c>
      <c r="G5185" t="s">
        <v>17164</v>
      </c>
      <c r="H5185" t="str">
        <f>HYPERLINK("https://baanknet.com/view-property/242887/1DCC205D2A1BCB898621194290E48D97FDB0315D4914CF47993B4978A51B454F", "https://baanknet.com/view-property/242887/1DCC205D2A1BCB898621194290E48D97FDB0315D4914CF47993B4978A51B454F")</f>
        <v>https://baanknet.com/view-property/242887/1DCC205D2A1BCB898621194290E48D97FDB0315D4914CF47993B4978A51B454F</v>
      </c>
      <c r="I5185" t="str">
        <f>HYPERLINK("https://baanknet.com/view-property/242887/1DCC205D2A1BCB898621194290E48D97FDB0315D4914CF47993B4978A51B454F", "Open")</f>
        <v>Open</v>
      </c>
      <c r="J5185" t="s">
        <v>3803</v>
      </c>
      <c r="L5185">
        <v>2619100</v>
      </c>
      <c r="M5185">
        <v>261910</v>
      </c>
    </row>
    <row r="5186" spans="1:13" x14ac:dyDescent="0.25">
      <c r="A5186" t="s">
        <v>17165</v>
      </c>
      <c r="B5186" t="s">
        <v>17166</v>
      </c>
      <c r="C5186" t="s">
        <v>15</v>
      </c>
      <c r="D5186" t="s">
        <v>17167</v>
      </c>
      <c r="E5186" t="s">
        <v>15646</v>
      </c>
      <c r="F5186" t="s">
        <v>14001</v>
      </c>
      <c r="G5186" t="s">
        <v>17168</v>
      </c>
      <c r="H5186" t="str">
        <f>HYPERLINK("https://baanknet.com/view-property/256948/2D44060717D9CAC5F589C1B904AA950B7338DAC754AEF969B10006A62AB86F6C", "https://baanknet.com/view-property/256948/2D44060717D9CAC5F589C1B904AA950B7338DAC754AEF969B10006A62AB86F6C")</f>
        <v>https://baanknet.com/view-property/256948/2D44060717D9CAC5F589C1B904AA950B7338DAC754AEF969B10006A62AB86F6C</v>
      </c>
      <c r="I5186" t="str">
        <f>HYPERLINK("https://baanknet.com/view-property/256948/2D44060717D9CAC5F589C1B904AA950B7338DAC754AEF969B10006A62AB86F6C", "Open")</f>
        <v>Open</v>
      </c>
      <c r="J5186" t="s">
        <v>3803</v>
      </c>
      <c r="L5186">
        <v>1272050</v>
      </c>
      <c r="M5186">
        <v>127205</v>
      </c>
    </row>
    <row r="5187" spans="1:13" x14ac:dyDescent="0.25">
      <c r="A5187" t="s">
        <v>17169</v>
      </c>
      <c r="B5187" t="s">
        <v>17170</v>
      </c>
      <c r="C5187" t="s">
        <v>15</v>
      </c>
      <c r="D5187" t="s">
        <v>17167</v>
      </c>
      <c r="E5187" t="s">
        <v>15646</v>
      </c>
      <c r="F5187" t="s">
        <v>14001</v>
      </c>
      <c r="G5187" t="s">
        <v>17171</v>
      </c>
      <c r="H5187" t="str">
        <f>HYPERLINK("https://baanknet.com/view-property/245902/6C11F1714F8CD7E2B0934A9E92CF07335C6B16CA7D13800E14D989D9F5763C23", "https://baanknet.com/view-property/245902/6C11F1714F8CD7E2B0934A9E92CF07335C6B16CA7D13800E14D989D9F5763C23")</f>
        <v>https://baanknet.com/view-property/245902/6C11F1714F8CD7E2B0934A9E92CF07335C6B16CA7D13800E14D989D9F5763C23</v>
      </c>
      <c r="I5187" t="str">
        <f>HYPERLINK("https://baanknet.com/view-property/245902/6C11F1714F8CD7E2B0934A9E92CF07335C6B16CA7D13800E14D989D9F5763C23", "Open")</f>
        <v>Open</v>
      </c>
      <c r="J5187" t="s">
        <v>3803</v>
      </c>
      <c r="L5187">
        <v>329650</v>
      </c>
      <c r="M5187">
        <v>32965</v>
      </c>
    </row>
    <row r="5188" spans="1:13" x14ac:dyDescent="0.25">
      <c r="A5188" t="s">
        <v>17172</v>
      </c>
      <c r="B5188" t="s">
        <v>17173</v>
      </c>
      <c r="C5188" t="s">
        <v>15</v>
      </c>
      <c r="D5188" t="s">
        <v>16872</v>
      </c>
      <c r="E5188" t="s">
        <v>15646</v>
      </c>
      <c r="F5188" t="s">
        <v>14001</v>
      </c>
      <c r="G5188" t="s">
        <v>17174</v>
      </c>
      <c r="H5188" t="str">
        <f>HYPERLINK("https://baanknet.com/view-property/217894/6D9A93C0C406C7E97713956D034C80FE8BA11ACD5F8766487D4E1C20D5494DB6", "https://baanknet.com/view-property/217894/6D9A93C0C406C7E97713956D034C80FE8BA11ACD5F8766487D4E1C20D5494DB6")</f>
        <v>https://baanknet.com/view-property/217894/6D9A93C0C406C7E97713956D034C80FE8BA11ACD5F8766487D4E1C20D5494DB6</v>
      </c>
      <c r="I5188" t="str">
        <f>HYPERLINK("https://baanknet.com/view-property/217894/6D9A93C0C406C7E97713956D034C80FE8BA11ACD5F8766487D4E1C20D5494DB6", "Open")</f>
        <v>Open</v>
      </c>
      <c r="J5188" t="s">
        <v>3803</v>
      </c>
      <c r="L5188">
        <v>576650</v>
      </c>
      <c r="M5188">
        <v>57665</v>
      </c>
    </row>
    <row r="5189" spans="1:13" x14ac:dyDescent="0.25">
      <c r="A5189" t="s">
        <v>17175</v>
      </c>
      <c r="B5189" t="s">
        <v>17176</v>
      </c>
      <c r="C5189" t="s">
        <v>15</v>
      </c>
      <c r="D5189" t="s">
        <v>4778</v>
      </c>
      <c r="E5189" t="s">
        <v>15646</v>
      </c>
      <c r="F5189" t="s">
        <v>14001</v>
      </c>
      <c r="G5189" t="s">
        <v>17177</v>
      </c>
      <c r="H5189" t="str">
        <f>HYPERLINK("https://baanknet.com/view-property/278483/E8E231A3A0D4A0B642C1A3FF92485AB28D92678AD3E4020670A1F93E07ADECDA", "https://baanknet.com/view-property/278483/E8E231A3A0D4A0B642C1A3FF92485AB28D92678AD3E4020670A1F93E07ADECDA")</f>
        <v>https://baanknet.com/view-property/278483/E8E231A3A0D4A0B642C1A3FF92485AB28D92678AD3E4020670A1F93E07ADECDA</v>
      </c>
      <c r="I5189" t="str">
        <f>HYPERLINK("https://baanknet.com/view-property/278483/E8E231A3A0D4A0B642C1A3FF92485AB28D92678AD3E4020670A1F93E07ADECDA", "Open")</f>
        <v>Open</v>
      </c>
      <c r="J5189" t="s">
        <v>3803</v>
      </c>
      <c r="L5189">
        <v>6735000</v>
      </c>
      <c r="M5189">
        <v>673500</v>
      </c>
    </row>
    <row r="5190" spans="1:13" x14ac:dyDescent="0.25">
      <c r="A5190" t="s">
        <v>17178</v>
      </c>
      <c r="B5190" t="s">
        <v>17179</v>
      </c>
      <c r="C5190" t="s">
        <v>15</v>
      </c>
      <c r="D5190" t="s">
        <v>10208</v>
      </c>
      <c r="E5190" t="s">
        <v>15646</v>
      </c>
      <c r="F5190" t="s">
        <v>14001</v>
      </c>
      <c r="G5190" t="s">
        <v>17180</v>
      </c>
      <c r="H5190" t="str">
        <f>HYPERLINK("https://baanknet.com/view-property/200668/4EA7007C9F3FE44D23851E679913176E72AA84DC99553BA61268119F9EBACEE1", "https://baanknet.com/view-property/200668/4EA7007C9F3FE44D23851E679913176E72AA84DC99553BA61268119F9EBACEE1")</f>
        <v>https://baanknet.com/view-property/200668/4EA7007C9F3FE44D23851E679913176E72AA84DC99553BA61268119F9EBACEE1</v>
      </c>
      <c r="I5190" t="str">
        <f>HYPERLINK("https://baanknet.com/view-property/200668/4EA7007C9F3FE44D23851E679913176E72AA84DC99553BA61268119F9EBACEE1", "Open")</f>
        <v>Open</v>
      </c>
      <c r="J5190" t="s">
        <v>3803</v>
      </c>
      <c r="L5190">
        <v>942400</v>
      </c>
      <c r="M5190">
        <v>94240</v>
      </c>
    </row>
    <row r="5191" spans="1:13" x14ac:dyDescent="0.25">
      <c r="A5191" t="s">
        <v>17181</v>
      </c>
      <c r="B5191" t="s">
        <v>17182</v>
      </c>
      <c r="C5191" t="s">
        <v>15</v>
      </c>
      <c r="D5191" t="s">
        <v>10657</v>
      </c>
      <c r="E5191" t="s">
        <v>15646</v>
      </c>
      <c r="F5191" t="s">
        <v>14001</v>
      </c>
      <c r="G5191" t="s">
        <v>17183</v>
      </c>
      <c r="H5191" t="str">
        <f>HYPERLINK("https://baanknet.com/view-property/240105/476FE8635AA43AD19EC4A33B54D2EC754E92F2D8C5FD30AB4FE37BFDEDA28A95", "https://baanknet.com/view-property/240105/476FE8635AA43AD19EC4A33B54D2EC754E92F2D8C5FD30AB4FE37BFDEDA28A95")</f>
        <v>https://baanknet.com/view-property/240105/476FE8635AA43AD19EC4A33B54D2EC754E92F2D8C5FD30AB4FE37BFDEDA28A95</v>
      </c>
      <c r="I5191" t="str">
        <f>HYPERLINK("https://baanknet.com/view-property/240105/476FE8635AA43AD19EC4A33B54D2EC754E92F2D8C5FD30AB4FE37BFDEDA28A95", "Open")</f>
        <v>Open</v>
      </c>
      <c r="J5191" t="s">
        <v>3803</v>
      </c>
      <c r="L5191">
        <v>4250000</v>
      </c>
      <c r="M5191">
        <v>425000</v>
      </c>
    </row>
    <row r="5192" spans="1:13" x14ac:dyDescent="0.25">
      <c r="A5192" t="s">
        <v>17184</v>
      </c>
      <c r="B5192" t="s">
        <v>17185</v>
      </c>
      <c r="C5192" t="s">
        <v>15</v>
      </c>
      <c r="D5192" t="s">
        <v>7102</v>
      </c>
      <c r="E5192" t="s">
        <v>15646</v>
      </c>
      <c r="F5192" t="s">
        <v>14001</v>
      </c>
      <c r="G5192" t="s">
        <v>17186</v>
      </c>
      <c r="H5192" t="str">
        <f>HYPERLINK("https://baanknet.com/view-property/266433/F5014CAD689A502EA779FD14BB7CCEC840221A5E6F014E9EAF8DE4D6DF48CB90", "https://baanknet.com/view-property/266433/F5014CAD689A502EA779FD14BB7CCEC840221A5E6F014E9EAF8DE4D6DF48CB90")</f>
        <v>https://baanknet.com/view-property/266433/F5014CAD689A502EA779FD14BB7CCEC840221A5E6F014E9EAF8DE4D6DF48CB90</v>
      </c>
      <c r="I5192" t="str">
        <f>HYPERLINK("https://baanknet.com/view-property/266433/F5014CAD689A502EA779FD14BB7CCEC840221A5E6F014E9EAF8DE4D6DF48CB90", "Open")</f>
        <v>Open</v>
      </c>
      <c r="J5192" t="s">
        <v>3803</v>
      </c>
      <c r="L5192">
        <v>1029800</v>
      </c>
      <c r="M5192">
        <v>102980</v>
      </c>
    </row>
    <row r="5193" spans="1:13" x14ac:dyDescent="0.25">
      <c r="A5193" t="s">
        <v>17187</v>
      </c>
      <c r="B5193" t="s">
        <v>17188</v>
      </c>
      <c r="C5193" t="s">
        <v>15</v>
      </c>
      <c r="D5193" t="s">
        <v>5700</v>
      </c>
      <c r="E5193" t="s">
        <v>15646</v>
      </c>
      <c r="F5193" t="s">
        <v>14001</v>
      </c>
      <c r="G5193" t="s">
        <v>17189</v>
      </c>
      <c r="H5193" t="str">
        <f>HYPERLINK("https://baanknet.com/view-property/189909/6340A3F4AD25659E54C6804A0BFC0FD41F991566A7C8CF437935C451EC1663FA", "https://baanknet.com/view-property/189909/6340A3F4AD25659E54C6804A0BFC0FD41F991566A7C8CF437935C451EC1663FA")</f>
        <v>https://baanknet.com/view-property/189909/6340A3F4AD25659E54C6804A0BFC0FD41F991566A7C8CF437935C451EC1663FA</v>
      </c>
      <c r="I5193" t="str">
        <f>HYPERLINK("https://baanknet.com/view-property/189909/6340A3F4AD25659E54C6804A0BFC0FD41F991566A7C8CF437935C451EC1663FA", "Open")</f>
        <v>Open</v>
      </c>
      <c r="J5193" t="s">
        <v>3803</v>
      </c>
      <c r="L5193">
        <v>2200000</v>
      </c>
      <c r="M5193">
        <v>220000</v>
      </c>
    </row>
    <row r="5194" spans="1:13" x14ac:dyDescent="0.25">
      <c r="A5194" t="s">
        <v>17190</v>
      </c>
      <c r="B5194" t="s">
        <v>17191</v>
      </c>
      <c r="C5194" t="s">
        <v>15</v>
      </c>
      <c r="D5194" t="s">
        <v>6974</v>
      </c>
      <c r="E5194" t="s">
        <v>15646</v>
      </c>
      <c r="F5194" t="s">
        <v>14001</v>
      </c>
      <c r="G5194" t="s">
        <v>17192</v>
      </c>
      <c r="H5194" t="str">
        <f>HYPERLINK("https://baanknet.com/view-property/282601/4A70FF8CA22BD72B10A06C8F1E4284EBEB54879FC90ED5FC14F78F0AC743C088", "https://baanknet.com/view-property/282601/4A70FF8CA22BD72B10A06C8F1E4284EBEB54879FC90ED5FC14F78F0AC743C088")</f>
        <v>https://baanknet.com/view-property/282601/4A70FF8CA22BD72B10A06C8F1E4284EBEB54879FC90ED5FC14F78F0AC743C088</v>
      </c>
      <c r="I5194" t="str">
        <f>HYPERLINK("https://baanknet.com/view-property/282601/4A70FF8CA22BD72B10A06C8F1E4284EBEB54879FC90ED5FC14F78F0AC743C088", "Open")</f>
        <v>Open</v>
      </c>
      <c r="J5194" t="s">
        <v>3803</v>
      </c>
      <c r="L5194">
        <v>3860000</v>
      </c>
      <c r="M5194">
        <v>386000</v>
      </c>
    </row>
    <row r="5195" spans="1:13" x14ac:dyDescent="0.25">
      <c r="A5195" t="s">
        <v>17193</v>
      </c>
      <c r="B5195" t="s">
        <v>17194</v>
      </c>
      <c r="C5195" t="s">
        <v>15</v>
      </c>
      <c r="D5195" t="s">
        <v>4420</v>
      </c>
      <c r="E5195" t="s">
        <v>15646</v>
      </c>
      <c r="F5195" t="s">
        <v>14001</v>
      </c>
      <c r="G5195" t="s">
        <v>17195</v>
      </c>
      <c r="H5195" t="str">
        <f>HYPERLINK("https://baanknet.com/view-property/262657/2A143684DB17DBB15A960886D7B2D19CBA2C7A14F960A2B9E3D1FD8A495F5E8B", "https://baanknet.com/view-property/262657/2A143684DB17DBB15A960886D7B2D19CBA2C7A14F960A2B9E3D1FD8A495F5E8B")</f>
        <v>https://baanknet.com/view-property/262657/2A143684DB17DBB15A960886D7B2D19CBA2C7A14F960A2B9E3D1FD8A495F5E8B</v>
      </c>
      <c r="I5195" t="str">
        <f>HYPERLINK("https://baanknet.com/view-property/262657/2A143684DB17DBB15A960886D7B2D19CBA2C7A14F960A2B9E3D1FD8A495F5E8B", "Open")</f>
        <v>Open</v>
      </c>
      <c r="J5195" t="s">
        <v>3803</v>
      </c>
      <c r="L5195">
        <v>1175000</v>
      </c>
      <c r="M5195">
        <v>117500</v>
      </c>
    </row>
    <row r="5196" spans="1:13" x14ac:dyDescent="0.25">
      <c r="A5196" t="s">
        <v>17196</v>
      </c>
      <c r="B5196" t="s">
        <v>17197</v>
      </c>
      <c r="C5196" t="s">
        <v>15</v>
      </c>
      <c r="D5196" t="s">
        <v>17198</v>
      </c>
      <c r="E5196" t="s">
        <v>15646</v>
      </c>
      <c r="F5196" t="s">
        <v>14001</v>
      </c>
      <c r="G5196" t="s">
        <v>17199</v>
      </c>
      <c r="H5196" t="str">
        <f>HYPERLINK("https://baanknet.com/view-property/244685/901EDC345529025F50F314B386CE3D0CED1014D4D7DE3C8FAD0CB0D53E6CD3AE", "https://baanknet.com/view-property/244685/901EDC345529025F50F314B386CE3D0CED1014D4D7DE3C8FAD0CB0D53E6CD3AE")</f>
        <v>https://baanknet.com/view-property/244685/901EDC345529025F50F314B386CE3D0CED1014D4D7DE3C8FAD0CB0D53E6CD3AE</v>
      </c>
      <c r="I5196" t="str">
        <f>HYPERLINK("https://baanknet.com/view-property/244685/901EDC345529025F50F314B386CE3D0CED1014D4D7DE3C8FAD0CB0D53E6CD3AE", "Open")</f>
        <v>Open</v>
      </c>
      <c r="J5196" t="s">
        <v>3803</v>
      </c>
      <c r="L5196">
        <v>1909500</v>
      </c>
      <c r="M5196">
        <v>190950</v>
      </c>
    </row>
    <row r="5197" spans="1:13" x14ac:dyDescent="0.25">
      <c r="A5197" t="s">
        <v>17200</v>
      </c>
      <c r="B5197" t="s">
        <v>17201</v>
      </c>
      <c r="C5197" t="s">
        <v>15</v>
      </c>
      <c r="D5197" t="s">
        <v>17202</v>
      </c>
      <c r="E5197" t="s">
        <v>15646</v>
      </c>
      <c r="F5197" t="s">
        <v>14001</v>
      </c>
      <c r="G5197" t="s">
        <v>17203</v>
      </c>
      <c r="H5197" t="str">
        <f>HYPERLINK("https://baanknet.com/view-property/241024/1E5FC061AB1B881B4EBAEC458E8170AEB13B13CF547DF596B1FB2977ACD3835B", "https://baanknet.com/view-property/241024/1E5FC061AB1B881B4EBAEC458E8170AEB13B13CF547DF596B1FB2977ACD3835B")</f>
        <v>https://baanknet.com/view-property/241024/1E5FC061AB1B881B4EBAEC458E8170AEB13B13CF547DF596B1FB2977ACD3835B</v>
      </c>
      <c r="I5197" t="str">
        <f>HYPERLINK("https://baanknet.com/view-property/241024/1E5FC061AB1B881B4EBAEC458E8170AEB13B13CF547DF596B1FB2977ACD3835B", "Open")</f>
        <v>Open</v>
      </c>
      <c r="J5197" t="s">
        <v>3803</v>
      </c>
      <c r="L5197">
        <v>2550000</v>
      </c>
      <c r="M5197">
        <v>255000</v>
      </c>
    </row>
    <row r="5198" spans="1:13" x14ac:dyDescent="0.25">
      <c r="A5198" t="s">
        <v>17204</v>
      </c>
      <c r="B5198" t="s">
        <v>17205</v>
      </c>
      <c r="C5198" t="s">
        <v>15</v>
      </c>
      <c r="D5198" t="s">
        <v>17198</v>
      </c>
      <c r="E5198" t="s">
        <v>15646</v>
      </c>
      <c r="F5198" t="s">
        <v>14001</v>
      </c>
      <c r="G5198" t="s">
        <v>17206</v>
      </c>
      <c r="H5198" t="str">
        <f>HYPERLINK("https://baanknet.com/view-property/262642/F5DEF6DA132590F44D1EBF7AEA2C4E285C4BDFFF93CF547DA8B3F38A028A0E38", "https://baanknet.com/view-property/262642/F5DEF6DA132590F44D1EBF7AEA2C4E285C4BDFFF93CF547DA8B3F38A028A0E38")</f>
        <v>https://baanknet.com/view-property/262642/F5DEF6DA132590F44D1EBF7AEA2C4E285C4BDFFF93CF547DA8B3F38A028A0E38</v>
      </c>
      <c r="I5198" t="str">
        <f>HYPERLINK("https://baanknet.com/view-property/262642/F5DEF6DA132590F44D1EBF7AEA2C4E285C4BDFFF93CF547DA8B3F38A028A0E38", "Open")</f>
        <v>Open</v>
      </c>
      <c r="J5198" t="s">
        <v>3803</v>
      </c>
      <c r="L5198">
        <v>1993000</v>
      </c>
      <c r="M5198">
        <v>199300</v>
      </c>
    </row>
    <row r="5199" spans="1:13" x14ac:dyDescent="0.25">
      <c r="A5199" t="s">
        <v>17207</v>
      </c>
      <c r="B5199" t="s">
        <v>17208</v>
      </c>
      <c r="C5199" t="s">
        <v>15</v>
      </c>
      <c r="D5199" t="s">
        <v>17209</v>
      </c>
      <c r="E5199" t="s">
        <v>15646</v>
      </c>
      <c r="F5199" t="s">
        <v>14001</v>
      </c>
      <c r="G5199" t="s">
        <v>17210</v>
      </c>
      <c r="H5199" t="str">
        <f>HYPERLINK("https://baanknet.com/view-property/188189/4DFE8AFE910899FF9A63F13A116B77A6A4ACA1C794BE6033F533B0D012C5220C", "https://baanknet.com/view-property/188189/4DFE8AFE910899FF9A63F13A116B77A6A4ACA1C794BE6033F533B0D012C5220C")</f>
        <v>https://baanknet.com/view-property/188189/4DFE8AFE910899FF9A63F13A116B77A6A4ACA1C794BE6033F533B0D012C5220C</v>
      </c>
      <c r="I5199" t="str">
        <f>HYPERLINK("https://baanknet.com/view-property/188189/4DFE8AFE910899FF9A63F13A116B77A6A4ACA1C794BE6033F533B0D012C5220C", "Open")</f>
        <v>Open</v>
      </c>
      <c r="J5199" t="s">
        <v>3803</v>
      </c>
      <c r="L5199">
        <v>1702800</v>
      </c>
      <c r="M5199">
        <v>170280</v>
      </c>
    </row>
    <row r="5200" spans="1:13" x14ac:dyDescent="0.25">
      <c r="A5200" t="s">
        <v>17211</v>
      </c>
      <c r="B5200" t="s">
        <v>17212</v>
      </c>
      <c r="C5200" t="s">
        <v>15</v>
      </c>
      <c r="D5200" t="s">
        <v>17213</v>
      </c>
      <c r="E5200" t="s">
        <v>15646</v>
      </c>
      <c r="F5200" t="s">
        <v>14001</v>
      </c>
      <c r="G5200" t="s">
        <v>17214</v>
      </c>
      <c r="H5200" t="str">
        <f>HYPERLINK("https://baanknet.com/view-property/223941/454C05AA66C5F7F4203CBB10178A444057AC15C983B6AF44BB26FACE9B8FE53F", "https://baanknet.com/view-property/223941/454C05AA66C5F7F4203CBB10178A444057AC15C983B6AF44BB26FACE9B8FE53F")</f>
        <v>https://baanknet.com/view-property/223941/454C05AA66C5F7F4203CBB10178A444057AC15C983B6AF44BB26FACE9B8FE53F</v>
      </c>
      <c r="I5200" t="str">
        <f>HYPERLINK("https://baanknet.com/view-property/223941/454C05AA66C5F7F4203CBB10178A444057AC15C983B6AF44BB26FACE9B8FE53F", "Open")</f>
        <v>Open</v>
      </c>
      <c r="J5200" t="s">
        <v>3803</v>
      </c>
      <c r="L5200">
        <v>2162000</v>
      </c>
      <c r="M5200">
        <v>216200</v>
      </c>
    </row>
    <row r="5201" spans="1:13" x14ac:dyDescent="0.25">
      <c r="A5201" t="s">
        <v>17215</v>
      </c>
      <c r="B5201" t="s">
        <v>17216</v>
      </c>
      <c r="C5201" t="s">
        <v>15</v>
      </c>
      <c r="D5201" t="s">
        <v>17198</v>
      </c>
      <c r="E5201" t="s">
        <v>15646</v>
      </c>
      <c r="F5201" t="s">
        <v>14001</v>
      </c>
      <c r="G5201" t="s">
        <v>17217</v>
      </c>
      <c r="H5201" t="str">
        <f>HYPERLINK("https://baanknet.com/view-property/223619/0396C3E681D0C8D466796978705ABA375C623489E2F7A548E20CF18035856157", "https://baanknet.com/view-property/223619/0396C3E681D0C8D466796978705ABA375C623489E2F7A548E20CF18035856157")</f>
        <v>https://baanknet.com/view-property/223619/0396C3E681D0C8D466796978705ABA375C623489E2F7A548E20CF18035856157</v>
      </c>
      <c r="I5201" t="str">
        <f>HYPERLINK("https://baanknet.com/view-property/223619/0396C3E681D0C8D466796978705ABA375C623489E2F7A548E20CF18035856157", "Open")</f>
        <v>Open</v>
      </c>
      <c r="J5201" t="s">
        <v>3803</v>
      </c>
      <c r="L5201">
        <v>1570000</v>
      </c>
      <c r="M5201">
        <v>157000</v>
      </c>
    </row>
    <row r="5202" spans="1:13" x14ac:dyDescent="0.25">
      <c r="A5202" t="s">
        <v>17218</v>
      </c>
      <c r="B5202" t="s">
        <v>17219</v>
      </c>
      <c r="C5202" t="s">
        <v>15</v>
      </c>
      <c r="D5202" t="s">
        <v>17198</v>
      </c>
      <c r="E5202" t="s">
        <v>15646</v>
      </c>
      <c r="F5202" t="s">
        <v>14001</v>
      </c>
      <c r="G5202" t="s">
        <v>17220</v>
      </c>
      <c r="H5202" t="str">
        <f>HYPERLINK("https://baanknet.com/view-property/240988/8764C44EC890286581E8E1AB51A57BE77997CEB7A44CFBC5EA6A6322630B0C1B", "https://baanknet.com/view-property/240988/8764C44EC890286581E8E1AB51A57BE77997CEB7A44CFBC5EA6A6322630B0C1B")</f>
        <v>https://baanknet.com/view-property/240988/8764C44EC890286581E8E1AB51A57BE77997CEB7A44CFBC5EA6A6322630B0C1B</v>
      </c>
      <c r="I5202" t="str">
        <f>HYPERLINK("https://baanknet.com/view-property/240988/8764C44EC890286581E8E1AB51A57BE77997CEB7A44CFBC5EA6A6322630B0C1B", "Open")</f>
        <v>Open</v>
      </c>
      <c r="J5202" t="s">
        <v>3803</v>
      </c>
      <c r="L5202">
        <v>3332000</v>
      </c>
      <c r="M5202">
        <v>333200</v>
      </c>
    </row>
    <row r="5203" spans="1:13" x14ac:dyDescent="0.25">
      <c r="A5203" t="s">
        <v>17221</v>
      </c>
      <c r="B5203" t="s">
        <v>17222</v>
      </c>
      <c r="C5203" t="s">
        <v>15</v>
      </c>
      <c r="D5203" t="s">
        <v>17198</v>
      </c>
      <c r="E5203" t="s">
        <v>15646</v>
      </c>
      <c r="F5203" t="s">
        <v>14001</v>
      </c>
      <c r="G5203" t="s">
        <v>17223</v>
      </c>
      <c r="H5203" t="str">
        <f>HYPERLINK("https://baanknet.com/view-property/222377/98ACDD76D6A2CFF5AF1B2969EF988410BA298ABD2453E995593E9826FEC4E96B", "https://baanknet.com/view-property/222377/98ACDD76D6A2CFF5AF1B2969EF988410BA298ABD2453E995593E9826FEC4E96B")</f>
        <v>https://baanknet.com/view-property/222377/98ACDD76D6A2CFF5AF1B2969EF988410BA298ABD2453E995593E9826FEC4E96B</v>
      </c>
      <c r="I5203" t="str">
        <f>HYPERLINK("https://baanknet.com/view-property/222377/98ACDD76D6A2CFF5AF1B2969EF988410BA298ABD2453E995593E9826FEC4E96B", "Open")</f>
        <v>Open</v>
      </c>
      <c r="J5203" t="s">
        <v>3803</v>
      </c>
      <c r="L5203">
        <v>592000</v>
      </c>
      <c r="M5203">
        <v>59200</v>
      </c>
    </row>
    <row r="5204" spans="1:13" x14ac:dyDescent="0.25">
      <c r="A5204" t="s">
        <v>17224</v>
      </c>
      <c r="B5204" t="s">
        <v>17225</v>
      </c>
      <c r="C5204" t="s">
        <v>15</v>
      </c>
      <c r="D5204" t="s">
        <v>6974</v>
      </c>
      <c r="E5204" t="s">
        <v>15646</v>
      </c>
      <c r="F5204" t="s">
        <v>14001</v>
      </c>
      <c r="G5204" t="s">
        <v>17226</v>
      </c>
      <c r="H5204" t="str">
        <f>HYPERLINK("https://baanknet.com/view-property/256341/19670897754759C523C2F9BA397792DA66013FC36D57114C43722695C3A24299", "https://baanknet.com/view-property/256341/19670897754759C523C2F9BA397792DA66013FC36D57114C43722695C3A24299")</f>
        <v>https://baanknet.com/view-property/256341/19670897754759C523C2F9BA397792DA66013FC36D57114C43722695C3A24299</v>
      </c>
      <c r="I5204" t="str">
        <f>HYPERLINK("https://baanknet.com/view-property/256341/19670897754759C523C2F9BA397792DA66013FC36D57114C43722695C3A24299", "Open")</f>
        <v>Open</v>
      </c>
      <c r="J5204" t="s">
        <v>3803</v>
      </c>
      <c r="L5204">
        <v>1400000</v>
      </c>
      <c r="M5204">
        <v>140000</v>
      </c>
    </row>
    <row r="5205" spans="1:13" x14ac:dyDescent="0.25">
      <c r="A5205" t="s">
        <v>17227</v>
      </c>
      <c r="B5205" t="s">
        <v>17228</v>
      </c>
      <c r="C5205" t="s">
        <v>15</v>
      </c>
      <c r="D5205" t="s">
        <v>11248</v>
      </c>
      <c r="E5205" t="s">
        <v>15646</v>
      </c>
      <c r="F5205" t="s">
        <v>14001</v>
      </c>
      <c r="G5205" t="s">
        <v>17229</v>
      </c>
      <c r="H5205" t="str">
        <f>HYPERLINK("https://baanknet.com/view-property/189376/ACA8AF4BDE2D46A1F27E69FD7FE9550BB6C50638C1E5CBAF458EF6DDB6EB9F9C", "https://baanknet.com/view-property/189376/ACA8AF4BDE2D46A1F27E69FD7FE9550BB6C50638C1E5CBAF458EF6DDB6EB9F9C")</f>
        <v>https://baanknet.com/view-property/189376/ACA8AF4BDE2D46A1F27E69FD7FE9550BB6C50638C1E5CBAF458EF6DDB6EB9F9C</v>
      </c>
      <c r="I5205" t="str">
        <f>HYPERLINK("https://baanknet.com/view-property/189376/ACA8AF4BDE2D46A1F27E69FD7FE9550BB6C50638C1E5CBAF458EF6DDB6EB9F9C", "Open")</f>
        <v>Open</v>
      </c>
      <c r="J5205" t="s">
        <v>3803</v>
      </c>
      <c r="L5205">
        <v>2655000</v>
      </c>
      <c r="M5205">
        <v>265500</v>
      </c>
    </row>
    <row r="5206" spans="1:13" x14ac:dyDescent="0.25">
      <c r="A5206" t="s">
        <v>17230</v>
      </c>
      <c r="B5206" t="s">
        <v>17231</v>
      </c>
      <c r="C5206" t="s">
        <v>15</v>
      </c>
      <c r="D5206" t="s">
        <v>6974</v>
      </c>
      <c r="E5206" t="s">
        <v>15646</v>
      </c>
      <c r="F5206" t="s">
        <v>14001</v>
      </c>
      <c r="G5206" t="s">
        <v>17232</v>
      </c>
      <c r="H5206" t="str">
        <f>HYPERLINK("https://baanknet.com/view-property/260719/DE4523CEC46BB608CE2A5F9B0557693283010EE3BAA943F7A19AF0D2F4D50694", "https://baanknet.com/view-property/260719/DE4523CEC46BB608CE2A5F9B0557693283010EE3BAA943F7A19AF0D2F4D50694")</f>
        <v>https://baanknet.com/view-property/260719/DE4523CEC46BB608CE2A5F9B0557693283010EE3BAA943F7A19AF0D2F4D50694</v>
      </c>
      <c r="I5206" t="str">
        <f>HYPERLINK("https://baanknet.com/view-property/260719/DE4523CEC46BB608CE2A5F9B0557693283010EE3BAA943F7A19AF0D2F4D50694", "Open")</f>
        <v>Open</v>
      </c>
      <c r="J5206" t="s">
        <v>3803</v>
      </c>
      <c r="L5206">
        <v>4100000</v>
      </c>
      <c r="M5206">
        <v>410000</v>
      </c>
    </row>
    <row r="5207" spans="1:13" x14ac:dyDescent="0.25">
      <c r="A5207" t="s">
        <v>17233</v>
      </c>
      <c r="B5207" t="s">
        <v>17234</v>
      </c>
      <c r="C5207" t="s">
        <v>15</v>
      </c>
      <c r="D5207" t="s">
        <v>17202</v>
      </c>
      <c r="E5207" t="s">
        <v>15646</v>
      </c>
      <c r="F5207" t="s">
        <v>14001</v>
      </c>
      <c r="G5207" t="s">
        <v>17235</v>
      </c>
      <c r="H5207" t="str">
        <f>HYPERLINK("https://baanknet.com/view-property/256398/759536BFB215A8CF3581112E8D8B5D2C10D9BD5DF777ADA58ED502363CEB9191", "https://baanknet.com/view-property/256398/759536BFB215A8CF3581112E8D8B5D2C10D9BD5DF777ADA58ED502363CEB9191")</f>
        <v>https://baanknet.com/view-property/256398/759536BFB215A8CF3581112E8D8B5D2C10D9BD5DF777ADA58ED502363CEB9191</v>
      </c>
      <c r="I5207" t="str">
        <f>HYPERLINK("https://baanknet.com/view-property/256398/759536BFB215A8CF3581112E8D8B5D2C10D9BD5DF777ADA58ED502363CEB9191", "Open")</f>
        <v>Open</v>
      </c>
      <c r="J5207" t="s">
        <v>3803</v>
      </c>
      <c r="L5207">
        <v>6200000</v>
      </c>
      <c r="M5207">
        <v>620000</v>
      </c>
    </row>
    <row r="5208" spans="1:13" x14ac:dyDescent="0.25">
      <c r="A5208" t="s">
        <v>17236</v>
      </c>
      <c r="B5208" t="s">
        <v>17237</v>
      </c>
      <c r="C5208" t="s">
        <v>15</v>
      </c>
      <c r="D5208" t="s">
        <v>3968</v>
      </c>
      <c r="E5208" t="s">
        <v>15646</v>
      </c>
      <c r="F5208" t="s">
        <v>14001</v>
      </c>
      <c r="G5208" t="s">
        <v>17238</v>
      </c>
      <c r="H5208" t="str">
        <f>HYPERLINK("https://baanknet.com/view-property/278062/D4E68BEAD85DA44223C8E6DF6895356C5A90A037532FCEC32B12826956AC93A8", "https://baanknet.com/view-property/278062/D4E68BEAD85DA44223C8E6DF6895356C5A90A037532FCEC32B12826956AC93A8")</f>
        <v>https://baanknet.com/view-property/278062/D4E68BEAD85DA44223C8E6DF6895356C5A90A037532FCEC32B12826956AC93A8</v>
      </c>
      <c r="I5208" t="str">
        <f>HYPERLINK("https://baanknet.com/view-property/278062/D4E68BEAD85DA44223C8E6DF6895356C5A90A037532FCEC32B12826956AC93A8", "Open")</f>
        <v>Open</v>
      </c>
      <c r="J5208" t="s">
        <v>3803</v>
      </c>
      <c r="L5208">
        <v>10300000</v>
      </c>
      <c r="M5208">
        <v>1030000</v>
      </c>
    </row>
    <row r="5209" spans="1:13" x14ac:dyDescent="0.25">
      <c r="A5209" t="s">
        <v>17239</v>
      </c>
      <c r="B5209" t="s">
        <v>17240</v>
      </c>
      <c r="C5209" t="s">
        <v>15</v>
      </c>
      <c r="D5209" t="s">
        <v>3968</v>
      </c>
      <c r="E5209" t="s">
        <v>15646</v>
      </c>
      <c r="F5209" t="s">
        <v>14001</v>
      </c>
      <c r="G5209" t="s">
        <v>17241</v>
      </c>
      <c r="H5209" t="str">
        <f>HYPERLINK("https://baanknet.com/view-property/260891/435222A2644445EE54FD46AD648A25643A7BE9883ED265C60D133832079A4D5B", "https://baanknet.com/view-property/260891/435222A2644445EE54FD46AD648A25643A7BE9883ED265C60D133832079A4D5B")</f>
        <v>https://baanknet.com/view-property/260891/435222A2644445EE54FD46AD648A25643A7BE9883ED265C60D133832079A4D5B</v>
      </c>
      <c r="I5209" t="str">
        <f>HYPERLINK("https://baanknet.com/view-property/260891/435222A2644445EE54FD46AD648A25643A7BE9883ED265C60D133832079A4D5B", "Open")</f>
        <v>Open</v>
      </c>
      <c r="J5209" t="s">
        <v>3803</v>
      </c>
      <c r="L5209">
        <v>3800000</v>
      </c>
      <c r="M5209">
        <v>380000</v>
      </c>
    </row>
    <row r="5210" spans="1:13" x14ac:dyDescent="0.25">
      <c r="A5210" t="s">
        <v>17242</v>
      </c>
      <c r="B5210" t="s">
        <v>17243</v>
      </c>
      <c r="C5210" t="s">
        <v>15</v>
      </c>
      <c r="D5210" t="s">
        <v>5032</v>
      </c>
      <c r="E5210" t="s">
        <v>15646</v>
      </c>
      <c r="F5210" t="s">
        <v>14001</v>
      </c>
      <c r="G5210" t="s">
        <v>17244</v>
      </c>
      <c r="H5210" t="str">
        <f>HYPERLINK("https://baanknet.com/view-property/256651/3D66B0C5C04321E8C779AAC16A8D93B9258FC68FBA6C717E76D37056BD25294C", "https://baanknet.com/view-property/256651/3D66B0C5C04321E8C779AAC16A8D93B9258FC68FBA6C717E76D37056BD25294C")</f>
        <v>https://baanknet.com/view-property/256651/3D66B0C5C04321E8C779AAC16A8D93B9258FC68FBA6C717E76D37056BD25294C</v>
      </c>
      <c r="I5210" t="str">
        <f>HYPERLINK("https://baanknet.com/view-property/256651/3D66B0C5C04321E8C779AAC16A8D93B9258FC68FBA6C717E76D37056BD25294C", "Open")</f>
        <v>Open</v>
      </c>
      <c r="J5210" t="s">
        <v>3803</v>
      </c>
      <c r="L5210">
        <v>3550000</v>
      </c>
      <c r="M5210">
        <v>355000</v>
      </c>
    </row>
    <row r="5211" spans="1:13" x14ac:dyDescent="0.25">
      <c r="A5211" t="s">
        <v>17245</v>
      </c>
      <c r="B5211" t="s">
        <v>17246</v>
      </c>
      <c r="C5211" t="s">
        <v>15</v>
      </c>
      <c r="D5211" t="s">
        <v>6974</v>
      </c>
      <c r="E5211" t="s">
        <v>15646</v>
      </c>
      <c r="F5211" t="s">
        <v>14001</v>
      </c>
      <c r="G5211" t="s">
        <v>17247</v>
      </c>
      <c r="H5211" t="str">
        <f>HYPERLINK("https://baanknet.com/view-property/243125/CEB16B75F0455A8A3207ABE94D9F43CF8E064D97D2C6F07157506FA731CF491C", "https://baanknet.com/view-property/243125/CEB16B75F0455A8A3207ABE94D9F43CF8E064D97D2C6F07157506FA731CF491C")</f>
        <v>https://baanknet.com/view-property/243125/CEB16B75F0455A8A3207ABE94D9F43CF8E064D97D2C6F07157506FA731CF491C</v>
      </c>
      <c r="I5211" t="str">
        <f>HYPERLINK("https://baanknet.com/view-property/243125/CEB16B75F0455A8A3207ABE94D9F43CF8E064D97D2C6F07157506FA731CF491C", "Open")</f>
        <v>Open</v>
      </c>
      <c r="J5211" t="s">
        <v>3803</v>
      </c>
      <c r="L5211">
        <v>2500000</v>
      </c>
      <c r="M5211">
        <v>250000</v>
      </c>
    </row>
    <row r="5212" spans="1:13" x14ac:dyDescent="0.25">
      <c r="A5212" t="s">
        <v>17248</v>
      </c>
      <c r="B5212" t="s">
        <v>17249</v>
      </c>
      <c r="C5212" t="s">
        <v>15</v>
      </c>
      <c r="D5212" t="s">
        <v>3968</v>
      </c>
      <c r="E5212" t="s">
        <v>15646</v>
      </c>
      <c r="F5212" t="s">
        <v>14001</v>
      </c>
      <c r="G5212" t="s">
        <v>17250</v>
      </c>
      <c r="H5212" t="str">
        <f>HYPERLINK("https://baanknet.com/view-property/260060/5CD59A246C7881267904B8661670DFCDDCD7ACB9EC0AC1474B71A258DDB25A5B", "https://baanknet.com/view-property/260060/5CD59A246C7881267904B8661670DFCDDCD7ACB9EC0AC1474B71A258DDB25A5B")</f>
        <v>https://baanknet.com/view-property/260060/5CD59A246C7881267904B8661670DFCDDCD7ACB9EC0AC1474B71A258DDB25A5B</v>
      </c>
      <c r="I5212" t="str">
        <f>HYPERLINK("https://baanknet.com/view-property/260060/5CD59A246C7881267904B8661670DFCDDCD7ACB9EC0AC1474B71A258DDB25A5B", "Open")</f>
        <v>Open</v>
      </c>
      <c r="J5212" t="s">
        <v>3803</v>
      </c>
      <c r="L5212">
        <v>13400000</v>
      </c>
      <c r="M5212">
        <v>1340000</v>
      </c>
    </row>
    <row r="5213" spans="1:13" x14ac:dyDescent="0.25">
      <c r="A5213" t="s">
        <v>17251</v>
      </c>
      <c r="B5213" t="s">
        <v>17252</v>
      </c>
      <c r="C5213" t="s">
        <v>15</v>
      </c>
      <c r="D5213" t="s">
        <v>5032</v>
      </c>
      <c r="E5213" t="s">
        <v>15646</v>
      </c>
      <c r="F5213" t="s">
        <v>14001</v>
      </c>
      <c r="G5213" t="s">
        <v>17253</v>
      </c>
      <c r="H5213" t="str">
        <f>HYPERLINK("https://baanknet.com/view-property/256655/E747DF71CFC0D0DE72EEC35ABAE1B9FD7BCDFEDA1886E645B727270C54564682", "https://baanknet.com/view-property/256655/E747DF71CFC0D0DE72EEC35ABAE1B9FD7BCDFEDA1886E645B727270C54564682")</f>
        <v>https://baanknet.com/view-property/256655/E747DF71CFC0D0DE72EEC35ABAE1B9FD7BCDFEDA1886E645B727270C54564682</v>
      </c>
      <c r="I5213" t="str">
        <f>HYPERLINK("https://baanknet.com/view-property/256655/E747DF71CFC0D0DE72EEC35ABAE1B9FD7BCDFEDA1886E645B727270C54564682", "Open")</f>
        <v>Open</v>
      </c>
      <c r="J5213" t="s">
        <v>3803</v>
      </c>
      <c r="L5213">
        <v>4800000</v>
      </c>
      <c r="M5213">
        <v>480000</v>
      </c>
    </row>
    <row r="5214" spans="1:13" x14ac:dyDescent="0.25">
      <c r="A5214" t="s">
        <v>17254</v>
      </c>
      <c r="B5214" t="s">
        <v>17255</v>
      </c>
      <c r="C5214" t="s">
        <v>15</v>
      </c>
      <c r="D5214" t="s">
        <v>3968</v>
      </c>
      <c r="E5214" t="s">
        <v>15646</v>
      </c>
      <c r="F5214" t="s">
        <v>14001</v>
      </c>
      <c r="G5214" t="s">
        <v>17256</v>
      </c>
      <c r="H5214" t="str">
        <f>HYPERLINK("https://baanknet.com/view-property/266684/A55419E619B91346A19EC01B4ED1B96E556E707647E82BDA328867888E29DF35", "https://baanknet.com/view-property/266684/A55419E619B91346A19EC01B4ED1B96E556E707647E82BDA328867888E29DF35")</f>
        <v>https://baanknet.com/view-property/266684/A55419E619B91346A19EC01B4ED1B96E556E707647E82BDA328867888E29DF35</v>
      </c>
      <c r="I5214" t="str">
        <f>HYPERLINK("https://baanknet.com/view-property/266684/A55419E619B91346A19EC01B4ED1B96E556E707647E82BDA328867888E29DF35", "Open")</f>
        <v>Open</v>
      </c>
      <c r="J5214" t="s">
        <v>3803</v>
      </c>
      <c r="L5214">
        <v>6300000</v>
      </c>
      <c r="M5214">
        <v>630000</v>
      </c>
    </row>
    <row r="5215" spans="1:13" x14ac:dyDescent="0.25">
      <c r="A5215" t="s">
        <v>17257</v>
      </c>
      <c r="B5215" t="s">
        <v>17258</v>
      </c>
      <c r="C5215" t="s">
        <v>15</v>
      </c>
      <c r="D5215" t="s">
        <v>3968</v>
      </c>
      <c r="E5215" t="s">
        <v>15646</v>
      </c>
      <c r="F5215" t="s">
        <v>14001</v>
      </c>
      <c r="G5215" t="s">
        <v>17259</v>
      </c>
      <c r="H5215" t="str">
        <f>HYPERLINK("https://baanknet.com/view-property/241004/957FF0D8AC6FA5D392335239DEB45AA21064B3ED9F562A5E218A31411EAF9AAE", "https://baanknet.com/view-property/241004/957FF0D8AC6FA5D392335239DEB45AA21064B3ED9F562A5E218A31411EAF9AAE")</f>
        <v>https://baanknet.com/view-property/241004/957FF0D8AC6FA5D392335239DEB45AA21064B3ED9F562A5E218A31411EAF9AAE</v>
      </c>
      <c r="I5215" t="str">
        <f>HYPERLINK("https://baanknet.com/view-property/241004/957FF0D8AC6FA5D392335239DEB45AA21064B3ED9F562A5E218A31411EAF9AAE", "Open")</f>
        <v>Open</v>
      </c>
      <c r="J5215" t="s">
        <v>3803</v>
      </c>
      <c r="L5215">
        <v>5800000</v>
      </c>
      <c r="M5215">
        <v>580000</v>
      </c>
    </row>
    <row r="5216" spans="1:13" x14ac:dyDescent="0.25">
      <c r="A5216" t="s">
        <v>17260</v>
      </c>
      <c r="B5216" t="s">
        <v>17261</v>
      </c>
      <c r="C5216" t="s">
        <v>15</v>
      </c>
      <c r="D5216" t="s">
        <v>3968</v>
      </c>
      <c r="E5216" t="s">
        <v>15646</v>
      </c>
      <c r="F5216" t="s">
        <v>14001</v>
      </c>
      <c r="G5216" t="s">
        <v>17262</v>
      </c>
      <c r="H5216" t="str">
        <f>HYPERLINK("https://baanknet.com/view-property/241005/E0E2C735B205F18D578560ECADCEFEF969005B375C56B7580A3CEC3F5B33EC50", "https://baanknet.com/view-property/241005/E0E2C735B205F18D578560ECADCEFEF969005B375C56B7580A3CEC3F5B33EC50")</f>
        <v>https://baanknet.com/view-property/241005/E0E2C735B205F18D578560ECADCEFEF969005B375C56B7580A3CEC3F5B33EC50</v>
      </c>
      <c r="I5216" t="str">
        <f>HYPERLINK("https://baanknet.com/view-property/241005/E0E2C735B205F18D578560ECADCEFEF969005B375C56B7580A3CEC3F5B33EC50", "Open")</f>
        <v>Open</v>
      </c>
      <c r="J5216" t="s">
        <v>3803</v>
      </c>
      <c r="L5216">
        <v>2050000</v>
      </c>
      <c r="M5216">
        <v>205000</v>
      </c>
    </row>
    <row r="5217" spans="1:13" x14ac:dyDescent="0.25">
      <c r="A5217" t="s">
        <v>17263</v>
      </c>
      <c r="B5217" t="s">
        <v>17264</v>
      </c>
      <c r="C5217" t="s">
        <v>15</v>
      </c>
      <c r="D5217" t="s">
        <v>3968</v>
      </c>
      <c r="E5217" t="s">
        <v>15646</v>
      </c>
      <c r="F5217" t="s">
        <v>14001</v>
      </c>
      <c r="G5217" t="s">
        <v>17265</v>
      </c>
      <c r="H5217" t="str">
        <f>HYPERLINK("https://baanknet.com/view-property/241006/799076AFFD87EA11E05DCD12A1A8D591AF791C1C34EC33D40F9AF54F9D4462E6", "https://baanknet.com/view-property/241006/799076AFFD87EA11E05DCD12A1A8D591AF791C1C34EC33D40F9AF54F9D4462E6")</f>
        <v>https://baanknet.com/view-property/241006/799076AFFD87EA11E05DCD12A1A8D591AF791C1C34EC33D40F9AF54F9D4462E6</v>
      </c>
      <c r="I5217" t="str">
        <f>HYPERLINK("https://baanknet.com/view-property/241006/799076AFFD87EA11E05DCD12A1A8D591AF791C1C34EC33D40F9AF54F9D4462E6", "Open")</f>
        <v>Open</v>
      </c>
      <c r="J5217" t="s">
        <v>3803</v>
      </c>
      <c r="L5217">
        <v>1300000</v>
      </c>
      <c r="M5217">
        <v>130000</v>
      </c>
    </row>
    <row r="5218" spans="1:13" x14ac:dyDescent="0.25">
      <c r="A5218" t="s">
        <v>17266</v>
      </c>
      <c r="B5218" t="s">
        <v>17267</v>
      </c>
      <c r="C5218" t="s">
        <v>15</v>
      </c>
      <c r="D5218" t="s">
        <v>15945</v>
      </c>
      <c r="E5218" t="s">
        <v>15646</v>
      </c>
      <c r="F5218" t="s">
        <v>14001</v>
      </c>
      <c r="G5218" t="s">
        <v>17268</v>
      </c>
      <c r="H5218" t="str">
        <f>HYPERLINK("https://baanknet.com/view-property/245980/7080429E608DDA99604BD6B49893E94315F572F8959D3BC22DEF28941A409EB3", "https://baanknet.com/view-property/245980/7080429E608DDA99604BD6B49893E94315F572F8959D3BC22DEF28941A409EB3")</f>
        <v>https://baanknet.com/view-property/245980/7080429E608DDA99604BD6B49893E94315F572F8959D3BC22DEF28941A409EB3</v>
      </c>
      <c r="I5218" t="str">
        <f>HYPERLINK("https://baanknet.com/view-property/245980/7080429E608DDA99604BD6B49893E94315F572F8959D3BC22DEF28941A409EB3", "Open")</f>
        <v>Open</v>
      </c>
      <c r="J5218" t="s">
        <v>3803</v>
      </c>
      <c r="L5218">
        <v>2400000</v>
      </c>
      <c r="M5218">
        <v>240000</v>
      </c>
    </row>
    <row r="5219" spans="1:13" x14ac:dyDescent="0.25">
      <c r="A5219" t="s">
        <v>17269</v>
      </c>
      <c r="B5219" t="s">
        <v>17270</v>
      </c>
      <c r="C5219" t="s">
        <v>15</v>
      </c>
      <c r="D5219" t="s">
        <v>17271</v>
      </c>
      <c r="E5219" t="s">
        <v>15646</v>
      </c>
      <c r="F5219" t="s">
        <v>14001</v>
      </c>
      <c r="G5219" t="s">
        <v>17272</v>
      </c>
      <c r="H5219" t="str">
        <f>HYPERLINK("https://baanknet.com/view-property/233200/E427BE2B5EFFEE81FA06EE7944E17D488CE8F8AFC3A3BFFFE1A150C796A9A84A", "https://baanknet.com/view-property/233200/E427BE2B5EFFEE81FA06EE7944E17D488CE8F8AFC3A3BFFFE1A150C796A9A84A")</f>
        <v>https://baanknet.com/view-property/233200/E427BE2B5EFFEE81FA06EE7944E17D488CE8F8AFC3A3BFFFE1A150C796A9A84A</v>
      </c>
      <c r="I5219" t="str">
        <f>HYPERLINK("https://baanknet.com/view-property/233200/E427BE2B5EFFEE81FA06EE7944E17D488CE8F8AFC3A3BFFFE1A150C796A9A84A", "Open")</f>
        <v>Open</v>
      </c>
      <c r="J5219" t="s">
        <v>3803</v>
      </c>
      <c r="L5219">
        <v>3378000</v>
      </c>
      <c r="M5219">
        <v>337800</v>
      </c>
    </row>
    <row r="5220" spans="1:13" x14ac:dyDescent="0.25">
      <c r="A5220" t="s">
        <v>17273</v>
      </c>
      <c r="B5220" t="s">
        <v>17274</v>
      </c>
      <c r="C5220" t="s">
        <v>15</v>
      </c>
      <c r="D5220" t="s">
        <v>5450</v>
      </c>
      <c r="E5220" t="s">
        <v>15646</v>
      </c>
      <c r="F5220" t="s">
        <v>14001</v>
      </c>
      <c r="G5220" t="s">
        <v>17275</v>
      </c>
      <c r="H5220" t="str">
        <f>HYPERLINK("https://baanknet.com/view-property/265673/57721631A3C21120CB6A43AD0DD760F1E10090F83BF80E46CBB9EBD6A91D1640", "https://baanknet.com/view-property/265673/57721631A3C21120CB6A43AD0DD760F1E10090F83BF80E46CBB9EBD6A91D1640")</f>
        <v>https://baanknet.com/view-property/265673/57721631A3C21120CB6A43AD0DD760F1E10090F83BF80E46CBB9EBD6A91D1640</v>
      </c>
      <c r="I5220" t="str">
        <f>HYPERLINK("https://baanknet.com/view-property/265673/57721631A3C21120CB6A43AD0DD760F1E10090F83BF80E46CBB9EBD6A91D1640", "Open")</f>
        <v>Open</v>
      </c>
      <c r="J5220" t="s">
        <v>3803</v>
      </c>
      <c r="L5220">
        <v>6356000</v>
      </c>
      <c r="M5220">
        <v>635600</v>
      </c>
    </row>
    <row r="5221" spans="1:13" x14ac:dyDescent="0.25">
      <c r="A5221" t="s">
        <v>17276</v>
      </c>
      <c r="B5221" t="s">
        <v>17277</v>
      </c>
      <c r="C5221" t="s">
        <v>15</v>
      </c>
      <c r="D5221" t="s">
        <v>7098</v>
      </c>
      <c r="E5221" t="s">
        <v>15646</v>
      </c>
      <c r="F5221" t="s">
        <v>14001</v>
      </c>
      <c r="G5221" t="s">
        <v>17278</v>
      </c>
      <c r="H5221" t="str">
        <f>HYPERLINK("https://baanknet.com/view-property/200015/E859F0AB5FCFC26C449546504F4C80AE34D3A3F37A13EE093B1403AED50E5B02", "https://baanknet.com/view-property/200015/E859F0AB5FCFC26C449546504F4C80AE34D3A3F37A13EE093B1403AED50E5B02")</f>
        <v>https://baanknet.com/view-property/200015/E859F0AB5FCFC26C449546504F4C80AE34D3A3F37A13EE093B1403AED50E5B02</v>
      </c>
      <c r="I5221" t="str">
        <f>HYPERLINK("https://baanknet.com/view-property/200015/E859F0AB5FCFC26C449546504F4C80AE34D3A3F37A13EE093B1403AED50E5B02", "Open")</f>
        <v>Open</v>
      </c>
      <c r="J5221" t="s">
        <v>3803</v>
      </c>
      <c r="L5221">
        <v>1590000</v>
      </c>
      <c r="M5221">
        <v>159000</v>
      </c>
    </row>
    <row r="5222" spans="1:13" x14ac:dyDescent="0.25">
      <c r="A5222" t="s">
        <v>17279</v>
      </c>
      <c r="B5222" t="s">
        <v>17280</v>
      </c>
      <c r="C5222" t="s">
        <v>15</v>
      </c>
      <c r="D5222" t="s">
        <v>7098</v>
      </c>
      <c r="E5222" t="s">
        <v>15646</v>
      </c>
      <c r="F5222" t="s">
        <v>14001</v>
      </c>
      <c r="G5222" t="s">
        <v>17281</v>
      </c>
      <c r="H5222" t="str">
        <f>HYPERLINK("https://baanknet.com/view-property/230228/40656CF9A057FC73C34F7A17F1C3CEC26B297AA8F20DFB8D61C930D01CA7A038", "https://baanknet.com/view-property/230228/40656CF9A057FC73C34F7A17F1C3CEC26B297AA8F20DFB8D61C930D01CA7A038")</f>
        <v>https://baanknet.com/view-property/230228/40656CF9A057FC73C34F7A17F1C3CEC26B297AA8F20DFB8D61C930D01CA7A038</v>
      </c>
      <c r="I5222" t="str">
        <f>HYPERLINK("https://baanknet.com/view-property/230228/40656CF9A057FC73C34F7A17F1C3CEC26B297AA8F20DFB8D61C930D01CA7A038", "Open")</f>
        <v>Open</v>
      </c>
      <c r="J5222" t="s">
        <v>3803</v>
      </c>
      <c r="L5222">
        <v>1100000</v>
      </c>
      <c r="M5222">
        <v>110000</v>
      </c>
    </row>
    <row r="5223" spans="1:13" x14ac:dyDescent="0.25">
      <c r="A5223" t="s">
        <v>17282</v>
      </c>
      <c r="B5223" t="s">
        <v>17283</v>
      </c>
      <c r="C5223" t="s">
        <v>15</v>
      </c>
      <c r="D5223" t="s">
        <v>533</v>
      </c>
      <c r="E5223" t="s">
        <v>15646</v>
      </c>
      <c r="F5223" t="s">
        <v>14001</v>
      </c>
      <c r="G5223" t="s">
        <v>17284</v>
      </c>
      <c r="H5223" t="str">
        <f>HYPERLINK("https://baanknet.com/view-property/282448/A31F6FE5255CE1ACE2C1C2B73BBEBB064948DF63D9E8550D4A1FA856E197EC8E", "https://baanknet.com/view-property/282448/A31F6FE5255CE1ACE2C1C2B73BBEBB064948DF63D9E8550D4A1FA856E197EC8E")</f>
        <v>https://baanknet.com/view-property/282448/A31F6FE5255CE1ACE2C1C2B73BBEBB064948DF63D9E8550D4A1FA856E197EC8E</v>
      </c>
      <c r="I5223" t="str">
        <f>HYPERLINK("https://baanknet.com/view-property/282448/A31F6FE5255CE1ACE2C1C2B73BBEBB064948DF63D9E8550D4A1FA856E197EC8E", "Open")</f>
        <v>Open</v>
      </c>
      <c r="J5223" t="s">
        <v>3803</v>
      </c>
      <c r="L5223">
        <v>2600000</v>
      </c>
      <c r="M5223">
        <v>260000</v>
      </c>
    </row>
    <row r="5224" spans="1:13" x14ac:dyDescent="0.25">
      <c r="A5224" t="s">
        <v>17285</v>
      </c>
      <c r="B5224" t="s">
        <v>17286</v>
      </c>
      <c r="C5224" t="s">
        <v>15</v>
      </c>
      <c r="D5224" t="s">
        <v>17287</v>
      </c>
      <c r="E5224" t="s">
        <v>15646</v>
      </c>
      <c r="F5224" t="s">
        <v>14001</v>
      </c>
      <c r="G5224" t="s">
        <v>17288</v>
      </c>
      <c r="H5224" t="str">
        <f>HYPERLINK("https://baanknet.com/view-property/240189/DCC1CE97F08F3C06E2AE42E629410F8E2F017BC3EE40E1D5A90083B92F5C0274", "https://baanknet.com/view-property/240189/DCC1CE97F08F3C06E2AE42E629410F8E2F017BC3EE40E1D5A90083B92F5C0274")</f>
        <v>https://baanknet.com/view-property/240189/DCC1CE97F08F3C06E2AE42E629410F8E2F017BC3EE40E1D5A90083B92F5C0274</v>
      </c>
      <c r="I5224" t="str">
        <f>HYPERLINK("https://baanknet.com/view-property/240189/DCC1CE97F08F3C06E2AE42E629410F8E2F017BC3EE40E1D5A90083B92F5C0274", "Open")</f>
        <v>Open</v>
      </c>
      <c r="J5224" t="s">
        <v>3803</v>
      </c>
      <c r="L5224">
        <v>2470000</v>
      </c>
      <c r="M5224">
        <v>247000</v>
      </c>
    </row>
    <row r="5225" spans="1:13" x14ac:dyDescent="0.25">
      <c r="A5225" t="s">
        <v>17289</v>
      </c>
      <c r="B5225" t="s">
        <v>17290</v>
      </c>
      <c r="C5225" t="s">
        <v>15</v>
      </c>
      <c r="D5225" t="s">
        <v>9776</v>
      </c>
      <c r="E5225" t="s">
        <v>15646</v>
      </c>
      <c r="F5225" t="s">
        <v>14001</v>
      </c>
      <c r="G5225" t="s">
        <v>17291</v>
      </c>
      <c r="H5225" t="str">
        <f>HYPERLINK("https://baanknet.com/view-property/253037/F0C586F88ADDA2877C537BDD2067FD469927AEB24589276D061D6CF0F3B38460", "https://baanknet.com/view-property/253037/F0C586F88ADDA2877C537BDD2067FD469927AEB24589276D061D6CF0F3B38460")</f>
        <v>https://baanknet.com/view-property/253037/F0C586F88ADDA2877C537BDD2067FD469927AEB24589276D061D6CF0F3B38460</v>
      </c>
      <c r="I5225" t="str">
        <f>HYPERLINK("https://baanknet.com/view-property/253037/F0C586F88ADDA2877C537BDD2067FD469927AEB24589276D061D6CF0F3B38460", "Open")</f>
        <v>Open</v>
      </c>
      <c r="J5225" t="s">
        <v>3803</v>
      </c>
      <c r="L5225">
        <v>7100000</v>
      </c>
      <c r="M5225">
        <v>710000</v>
      </c>
    </row>
    <row r="5226" spans="1:13" x14ac:dyDescent="0.25">
      <c r="A5226" t="s">
        <v>17292</v>
      </c>
      <c r="B5226" t="s">
        <v>17293</v>
      </c>
      <c r="C5226" t="s">
        <v>15</v>
      </c>
      <c r="D5226" t="s">
        <v>2425</v>
      </c>
      <c r="E5226" t="s">
        <v>15646</v>
      </c>
      <c r="F5226" t="s">
        <v>14001</v>
      </c>
      <c r="G5226" t="s">
        <v>17294</v>
      </c>
      <c r="H5226" t="str">
        <f>HYPERLINK("https://baanknet.com/view-property/255931/9E71A91F28F823E4FC76C791EA98F022F53218803B4577A1D51022175AA0FEA4", "https://baanknet.com/view-property/255931/9E71A91F28F823E4FC76C791EA98F022F53218803B4577A1D51022175AA0FEA4")</f>
        <v>https://baanknet.com/view-property/255931/9E71A91F28F823E4FC76C791EA98F022F53218803B4577A1D51022175AA0FEA4</v>
      </c>
      <c r="I5226" t="str">
        <f>HYPERLINK("https://baanknet.com/view-property/255931/9E71A91F28F823E4FC76C791EA98F022F53218803B4577A1D51022175AA0FEA4", "Open")</f>
        <v>Open</v>
      </c>
      <c r="J5226" t="s">
        <v>3803</v>
      </c>
      <c r="L5226">
        <v>1042000</v>
      </c>
      <c r="M5226">
        <v>104200</v>
      </c>
    </row>
    <row r="5227" spans="1:13" x14ac:dyDescent="0.25">
      <c r="A5227" t="s">
        <v>17295</v>
      </c>
      <c r="B5227" t="s">
        <v>17296</v>
      </c>
      <c r="C5227" t="s">
        <v>15</v>
      </c>
      <c r="D5227" t="s">
        <v>8162</v>
      </c>
      <c r="E5227" t="s">
        <v>15646</v>
      </c>
      <c r="F5227" t="s">
        <v>14001</v>
      </c>
      <c r="G5227" t="s">
        <v>17297</v>
      </c>
      <c r="H5227" t="str">
        <f>HYPERLINK("https://baanknet.com/view-property/244728/0DA4AD2D118F94FB4F980429BE40BBAB0CF2B53BDDCA6181BBC51AC91F8C6B79", "https://baanknet.com/view-property/244728/0DA4AD2D118F94FB4F980429BE40BBAB0CF2B53BDDCA6181BBC51AC91F8C6B79")</f>
        <v>https://baanknet.com/view-property/244728/0DA4AD2D118F94FB4F980429BE40BBAB0CF2B53BDDCA6181BBC51AC91F8C6B79</v>
      </c>
      <c r="I5227" t="str">
        <f>HYPERLINK("https://baanknet.com/view-property/244728/0DA4AD2D118F94FB4F980429BE40BBAB0CF2B53BDDCA6181BBC51AC91F8C6B79", "Open")</f>
        <v>Open</v>
      </c>
      <c r="J5227" t="s">
        <v>3803</v>
      </c>
      <c r="L5227">
        <v>2786000</v>
      </c>
      <c r="M5227">
        <v>278600</v>
      </c>
    </row>
    <row r="5228" spans="1:13" x14ac:dyDescent="0.25">
      <c r="A5228" t="s">
        <v>17298</v>
      </c>
      <c r="B5228" t="s">
        <v>17299</v>
      </c>
      <c r="C5228" t="s">
        <v>15</v>
      </c>
      <c r="D5228" t="s">
        <v>17300</v>
      </c>
      <c r="E5228" t="s">
        <v>15646</v>
      </c>
      <c r="F5228" t="s">
        <v>14001</v>
      </c>
      <c r="G5228" t="s">
        <v>17301</v>
      </c>
      <c r="H5228" t="str">
        <f>HYPERLINK("https://baanknet.com/view-property/225534/2BCB5F189CDE29F53D577BF8F90184E0A97424CE1ADFD4629EE3470E29940CE5", "https://baanknet.com/view-property/225534/2BCB5F189CDE29F53D577BF8F90184E0A97424CE1ADFD4629EE3470E29940CE5")</f>
        <v>https://baanknet.com/view-property/225534/2BCB5F189CDE29F53D577BF8F90184E0A97424CE1ADFD4629EE3470E29940CE5</v>
      </c>
      <c r="I5228" t="str">
        <f>HYPERLINK("https://baanknet.com/view-property/225534/2BCB5F189CDE29F53D577BF8F90184E0A97424CE1ADFD4629EE3470E29940CE5", "Open")</f>
        <v>Open</v>
      </c>
      <c r="J5228" t="s">
        <v>3803</v>
      </c>
      <c r="L5228">
        <v>2583000</v>
      </c>
      <c r="M5228">
        <v>258300</v>
      </c>
    </row>
    <row r="5229" spans="1:13" x14ac:dyDescent="0.25">
      <c r="A5229" t="s">
        <v>17302</v>
      </c>
      <c r="B5229" t="s">
        <v>17303</v>
      </c>
      <c r="C5229" t="s">
        <v>15</v>
      </c>
      <c r="D5229" t="s">
        <v>1246</v>
      </c>
      <c r="E5229" t="s">
        <v>15646</v>
      </c>
      <c r="F5229" t="s">
        <v>14001</v>
      </c>
      <c r="G5229" t="s">
        <v>17304</v>
      </c>
      <c r="H5229" t="str">
        <f>HYPERLINK("https://baanknet.com/view-property/222391/2276AFCC3A65ACF70FD2CFD739814DB891249C2569B3729B70182B3CA984445A", "https://baanknet.com/view-property/222391/2276AFCC3A65ACF70FD2CFD739814DB891249C2569B3729B70182B3CA984445A")</f>
        <v>https://baanknet.com/view-property/222391/2276AFCC3A65ACF70FD2CFD739814DB891249C2569B3729B70182B3CA984445A</v>
      </c>
      <c r="I5229" t="str">
        <f>HYPERLINK("https://baanknet.com/view-property/222391/2276AFCC3A65ACF70FD2CFD739814DB891249C2569B3729B70182B3CA984445A", "Open")</f>
        <v>Open</v>
      </c>
      <c r="J5229" t="s">
        <v>3803</v>
      </c>
      <c r="L5229">
        <v>1245000</v>
      </c>
      <c r="M5229">
        <v>124500</v>
      </c>
    </row>
    <row r="5230" spans="1:13" x14ac:dyDescent="0.25">
      <c r="A5230" t="s">
        <v>17305</v>
      </c>
      <c r="B5230" t="s">
        <v>17306</v>
      </c>
      <c r="C5230" t="s">
        <v>15</v>
      </c>
      <c r="D5230" t="s">
        <v>4767</v>
      </c>
      <c r="E5230" t="s">
        <v>15646</v>
      </c>
      <c r="F5230" t="s">
        <v>14001</v>
      </c>
      <c r="G5230" t="s">
        <v>17307</v>
      </c>
      <c r="H5230" t="str">
        <f>HYPERLINK("https://baanknet.com/view-property/244626/8246FFA21BBB38B150CF11CCC206C946985994EBF84143B9CCBBBB13489972E1", "https://baanknet.com/view-property/244626/8246FFA21BBB38B150CF11CCC206C946985994EBF84143B9CCBBBB13489972E1")</f>
        <v>https://baanknet.com/view-property/244626/8246FFA21BBB38B150CF11CCC206C946985994EBF84143B9CCBBBB13489972E1</v>
      </c>
      <c r="I5230" t="str">
        <f>HYPERLINK("https://baanknet.com/view-property/244626/8246FFA21BBB38B150CF11CCC206C946985994EBF84143B9CCBBBB13489972E1", "Open")</f>
        <v>Open</v>
      </c>
      <c r="J5230" t="s">
        <v>3803</v>
      </c>
      <c r="L5230">
        <v>13200000</v>
      </c>
      <c r="M5230">
        <v>1320000</v>
      </c>
    </row>
    <row r="5231" spans="1:13" x14ac:dyDescent="0.25">
      <c r="A5231" t="s">
        <v>17308</v>
      </c>
      <c r="B5231" t="s">
        <v>17309</v>
      </c>
      <c r="C5231" t="s">
        <v>15</v>
      </c>
      <c r="D5231" t="s">
        <v>4767</v>
      </c>
      <c r="E5231" t="s">
        <v>15646</v>
      </c>
      <c r="F5231" t="s">
        <v>14001</v>
      </c>
      <c r="G5231" t="s">
        <v>17310</v>
      </c>
      <c r="H5231" t="str">
        <f>HYPERLINK("https://baanknet.com/view-property/244714/888889102B828479BF0A26CD46685B61D13F57F5585F8C73E2F9A8D3842AD4C0", "https://baanknet.com/view-property/244714/888889102B828479BF0A26CD46685B61D13F57F5585F8C73E2F9A8D3842AD4C0")</f>
        <v>https://baanknet.com/view-property/244714/888889102B828479BF0A26CD46685B61D13F57F5585F8C73E2F9A8D3842AD4C0</v>
      </c>
      <c r="I5231" t="str">
        <f>HYPERLINK("https://baanknet.com/view-property/244714/888889102B828479BF0A26CD46685B61D13F57F5585F8C73E2F9A8D3842AD4C0", "Open")</f>
        <v>Open</v>
      </c>
      <c r="J5231" t="s">
        <v>3803</v>
      </c>
      <c r="L5231">
        <v>4940000</v>
      </c>
      <c r="M5231">
        <v>494000</v>
      </c>
    </row>
    <row r="5232" spans="1:13" x14ac:dyDescent="0.25">
      <c r="A5232" t="s">
        <v>17311</v>
      </c>
      <c r="B5232" t="s">
        <v>17312</v>
      </c>
      <c r="C5232" t="s">
        <v>15</v>
      </c>
      <c r="D5232" t="s">
        <v>9939</v>
      </c>
      <c r="E5232" t="s">
        <v>15646</v>
      </c>
      <c r="F5232" t="s">
        <v>14001</v>
      </c>
      <c r="G5232" t="s">
        <v>17313</v>
      </c>
      <c r="H5232" t="str">
        <f>HYPERLINK("https://baanknet.com/view-property/286069/2FE572600E00EC0DA0E8272CC70F9C90921FAC21403E02471A9824E3811F0877", "https://baanknet.com/view-property/286069/2FE572600E00EC0DA0E8272CC70F9C90921FAC21403E02471A9824E3811F0877")</f>
        <v>https://baanknet.com/view-property/286069/2FE572600E00EC0DA0E8272CC70F9C90921FAC21403E02471A9824E3811F0877</v>
      </c>
      <c r="I5232" t="str">
        <f>HYPERLINK("https://baanknet.com/view-property/286069/2FE572600E00EC0DA0E8272CC70F9C90921FAC21403E02471A9824E3811F0877", "Open")</f>
        <v>Open</v>
      </c>
      <c r="J5232" t="s">
        <v>3803</v>
      </c>
      <c r="L5232">
        <v>2000000</v>
      </c>
      <c r="M5232">
        <v>200000</v>
      </c>
    </row>
    <row r="5233" spans="1:13" x14ac:dyDescent="0.25">
      <c r="A5233" t="s">
        <v>17314</v>
      </c>
      <c r="B5233" t="s">
        <v>17315</v>
      </c>
      <c r="C5233" t="s">
        <v>15</v>
      </c>
      <c r="D5233" t="s">
        <v>9939</v>
      </c>
      <c r="E5233" t="s">
        <v>15646</v>
      </c>
      <c r="F5233" t="s">
        <v>14001</v>
      </c>
      <c r="G5233" t="s">
        <v>17316</v>
      </c>
      <c r="H5233" t="str">
        <f>HYPERLINK("https://baanknet.com/view-property/286068/B44F79F7AD98969E0D55CFAA401F9D20A39D934113C658F4EEA0D1A3DD57FF62", "https://baanknet.com/view-property/286068/B44F79F7AD98969E0D55CFAA401F9D20A39D934113C658F4EEA0D1A3DD57FF62")</f>
        <v>https://baanknet.com/view-property/286068/B44F79F7AD98969E0D55CFAA401F9D20A39D934113C658F4EEA0D1A3DD57FF62</v>
      </c>
      <c r="I5233" t="str">
        <f>HYPERLINK("https://baanknet.com/view-property/286068/B44F79F7AD98969E0D55CFAA401F9D20A39D934113C658F4EEA0D1A3DD57FF62", "Open")</f>
        <v>Open</v>
      </c>
      <c r="J5233" t="s">
        <v>3803</v>
      </c>
      <c r="L5233">
        <v>5800000</v>
      </c>
      <c r="M5233">
        <v>580000</v>
      </c>
    </row>
    <row r="5234" spans="1:13" x14ac:dyDescent="0.25">
      <c r="A5234" t="s">
        <v>17317</v>
      </c>
      <c r="B5234" t="s">
        <v>17318</v>
      </c>
      <c r="C5234" t="s">
        <v>15</v>
      </c>
      <c r="D5234" t="s">
        <v>9939</v>
      </c>
      <c r="E5234" t="s">
        <v>15646</v>
      </c>
      <c r="F5234" t="s">
        <v>14001</v>
      </c>
      <c r="G5234" t="s">
        <v>17319</v>
      </c>
      <c r="H5234" t="str">
        <f>HYPERLINK("https://baanknet.com/view-property/286067/984C745A93E8D51E57CDF56CDF6DBA314599599C09E819E26ACD828B55C375F4", "https://baanknet.com/view-property/286067/984C745A93E8D51E57CDF56CDF6DBA314599599C09E819E26ACD828B55C375F4")</f>
        <v>https://baanknet.com/view-property/286067/984C745A93E8D51E57CDF56CDF6DBA314599599C09E819E26ACD828B55C375F4</v>
      </c>
      <c r="I5234" t="str">
        <f>HYPERLINK("https://baanknet.com/view-property/286067/984C745A93E8D51E57CDF56CDF6DBA314599599C09E819E26ACD828B55C375F4", "Open")</f>
        <v>Open</v>
      </c>
      <c r="J5234" t="s">
        <v>3803</v>
      </c>
      <c r="L5234">
        <v>4100000</v>
      </c>
      <c r="M5234">
        <v>410000</v>
      </c>
    </row>
    <row r="5235" spans="1:13" x14ac:dyDescent="0.25">
      <c r="A5235" t="s">
        <v>17320</v>
      </c>
      <c r="B5235" t="s">
        <v>17321</v>
      </c>
      <c r="C5235" t="s">
        <v>15</v>
      </c>
      <c r="D5235" t="s">
        <v>3968</v>
      </c>
      <c r="E5235" t="s">
        <v>15646</v>
      </c>
      <c r="F5235" t="s">
        <v>14001</v>
      </c>
      <c r="G5235" t="s">
        <v>17322</v>
      </c>
      <c r="H5235" t="str">
        <f>HYPERLINK("https://baanknet.com/view-property/251961/303B9DA7544D4C4284B94CBB4AC5D365E7BA7ED6AB757B4D376D8408FF2CF084", "https://baanknet.com/view-property/251961/303B9DA7544D4C4284B94CBB4AC5D365E7BA7ED6AB757B4D376D8408FF2CF084")</f>
        <v>https://baanknet.com/view-property/251961/303B9DA7544D4C4284B94CBB4AC5D365E7BA7ED6AB757B4D376D8408FF2CF084</v>
      </c>
      <c r="I5235" t="str">
        <f>HYPERLINK("https://baanknet.com/view-property/251961/303B9DA7544D4C4284B94CBB4AC5D365E7BA7ED6AB757B4D376D8408FF2CF084", "Open")</f>
        <v>Open</v>
      </c>
      <c r="J5235" t="s">
        <v>3803</v>
      </c>
      <c r="L5235">
        <v>2525000</v>
      </c>
      <c r="M5235">
        <v>252500</v>
      </c>
    </row>
    <row r="5236" spans="1:13" x14ac:dyDescent="0.25">
      <c r="A5236" t="s">
        <v>17323</v>
      </c>
      <c r="B5236" t="s">
        <v>17324</v>
      </c>
      <c r="C5236" t="s">
        <v>15</v>
      </c>
      <c r="D5236" t="s">
        <v>5036</v>
      </c>
      <c r="E5236" t="s">
        <v>15646</v>
      </c>
      <c r="F5236" t="s">
        <v>14001</v>
      </c>
      <c r="G5236" t="s">
        <v>17325</v>
      </c>
      <c r="H5236" t="str">
        <f>HYPERLINK("https://baanknet.com/view-property/280181/D87A44AE408029291F030C06B6DD5BB699B695717EEA771D920AFA09FFA2A85B", "https://baanknet.com/view-property/280181/D87A44AE408029291F030C06B6DD5BB699B695717EEA771D920AFA09FFA2A85B")</f>
        <v>https://baanknet.com/view-property/280181/D87A44AE408029291F030C06B6DD5BB699B695717EEA771D920AFA09FFA2A85B</v>
      </c>
      <c r="I5236" t="str">
        <f>HYPERLINK("https://baanknet.com/view-property/280181/D87A44AE408029291F030C06B6DD5BB699B695717EEA771D920AFA09FFA2A85B", "Open")</f>
        <v>Open</v>
      </c>
      <c r="J5236" t="s">
        <v>3803</v>
      </c>
      <c r="L5236">
        <v>9700000</v>
      </c>
      <c r="M5236">
        <v>970000</v>
      </c>
    </row>
    <row r="5237" spans="1:13" x14ac:dyDescent="0.25">
      <c r="A5237" t="s">
        <v>17326</v>
      </c>
      <c r="B5237" t="s">
        <v>17327</v>
      </c>
      <c r="C5237" t="s">
        <v>15</v>
      </c>
      <c r="D5237" t="s">
        <v>4884</v>
      </c>
      <c r="E5237" t="s">
        <v>15646</v>
      </c>
      <c r="F5237" t="s">
        <v>14001</v>
      </c>
      <c r="G5237" t="s">
        <v>17328</v>
      </c>
      <c r="H5237" t="str">
        <f>HYPERLINK("https://baanknet.com/view-property/243009/5CE5928295C1C68C8C7A967FFFDB02ED1319E77A4E2098E54E89B8BD0C515293", "https://baanknet.com/view-property/243009/5CE5928295C1C68C8C7A967FFFDB02ED1319E77A4E2098E54E89B8BD0C515293")</f>
        <v>https://baanknet.com/view-property/243009/5CE5928295C1C68C8C7A967FFFDB02ED1319E77A4E2098E54E89B8BD0C515293</v>
      </c>
      <c r="I5237" t="str">
        <f>HYPERLINK("https://baanknet.com/view-property/243009/5CE5928295C1C68C8C7A967FFFDB02ED1319E77A4E2098E54E89B8BD0C515293", "Open")</f>
        <v>Open</v>
      </c>
      <c r="J5237" t="s">
        <v>3803</v>
      </c>
      <c r="L5237">
        <v>2500000</v>
      </c>
      <c r="M5237">
        <v>250000</v>
      </c>
    </row>
    <row r="5238" spans="1:13" x14ac:dyDescent="0.25">
      <c r="A5238" t="s">
        <v>17329</v>
      </c>
      <c r="B5238" t="s">
        <v>17330</v>
      </c>
      <c r="C5238" t="s">
        <v>15</v>
      </c>
      <c r="D5238" t="s">
        <v>5018</v>
      </c>
      <c r="E5238" t="s">
        <v>15646</v>
      </c>
      <c r="F5238" t="s">
        <v>14001</v>
      </c>
      <c r="G5238" t="s">
        <v>17331</v>
      </c>
      <c r="H5238" t="str">
        <f>HYPERLINK("https://baanknet.com/view-property/243015/A47F2DD3C696E27DFF36256AEB4CF78236ECC86A6A6D9ABE669310F4B0EF3327", "https://baanknet.com/view-property/243015/A47F2DD3C696E27DFF36256AEB4CF78236ECC86A6A6D9ABE669310F4B0EF3327")</f>
        <v>https://baanknet.com/view-property/243015/A47F2DD3C696E27DFF36256AEB4CF78236ECC86A6A6D9ABE669310F4B0EF3327</v>
      </c>
      <c r="I5238" t="str">
        <f>HYPERLINK("https://baanknet.com/view-property/243015/A47F2DD3C696E27DFF36256AEB4CF78236ECC86A6A6D9ABE669310F4B0EF3327", "Open")</f>
        <v>Open</v>
      </c>
      <c r="J5238" t="s">
        <v>3803</v>
      </c>
      <c r="L5238">
        <v>3700000</v>
      </c>
      <c r="M5238">
        <v>370000</v>
      </c>
    </row>
    <row r="5239" spans="1:13" x14ac:dyDescent="0.25">
      <c r="A5239" t="s">
        <v>17332</v>
      </c>
      <c r="B5239" t="s">
        <v>17333</v>
      </c>
      <c r="C5239" t="s">
        <v>15</v>
      </c>
      <c r="D5239" t="s">
        <v>5018</v>
      </c>
      <c r="E5239" t="s">
        <v>15646</v>
      </c>
      <c r="F5239" t="s">
        <v>14001</v>
      </c>
      <c r="G5239" t="s">
        <v>17334</v>
      </c>
      <c r="H5239" t="str">
        <f>HYPERLINK("https://baanknet.com/view-property/276767/970462FF61A575231A635BF50B0A3A1E6C0B3014A3DD6B4DA88869B81951A15F", "https://baanknet.com/view-property/276767/970462FF61A575231A635BF50B0A3A1E6C0B3014A3DD6B4DA88869B81951A15F")</f>
        <v>https://baanknet.com/view-property/276767/970462FF61A575231A635BF50B0A3A1E6C0B3014A3DD6B4DA88869B81951A15F</v>
      </c>
      <c r="I5239" t="str">
        <f>HYPERLINK("https://baanknet.com/view-property/276767/970462FF61A575231A635BF50B0A3A1E6C0B3014A3DD6B4DA88869B81951A15F", "Open")</f>
        <v>Open</v>
      </c>
      <c r="J5239" t="s">
        <v>3803</v>
      </c>
      <c r="L5239">
        <v>7000000</v>
      </c>
      <c r="M5239">
        <v>700000</v>
      </c>
    </row>
    <row r="5240" spans="1:13" x14ac:dyDescent="0.25">
      <c r="A5240" t="s">
        <v>17335</v>
      </c>
      <c r="B5240" t="s">
        <v>17336</v>
      </c>
      <c r="C5240" t="s">
        <v>15</v>
      </c>
      <c r="D5240" t="s">
        <v>5055</v>
      </c>
      <c r="E5240" t="s">
        <v>15646</v>
      </c>
      <c r="F5240" t="s">
        <v>14001</v>
      </c>
      <c r="G5240" t="s">
        <v>17337</v>
      </c>
      <c r="H5240" t="str">
        <f>HYPERLINK("https://baanknet.com/view-property/279328/76766DC06D436FB6AC18FF59FF97AB7C01FB1EE81E7327442F1FCBAA2DF962A9", "https://baanknet.com/view-property/279328/76766DC06D436FB6AC18FF59FF97AB7C01FB1EE81E7327442F1FCBAA2DF962A9")</f>
        <v>https://baanknet.com/view-property/279328/76766DC06D436FB6AC18FF59FF97AB7C01FB1EE81E7327442F1FCBAA2DF962A9</v>
      </c>
      <c r="I5240" t="str">
        <f>HYPERLINK("https://baanknet.com/view-property/279328/76766DC06D436FB6AC18FF59FF97AB7C01FB1EE81E7327442F1FCBAA2DF962A9", "Open")</f>
        <v>Open</v>
      </c>
      <c r="J5240" t="s">
        <v>3803</v>
      </c>
      <c r="L5240">
        <v>4850000</v>
      </c>
      <c r="M5240">
        <v>485000</v>
      </c>
    </row>
    <row r="5241" spans="1:13" x14ac:dyDescent="0.25">
      <c r="A5241" t="s">
        <v>17338</v>
      </c>
      <c r="B5241" t="s">
        <v>17339</v>
      </c>
      <c r="C5241" t="s">
        <v>15</v>
      </c>
      <c r="D5241" t="s">
        <v>3968</v>
      </c>
      <c r="E5241" t="s">
        <v>15646</v>
      </c>
      <c r="F5241" t="s">
        <v>14001</v>
      </c>
      <c r="G5241" t="s">
        <v>17340</v>
      </c>
      <c r="H5241" t="str">
        <f>HYPERLINK("https://baanknet.com/view-property/243132/12927B83D209CFC9C012AE5C23EA0973A2D7D2DAA49BD9D23D101ED6D1F89DE7", "https://baanknet.com/view-property/243132/12927B83D209CFC9C012AE5C23EA0973A2D7D2DAA49BD9D23D101ED6D1F89DE7")</f>
        <v>https://baanknet.com/view-property/243132/12927B83D209CFC9C012AE5C23EA0973A2D7D2DAA49BD9D23D101ED6D1F89DE7</v>
      </c>
      <c r="I5241" t="str">
        <f>HYPERLINK("https://baanknet.com/view-property/243132/12927B83D209CFC9C012AE5C23EA0973A2D7D2DAA49BD9D23D101ED6D1F89DE7", "Open")</f>
        <v>Open</v>
      </c>
      <c r="J5241" t="s">
        <v>3803</v>
      </c>
      <c r="L5241">
        <v>1600000</v>
      </c>
      <c r="M5241">
        <v>160000</v>
      </c>
    </row>
    <row r="5242" spans="1:13" x14ac:dyDescent="0.25">
      <c r="A5242" t="s">
        <v>17341</v>
      </c>
      <c r="B5242" t="s">
        <v>17342</v>
      </c>
      <c r="C5242" t="s">
        <v>15</v>
      </c>
      <c r="D5242" t="s">
        <v>5036</v>
      </c>
      <c r="E5242" t="s">
        <v>15646</v>
      </c>
      <c r="F5242" t="s">
        <v>14001</v>
      </c>
      <c r="G5242" t="s">
        <v>17343</v>
      </c>
      <c r="H5242" t="str">
        <f>HYPERLINK("https://baanknet.com/view-property/264206/DFB56B4FC7C8050154A7320E7741A975FCF8C0465FA84EE9F18EF7EAB877B1D8", "https://baanknet.com/view-property/264206/DFB56B4FC7C8050154A7320E7741A975FCF8C0465FA84EE9F18EF7EAB877B1D8")</f>
        <v>https://baanknet.com/view-property/264206/DFB56B4FC7C8050154A7320E7741A975FCF8C0465FA84EE9F18EF7EAB877B1D8</v>
      </c>
      <c r="I5242" t="str">
        <f>HYPERLINK("https://baanknet.com/view-property/264206/DFB56B4FC7C8050154A7320E7741A975FCF8C0465FA84EE9F18EF7EAB877B1D8", "Open")</f>
        <v>Open</v>
      </c>
      <c r="J5242" t="s">
        <v>3803</v>
      </c>
      <c r="L5242">
        <v>6678000</v>
      </c>
      <c r="M5242">
        <v>667800</v>
      </c>
    </row>
    <row r="5243" spans="1:13" x14ac:dyDescent="0.25">
      <c r="A5243" t="s">
        <v>17344</v>
      </c>
      <c r="B5243" t="s">
        <v>17345</v>
      </c>
      <c r="C5243" t="s">
        <v>15</v>
      </c>
      <c r="D5243" t="s">
        <v>2384</v>
      </c>
      <c r="E5243" t="s">
        <v>15646</v>
      </c>
      <c r="F5243" t="s">
        <v>14001</v>
      </c>
      <c r="G5243" t="s">
        <v>17346</v>
      </c>
      <c r="H5243" t="str">
        <f>HYPERLINK("https://baanknet.com/view-property/192551/38D0FC702E87845A06815E22030EC4EE23B826DD26F1F7BA41CA79B87DFFBCD7", "https://baanknet.com/view-property/192551/38D0FC702E87845A06815E22030EC4EE23B826DD26F1F7BA41CA79B87DFFBCD7")</f>
        <v>https://baanknet.com/view-property/192551/38D0FC702E87845A06815E22030EC4EE23B826DD26F1F7BA41CA79B87DFFBCD7</v>
      </c>
      <c r="I5243" t="str">
        <f>HYPERLINK("https://baanknet.com/view-property/192551/38D0FC702E87845A06815E22030EC4EE23B826DD26F1F7BA41CA79B87DFFBCD7", "Open")</f>
        <v>Open</v>
      </c>
      <c r="J5243" t="s">
        <v>3803</v>
      </c>
      <c r="L5243">
        <v>1720000</v>
      </c>
      <c r="M5243">
        <v>172000</v>
      </c>
    </row>
    <row r="5244" spans="1:13" x14ac:dyDescent="0.25">
      <c r="A5244" t="s">
        <v>17347</v>
      </c>
      <c r="B5244" t="s">
        <v>17348</v>
      </c>
      <c r="C5244" t="s">
        <v>15</v>
      </c>
      <c r="D5244" t="s">
        <v>7509</v>
      </c>
      <c r="E5244" t="s">
        <v>15646</v>
      </c>
      <c r="F5244" t="s">
        <v>14001</v>
      </c>
      <c r="G5244" t="s">
        <v>17349</v>
      </c>
      <c r="H5244" t="str">
        <f>HYPERLINK("https://baanknet.com/view-property/244854/CF0BB0388D83E888C52D26FC640BA7D54493FD46E00BB7EF302ED5C527B2F400", "https://baanknet.com/view-property/244854/CF0BB0388D83E888C52D26FC640BA7D54493FD46E00BB7EF302ED5C527B2F400")</f>
        <v>https://baanknet.com/view-property/244854/CF0BB0388D83E888C52D26FC640BA7D54493FD46E00BB7EF302ED5C527B2F400</v>
      </c>
      <c r="I5244" t="str">
        <f>HYPERLINK("https://baanknet.com/view-property/244854/CF0BB0388D83E888C52D26FC640BA7D54493FD46E00BB7EF302ED5C527B2F400", "Open")</f>
        <v>Open</v>
      </c>
      <c r="J5244" t="s">
        <v>3803</v>
      </c>
      <c r="L5244">
        <v>7500000</v>
      </c>
      <c r="M5244">
        <v>750000</v>
      </c>
    </row>
    <row r="5245" spans="1:13" x14ac:dyDescent="0.25">
      <c r="A5245" t="s">
        <v>17350</v>
      </c>
      <c r="B5245" t="s">
        <v>17351</v>
      </c>
      <c r="C5245" t="s">
        <v>15</v>
      </c>
      <c r="D5245" t="s">
        <v>17352</v>
      </c>
      <c r="E5245" t="s">
        <v>15646</v>
      </c>
      <c r="F5245" t="s">
        <v>14001</v>
      </c>
      <c r="G5245" t="s">
        <v>17353</v>
      </c>
      <c r="H5245" t="str">
        <f>HYPERLINK("https://baanknet.com/view-property/192071/6B26796AA3F3F04EFC7FA3BF0916EC8F27B5C12E1B45874B6F9DA70EBBA662A3", "https://baanknet.com/view-property/192071/6B26796AA3F3F04EFC7FA3BF0916EC8F27B5C12E1B45874B6F9DA70EBBA662A3")</f>
        <v>https://baanknet.com/view-property/192071/6B26796AA3F3F04EFC7FA3BF0916EC8F27B5C12E1B45874B6F9DA70EBBA662A3</v>
      </c>
      <c r="I5245" t="str">
        <f>HYPERLINK("https://baanknet.com/view-property/192071/6B26796AA3F3F04EFC7FA3BF0916EC8F27B5C12E1B45874B6F9DA70EBBA662A3", "Open")</f>
        <v>Open</v>
      </c>
      <c r="J5245" t="s">
        <v>3803</v>
      </c>
      <c r="L5245">
        <v>2950000</v>
      </c>
      <c r="M5245">
        <v>295000</v>
      </c>
    </row>
    <row r="5246" spans="1:13" x14ac:dyDescent="0.25">
      <c r="A5246" t="s">
        <v>17354</v>
      </c>
      <c r="B5246" t="s">
        <v>17355</v>
      </c>
      <c r="C5246" t="s">
        <v>15</v>
      </c>
      <c r="D5246" t="s">
        <v>3285</v>
      </c>
      <c r="E5246" t="s">
        <v>15646</v>
      </c>
      <c r="F5246" t="s">
        <v>14001</v>
      </c>
      <c r="G5246" t="s">
        <v>17356</v>
      </c>
      <c r="H5246" t="str">
        <f>HYPERLINK("https://baanknet.com/view-property/280205/A2080F6545DCA0E4307AC0CE854E7A52E891456E25DF1575248F0693BEAE9133", "https://baanknet.com/view-property/280205/A2080F6545DCA0E4307AC0CE854E7A52E891456E25DF1575248F0693BEAE9133")</f>
        <v>https://baanknet.com/view-property/280205/A2080F6545DCA0E4307AC0CE854E7A52E891456E25DF1575248F0693BEAE9133</v>
      </c>
      <c r="I5246" t="str">
        <f>HYPERLINK("https://baanknet.com/view-property/280205/A2080F6545DCA0E4307AC0CE854E7A52E891456E25DF1575248F0693BEAE9133", "Open")</f>
        <v>Open</v>
      </c>
      <c r="J5246" t="s">
        <v>3803</v>
      </c>
      <c r="L5246">
        <v>1940000</v>
      </c>
      <c r="M5246">
        <v>194000</v>
      </c>
    </row>
    <row r="5247" spans="1:13" x14ac:dyDescent="0.25">
      <c r="A5247" t="s">
        <v>17357</v>
      </c>
      <c r="B5247" t="s">
        <v>17358</v>
      </c>
      <c r="C5247" t="s">
        <v>15</v>
      </c>
      <c r="D5247" t="s">
        <v>6627</v>
      </c>
      <c r="E5247" t="s">
        <v>15646</v>
      </c>
      <c r="F5247" t="s">
        <v>14001</v>
      </c>
      <c r="G5247" t="s">
        <v>17359</v>
      </c>
      <c r="H5247" t="str">
        <f>HYPERLINK("https://baanknet.com/view-property/241584/5774B04A6E1CB3BDE19F0BDE72A51BC3B7FD3B1DC243DB00349125FCA79A0E62", "https://baanknet.com/view-property/241584/5774B04A6E1CB3BDE19F0BDE72A51BC3B7FD3B1DC243DB00349125FCA79A0E62")</f>
        <v>https://baanknet.com/view-property/241584/5774B04A6E1CB3BDE19F0BDE72A51BC3B7FD3B1DC243DB00349125FCA79A0E62</v>
      </c>
      <c r="I5247" t="str">
        <f>HYPERLINK("https://baanknet.com/view-property/241584/5774B04A6E1CB3BDE19F0BDE72A51BC3B7FD3B1DC243DB00349125FCA79A0E62", "Open")</f>
        <v>Open</v>
      </c>
      <c r="J5247" t="s">
        <v>3803</v>
      </c>
      <c r="L5247">
        <v>9558000</v>
      </c>
      <c r="M5247">
        <v>955800</v>
      </c>
    </row>
    <row r="5248" spans="1:13" x14ac:dyDescent="0.25">
      <c r="A5248" t="s">
        <v>17360</v>
      </c>
      <c r="B5248" t="s">
        <v>17361</v>
      </c>
      <c r="C5248" t="s">
        <v>15</v>
      </c>
      <c r="D5248" t="s">
        <v>3968</v>
      </c>
      <c r="E5248" t="s">
        <v>15646</v>
      </c>
      <c r="F5248" t="s">
        <v>14001</v>
      </c>
      <c r="G5248" t="s">
        <v>17362</v>
      </c>
      <c r="H5248" t="str">
        <f>HYPERLINK("https://baanknet.com/view-property/240999/459EA73AF07662EB9769BB3009E46BC8E2555457FE01A29B6D7C48CF9E22C363", "https://baanknet.com/view-property/240999/459EA73AF07662EB9769BB3009E46BC8E2555457FE01A29B6D7C48CF9E22C363")</f>
        <v>https://baanknet.com/view-property/240999/459EA73AF07662EB9769BB3009E46BC8E2555457FE01A29B6D7C48CF9E22C363</v>
      </c>
      <c r="I5248" t="str">
        <f>HYPERLINK("https://baanknet.com/view-property/240999/459EA73AF07662EB9769BB3009E46BC8E2555457FE01A29B6D7C48CF9E22C363", "Open")</f>
        <v>Open</v>
      </c>
      <c r="J5248" t="s">
        <v>3803</v>
      </c>
      <c r="L5248">
        <v>7300000</v>
      </c>
      <c r="M5248">
        <v>730000</v>
      </c>
    </row>
    <row r="5249" spans="1:13" x14ac:dyDescent="0.25">
      <c r="A5249" t="s">
        <v>17363</v>
      </c>
      <c r="B5249" t="s">
        <v>17364</v>
      </c>
      <c r="C5249" t="s">
        <v>15</v>
      </c>
      <c r="D5249" t="s">
        <v>17365</v>
      </c>
      <c r="E5249" t="s">
        <v>15646</v>
      </c>
      <c r="F5249" t="s">
        <v>14001</v>
      </c>
      <c r="G5249" t="s">
        <v>17366</v>
      </c>
      <c r="H5249" t="str">
        <f>HYPERLINK("https://baanknet.com/view-property/244782/0F0551EC584E861BE66F314C008FA7FCFE945AAD7E5EB8DD9157EE14F746370E", "https://baanknet.com/view-property/244782/0F0551EC584E861BE66F314C008FA7FCFE945AAD7E5EB8DD9157EE14F746370E")</f>
        <v>https://baanknet.com/view-property/244782/0F0551EC584E861BE66F314C008FA7FCFE945AAD7E5EB8DD9157EE14F746370E</v>
      </c>
      <c r="I5249" t="str">
        <f>HYPERLINK("https://baanknet.com/view-property/244782/0F0551EC584E861BE66F314C008FA7FCFE945AAD7E5EB8DD9157EE14F746370E", "Open")</f>
        <v>Open</v>
      </c>
      <c r="J5249" t="s">
        <v>3803</v>
      </c>
      <c r="L5249">
        <v>2400000</v>
      </c>
      <c r="M5249">
        <v>240000</v>
      </c>
    </row>
    <row r="5250" spans="1:13" x14ac:dyDescent="0.25">
      <c r="A5250" t="s">
        <v>17367</v>
      </c>
      <c r="B5250" t="s">
        <v>17368</v>
      </c>
      <c r="C5250" t="s">
        <v>15</v>
      </c>
      <c r="D5250" t="s">
        <v>6627</v>
      </c>
      <c r="E5250" t="s">
        <v>15646</v>
      </c>
      <c r="F5250" t="s">
        <v>14001</v>
      </c>
      <c r="G5250" t="s">
        <v>17369</v>
      </c>
      <c r="H5250" t="str">
        <f>HYPERLINK("https://baanknet.com/view-property/270968/44EF37F1D8F57713BA24C5052B830B32EC2FA30F0B8E18A4147A7939E178F0B0", "https://baanknet.com/view-property/270968/44EF37F1D8F57713BA24C5052B830B32EC2FA30F0B8E18A4147A7939E178F0B0")</f>
        <v>https://baanknet.com/view-property/270968/44EF37F1D8F57713BA24C5052B830B32EC2FA30F0B8E18A4147A7939E178F0B0</v>
      </c>
      <c r="I5250" t="str">
        <f>HYPERLINK("https://baanknet.com/view-property/270968/44EF37F1D8F57713BA24C5052B830B32EC2FA30F0B8E18A4147A7939E178F0B0", "Open")</f>
        <v>Open</v>
      </c>
      <c r="J5250" t="s">
        <v>3803</v>
      </c>
      <c r="L5250">
        <v>31650000</v>
      </c>
      <c r="M5250">
        <v>3165000</v>
      </c>
    </row>
    <row r="5251" spans="1:13" x14ac:dyDescent="0.25">
      <c r="A5251" t="s">
        <v>17370</v>
      </c>
      <c r="B5251" t="s">
        <v>17371</v>
      </c>
      <c r="C5251" t="s">
        <v>15</v>
      </c>
      <c r="D5251" t="s">
        <v>8913</v>
      </c>
      <c r="E5251" t="s">
        <v>15646</v>
      </c>
      <c r="F5251" t="s">
        <v>14001</v>
      </c>
      <c r="G5251" t="s">
        <v>17372</v>
      </c>
      <c r="H5251" t="str">
        <f>HYPERLINK("https://baanknet.com/view-property/270998/A72E8E0905F0899C47CFB83BD326B00886DB23D4586C2BD232D6B801E50A799D", "https://baanknet.com/view-property/270998/A72E8E0905F0899C47CFB83BD326B00886DB23D4586C2BD232D6B801E50A799D")</f>
        <v>https://baanknet.com/view-property/270998/A72E8E0905F0899C47CFB83BD326B00886DB23D4586C2BD232D6B801E50A799D</v>
      </c>
      <c r="I5251" t="str">
        <f>HYPERLINK("https://baanknet.com/view-property/270998/A72E8E0905F0899C47CFB83BD326B00886DB23D4586C2BD232D6B801E50A799D", "Open")</f>
        <v>Open</v>
      </c>
      <c r="J5251" t="s">
        <v>3803</v>
      </c>
      <c r="L5251">
        <v>13300000</v>
      </c>
      <c r="M5251">
        <v>1330000</v>
      </c>
    </row>
    <row r="5252" spans="1:13" x14ac:dyDescent="0.25">
      <c r="A5252" t="s">
        <v>17373</v>
      </c>
      <c r="B5252" t="s">
        <v>17374</v>
      </c>
      <c r="C5252" t="s">
        <v>15</v>
      </c>
      <c r="D5252" t="s">
        <v>16899</v>
      </c>
      <c r="E5252" t="s">
        <v>15646</v>
      </c>
      <c r="F5252" t="s">
        <v>14001</v>
      </c>
      <c r="G5252" t="s">
        <v>17375</v>
      </c>
      <c r="H5252" t="str">
        <f>HYPERLINK("https://baanknet.com/view-property/252565/11040D573FC47568AE67EF2EAAB3B54BD20289D7094C2E3234F204C80077C62A", "https://baanknet.com/view-property/252565/11040D573FC47568AE67EF2EAAB3B54BD20289D7094C2E3234F204C80077C62A")</f>
        <v>https://baanknet.com/view-property/252565/11040D573FC47568AE67EF2EAAB3B54BD20289D7094C2E3234F204C80077C62A</v>
      </c>
      <c r="I5252" t="str">
        <f>HYPERLINK("https://baanknet.com/view-property/252565/11040D573FC47568AE67EF2EAAB3B54BD20289D7094C2E3234F204C80077C62A", "Open")</f>
        <v>Open</v>
      </c>
      <c r="J5252" t="s">
        <v>3803</v>
      </c>
      <c r="L5252">
        <v>400000</v>
      </c>
      <c r="M5252">
        <v>40000</v>
      </c>
    </row>
    <row r="5253" spans="1:13" x14ac:dyDescent="0.25">
      <c r="A5253" t="s">
        <v>17376</v>
      </c>
      <c r="B5253" t="s">
        <v>17377</v>
      </c>
      <c r="C5253" t="s">
        <v>15</v>
      </c>
      <c r="D5253" t="s">
        <v>5032</v>
      </c>
      <c r="E5253" t="s">
        <v>15646</v>
      </c>
      <c r="F5253" t="s">
        <v>14001</v>
      </c>
      <c r="G5253" t="s">
        <v>17378</v>
      </c>
      <c r="H5253" t="str">
        <f>HYPERLINK("https://baanknet.com/view-property/243108/0C9EA270ED69565E15AC959C85F47AE5FF18CDA7889EFEEF6F8C392C531B949C", "https://baanknet.com/view-property/243108/0C9EA270ED69565E15AC959C85F47AE5FF18CDA7889EFEEF6F8C392C531B949C")</f>
        <v>https://baanknet.com/view-property/243108/0C9EA270ED69565E15AC959C85F47AE5FF18CDA7889EFEEF6F8C392C531B949C</v>
      </c>
      <c r="I5253" t="str">
        <f>HYPERLINK("https://baanknet.com/view-property/243108/0C9EA270ED69565E15AC959C85F47AE5FF18CDA7889EFEEF6F8C392C531B949C", "Open")</f>
        <v>Open</v>
      </c>
      <c r="J5253" t="s">
        <v>3803</v>
      </c>
      <c r="L5253">
        <v>2375000</v>
      </c>
      <c r="M5253">
        <v>237500</v>
      </c>
    </row>
    <row r="5254" spans="1:13" x14ac:dyDescent="0.25">
      <c r="A5254" t="s">
        <v>17379</v>
      </c>
      <c r="B5254" t="s">
        <v>17380</v>
      </c>
      <c r="C5254" t="s">
        <v>15</v>
      </c>
      <c r="D5254" t="s">
        <v>102</v>
      </c>
      <c r="E5254" t="s">
        <v>15646</v>
      </c>
      <c r="F5254" t="s">
        <v>14001</v>
      </c>
      <c r="G5254" t="s">
        <v>17381</v>
      </c>
      <c r="H5254" t="str">
        <f>HYPERLINK("https://baanknet.com/view-property/243545/CC71FB514D47F270CAD1C774CAF712DDBC15DD5ED50D7DC6952E93CB20FE2D56", "https://baanknet.com/view-property/243545/CC71FB514D47F270CAD1C774CAF712DDBC15DD5ED50D7DC6952E93CB20FE2D56")</f>
        <v>https://baanknet.com/view-property/243545/CC71FB514D47F270CAD1C774CAF712DDBC15DD5ED50D7DC6952E93CB20FE2D56</v>
      </c>
      <c r="I5254" t="str">
        <f>HYPERLINK("https://baanknet.com/view-property/243545/CC71FB514D47F270CAD1C774CAF712DDBC15DD5ED50D7DC6952E93CB20FE2D56", "Open")</f>
        <v>Open</v>
      </c>
      <c r="J5254" t="s">
        <v>3803</v>
      </c>
      <c r="L5254">
        <v>1550000</v>
      </c>
      <c r="M5254">
        <v>155000</v>
      </c>
    </row>
    <row r="5255" spans="1:13" x14ac:dyDescent="0.25">
      <c r="A5255" t="s">
        <v>17382</v>
      </c>
      <c r="B5255" t="s">
        <v>17383</v>
      </c>
      <c r="C5255" t="s">
        <v>15</v>
      </c>
      <c r="D5255" t="s">
        <v>3285</v>
      </c>
      <c r="E5255" t="s">
        <v>15646</v>
      </c>
      <c r="F5255" t="s">
        <v>14001</v>
      </c>
      <c r="G5255" t="s">
        <v>17384</v>
      </c>
      <c r="H5255" t="str">
        <f>HYPERLINK("https://baanknet.com/view-property/272007/21179AF5AF4CEC013B361E144827319B3F18FC63099C9F9E08AEAD634BB06CCD", "https://baanknet.com/view-property/272007/21179AF5AF4CEC013B361E144827319B3F18FC63099C9F9E08AEAD634BB06CCD")</f>
        <v>https://baanknet.com/view-property/272007/21179AF5AF4CEC013B361E144827319B3F18FC63099C9F9E08AEAD634BB06CCD</v>
      </c>
      <c r="I5255" t="str">
        <f>HYPERLINK("https://baanknet.com/view-property/272007/21179AF5AF4CEC013B361E144827319B3F18FC63099C9F9E08AEAD634BB06CCD", "Open")</f>
        <v>Open</v>
      </c>
      <c r="J5255" t="s">
        <v>3803</v>
      </c>
      <c r="L5255">
        <v>2150000</v>
      </c>
      <c r="M5255">
        <v>215000</v>
      </c>
    </row>
    <row r="5256" spans="1:13" x14ac:dyDescent="0.25">
      <c r="A5256" t="s">
        <v>17385</v>
      </c>
      <c r="B5256" t="s">
        <v>17386</v>
      </c>
      <c r="C5256" t="s">
        <v>15</v>
      </c>
      <c r="D5256" t="s">
        <v>3285</v>
      </c>
      <c r="E5256" t="s">
        <v>15646</v>
      </c>
      <c r="F5256" t="s">
        <v>14001</v>
      </c>
      <c r="G5256" t="s">
        <v>17387</v>
      </c>
      <c r="H5256" t="str">
        <f>HYPERLINK("https://baanknet.com/view-property/243036/22402C377478F40137AA9D572B80CDF9B14D25B997FF28F0A64D351253F037AD", "https://baanknet.com/view-property/243036/22402C377478F40137AA9D572B80CDF9B14D25B997FF28F0A64D351253F037AD")</f>
        <v>https://baanknet.com/view-property/243036/22402C377478F40137AA9D572B80CDF9B14D25B997FF28F0A64D351253F037AD</v>
      </c>
      <c r="I5256" t="str">
        <f>HYPERLINK("https://baanknet.com/view-property/243036/22402C377478F40137AA9D572B80CDF9B14D25B997FF28F0A64D351253F037AD", "Open")</f>
        <v>Open</v>
      </c>
      <c r="J5256" t="s">
        <v>3803</v>
      </c>
      <c r="L5256">
        <v>2900000</v>
      </c>
      <c r="M5256">
        <v>290000</v>
      </c>
    </row>
    <row r="5257" spans="1:13" x14ac:dyDescent="0.25">
      <c r="A5257" t="s">
        <v>17388</v>
      </c>
      <c r="B5257" t="s">
        <v>17389</v>
      </c>
      <c r="C5257" t="s">
        <v>15</v>
      </c>
      <c r="D5257" t="s">
        <v>17390</v>
      </c>
      <c r="E5257" t="s">
        <v>15646</v>
      </c>
      <c r="F5257" t="s">
        <v>14001</v>
      </c>
      <c r="G5257" t="s">
        <v>17391</v>
      </c>
      <c r="H5257" t="str">
        <f>HYPERLINK("https://baanknet.com/view-property/243008/56B3FACFF6E0EBBCDC5CE9EA8AE873D5030CF25915C92E837F9F0432B083813F", "https://baanknet.com/view-property/243008/56B3FACFF6E0EBBCDC5CE9EA8AE873D5030CF25915C92E837F9F0432B083813F")</f>
        <v>https://baanknet.com/view-property/243008/56B3FACFF6E0EBBCDC5CE9EA8AE873D5030CF25915C92E837F9F0432B083813F</v>
      </c>
      <c r="I5257" t="str">
        <f>HYPERLINK("https://baanknet.com/view-property/243008/56B3FACFF6E0EBBCDC5CE9EA8AE873D5030CF25915C92E837F9F0432B083813F", "Open")</f>
        <v>Open</v>
      </c>
      <c r="J5257" t="s">
        <v>3803</v>
      </c>
      <c r="L5257">
        <v>3600000</v>
      </c>
      <c r="M5257">
        <v>360000</v>
      </c>
    </row>
    <row r="5258" spans="1:13" x14ac:dyDescent="0.25">
      <c r="A5258" t="s">
        <v>17392</v>
      </c>
      <c r="B5258" t="s">
        <v>17393</v>
      </c>
      <c r="C5258" t="s">
        <v>15</v>
      </c>
      <c r="D5258" t="s">
        <v>17394</v>
      </c>
      <c r="E5258" t="s">
        <v>15646</v>
      </c>
      <c r="F5258" t="s">
        <v>14001</v>
      </c>
      <c r="G5258" t="s">
        <v>17395</v>
      </c>
      <c r="H5258" t="str">
        <f>HYPERLINK("https://baanknet.com/view-property/280147/069E207E45F8671F398BF799CE48E817D7A44EE7AA8A98BB42971DE5928F7D0E", "https://baanknet.com/view-property/280147/069E207E45F8671F398BF799CE48E817D7A44EE7AA8A98BB42971DE5928F7D0E")</f>
        <v>https://baanknet.com/view-property/280147/069E207E45F8671F398BF799CE48E817D7A44EE7AA8A98BB42971DE5928F7D0E</v>
      </c>
      <c r="I5258" t="str">
        <f>HYPERLINK("https://baanknet.com/view-property/280147/069E207E45F8671F398BF799CE48E817D7A44EE7AA8A98BB42971DE5928F7D0E", "Open")</f>
        <v>Open</v>
      </c>
      <c r="J5258" t="s">
        <v>3803</v>
      </c>
      <c r="L5258">
        <v>310000</v>
      </c>
      <c r="M5258">
        <v>31000</v>
      </c>
    </row>
    <row r="5259" spans="1:13" x14ac:dyDescent="0.25">
      <c r="A5259" t="s">
        <v>17396</v>
      </c>
      <c r="B5259" t="s">
        <v>17397</v>
      </c>
      <c r="C5259" t="s">
        <v>15</v>
      </c>
      <c r="D5259" t="s">
        <v>5093</v>
      </c>
      <c r="E5259" t="s">
        <v>15646</v>
      </c>
      <c r="F5259" t="s">
        <v>14001</v>
      </c>
      <c r="G5259" t="s">
        <v>17398</v>
      </c>
      <c r="H5259" t="str">
        <f>HYPERLINK("https://baanknet.com/view-property/287357/EC77923E783481E5EF56D16A602CF75FB78F1BD36695808AB53C240733E8454D", "https://baanknet.com/view-property/287357/EC77923E783481E5EF56D16A602CF75FB78F1BD36695808AB53C240733E8454D")</f>
        <v>https://baanknet.com/view-property/287357/EC77923E783481E5EF56D16A602CF75FB78F1BD36695808AB53C240733E8454D</v>
      </c>
      <c r="I5259" t="str">
        <f>HYPERLINK("https://baanknet.com/view-property/287357/EC77923E783481E5EF56D16A602CF75FB78F1BD36695808AB53C240733E8454D", "Open")</f>
        <v>Open</v>
      </c>
      <c r="J5259" t="s">
        <v>3803</v>
      </c>
      <c r="L5259">
        <v>3046000</v>
      </c>
      <c r="M5259">
        <v>304600</v>
      </c>
    </row>
    <row r="5260" spans="1:13" x14ac:dyDescent="0.25">
      <c r="A5260" t="s">
        <v>17399</v>
      </c>
      <c r="B5260" t="s">
        <v>17400</v>
      </c>
      <c r="C5260" t="s">
        <v>15</v>
      </c>
      <c r="D5260" t="s">
        <v>1246</v>
      </c>
      <c r="E5260" t="s">
        <v>15646</v>
      </c>
      <c r="F5260" t="s">
        <v>14001</v>
      </c>
      <c r="G5260" t="s">
        <v>17401</v>
      </c>
      <c r="H5260" t="str">
        <f>HYPERLINK("https://baanknet.com/view-property/278315/863A46BB9690F50BD39EC508201A2710EA2427BCFFCB8FFBE2D8C7A0D56DC90E", "https://baanknet.com/view-property/278315/863A46BB9690F50BD39EC508201A2710EA2427BCFFCB8FFBE2D8C7A0D56DC90E")</f>
        <v>https://baanknet.com/view-property/278315/863A46BB9690F50BD39EC508201A2710EA2427BCFFCB8FFBE2D8C7A0D56DC90E</v>
      </c>
      <c r="I5260" t="str">
        <f>HYPERLINK("https://baanknet.com/view-property/278315/863A46BB9690F50BD39EC508201A2710EA2427BCFFCB8FFBE2D8C7A0D56DC90E", "Open")</f>
        <v>Open</v>
      </c>
      <c r="J5260" t="s">
        <v>3803</v>
      </c>
      <c r="L5260">
        <v>24820000</v>
      </c>
      <c r="M5260">
        <v>2482000</v>
      </c>
    </row>
    <row r="5261" spans="1:13" x14ac:dyDescent="0.25">
      <c r="A5261" t="s">
        <v>17402</v>
      </c>
      <c r="B5261" t="s">
        <v>17403</v>
      </c>
      <c r="C5261" t="s">
        <v>15</v>
      </c>
      <c r="D5261" t="s">
        <v>1246</v>
      </c>
      <c r="E5261" t="s">
        <v>15646</v>
      </c>
      <c r="F5261" t="s">
        <v>14001</v>
      </c>
      <c r="G5261" t="s">
        <v>17404</v>
      </c>
      <c r="H5261" t="str">
        <f>HYPERLINK("https://baanknet.com/view-property/278317/732D141BDAADC69289E604E98F8F66E8A25BBB8291BF1FABC9CF4E761FF5F8CA", "https://baanknet.com/view-property/278317/732D141BDAADC69289E604E98F8F66E8A25BBB8291BF1FABC9CF4E761FF5F8CA")</f>
        <v>https://baanknet.com/view-property/278317/732D141BDAADC69289E604E98F8F66E8A25BBB8291BF1FABC9CF4E761FF5F8CA</v>
      </c>
      <c r="I5261" t="str">
        <f>HYPERLINK("https://baanknet.com/view-property/278317/732D141BDAADC69289E604E98F8F66E8A25BBB8291BF1FABC9CF4E761FF5F8CA", "Open")</f>
        <v>Open</v>
      </c>
      <c r="J5261" t="s">
        <v>3803</v>
      </c>
      <c r="L5261">
        <v>11400000</v>
      </c>
      <c r="M5261">
        <v>1140000</v>
      </c>
    </row>
    <row r="5262" spans="1:13" x14ac:dyDescent="0.25">
      <c r="A5262" t="s">
        <v>17405</v>
      </c>
      <c r="B5262" t="s">
        <v>17406</v>
      </c>
      <c r="C5262" t="s">
        <v>15</v>
      </c>
      <c r="D5262" t="s">
        <v>1246</v>
      </c>
      <c r="E5262" t="s">
        <v>15646</v>
      </c>
      <c r="F5262" t="s">
        <v>14001</v>
      </c>
      <c r="G5262" t="s">
        <v>17407</v>
      </c>
      <c r="H5262" t="str">
        <f>HYPERLINK("https://baanknet.com/view-property/278318/D462355569F36E8C391FD78A3A761DBA968287C7DEA84BABBEA5B9B478FEDEA7", "https://baanknet.com/view-property/278318/D462355569F36E8C391FD78A3A761DBA968287C7DEA84BABBEA5B9B478FEDEA7")</f>
        <v>https://baanknet.com/view-property/278318/D462355569F36E8C391FD78A3A761DBA968287C7DEA84BABBEA5B9B478FEDEA7</v>
      </c>
      <c r="I5262" t="str">
        <f>HYPERLINK("https://baanknet.com/view-property/278318/D462355569F36E8C391FD78A3A761DBA968287C7DEA84BABBEA5B9B478FEDEA7", "Open")</f>
        <v>Open</v>
      </c>
      <c r="J5262" t="s">
        <v>3803</v>
      </c>
      <c r="L5262">
        <v>13472000</v>
      </c>
      <c r="M5262">
        <v>1347200</v>
      </c>
    </row>
    <row r="5263" spans="1:13" x14ac:dyDescent="0.25">
      <c r="A5263" t="s">
        <v>17408</v>
      </c>
      <c r="B5263" t="s">
        <v>17409</v>
      </c>
      <c r="C5263" t="s">
        <v>15</v>
      </c>
      <c r="D5263" t="s">
        <v>17410</v>
      </c>
      <c r="E5263" t="s">
        <v>15646</v>
      </c>
      <c r="F5263" t="s">
        <v>14001</v>
      </c>
      <c r="G5263" t="s">
        <v>17411</v>
      </c>
      <c r="H5263" t="str">
        <f>HYPERLINK("https://baanknet.com/view-property/278319/CEEB7F13A2608975B3F2E5171DA7A81DA29CAC8FDED2D489D93263F283335C67", "https://baanknet.com/view-property/278319/CEEB7F13A2608975B3F2E5171DA7A81DA29CAC8FDED2D489D93263F283335C67")</f>
        <v>https://baanknet.com/view-property/278319/CEEB7F13A2608975B3F2E5171DA7A81DA29CAC8FDED2D489D93263F283335C67</v>
      </c>
      <c r="I5263" t="str">
        <f>HYPERLINK("https://baanknet.com/view-property/278319/CEEB7F13A2608975B3F2E5171DA7A81DA29CAC8FDED2D489D93263F283335C67", "Open")</f>
        <v>Open</v>
      </c>
      <c r="J5263" t="s">
        <v>3803</v>
      </c>
      <c r="L5263">
        <v>8600000</v>
      </c>
      <c r="M5263">
        <v>860000</v>
      </c>
    </row>
    <row r="5264" spans="1:13" x14ac:dyDescent="0.25">
      <c r="A5264" t="s">
        <v>17412</v>
      </c>
      <c r="B5264" t="s">
        <v>17413</v>
      </c>
      <c r="C5264" t="s">
        <v>15</v>
      </c>
      <c r="D5264" t="s">
        <v>17414</v>
      </c>
      <c r="E5264" t="s">
        <v>15646</v>
      </c>
      <c r="F5264" t="s">
        <v>14001</v>
      </c>
      <c r="G5264" t="s">
        <v>17415</v>
      </c>
      <c r="H5264" t="str">
        <f>HYPERLINK("https://baanknet.com/view-property/278320/4845A6F7C999EDA78B4557162B59DC12A4C05617327AA61903D861B1D82AA695", "https://baanknet.com/view-property/278320/4845A6F7C999EDA78B4557162B59DC12A4C05617327AA61903D861B1D82AA695")</f>
        <v>https://baanknet.com/view-property/278320/4845A6F7C999EDA78B4557162B59DC12A4C05617327AA61903D861B1D82AA695</v>
      </c>
      <c r="I5264" t="str">
        <f>HYPERLINK("https://baanknet.com/view-property/278320/4845A6F7C999EDA78B4557162B59DC12A4C05617327AA61903D861B1D82AA695", "Open")</f>
        <v>Open</v>
      </c>
      <c r="J5264" t="s">
        <v>3803</v>
      </c>
      <c r="L5264">
        <v>6900000</v>
      </c>
      <c r="M5264">
        <v>690000</v>
      </c>
    </row>
    <row r="5265" spans="1:13" x14ac:dyDescent="0.25">
      <c r="A5265" t="s">
        <v>17416</v>
      </c>
      <c r="B5265" t="s">
        <v>17417</v>
      </c>
      <c r="C5265" t="s">
        <v>15</v>
      </c>
      <c r="D5265" t="s">
        <v>7106</v>
      </c>
      <c r="E5265" t="s">
        <v>15646</v>
      </c>
      <c r="F5265" t="s">
        <v>14001</v>
      </c>
      <c r="G5265" t="s">
        <v>17418</v>
      </c>
      <c r="H5265" t="str">
        <f>HYPERLINK("https://baanknet.com/view-property/273333/AC806589B4AB47350F07F9DC6F497A898D5656C5F1AB397509A6634EB7024C58", "https://baanknet.com/view-property/273333/AC806589B4AB47350F07F9DC6F497A898D5656C5F1AB397509A6634EB7024C58")</f>
        <v>https://baanknet.com/view-property/273333/AC806589B4AB47350F07F9DC6F497A898D5656C5F1AB397509A6634EB7024C58</v>
      </c>
      <c r="I5265" t="str">
        <f>HYPERLINK("https://baanknet.com/view-property/273333/AC806589B4AB47350F07F9DC6F497A898D5656C5F1AB397509A6634EB7024C58", "Open")</f>
        <v>Open</v>
      </c>
      <c r="J5265" t="s">
        <v>3803</v>
      </c>
      <c r="L5265">
        <v>2388000</v>
      </c>
      <c r="M5265">
        <v>238800</v>
      </c>
    </row>
    <row r="5266" spans="1:13" x14ac:dyDescent="0.25">
      <c r="A5266" t="s">
        <v>17419</v>
      </c>
      <c r="B5266" t="s">
        <v>17420</v>
      </c>
      <c r="C5266" t="s">
        <v>15</v>
      </c>
      <c r="D5266" t="s">
        <v>17421</v>
      </c>
      <c r="E5266" t="s">
        <v>15646</v>
      </c>
      <c r="F5266" t="s">
        <v>14001</v>
      </c>
      <c r="G5266" t="s">
        <v>17422</v>
      </c>
      <c r="H5266" t="str">
        <f>HYPERLINK("https://baanknet.com/view-property/247691/944EDC91830E1A91111E0F07D4DC962F6BE52E13FC7BB3465CF761C1FD595D87", "https://baanknet.com/view-property/247691/944EDC91830E1A91111E0F07D4DC962F6BE52E13FC7BB3465CF761C1FD595D87")</f>
        <v>https://baanknet.com/view-property/247691/944EDC91830E1A91111E0F07D4DC962F6BE52E13FC7BB3465CF761C1FD595D87</v>
      </c>
      <c r="I5266" t="str">
        <f>HYPERLINK("https://baanknet.com/view-property/247691/944EDC91830E1A91111E0F07D4DC962F6BE52E13FC7BB3465CF761C1FD595D87", "Open")</f>
        <v>Open</v>
      </c>
      <c r="J5266" t="s">
        <v>3803</v>
      </c>
      <c r="L5266">
        <v>474000</v>
      </c>
      <c r="M5266">
        <v>47400</v>
      </c>
    </row>
    <row r="5267" spans="1:13" x14ac:dyDescent="0.25">
      <c r="A5267" t="s">
        <v>17423</v>
      </c>
      <c r="B5267" t="s">
        <v>17424</v>
      </c>
      <c r="C5267" t="s">
        <v>15</v>
      </c>
      <c r="D5267" t="s">
        <v>17425</v>
      </c>
      <c r="E5267" t="s">
        <v>15646</v>
      </c>
      <c r="F5267" t="s">
        <v>14001</v>
      </c>
      <c r="G5267" t="s">
        <v>17426</v>
      </c>
      <c r="H5267" t="str">
        <f>HYPERLINK("https://baanknet.com/view-property/245536/50DE621EA629BEB1403024024F151BB9A3F352CF9D90F8E3901613DA48C43388", "https://baanknet.com/view-property/245536/50DE621EA629BEB1403024024F151BB9A3F352CF9D90F8E3901613DA48C43388")</f>
        <v>https://baanknet.com/view-property/245536/50DE621EA629BEB1403024024F151BB9A3F352CF9D90F8E3901613DA48C43388</v>
      </c>
      <c r="I5267" t="str">
        <f>HYPERLINK("https://baanknet.com/view-property/245536/50DE621EA629BEB1403024024F151BB9A3F352CF9D90F8E3901613DA48C43388", "Open")</f>
        <v>Open</v>
      </c>
      <c r="J5267" t="s">
        <v>3803</v>
      </c>
      <c r="L5267">
        <v>2127000</v>
      </c>
      <c r="M5267">
        <v>212700</v>
      </c>
    </row>
    <row r="5268" spans="1:13" x14ac:dyDescent="0.25">
      <c r="A5268" t="s">
        <v>17427</v>
      </c>
      <c r="B5268" t="s">
        <v>17428</v>
      </c>
      <c r="C5268" t="s">
        <v>15</v>
      </c>
      <c r="D5268" t="s">
        <v>13796</v>
      </c>
      <c r="E5268" t="s">
        <v>15646</v>
      </c>
      <c r="F5268" t="s">
        <v>14001</v>
      </c>
      <c r="G5268" t="s">
        <v>17429</v>
      </c>
      <c r="H5268" t="str">
        <f>HYPERLINK("https://baanknet.com/view-property/279922/D19C70628D4AA9B78DAA8964ED17E5B07A5D17BED5187F153FF3F7284423AC56", "https://baanknet.com/view-property/279922/D19C70628D4AA9B78DAA8964ED17E5B07A5D17BED5187F153FF3F7284423AC56")</f>
        <v>https://baanknet.com/view-property/279922/D19C70628D4AA9B78DAA8964ED17E5B07A5D17BED5187F153FF3F7284423AC56</v>
      </c>
      <c r="I5268" t="str">
        <f>HYPERLINK("https://baanknet.com/view-property/279922/D19C70628D4AA9B78DAA8964ED17E5B07A5D17BED5187F153FF3F7284423AC56", "Open")</f>
        <v>Open</v>
      </c>
      <c r="J5268" t="s">
        <v>3803</v>
      </c>
      <c r="L5268">
        <v>862000</v>
      </c>
      <c r="M5268">
        <v>86200</v>
      </c>
    </row>
    <row r="5269" spans="1:13" x14ac:dyDescent="0.25">
      <c r="A5269" t="s">
        <v>17430</v>
      </c>
      <c r="B5269" t="s">
        <v>17431</v>
      </c>
      <c r="C5269" t="s">
        <v>15</v>
      </c>
      <c r="D5269" t="s">
        <v>13796</v>
      </c>
      <c r="E5269" t="s">
        <v>15646</v>
      </c>
      <c r="F5269" t="s">
        <v>14001</v>
      </c>
      <c r="G5269" t="s">
        <v>17432</v>
      </c>
      <c r="H5269" t="str">
        <f>HYPERLINK("https://baanknet.com/view-property/266825/D97D6D9B8C966CCB570A4C2D82CEC35EB8829D0E1A463F61A8DCB540A9BB4896", "https://baanknet.com/view-property/266825/D97D6D9B8C966CCB570A4C2D82CEC35EB8829D0E1A463F61A8DCB540A9BB4896")</f>
        <v>https://baanknet.com/view-property/266825/D97D6D9B8C966CCB570A4C2D82CEC35EB8829D0E1A463F61A8DCB540A9BB4896</v>
      </c>
      <c r="I5269" t="str">
        <f>HYPERLINK("https://baanknet.com/view-property/266825/D97D6D9B8C966CCB570A4C2D82CEC35EB8829D0E1A463F61A8DCB540A9BB4896", "Open")</f>
        <v>Open</v>
      </c>
      <c r="J5269" t="s">
        <v>3803</v>
      </c>
      <c r="L5269">
        <v>1872000</v>
      </c>
      <c r="M5269">
        <v>187200</v>
      </c>
    </row>
    <row r="5270" spans="1:13" x14ac:dyDescent="0.25">
      <c r="A5270" t="s">
        <v>17433</v>
      </c>
      <c r="B5270" t="s">
        <v>17434</v>
      </c>
      <c r="C5270" t="s">
        <v>15</v>
      </c>
      <c r="D5270" t="s">
        <v>17435</v>
      </c>
      <c r="E5270" t="s">
        <v>15646</v>
      </c>
      <c r="F5270" t="s">
        <v>14001</v>
      </c>
      <c r="G5270" t="s">
        <v>17436</v>
      </c>
      <c r="H5270" t="str">
        <f>HYPERLINK("https://baanknet.com/view-property/248144/02BA0B71AA1882E8E29BD2FC738C8EE22039CE103C5D6FC655BA096A90ADFB8F", "https://baanknet.com/view-property/248144/02BA0B71AA1882E8E29BD2FC738C8EE22039CE103C5D6FC655BA096A90ADFB8F")</f>
        <v>https://baanknet.com/view-property/248144/02BA0B71AA1882E8E29BD2FC738C8EE22039CE103C5D6FC655BA096A90ADFB8F</v>
      </c>
      <c r="I5270" t="str">
        <f>HYPERLINK("https://baanknet.com/view-property/248144/02BA0B71AA1882E8E29BD2FC738C8EE22039CE103C5D6FC655BA096A90ADFB8F", "Open")</f>
        <v>Open</v>
      </c>
      <c r="J5270" t="s">
        <v>3803</v>
      </c>
      <c r="L5270">
        <v>2782000</v>
      </c>
      <c r="M5270">
        <v>278200</v>
      </c>
    </row>
    <row r="5271" spans="1:13" x14ac:dyDescent="0.25">
      <c r="A5271" t="s">
        <v>17437</v>
      </c>
      <c r="B5271" t="s">
        <v>17438</v>
      </c>
      <c r="C5271" t="s">
        <v>15</v>
      </c>
      <c r="D5271" t="s">
        <v>17439</v>
      </c>
      <c r="E5271" t="s">
        <v>15646</v>
      </c>
      <c r="F5271" t="s">
        <v>14001</v>
      </c>
      <c r="G5271" t="s">
        <v>17440</v>
      </c>
      <c r="H5271" t="str">
        <f>HYPERLINK("https://baanknet.com/view-property/264693/5A6BEE6DF63CBCA6DF062B91C34D72292CA1B06BA2F6785627DEC991A4B58CA6", "https://baanknet.com/view-property/264693/5A6BEE6DF63CBCA6DF062B91C34D72292CA1B06BA2F6785627DEC991A4B58CA6")</f>
        <v>https://baanknet.com/view-property/264693/5A6BEE6DF63CBCA6DF062B91C34D72292CA1B06BA2F6785627DEC991A4B58CA6</v>
      </c>
      <c r="I5271" t="str">
        <f>HYPERLINK("https://baanknet.com/view-property/264693/5A6BEE6DF63CBCA6DF062B91C34D72292CA1B06BA2F6785627DEC991A4B58CA6", "Open")</f>
        <v>Open</v>
      </c>
      <c r="J5271" t="s">
        <v>3803</v>
      </c>
      <c r="L5271">
        <v>9200000</v>
      </c>
      <c r="M5271">
        <v>920000</v>
      </c>
    </row>
    <row r="5272" spans="1:13" x14ac:dyDescent="0.25">
      <c r="A5272" t="s">
        <v>17441</v>
      </c>
      <c r="B5272" t="s">
        <v>17442</v>
      </c>
      <c r="C5272" t="s">
        <v>15</v>
      </c>
      <c r="D5272" t="s">
        <v>13560</v>
      </c>
      <c r="E5272" t="s">
        <v>15646</v>
      </c>
      <c r="F5272" t="s">
        <v>14001</v>
      </c>
      <c r="G5272" t="s">
        <v>17443</v>
      </c>
      <c r="H5272" t="str">
        <f>HYPERLINK("https://baanknet.com/view-property/264426/AFC2C986DBD2C778DC850EAD844A17BCED992812263B7DAD3A2321CC4B8A73A4", "https://baanknet.com/view-property/264426/AFC2C986DBD2C778DC850EAD844A17BCED992812263B7DAD3A2321CC4B8A73A4")</f>
        <v>https://baanknet.com/view-property/264426/AFC2C986DBD2C778DC850EAD844A17BCED992812263B7DAD3A2321CC4B8A73A4</v>
      </c>
      <c r="I5272" t="str">
        <f>HYPERLINK("https://baanknet.com/view-property/264426/AFC2C986DBD2C778DC850EAD844A17BCED992812263B7DAD3A2321CC4B8A73A4", "Open")</f>
        <v>Open</v>
      </c>
      <c r="J5272" t="s">
        <v>3803</v>
      </c>
      <c r="L5272">
        <v>4300000</v>
      </c>
      <c r="M5272">
        <v>430000</v>
      </c>
    </row>
    <row r="5273" spans="1:13" x14ac:dyDescent="0.25">
      <c r="A5273" t="s">
        <v>17444</v>
      </c>
      <c r="B5273" t="s">
        <v>17445</v>
      </c>
      <c r="C5273" t="s">
        <v>15</v>
      </c>
      <c r="D5273" t="s">
        <v>102</v>
      </c>
      <c r="E5273" t="s">
        <v>15646</v>
      </c>
      <c r="F5273" t="s">
        <v>14001</v>
      </c>
      <c r="G5273" t="s">
        <v>17446</v>
      </c>
      <c r="H5273" t="str">
        <f>HYPERLINK("https://baanknet.com/view-property/276290/19C18003BA19057C9B9DB3099FE4C24A254CB4BD83124262AEF21CF356523002", "https://baanknet.com/view-property/276290/19C18003BA19057C9B9DB3099FE4C24A254CB4BD83124262AEF21CF356523002")</f>
        <v>https://baanknet.com/view-property/276290/19C18003BA19057C9B9DB3099FE4C24A254CB4BD83124262AEF21CF356523002</v>
      </c>
      <c r="I5273" t="str">
        <f>HYPERLINK("https://baanknet.com/view-property/276290/19C18003BA19057C9B9DB3099FE4C24A254CB4BD83124262AEF21CF356523002", "Open")</f>
        <v>Open</v>
      </c>
      <c r="J5273" t="s">
        <v>3803</v>
      </c>
      <c r="L5273">
        <v>1800000</v>
      </c>
      <c r="M5273">
        <v>180000</v>
      </c>
    </row>
    <row r="5274" spans="1:13" x14ac:dyDescent="0.25">
      <c r="A5274" t="s">
        <v>17447</v>
      </c>
      <c r="B5274" t="s">
        <v>17448</v>
      </c>
      <c r="C5274" t="s">
        <v>15</v>
      </c>
      <c r="D5274" t="s">
        <v>4884</v>
      </c>
      <c r="E5274" t="s">
        <v>15646</v>
      </c>
      <c r="F5274" t="s">
        <v>14001</v>
      </c>
      <c r="G5274" t="s">
        <v>17449</v>
      </c>
      <c r="H5274" t="str">
        <f>HYPERLINK("https://baanknet.com/view-property/243116/69D55B3C6F973F4F4B4755AFA8E8AF55E1E5350962D7F45E48C6F1E38E1DE3CB", "https://baanknet.com/view-property/243116/69D55B3C6F973F4F4B4755AFA8E8AF55E1E5350962D7F45E48C6F1E38E1DE3CB")</f>
        <v>https://baanknet.com/view-property/243116/69D55B3C6F973F4F4B4755AFA8E8AF55E1E5350962D7F45E48C6F1E38E1DE3CB</v>
      </c>
      <c r="I5274" t="str">
        <f>HYPERLINK("https://baanknet.com/view-property/243116/69D55B3C6F973F4F4B4755AFA8E8AF55E1E5350962D7F45E48C6F1E38E1DE3CB", "Open")</f>
        <v>Open</v>
      </c>
      <c r="J5274" t="s">
        <v>3803</v>
      </c>
      <c r="L5274">
        <v>2200000</v>
      </c>
      <c r="M5274">
        <v>220000</v>
      </c>
    </row>
    <row r="5275" spans="1:13" x14ac:dyDescent="0.25">
      <c r="A5275" t="s">
        <v>17450</v>
      </c>
      <c r="B5275" t="s">
        <v>17451</v>
      </c>
      <c r="C5275" t="s">
        <v>15</v>
      </c>
      <c r="D5275" t="s">
        <v>4679</v>
      </c>
      <c r="E5275" t="s">
        <v>15646</v>
      </c>
      <c r="F5275" t="s">
        <v>14001</v>
      </c>
      <c r="G5275" t="s">
        <v>17452</v>
      </c>
      <c r="H5275" t="str">
        <f>HYPERLINK("https://baanknet.com/view-property/217984/F79196084856F3C05E44A72ADA7E08E135C588529362CEA08C6A10B8414C9720", "https://baanknet.com/view-property/217984/F79196084856F3C05E44A72ADA7E08E135C588529362CEA08C6A10B8414C9720")</f>
        <v>https://baanknet.com/view-property/217984/F79196084856F3C05E44A72ADA7E08E135C588529362CEA08C6A10B8414C9720</v>
      </c>
      <c r="I5275" t="str">
        <f>HYPERLINK("https://baanknet.com/view-property/217984/F79196084856F3C05E44A72ADA7E08E135C588529362CEA08C6A10B8414C9720", "Open")</f>
        <v>Open</v>
      </c>
      <c r="J5275" t="s">
        <v>3803</v>
      </c>
      <c r="L5275">
        <v>33300000</v>
      </c>
      <c r="M5275">
        <v>3330000</v>
      </c>
    </row>
    <row r="5276" spans="1:13" x14ac:dyDescent="0.25">
      <c r="A5276" t="s">
        <v>17453</v>
      </c>
      <c r="B5276" t="s">
        <v>17454</v>
      </c>
      <c r="C5276" t="s">
        <v>15</v>
      </c>
      <c r="D5276" t="s">
        <v>4679</v>
      </c>
      <c r="E5276" t="s">
        <v>15646</v>
      </c>
      <c r="F5276" t="s">
        <v>14001</v>
      </c>
      <c r="G5276" t="s">
        <v>17455</v>
      </c>
      <c r="H5276" t="str">
        <f>HYPERLINK("https://baanknet.com/view-property/202393/25BEAB1C4786D4A49E2F613C9C075FA2E71AA68E563C71CA97C26BD051BC36A9", "https://baanknet.com/view-property/202393/25BEAB1C4786D4A49E2F613C9C075FA2E71AA68E563C71CA97C26BD051BC36A9")</f>
        <v>https://baanknet.com/view-property/202393/25BEAB1C4786D4A49E2F613C9C075FA2E71AA68E563C71CA97C26BD051BC36A9</v>
      </c>
      <c r="I5276" t="str">
        <f>HYPERLINK("https://baanknet.com/view-property/202393/25BEAB1C4786D4A49E2F613C9C075FA2E71AA68E563C71CA97C26BD051BC36A9", "Open")</f>
        <v>Open</v>
      </c>
      <c r="J5276" t="s">
        <v>3803</v>
      </c>
      <c r="L5276">
        <v>4950000</v>
      </c>
      <c r="M5276">
        <v>495000</v>
      </c>
    </row>
    <row r="5277" spans="1:13" x14ac:dyDescent="0.25">
      <c r="A5277" t="s">
        <v>17456</v>
      </c>
      <c r="B5277" t="s">
        <v>17457</v>
      </c>
      <c r="C5277" t="s">
        <v>15</v>
      </c>
      <c r="D5277" t="s">
        <v>4679</v>
      </c>
      <c r="E5277" t="s">
        <v>15646</v>
      </c>
      <c r="F5277" t="s">
        <v>14001</v>
      </c>
      <c r="G5277" t="s">
        <v>17458</v>
      </c>
      <c r="H5277" t="str">
        <f>HYPERLINK("https://baanknet.com/view-property/287638/4D755E95B5F68B9D73404C0567B4452FA7DC72B011C3854C7CF5CADAA3F7299F", "https://baanknet.com/view-property/287638/4D755E95B5F68B9D73404C0567B4452FA7DC72B011C3854C7CF5CADAA3F7299F")</f>
        <v>https://baanknet.com/view-property/287638/4D755E95B5F68B9D73404C0567B4452FA7DC72B011C3854C7CF5CADAA3F7299F</v>
      </c>
      <c r="I5277" t="str">
        <f>HYPERLINK("https://baanknet.com/view-property/287638/4D755E95B5F68B9D73404C0567B4452FA7DC72B011C3854C7CF5CADAA3F7299F", "Open")</f>
        <v>Open</v>
      </c>
      <c r="J5277" t="s">
        <v>3803</v>
      </c>
      <c r="L5277">
        <v>9700000</v>
      </c>
      <c r="M5277">
        <v>970000</v>
      </c>
    </row>
    <row r="5278" spans="1:13" x14ac:dyDescent="0.25">
      <c r="A5278" t="s">
        <v>17459</v>
      </c>
      <c r="B5278" t="s">
        <v>17460</v>
      </c>
      <c r="C5278" t="s">
        <v>15</v>
      </c>
      <c r="D5278" t="s">
        <v>1246</v>
      </c>
      <c r="E5278" t="s">
        <v>15646</v>
      </c>
      <c r="F5278" t="s">
        <v>14001</v>
      </c>
      <c r="G5278" t="s">
        <v>17461</v>
      </c>
      <c r="H5278" t="str">
        <f>HYPERLINK("https://baanknet.com/view-property/265621/B31B94B6F0B8DB25D5800D630EEDC892465A8996C5DAEAC663C7B283AC75D51E", "https://baanknet.com/view-property/265621/B31B94B6F0B8DB25D5800D630EEDC892465A8996C5DAEAC663C7B283AC75D51E")</f>
        <v>https://baanknet.com/view-property/265621/B31B94B6F0B8DB25D5800D630EEDC892465A8996C5DAEAC663C7B283AC75D51E</v>
      </c>
      <c r="I5278" t="str">
        <f>HYPERLINK("https://baanknet.com/view-property/265621/B31B94B6F0B8DB25D5800D630EEDC892465A8996C5DAEAC663C7B283AC75D51E", "Open")</f>
        <v>Open</v>
      </c>
      <c r="J5278" t="s">
        <v>3803</v>
      </c>
      <c r="L5278">
        <v>2250000</v>
      </c>
      <c r="M5278">
        <v>225000</v>
      </c>
    </row>
    <row r="5279" spans="1:13" x14ac:dyDescent="0.25">
      <c r="A5279" t="s">
        <v>17462</v>
      </c>
      <c r="B5279" t="s">
        <v>17463</v>
      </c>
      <c r="C5279" t="s">
        <v>15</v>
      </c>
      <c r="D5279" t="s">
        <v>1246</v>
      </c>
      <c r="E5279" t="s">
        <v>15646</v>
      </c>
      <c r="F5279" t="s">
        <v>14001</v>
      </c>
      <c r="G5279" t="s">
        <v>17464</v>
      </c>
      <c r="H5279" t="str">
        <f>HYPERLINK("https://baanknet.com/view-property/265615/8CA4A486A939C9D3869A82174B4F524C86B83FC17BA7A8EB3564309027319A82", "https://baanknet.com/view-property/265615/8CA4A486A939C9D3869A82174B4F524C86B83FC17BA7A8EB3564309027319A82")</f>
        <v>https://baanknet.com/view-property/265615/8CA4A486A939C9D3869A82174B4F524C86B83FC17BA7A8EB3564309027319A82</v>
      </c>
      <c r="I5279" t="str">
        <f>HYPERLINK("https://baanknet.com/view-property/265615/8CA4A486A939C9D3869A82174B4F524C86B83FC17BA7A8EB3564309027319A82", "Open")</f>
        <v>Open</v>
      </c>
      <c r="J5279" t="s">
        <v>3803</v>
      </c>
      <c r="L5279">
        <v>3330000</v>
      </c>
      <c r="M5279">
        <v>333000</v>
      </c>
    </row>
    <row r="5280" spans="1:13" x14ac:dyDescent="0.25">
      <c r="A5280" t="s">
        <v>17465</v>
      </c>
      <c r="B5280" t="s">
        <v>17466</v>
      </c>
      <c r="C5280" t="s">
        <v>15</v>
      </c>
      <c r="D5280" t="s">
        <v>3285</v>
      </c>
      <c r="E5280" t="s">
        <v>15646</v>
      </c>
      <c r="F5280" t="s">
        <v>14001</v>
      </c>
      <c r="G5280" t="s">
        <v>17467</v>
      </c>
      <c r="H5280" t="str">
        <f>HYPERLINK("https://baanknet.com/view-property/286985/BAC5BE7C5AB3F9E0E61C26E4686178AC0DC6B90B1A4806330BE604DC51ABF037", "https://baanknet.com/view-property/286985/BAC5BE7C5AB3F9E0E61C26E4686178AC0DC6B90B1A4806330BE604DC51ABF037")</f>
        <v>https://baanknet.com/view-property/286985/BAC5BE7C5AB3F9E0E61C26E4686178AC0DC6B90B1A4806330BE604DC51ABF037</v>
      </c>
      <c r="I5280" t="str">
        <f>HYPERLINK("https://baanknet.com/view-property/286985/BAC5BE7C5AB3F9E0E61C26E4686178AC0DC6B90B1A4806330BE604DC51ABF037", "Open")</f>
        <v>Open</v>
      </c>
      <c r="J5280" t="s">
        <v>3803</v>
      </c>
      <c r="L5280">
        <v>630000</v>
      </c>
      <c r="M5280">
        <v>63000</v>
      </c>
    </row>
    <row r="5281" spans="1:13" x14ac:dyDescent="0.25">
      <c r="A5281" t="s">
        <v>17468</v>
      </c>
      <c r="B5281" t="s">
        <v>17469</v>
      </c>
      <c r="C5281" t="s">
        <v>15</v>
      </c>
      <c r="D5281" t="s">
        <v>4430</v>
      </c>
      <c r="E5281" t="s">
        <v>15646</v>
      </c>
      <c r="F5281" t="s">
        <v>14001</v>
      </c>
      <c r="G5281" t="s">
        <v>17470</v>
      </c>
      <c r="H5281" t="str">
        <f>HYPERLINK("https://baanknet.com/view-property/241703/89451D73BFADBD01E54D2A17E78672BE69EF56679EF78BC4B5C491A6F94EF6A6", "https://baanknet.com/view-property/241703/89451D73BFADBD01E54D2A17E78672BE69EF56679EF78BC4B5C491A6F94EF6A6")</f>
        <v>https://baanknet.com/view-property/241703/89451D73BFADBD01E54D2A17E78672BE69EF56679EF78BC4B5C491A6F94EF6A6</v>
      </c>
      <c r="I5281" t="str">
        <f>HYPERLINK("https://baanknet.com/view-property/241703/89451D73BFADBD01E54D2A17E78672BE69EF56679EF78BC4B5C491A6F94EF6A6", "Open")</f>
        <v>Open</v>
      </c>
      <c r="J5281" t="s">
        <v>3803</v>
      </c>
      <c r="L5281">
        <v>3400000</v>
      </c>
      <c r="M5281">
        <v>340000</v>
      </c>
    </row>
    <row r="5282" spans="1:13" x14ac:dyDescent="0.25">
      <c r="A5282" t="s">
        <v>17471</v>
      </c>
      <c r="B5282" t="s">
        <v>17472</v>
      </c>
      <c r="C5282" t="s">
        <v>15</v>
      </c>
      <c r="D5282" t="s">
        <v>2425</v>
      </c>
      <c r="E5282" t="s">
        <v>15646</v>
      </c>
      <c r="F5282" t="s">
        <v>14001</v>
      </c>
      <c r="G5282" t="s">
        <v>17473</v>
      </c>
      <c r="H5282" t="str">
        <f>HYPERLINK("https://baanknet.com/view-property/284160/0D826CBFB911DAF75A781AE6569892F34A2E100F50EA6E7BC7699F99838FD673", "https://baanknet.com/view-property/284160/0D826CBFB911DAF75A781AE6569892F34A2E100F50EA6E7BC7699F99838FD673")</f>
        <v>https://baanknet.com/view-property/284160/0D826CBFB911DAF75A781AE6569892F34A2E100F50EA6E7BC7699F99838FD673</v>
      </c>
      <c r="I5282" t="str">
        <f>HYPERLINK("https://baanknet.com/view-property/284160/0D826CBFB911DAF75A781AE6569892F34A2E100F50EA6E7BC7699F99838FD673", "Open")</f>
        <v>Open</v>
      </c>
      <c r="J5282" t="s">
        <v>3803</v>
      </c>
      <c r="L5282">
        <v>3700000</v>
      </c>
      <c r="M5282">
        <v>370000</v>
      </c>
    </row>
    <row r="5283" spans="1:13" x14ac:dyDescent="0.25">
      <c r="A5283" t="s">
        <v>17474</v>
      </c>
      <c r="B5283" t="s">
        <v>17475</v>
      </c>
      <c r="C5283" t="s">
        <v>15</v>
      </c>
      <c r="D5283" t="s">
        <v>2425</v>
      </c>
      <c r="E5283" t="s">
        <v>15646</v>
      </c>
      <c r="F5283" t="s">
        <v>14001</v>
      </c>
      <c r="G5283" t="s">
        <v>17476</v>
      </c>
      <c r="H5283" t="str">
        <f>HYPERLINK("https://baanknet.com/view-property/284165/C2F30DD8DAA3B6D6007FE75B9053ACF2C24043EBA635C07DC12B35F0338170B0", "https://baanknet.com/view-property/284165/C2F30DD8DAA3B6D6007FE75B9053ACF2C24043EBA635C07DC12B35F0338170B0")</f>
        <v>https://baanknet.com/view-property/284165/C2F30DD8DAA3B6D6007FE75B9053ACF2C24043EBA635C07DC12B35F0338170B0</v>
      </c>
      <c r="I5283" t="str">
        <f>HYPERLINK("https://baanknet.com/view-property/284165/C2F30DD8DAA3B6D6007FE75B9053ACF2C24043EBA635C07DC12B35F0338170B0", "Open")</f>
        <v>Open</v>
      </c>
      <c r="J5283" t="s">
        <v>3803</v>
      </c>
      <c r="L5283">
        <v>3700000</v>
      </c>
      <c r="M5283">
        <v>370000</v>
      </c>
    </row>
    <row r="5284" spans="1:13" x14ac:dyDescent="0.25">
      <c r="A5284" t="s">
        <v>17477</v>
      </c>
      <c r="B5284" t="s">
        <v>17478</v>
      </c>
      <c r="C5284" t="s">
        <v>15</v>
      </c>
      <c r="D5284" t="s">
        <v>7106</v>
      </c>
      <c r="E5284" t="s">
        <v>15646</v>
      </c>
      <c r="F5284" t="s">
        <v>17479</v>
      </c>
      <c r="G5284" t="s">
        <v>17480</v>
      </c>
      <c r="H5284" t="str">
        <f>HYPERLINK("https://baanknet.com/view-property/284081/871725D7AD4B560F62F7220B2726F33A3674227341D801CA96B549B00CE191B8", "https://baanknet.com/view-property/284081/871725D7AD4B560F62F7220B2726F33A3674227341D801CA96B549B00CE191B8")</f>
        <v>https://baanknet.com/view-property/284081/871725D7AD4B560F62F7220B2726F33A3674227341D801CA96B549B00CE191B8</v>
      </c>
      <c r="I5284" t="str">
        <f>HYPERLINK("https://baanknet.com/view-property/284081/871725D7AD4B560F62F7220B2726F33A3674227341D801CA96B549B00CE191B8", "Open")</f>
        <v>Open</v>
      </c>
      <c r="J5284" t="s">
        <v>3803</v>
      </c>
      <c r="L5284">
        <v>3500000</v>
      </c>
      <c r="M5284">
        <v>350000</v>
      </c>
    </row>
    <row r="5285" spans="1:13" x14ac:dyDescent="0.25">
      <c r="A5285" t="s">
        <v>17481</v>
      </c>
      <c r="B5285" t="s">
        <v>17482</v>
      </c>
      <c r="C5285" t="s">
        <v>15</v>
      </c>
      <c r="D5285" t="s">
        <v>7106</v>
      </c>
      <c r="E5285" t="s">
        <v>15646</v>
      </c>
      <c r="F5285" t="s">
        <v>17479</v>
      </c>
      <c r="G5285" t="s">
        <v>17483</v>
      </c>
      <c r="H5285" t="str">
        <f>HYPERLINK("https://baanknet.com/view-property/284080/CFCADFD96A1155C0FC5347A1F8C45F4C7EBA0AFD09848A8DEC98EBEB682E3987", "https://baanknet.com/view-property/284080/CFCADFD96A1155C0FC5347A1F8C45F4C7EBA0AFD09848A8DEC98EBEB682E3987")</f>
        <v>https://baanknet.com/view-property/284080/CFCADFD96A1155C0FC5347A1F8C45F4C7EBA0AFD09848A8DEC98EBEB682E3987</v>
      </c>
      <c r="I5285" t="str">
        <f>HYPERLINK("https://baanknet.com/view-property/284080/CFCADFD96A1155C0FC5347A1F8C45F4C7EBA0AFD09848A8DEC98EBEB682E3987", "Open")</f>
        <v>Open</v>
      </c>
      <c r="J5285" t="s">
        <v>3803</v>
      </c>
      <c r="L5285">
        <v>5000000</v>
      </c>
      <c r="M5285">
        <v>500000</v>
      </c>
    </row>
    <row r="5286" spans="1:13" x14ac:dyDescent="0.25">
      <c r="A5286" t="s">
        <v>17484</v>
      </c>
      <c r="B5286" t="s">
        <v>17485</v>
      </c>
      <c r="C5286" t="s">
        <v>15</v>
      </c>
      <c r="D5286" t="s">
        <v>7106</v>
      </c>
      <c r="E5286" t="s">
        <v>15646</v>
      </c>
      <c r="F5286" t="s">
        <v>17479</v>
      </c>
      <c r="G5286" t="s">
        <v>17486</v>
      </c>
      <c r="H5286" t="str">
        <f>HYPERLINK("https://baanknet.com/view-property/284082/82173795F2ADA22D919546592CD100FC67F2307F0BB45C92A632814B3E342CAE", "https://baanknet.com/view-property/284082/82173795F2ADA22D919546592CD100FC67F2307F0BB45C92A632814B3E342CAE")</f>
        <v>https://baanknet.com/view-property/284082/82173795F2ADA22D919546592CD100FC67F2307F0BB45C92A632814B3E342CAE</v>
      </c>
      <c r="I5286" t="str">
        <f>HYPERLINK("https://baanknet.com/view-property/284082/82173795F2ADA22D919546592CD100FC67F2307F0BB45C92A632814B3E342CAE", "Open")</f>
        <v>Open</v>
      </c>
      <c r="J5286" t="s">
        <v>3803</v>
      </c>
      <c r="L5286">
        <v>4000000</v>
      </c>
      <c r="M5286">
        <v>400000</v>
      </c>
    </row>
    <row r="5287" spans="1:13" x14ac:dyDescent="0.25">
      <c r="A5287" t="s">
        <v>17487</v>
      </c>
      <c r="B5287" t="s">
        <v>17488</v>
      </c>
      <c r="C5287" t="s">
        <v>15</v>
      </c>
      <c r="D5287" t="s">
        <v>13792</v>
      </c>
      <c r="E5287" t="s">
        <v>15646</v>
      </c>
      <c r="F5287" t="s">
        <v>17479</v>
      </c>
      <c r="G5287" t="s">
        <v>17489</v>
      </c>
      <c r="H5287" t="str">
        <f>HYPERLINK("https://baanknet.com/view-property/267231/AAE8D04F841A0FA1C0E821B248B26069CCDD31772327961C535DE909DA1C89AC", "https://baanknet.com/view-property/267231/AAE8D04F841A0FA1C0E821B248B26069CCDD31772327961C535DE909DA1C89AC")</f>
        <v>https://baanknet.com/view-property/267231/AAE8D04F841A0FA1C0E821B248B26069CCDD31772327961C535DE909DA1C89AC</v>
      </c>
      <c r="I5287" t="str">
        <f>HYPERLINK("https://baanknet.com/view-property/267231/AAE8D04F841A0FA1C0E821B248B26069CCDD31772327961C535DE909DA1C89AC", "Open")</f>
        <v>Open</v>
      </c>
      <c r="J5287" t="s">
        <v>3803</v>
      </c>
      <c r="L5287">
        <v>550000</v>
      </c>
      <c r="M5287">
        <v>55000</v>
      </c>
    </row>
    <row r="5288" spans="1:13" x14ac:dyDescent="0.25">
      <c r="A5288" t="s">
        <v>17490</v>
      </c>
      <c r="B5288" t="s">
        <v>17491</v>
      </c>
      <c r="C5288" t="s">
        <v>15</v>
      </c>
      <c r="D5288" t="s">
        <v>17425</v>
      </c>
      <c r="E5288" t="s">
        <v>15646</v>
      </c>
      <c r="F5288" t="s">
        <v>17479</v>
      </c>
      <c r="G5288" t="s">
        <v>17492</v>
      </c>
      <c r="H5288" t="str">
        <f>HYPERLINK("https://baanknet.com/view-property/284132/3C09ED0B2CCA66D382900D87B8078C6E72DA87C6A0A49FB4FB0A43E61F9F177F", "https://baanknet.com/view-property/284132/3C09ED0B2CCA66D382900D87B8078C6E72DA87C6A0A49FB4FB0A43E61F9F177F")</f>
        <v>https://baanknet.com/view-property/284132/3C09ED0B2CCA66D382900D87B8078C6E72DA87C6A0A49FB4FB0A43E61F9F177F</v>
      </c>
      <c r="I5288" t="str">
        <f>HYPERLINK("https://baanknet.com/view-property/284132/3C09ED0B2CCA66D382900D87B8078C6E72DA87C6A0A49FB4FB0A43E61F9F177F", "Open")</f>
        <v>Open</v>
      </c>
      <c r="J5288" t="s">
        <v>3803</v>
      </c>
      <c r="L5288">
        <v>5488000</v>
      </c>
      <c r="M5288">
        <v>548800</v>
      </c>
    </row>
    <row r="5289" spans="1:13" x14ac:dyDescent="0.25">
      <c r="A5289" t="s">
        <v>17493</v>
      </c>
      <c r="B5289" t="s">
        <v>17494</v>
      </c>
      <c r="C5289" t="s">
        <v>121</v>
      </c>
      <c r="D5289" t="s">
        <v>179</v>
      </c>
      <c r="E5289" t="s">
        <v>15646</v>
      </c>
      <c r="F5289" t="s">
        <v>17495</v>
      </c>
      <c r="G5289" t="s">
        <v>17496</v>
      </c>
      <c r="H5289" t="str">
        <f>HYPERLINK("https://baanknet.com/view-property/230445/35418AF3CE6F913991ACD0BD732B46ABBCA7FC7733102DB0B400047F1CE7D255", "https://baanknet.com/view-property/230445/35418AF3CE6F913991ACD0BD732B46ABBCA7FC7733102DB0B400047F1CE7D255")</f>
        <v>https://baanknet.com/view-property/230445/35418AF3CE6F913991ACD0BD732B46ABBCA7FC7733102DB0B400047F1CE7D255</v>
      </c>
      <c r="I5289" t="str">
        <f>HYPERLINK("https://baanknet.com/view-property/230445/35418AF3CE6F913991ACD0BD732B46ABBCA7FC7733102DB0B400047F1CE7D255", "Open")</f>
        <v>Open</v>
      </c>
      <c r="J5289" t="s">
        <v>3803</v>
      </c>
      <c r="L5289">
        <v>1417500</v>
      </c>
      <c r="M5289">
        <v>141750</v>
      </c>
    </row>
    <row r="5290" spans="1:13" x14ac:dyDescent="0.25">
      <c r="A5290" t="s">
        <v>17497</v>
      </c>
      <c r="B5290" t="s">
        <v>17498</v>
      </c>
      <c r="C5290" t="s">
        <v>121</v>
      </c>
      <c r="D5290" t="s">
        <v>266</v>
      </c>
      <c r="E5290" t="s">
        <v>15646</v>
      </c>
      <c r="F5290" t="s">
        <v>17495</v>
      </c>
      <c r="G5290" t="s">
        <v>17499</v>
      </c>
      <c r="H5290" t="str">
        <f>HYPERLINK("https://baanknet.com/view-property/180277/82D61E5A3910699983F1FCDA10A2F980B998E7063C5DAAF2978D97F951DABF11", "https://baanknet.com/view-property/180277/82D61E5A3910699983F1FCDA10A2F980B998E7063C5DAAF2978D97F951DABF11")</f>
        <v>https://baanknet.com/view-property/180277/82D61E5A3910699983F1FCDA10A2F980B998E7063C5DAAF2978D97F951DABF11</v>
      </c>
      <c r="I5290" t="str">
        <f>HYPERLINK("https://baanknet.com/view-property/180277/82D61E5A3910699983F1FCDA10A2F980B998E7063C5DAAF2978D97F951DABF11", "Open")</f>
        <v>Open</v>
      </c>
      <c r="J5290" t="s">
        <v>3803</v>
      </c>
      <c r="L5290">
        <v>800000</v>
      </c>
      <c r="M5290">
        <v>80000</v>
      </c>
    </row>
    <row r="5291" spans="1:13" x14ac:dyDescent="0.25">
      <c r="A5291" t="s">
        <v>17500</v>
      </c>
      <c r="B5291" t="s">
        <v>17501</v>
      </c>
      <c r="C5291" t="s">
        <v>121</v>
      </c>
      <c r="D5291" t="s">
        <v>17502</v>
      </c>
      <c r="E5291" t="s">
        <v>15646</v>
      </c>
      <c r="F5291" t="s">
        <v>17495</v>
      </c>
      <c r="G5291" t="s">
        <v>17503</v>
      </c>
      <c r="H5291" t="str">
        <f>HYPERLINK("https://baanknet.com/view-property/259661/078E5E35AE4AB34BB54E9C63D807A85B791B80948CDA66AD11C4E3FD31D7F5CC", "https://baanknet.com/view-property/259661/078E5E35AE4AB34BB54E9C63D807A85B791B80948CDA66AD11C4E3FD31D7F5CC")</f>
        <v>https://baanknet.com/view-property/259661/078E5E35AE4AB34BB54E9C63D807A85B791B80948CDA66AD11C4E3FD31D7F5CC</v>
      </c>
      <c r="I5291" t="str">
        <f>HYPERLINK("https://baanknet.com/view-property/259661/078E5E35AE4AB34BB54E9C63D807A85B791B80948CDA66AD11C4E3FD31D7F5CC", "Open")</f>
        <v>Open</v>
      </c>
      <c r="J5291" t="s">
        <v>3803</v>
      </c>
      <c r="L5291">
        <v>1255000</v>
      </c>
      <c r="M5291">
        <v>125500</v>
      </c>
    </row>
    <row r="5292" spans="1:13" x14ac:dyDescent="0.25">
      <c r="A5292" t="s">
        <v>17504</v>
      </c>
      <c r="B5292" t="s">
        <v>17505</v>
      </c>
      <c r="C5292" t="s">
        <v>15</v>
      </c>
      <c r="D5292" t="s">
        <v>4679</v>
      </c>
      <c r="E5292" t="s">
        <v>15646</v>
      </c>
      <c r="F5292" t="s">
        <v>17506</v>
      </c>
      <c r="G5292" t="s">
        <v>17507</v>
      </c>
      <c r="H5292" t="str">
        <f>HYPERLINK("https://baanknet.com/view-property/247211/05D38A73D6DCE92BB7DF9B1F34B090B1014B80DEFD05374ACEB8CA72E19C66D0", "https://baanknet.com/view-property/247211/05D38A73D6DCE92BB7DF9B1F34B090B1014B80DEFD05374ACEB8CA72E19C66D0")</f>
        <v>https://baanknet.com/view-property/247211/05D38A73D6DCE92BB7DF9B1F34B090B1014B80DEFD05374ACEB8CA72E19C66D0</v>
      </c>
      <c r="I5292" t="str">
        <f>HYPERLINK("https://baanknet.com/view-property/247211/05D38A73D6DCE92BB7DF9B1F34B090B1014B80DEFD05374ACEB8CA72E19C66D0", "Open")</f>
        <v>Open</v>
      </c>
      <c r="J5292" t="s">
        <v>3803</v>
      </c>
      <c r="L5292">
        <v>5031000</v>
      </c>
      <c r="M5292">
        <v>503100</v>
      </c>
    </row>
    <row r="5293" spans="1:13" x14ac:dyDescent="0.25">
      <c r="A5293" t="s">
        <v>17508</v>
      </c>
      <c r="B5293" t="s">
        <v>17509</v>
      </c>
      <c r="C5293" t="s">
        <v>15</v>
      </c>
      <c r="D5293" t="s">
        <v>653</v>
      </c>
      <c r="E5293" t="s">
        <v>15515</v>
      </c>
      <c r="F5293" t="s">
        <v>16310</v>
      </c>
      <c r="G5293" t="s">
        <v>17510</v>
      </c>
      <c r="H5293" t="str">
        <f>HYPERLINK("https://baanknet.com/view-property/279665/BC83B07767B27EC2812664FA973E4062AB75B505C2D61D8B33453F39AC0DF39B", "https://baanknet.com/view-property/279665/BC83B07767B27EC2812664FA973E4062AB75B505C2D61D8B33453F39AC0DF39B")</f>
        <v>https://baanknet.com/view-property/279665/BC83B07767B27EC2812664FA973E4062AB75B505C2D61D8B33453F39AC0DF39B</v>
      </c>
      <c r="I5293" t="str">
        <f>HYPERLINK("https://baanknet.com/view-property/279665/BC83B07767B27EC2812664FA973E4062AB75B505C2D61D8B33453F39AC0DF39B", "Open")</f>
        <v>Open</v>
      </c>
      <c r="J5293" t="s">
        <v>3803</v>
      </c>
      <c r="L5293">
        <v>2300000</v>
      </c>
      <c r="M5293">
        <v>230000</v>
      </c>
    </row>
    <row r="5294" spans="1:13" x14ac:dyDescent="0.25">
      <c r="A5294" t="s">
        <v>17511</v>
      </c>
      <c r="B5294" t="s">
        <v>17512</v>
      </c>
      <c r="C5294" t="s">
        <v>15</v>
      </c>
      <c r="D5294" t="s">
        <v>17513</v>
      </c>
      <c r="E5294" t="s">
        <v>15515</v>
      </c>
      <c r="F5294" t="s">
        <v>16310</v>
      </c>
      <c r="G5294" t="s">
        <v>17514</v>
      </c>
      <c r="H5294" t="str">
        <f>HYPERLINK("https://baanknet.com/view-property/250330/BA5116AE82A5454B5B6E40B3BC4A6FE5E6B6BF16D760B6FA9790C7ECA0D8DC09", "https://baanknet.com/view-property/250330/BA5116AE82A5454B5B6E40B3BC4A6FE5E6B6BF16D760B6FA9790C7ECA0D8DC09")</f>
        <v>https://baanknet.com/view-property/250330/BA5116AE82A5454B5B6E40B3BC4A6FE5E6B6BF16D760B6FA9790C7ECA0D8DC09</v>
      </c>
      <c r="I5294" t="str">
        <f>HYPERLINK("https://baanknet.com/view-property/250330/BA5116AE82A5454B5B6E40B3BC4A6FE5E6B6BF16D760B6FA9790C7ECA0D8DC09", "Open")</f>
        <v>Open</v>
      </c>
      <c r="J5294" t="s">
        <v>3803</v>
      </c>
      <c r="L5294">
        <v>3548000</v>
      </c>
      <c r="M5294">
        <v>354800</v>
      </c>
    </row>
    <row r="5295" spans="1:13" x14ac:dyDescent="0.25">
      <c r="A5295" t="s">
        <v>17515</v>
      </c>
      <c r="B5295" t="s">
        <v>17516</v>
      </c>
      <c r="C5295" t="s">
        <v>15</v>
      </c>
      <c r="D5295" t="s">
        <v>4806</v>
      </c>
      <c r="E5295" t="s">
        <v>15515</v>
      </c>
      <c r="F5295" t="s">
        <v>16310</v>
      </c>
      <c r="G5295" t="s">
        <v>17517</v>
      </c>
      <c r="H5295" t="str">
        <f>HYPERLINK("https://baanknet.com/view-property/241218/D573DD2E00F953EFAA07201B651BBD5BA81F8CE27DE80564C2018F7C8F3A7615", "https://baanknet.com/view-property/241218/D573DD2E00F953EFAA07201B651BBD5BA81F8CE27DE80564C2018F7C8F3A7615")</f>
        <v>https://baanknet.com/view-property/241218/D573DD2E00F953EFAA07201B651BBD5BA81F8CE27DE80564C2018F7C8F3A7615</v>
      </c>
      <c r="I5295" t="str">
        <f>HYPERLINK("https://baanknet.com/view-property/241218/D573DD2E00F953EFAA07201B651BBD5BA81F8CE27DE80564C2018F7C8F3A7615", "Open")</f>
        <v>Open</v>
      </c>
      <c r="J5295" t="s">
        <v>3803</v>
      </c>
      <c r="L5295">
        <v>5605000</v>
      </c>
      <c r="M5295">
        <v>560500</v>
      </c>
    </row>
    <row r="5296" spans="1:13" x14ac:dyDescent="0.25">
      <c r="A5296" t="s">
        <v>17518</v>
      </c>
      <c r="B5296" t="s">
        <v>17519</v>
      </c>
      <c r="C5296" t="s">
        <v>15</v>
      </c>
      <c r="D5296" t="s">
        <v>17520</v>
      </c>
      <c r="E5296" t="s">
        <v>15515</v>
      </c>
      <c r="F5296" t="s">
        <v>16310</v>
      </c>
      <c r="G5296" t="s">
        <v>17521</v>
      </c>
      <c r="H5296" t="str">
        <f>HYPERLINK("https://baanknet.com/view-property/276931/F56AEF5ECEE015AA361B60ED1CC77F098C7EAE4B0EB5F4200A9548845A49BB7E", "https://baanknet.com/view-property/276931/F56AEF5ECEE015AA361B60ED1CC77F098C7EAE4B0EB5F4200A9548845A49BB7E")</f>
        <v>https://baanknet.com/view-property/276931/F56AEF5ECEE015AA361B60ED1CC77F098C7EAE4B0EB5F4200A9548845A49BB7E</v>
      </c>
      <c r="I5296" t="str">
        <f>HYPERLINK("https://baanknet.com/view-property/276931/F56AEF5ECEE015AA361B60ED1CC77F098C7EAE4B0EB5F4200A9548845A49BB7E", "Open")</f>
        <v>Open</v>
      </c>
      <c r="J5296" t="s">
        <v>3803</v>
      </c>
      <c r="L5296">
        <v>12700000</v>
      </c>
      <c r="M5296">
        <v>1270000</v>
      </c>
    </row>
    <row r="5297" spans="1:13" x14ac:dyDescent="0.25">
      <c r="A5297" t="s">
        <v>17522</v>
      </c>
      <c r="B5297" t="s">
        <v>17523</v>
      </c>
      <c r="C5297" t="s">
        <v>15</v>
      </c>
      <c r="D5297" t="s">
        <v>17513</v>
      </c>
      <c r="E5297" t="s">
        <v>15515</v>
      </c>
      <c r="F5297" t="s">
        <v>16310</v>
      </c>
      <c r="G5297" t="s">
        <v>17524</v>
      </c>
      <c r="H5297" t="str">
        <f>HYPERLINK("https://baanknet.com/view-property/250335/4B3F6AAF161C120F2592522D02F27EFB06A4653CBABAAB88C2828A556B58F673", "https://baanknet.com/view-property/250335/4B3F6AAF161C120F2592522D02F27EFB06A4653CBABAAB88C2828A556B58F673")</f>
        <v>https://baanknet.com/view-property/250335/4B3F6AAF161C120F2592522D02F27EFB06A4653CBABAAB88C2828A556B58F673</v>
      </c>
      <c r="I5297" t="str">
        <f>HYPERLINK("https://baanknet.com/view-property/250335/4B3F6AAF161C120F2592522D02F27EFB06A4653CBABAAB88C2828A556B58F673", "Open")</f>
        <v>Open</v>
      </c>
      <c r="J5297" t="s">
        <v>3803</v>
      </c>
      <c r="L5297">
        <v>3968000</v>
      </c>
      <c r="M5297">
        <v>396800</v>
      </c>
    </row>
    <row r="5298" spans="1:13" x14ac:dyDescent="0.25">
      <c r="A5298" t="s">
        <v>17525</v>
      </c>
      <c r="B5298" t="s">
        <v>17526</v>
      </c>
      <c r="C5298" t="s">
        <v>15</v>
      </c>
      <c r="D5298" t="s">
        <v>1246</v>
      </c>
      <c r="E5298" t="s">
        <v>15515</v>
      </c>
      <c r="F5298" t="s">
        <v>16310</v>
      </c>
      <c r="G5298" t="s">
        <v>17527</v>
      </c>
      <c r="H5298" t="str">
        <f>HYPERLINK("https://baanknet.com/view-property/276773/DB6371E01179FAB40082A0BF76C3156550132E53D28F4579E0628C13EEE1ADE3", "https://baanknet.com/view-property/276773/DB6371E01179FAB40082A0BF76C3156550132E53D28F4579E0628C13EEE1ADE3")</f>
        <v>https://baanknet.com/view-property/276773/DB6371E01179FAB40082A0BF76C3156550132E53D28F4579E0628C13EEE1ADE3</v>
      </c>
      <c r="I5298" t="str">
        <f>HYPERLINK("https://baanknet.com/view-property/276773/DB6371E01179FAB40082A0BF76C3156550132E53D28F4579E0628C13EEE1ADE3", "Open")</f>
        <v>Open</v>
      </c>
      <c r="J5298" t="s">
        <v>3803</v>
      </c>
      <c r="L5298">
        <v>4500000</v>
      </c>
      <c r="M5298">
        <v>450000</v>
      </c>
    </row>
    <row r="5299" spans="1:13" x14ac:dyDescent="0.25">
      <c r="A5299" t="s">
        <v>17528</v>
      </c>
      <c r="B5299" t="s">
        <v>17529</v>
      </c>
      <c r="C5299" t="s">
        <v>15</v>
      </c>
      <c r="D5299" t="s">
        <v>17530</v>
      </c>
      <c r="E5299" t="s">
        <v>15515</v>
      </c>
      <c r="F5299" t="s">
        <v>16310</v>
      </c>
      <c r="G5299" t="s">
        <v>17531</v>
      </c>
      <c r="H5299" t="str">
        <f>HYPERLINK("https://baanknet.com/view-property/244717/7FEB5415CA26C2AF4AA00E34CCB2F1CBD6181B810A3BF8288C532F51A621ACD6", "https://baanknet.com/view-property/244717/7FEB5415CA26C2AF4AA00E34CCB2F1CBD6181B810A3BF8288C532F51A621ACD6")</f>
        <v>https://baanknet.com/view-property/244717/7FEB5415CA26C2AF4AA00E34CCB2F1CBD6181B810A3BF8288C532F51A621ACD6</v>
      </c>
      <c r="I5299" t="str">
        <f>HYPERLINK("https://baanknet.com/view-property/244717/7FEB5415CA26C2AF4AA00E34CCB2F1CBD6181B810A3BF8288C532F51A621ACD6", "Open")</f>
        <v>Open</v>
      </c>
      <c r="J5299" t="s">
        <v>3803</v>
      </c>
      <c r="L5299">
        <v>1825000</v>
      </c>
      <c r="M5299">
        <v>182500</v>
      </c>
    </row>
    <row r="5300" spans="1:13" x14ac:dyDescent="0.25">
      <c r="A5300" t="s">
        <v>17532</v>
      </c>
      <c r="B5300" t="s">
        <v>17533</v>
      </c>
      <c r="C5300" t="s">
        <v>15</v>
      </c>
      <c r="D5300" t="s">
        <v>960</v>
      </c>
      <c r="E5300" t="s">
        <v>15515</v>
      </c>
      <c r="F5300" t="s">
        <v>16310</v>
      </c>
      <c r="G5300" t="s">
        <v>17534</v>
      </c>
      <c r="H5300" t="str">
        <f>HYPERLINK("https://baanknet.com/view-property/282298/2E5D40F7F825FBA8129342F0AC7D999FB69F07E0E35C6CF0A436879BAA1A6569", "https://baanknet.com/view-property/282298/2E5D40F7F825FBA8129342F0AC7D999FB69F07E0E35C6CF0A436879BAA1A6569")</f>
        <v>https://baanknet.com/view-property/282298/2E5D40F7F825FBA8129342F0AC7D999FB69F07E0E35C6CF0A436879BAA1A6569</v>
      </c>
      <c r="I5300" t="str">
        <f>HYPERLINK("https://baanknet.com/view-property/282298/2E5D40F7F825FBA8129342F0AC7D999FB69F07E0E35C6CF0A436879BAA1A6569", "Open")</f>
        <v>Open</v>
      </c>
      <c r="J5300" t="s">
        <v>3803</v>
      </c>
      <c r="L5300">
        <v>4585000</v>
      </c>
      <c r="M5300">
        <v>458500</v>
      </c>
    </row>
    <row r="5301" spans="1:13" x14ac:dyDescent="0.25">
      <c r="A5301" t="s">
        <v>17535</v>
      </c>
      <c r="B5301" t="s">
        <v>17536</v>
      </c>
      <c r="C5301" t="s">
        <v>15</v>
      </c>
      <c r="D5301" t="s">
        <v>17537</v>
      </c>
      <c r="E5301" t="s">
        <v>15515</v>
      </c>
      <c r="F5301" t="s">
        <v>16310</v>
      </c>
      <c r="G5301" t="s">
        <v>17538</v>
      </c>
      <c r="H5301" t="str">
        <f>HYPERLINK("https://baanknet.com/view-property/255921/C46BE95E9780283B768A9327F20CF9D745DFABB8491104D55179AF990F10A589", "https://baanknet.com/view-property/255921/C46BE95E9780283B768A9327F20CF9D745DFABB8491104D55179AF990F10A589")</f>
        <v>https://baanknet.com/view-property/255921/C46BE95E9780283B768A9327F20CF9D745DFABB8491104D55179AF990F10A589</v>
      </c>
      <c r="I5301" t="str">
        <f>HYPERLINK("https://baanknet.com/view-property/255921/C46BE95E9780283B768A9327F20CF9D745DFABB8491104D55179AF990F10A589", "Open")</f>
        <v>Open</v>
      </c>
      <c r="J5301" t="s">
        <v>3803</v>
      </c>
      <c r="L5301">
        <v>988000</v>
      </c>
      <c r="M5301">
        <v>98800</v>
      </c>
    </row>
    <row r="5302" spans="1:13" x14ac:dyDescent="0.25">
      <c r="A5302" t="s">
        <v>17539</v>
      </c>
      <c r="B5302" t="s">
        <v>17540</v>
      </c>
      <c r="C5302" t="s">
        <v>15</v>
      </c>
      <c r="D5302" t="s">
        <v>17541</v>
      </c>
      <c r="E5302" t="s">
        <v>15515</v>
      </c>
      <c r="F5302" t="s">
        <v>16310</v>
      </c>
      <c r="G5302" t="s">
        <v>17542</v>
      </c>
      <c r="H5302" t="str">
        <f>HYPERLINK("https://baanknet.com/view-property/241511/9A8AA10A62A08FA0D80483CE3CFFE247FAB2FF3104A7D73F18B5026A44884C03", "https://baanknet.com/view-property/241511/9A8AA10A62A08FA0D80483CE3CFFE247FAB2FF3104A7D73F18B5026A44884C03")</f>
        <v>https://baanknet.com/view-property/241511/9A8AA10A62A08FA0D80483CE3CFFE247FAB2FF3104A7D73F18B5026A44884C03</v>
      </c>
      <c r="I5302" t="str">
        <f>HYPERLINK("https://baanknet.com/view-property/241511/9A8AA10A62A08FA0D80483CE3CFFE247FAB2FF3104A7D73F18B5026A44884C03", "Open")</f>
        <v>Open</v>
      </c>
      <c r="J5302" t="s">
        <v>3803</v>
      </c>
      <c r="L5302">
        <v>6900000</v>
      </c>
      <c r="M5302">
        <v>690000</v>
      </c>
    </row>
    <row r="5303" spans="1:13" x14ac:dyDescent="0.25">
      <c r="A5303" t="s">
        <v>17543</v>
      </c>
      <c r="B5303" t="s">
        <v>17544</v>
      </c>
      <c r="C5303" t="s">
        <v>15</v>
      </c>
      <c r="D5303" t="s">
        <v>960</v>
      </c>
      <c r="E5303" t="s">
        <v>15515</v>
      </c>
      <c r="F5303" t="s">
        <v>16310</v>
      </c>
      <c r="G5303" t="s">
        <v>17545</v>
      </c>
      <c r="H5303" t="str">
        <f>HYPERLINK("https://baanknet.com/view-property/249030/2EE68CC32DCB725FC12B28BF2A92EF87B9207A25AAB5065210848122AA691B48", "https://baanknet.com/view-property/249030/2EE68CC32DCB725FC12B28BF2A92EF87B9207A25AAB5065210848122AA691B48")</f>
        <v>https://baanknet.com/view-property/249030/2EE68CC32DCB725FC12B28BF2A92EF87B9207A25AAB5065210848122AA691B48</v>
      </c>
      <c r="I5303" t="str">
        <f>HYPERLINK("https://baanknet.com/view-property/249030/2EE68CC32DCB725FC12B28BF2A92EF87B9207A25AAB5065210848122AA691B48", "Open")</f>
        <v>Open</v>
      </c>
      <c r="J5303" t="s">
        <v>3803</v>
      </c>
      <c r="L5303">
        <v>3101750</v>
      </c>
      <c r="M5303">
        <v>310175</v>
      </c>
    </row>
    <row r="5304" spans="1:13" x14ac:dyDescent="0.25">
      <c r="A5304" t="s">
        <v>17546</v>
      </c>
      <c r="B5304" t="s">
        <v>17547</v>
      </c>
      <c r="C5304" t="s">
        <v>15</v>
      </c>
      <c r="D5304" t="s">
        <v>960</v>
      </c>
      <c r="E5304" t="s">
        <v>15515</v>
      </c>
      <c r="F5304" t="s">
        <v>16310</v>
      </c>
      <c r="G5304" t="s">
        <v>17548</v>
      </c>
      <c r="H5304" t="str">
        <f>HYPERLINK("https://baanknet.com/view-property/229516/F519442467C79059A2CCE8007532843F9FA307F9D5AC1D5B4E9AFBF2EF32FF8D", "https://baanknet.com/view-property/229516/F519442467C79059A2CCE8007532843F9FA307F9D5AC1D5B4E9AFBF2EF32FF8D")</f>
        <v>https://baanknet.com/view-property/229516/F519442467C79059A2CCE8007532843F9FA307F9D5AC1D5B4E9AFBF2EF32FF8D</v>
      </c>
      <c r="I5304" t="str">
        <f>HYPERLINK("https://baanknet.com/view-property/229516/F519442467C79059A2CCE8007532843F9FA307F9D5AC1D5B4E9AFBF2EF32FF8D", "Open")</f>
        <v>Open</v>
      </c>
      <c r="J5304" t="s">
        <v>3803</v>
      </c>
      <c r="L5304">
        <v>2798700</v>
      </c>
      <c r="M5304">
        <v>279870</v>
      </c>
    </row>
    <row r="5305" spans="1:13" x14ac:dyDescent="0.25">
      <c r="A5305" t="s">
        <v>17549</v>
      </c>
      <c r="B5305" t="s">
        <v>17550</v>
      </c>
      <c r="C5305" t="s">
        <v>15</v>
      </c>
      <c r="D5305" t="s">
        <v>960</v>
      </c>
      <c r="E5305" t="s">
        <v>15515</v>
      </c>
      <c r="F5305" t="s">
        <v>16310</v>
      </c>
      <c r="G5305" t="s">
        <v>17551</v>
      </c>
      <c r="H5305" t="str">
        <f>HYPERLINK("https://baanknet.com/view-property/279280/D601E25242FDF8B6202B4B7F8DF6F37B25272B44DEBB58857F450570037117DB", "https://baanknet.com/view-property/279280/D601E25242FDF8B6202B4B7F8DF6F37B25272B44DEBB58857F450570037117DB")</f>
        <v>https://baanknet.com/view-property/279280/D601E25242FDF8B6202B4B7F8DF6F37B25272B44DEBB58857F450570037117DB</v>
      </c>
      <c r="I5305" t="str">
        <f>HYPERLINK("https://baanknet.com/view-property/279280/D601E25242FDF8B6202B4B7F8DF6F37B25272B44DEBB58857F450570037117DB", "Open")</f>
        <v>Open</v>
      </c>
      <c r="J5305" t="s">
        <v>3803</v>
      </c>
      <c r="L5305">
        <v>643000</v>
      </c>
      <c r="M5305">
        <v>64300</v>
      </c>
    </row>
    <row r="5306" spans="1:13" x14ac:dyDescent="0.25">
      <c r="A5306" t="s">
        <v>17552</v>
      </c>
      <c r="B5306" t="s">
        <v>17553</v>
      </c>
      <c r="C5306" t="s">
        <v>15</v>
      </c>
      <c r="D5306" t="s">
        <v>960</v>
      </c>
      <c r="E5306" t="s">
        <v>15515</v>
      </c>
      <c r="F5306" t="s">
        <v>16310</v>
      </c>
      <c r="G5306" t="s">
        <v>17554</v>
      </c>
      <c r="H5306" t="str">
        <f>HYPERLINK("https://baanknet.com/view-property/263549/35E182BE5C5F807B9204DA56A7539FCF91E8CCEAAD47E4069837F6196319F2F7", "https://baanknet.com/view-property/263549/35E182BE5C5F807B9204DA56A7539FCF91E8CCEAAD47E4069837F6196319F2F7")</f>
        <v>https://baanknet.com/view-property/263549/35E182BE5C5F807B9204DA56A7539FCF91E8CCEAAD47E4069837F6196319F2F7</v>
      </c>
      <c r="I5306" t="str">
        <f>HYPERLINK("https://baanknet.com/view-property/263549/35E182BE5C5F807B9204DA56A7539FCF91E8CCEAAD47E4069837F6196319F2F7", "Open")</f>
        <v>Open</v>
      </c>
      <c r="J5306" t="s">
        <v>3803</v>
      </c>
      <c r="L5306">
        <v>1457000</v>
      </c>
      <c r="M5306">
        <v>145700</v>
      </c>
    </row>
    <row r="5307" spans="1:13" x14ac:dyDescent="0.25">
      <c r="A5307" t="s">
        <v>17555</v>
      </c>
      <c r="B5307" t="s">
        <v>17556</v>
      </c>
      <c r="C5307" t="s">
        <v>15</v>
      </c>
      <c r="D5307" t="s">
        <v>9851</v>
      </c>
      <c r="E5307" t="s">
        <v>15515</v>
      </c>
      <c r="F5307" t="s">
        <v>16310</v>
      </c>
      <c r="G5307" t="s">
        <v>17557</v>
      </c>
      <c r="H5307" t="str">
        <f>HYPERLINK("https://baanknet.com/view-property/259823/D14E589E21A21F559DF6E5BCBE9A4F2E1E9B816E3236FAA7C934A23D8EF166E4", "https://baanknet.com/view-property/259823/D14E589E21A21F559DF6E5BCBE9A4F2E1E9B816E3236FAA7C934A23D8EF166E4")</f>
        <v>https://baanknet.com/view-property/259823/D14E589E21A21F559DF6E5BCBE9A4F2E1E9B816E3236FAA7C934A23D8EF166E4</v>
      </c>
      <c r="I5307" t="str">
        <f>HYPERLINK("https://baanknet.com/view-property/259823/D14E589E21A21F559DF6E5BCBE9A4F2E1E9B816E3236FAA7C934A23D8EF166E4", "Open")</f>
        <v>Open</v>
      </c>
      <c r="J5307" t="s">
        <v>3803</v>
      </c>
      <c r="L5307">
        <v>2130000</v>
      </c>
      <c r="M5307">
        <v>213000</v>
      </c>
    </row>
    <row r="5308" spans="1:13" x14ac:dyDescent="0.25">
      <c r="A5308" t="s">
        <v>17558</v>
      </c>
      <c r="B5308" t="s">
        <v>17559</v>
      </c>
      <c r="C5308" t="s">
        <v>15</v>
      </c>
      <c r="D5308" t="s">
        <v>8975</v>
      </c>
      <c r="E5308" t="s">
        <v>15515</v>
      </c>
      <c r="F5308" t="s">
        <v>16310</v>
      </c>
      <c r="G5308" t="s">
        <v>17560</v>
      </c>
      <c r="H5308" t="str">
        <f>HYPERLINK("https://baanknet.com/view-property/275581/50AE5860769921B794E4FCA40A4A66EB90337DED554581F36363FE8363C2D9AE", "https://baanknet.com/view-property/275581/50AE5860769921B794E4FCA40A4A66EB90337DED554581F36363FE8363C2D9AE")</f>
        <v>https://baanknet.com/view-property/275581/50AE5860769921B794E4FCA40A4A66EB90337DED554581F36363FE8363C2D9AE</v>
      </c>
      <c r="I5308" t="str">
        <f>HYPERLINK("https://baanknet.com/view-property/275581/50AE5860769921B794E4FCA40A4A66EB90337DED554581F36363FE8363C2D9AE", "Open")</f>
        <v>Open</v>
      </c>
      <c r="J5308" t="s">
        <v>3803</v>
      </c>
      <c r="L5308">
        <v>1030000</v>
      </c>
      <c r="M5308">
        <v>103000</v>
      </c>
    </row>
    <row r="5309" spans="1:13" x14ac:dyDescent="0.25">
      <c r="A5309" t="s">
        <v>17561</v>
      </c>
      <c r="B5309" t="s">
        <v>17562</v>
      </c>
      <c r="C5309" t="s">
        <v>15</v>
      </c>
      <c r="D5309" t="s">
        <v>9851</v>
      </c>
      <c r="E5309" t="s">
        <v>15515</v>
      </c>
      <c r="F5309" t="s">
        <v>16310</v>
      </c>
      <c r="G5309" t="s">
        <v>17563</v>
      </c>
      <c r="H5309" t="str">
        <f>HYPERLINK("https://baanknet.com/view-property/202935/1424199061577AD8399FCE43DB78AA62AB001712AD562664C7403B9EAB4182CA", "https://baanknet.com/view-property/202935/1424199061577AD8399FCE43DB78AA62AB001712AD562664C7403B9EAB4182CA")</f>
        <v>https://baanknet.com/view-property/202935/1424199061577AD8399FCE43DB78AA62AB001712AD562664C7403B9EAB4182CA</v>
      </c>
      <c r="I5309" t="str">
        <f>HYPERLINK("https://baanknet.com/view-property/202935/1424199061577AD8399FCE43DB78AA62AB001712AD562664C7403B9EAB4182CA", "Open")</f>
        <v>Open</v>
      </c>
      <c r="J5309" t="s">
        <v>3803</v>
      </c>
      <c r="L5309">
        <v>498000</v>
      </c>
      <c r="M5309">
        <v>49800</v>
      </c>
    </row>
    <row r="5310" spans="1:13" x14ac:dyDescent="0.25">
      <c r="A5310" t="s">
        <v>17564</v>
      </c>
      <c r="B5310" t="s">
        <v>17565</v>
      </c>
      <c r="C5310" t="s">
        <v>15</v>
      </c>
      <c r="D5310" t="s">
        <v>960</v>
      </c>
      <c r="E5310" t="s">
        <v>15515</v>
      </c>
      <c r="F5310" t="s">
        <v>16310</v>
      </c>
      <c r="G5310" t="s">
        <v>17566</v>
      </c>
      <c r="H5310" t="str">
        <f>HYPERLINK("https://baanknet.com/view-property/200755/7C092B1E695F3D9690811CAE05BBB6A5EAB69C576282C3D3A4B1DA5C40C86080", "https://baanknet.com/view-property/200755/7C092B1E695F3D9690811CAE05BBB6A5EAB69C576282C3D3A4B1DA5C40C86080")</f>
        <v>https://baanknet.com/view-property/200755/7C092B1E695F3D9690811CAE05BBB6A5EAB69C576282C3D3A4B1DA5C40C86080</v>
      </c>
      <c r="I5310" t="str">
        <f>HYPERLINK("https://baanknet.com/view-property/200755/7C092B1E695F3D9690811CAE05BBB6A5EAB69C576282C3D3A4B1DA5C40C86080", "Open")</f>
        <v>Open</v>
      </c>
      <c r="J5310" t="s">
        <v>3803</v>
      </c>
      <c r="L5310">
        <v>3292700</v>
      </c>
      <c r="M5310">
        <v>329270</v>
      </c>
    </row>
    <row r="5311" spans="1:13" x14ac:dyDescent="0.25">
      <c r="A5311" t="s">
        <v>17567</v>
      </c>
      <c r="B5311" t="s">
        <v>17568</v>
      </c>
      <c r="C5311" t="s">
        <v>15</v>
      </c>
      <c r="D5311" t="s">
        <v>17569</v>
      </c>
      <c r="E5311" t="s">
        <v>15515</v>
      </c>
      <c r="F5311" t="s">
        <v>16310</v>
      </c>
      <c r="G5311" t="s">
        <v>17570</v>
      </c>
      <c r="H5311" t="str">
        <f>HYPERLINK("https://baanknet.com/view-property/246743/F38930B0B6B20B9A688F9E43CBEC84A1E7EC3C8E98A19B8766E7DE04E242AB8C", "https://baanknet.com/view-property/246743/F38930B0B6B20B9A688F9E43CBEC84A1E7EC3C8E98A19B8766E7DE04E242AB8C")</f>
        <v>https://baanknet.com/view-property/246743/F38930B0B6B20B9A688F9E43CBEC84A1E7EC3C8E98A19B8766E7DE04E242AB8C</v>
      </c>
      <c r="I5311" t="str">
        <f>HYPERLINK("https://baanknet.com/view-property/246743/F38930B0B6B20B9A688F9E43CBEC84A1E7EC3C8E98A19B8766E7DE04E242AB8C", "Open")</f>
        <v>Open</v>
      </c>
      <c r="J5311" t="s">
        <v>3803</v>
      </c>
      <c r="L5311">
        <v>688000</v>
      </c>
      <c r="M5311">
        <v>68800</v>
      </c>
    </row>
    <row r="5312" spans="1:13" x14ac:dyDescent="0.25">
      <c r="A5312" t="s">
        <v>17571</v>
      </c>
      <c r="B5312" t="s">
        <v>17572</v>
      </c>
      <c r="C5312" t="s">
        <v>15</v>
      </c>
      <c r="D5312" t="s">
        <v>6992</v>
      </c>
      <c r="E5312" t="s">
        <v>15515</v>
      </c>
      <c r="F5312" t="s">
        <v>16310</v>
      </c>
      <c r="G5312" t="s">
        <v>17573</v>
      </c>
      <c r="H5312" t="str">
        <f>HYPERLINK("https://baanknet.com/view-property/268658/469F972F38EC655250F11F47A779F83AF0E0B7B61CAE37078D5BD311AFEC371B", "https://baanknet.com/view-property/268658/469F972F38EC655250F11F47A779F83AF0E0B7B61CAE37078D5BD311AFEC371B")</f>
        <v>https://baanknet.com/view-property/268658/469F972F38EC655250F11F47A779F83AF0E0B7B61CAE37078D5BD311AFEC371B</v>
      </c>
      <c r="I5312" t="str">
        <f>HYPERLINK("https://baanknet.com/view-property/268658/469F972F38EC655250F11F47A779F83AF0E0B7B61CAE37078D5BD311AFEC371B", "Open")</f>
        <v>Open</v>
      </c>
      <c r="J5312" t="s">
        <v>3803</v>
      </c>
      <c r="L5312">
        <v>7400000</v>
      </c>
      <c r="M5312">
        <v>740000</v>
      </c>
    </row>
    <row r="5313" spans="1:13" x14ac:dyDescent="0.25">
      <c r="A5313" t="s">
        <v>17574</v>
      </c>
      <c r="B5313" t="s">
        <v>17575</v>
      </c>
      <c r="C5313" t="s">
        <v>15</v>
      </c>
      <c r="D5313" t="s">
        <v>17576</v>
      </c>
      <c r="E5313" t="s">
        <v>15515</v>
      </c>
      <c r="F5313" t="s">
        <v>16310</v>
      </c>
      <c r="G5313" t="s">
        <v>17577</v>
      </c>
      <c r="H5313" t="str">
        <f>HYPERLINK("https://baanknet.com/view-property/241504/0E38C68EB9870357D16A236B8DF3104421CCC9073406FDFC445FFDBD38AADF75", "https://baanknet.com/view-property/241504/0E38C68EB9870357D16A236B8DF3104421CCC9073406FDFC445FFDBD38AADF75")</f>
        <v>https://baanknet.com/view-property/241504/0E38C68EB9870357D16A236B8DF3104421CCC9073406FDFC445FFDBD38AADF75</v>
      </c>
      <c r="I5313" t="str">
        <f>HYPERLINK("https://baanknet.com/view-property/241504/0E38C68EB9870357D16A236B8DF3104421CCC9073406FDFC445FFDBD38AADF75", "Open")</f>
        <v>Open</v>
      </c>
      <c r="J5313" t="s">
        <v>3803</v>
      </c>
      <c r="L5313">
        <v>5060000</v>
      </c>
      <c r="M5313">
        <v>506000</v>
      </c>
    </row>
    <row r="5314" spans="1:13" x14ac:dyDescent="0.25">
      <c r="A5314" t="s">
        <v>17578</v>
      </c>
      <c r="B5314" t="s">
        <v>17579</v>
      </c>
      <c r="C5314" t="s">
        <v>15</v>
      </c>
      <c r="D5314" t="s">
        <v>17576</v>
      </c>
      <c r="E5314" t="s">
        <v>15515</v>
      </c>
      <c r="F5314" t="s">
        <v>16310</v>
      </c>
      <c r="G5314" t="s">
        <v>17580</v>
      </c>
      <c r="H5314" t="str">
        <f>HYPERLINK("https://baanknet.com/view-property/241499/EA5A786D274EE226CA447ACCEC4C0D0C232308B9999C6E65DC21B1231CCBE627", "https://baanknet.com/view-property/241499/EA5A786D274EE226CA447ACCEC4C0D0C232308B9999C6E65DC21B1231CCBE627")</f>
        <v>https://baanknet.com/view-property/241499/EA5A786D274EE226CA447ACCEC4C0D0C232308B9999C6E65DC21B1231CCBE627</v>
      </c>
      <c r="I5314" t="str">
        <f>HYPERLINK("https://baanknet.com/view-property/241499/EA5A786D274EE226CA447ACCEC4C0D0C232308B9999C6E65DC21B1231CCBE627", "Open")</f>
        <v>Open</v>
      </c>
      <c r="J5314" t="s">
        <v>3803</v>
      </c>
      <c r="L5314">
        <v>5140000</v>
      </c>
      <c r="M5314">
        <v>514000</v>
      </c>
    </row>
    <row r="5315" spans="1:13" x14ac:dyDescent="0.25">
      <c r="A5315" t="s">
        <v>17581</v>
      </c>
      <c r="B5315" t="s">
        <v>17582</v>
      </c>
      <c r="C5315" t="s">
        <v>15</v>
      </c>
      <c r="D5315" t="s">
        <v>17537</v>
      </c>
      <c r="E5315" t="s">
        <v>15515</v>
      </c>
      <c r="F5315" t="s">
        <v>16310</v>
      </c>
      <c r="G5315" t="s">
        <v>17583</v>
      </c>
      <c r="H5315" t="str">
        <f>HYPERLINK("https://baanknet.com/view-property/245946/2CD137484540DA547E69AEDDB10EC4893730B9C7C831EBCABB493BCD7E055BFE", "https://baanknet.com/view-property/245946/2CD137484540DA547E69AEDDB10EC4893730B9C7C831EBCABB493BCD7E055BFE")</f>
        <v>https://baanknet.com/view-property/245946/2CD137484540DA547E69AEDDB10EC4893730B9C7C831EBCABB493BCD7E055BFE</v>
      </c>
      <c r="I5315" t="str">
        <f>HYPERLINK("https://baanknet.com/view-property/245946/2CD137484540DA547E69AEDDB10EC4893730B9C7C831EBCABB493BCD7E055BFE", "Open")</f>
        <v>Open</v>
      </c>
      <c r="J5315" t="s">
        <v>3803</v>
      </c>
      <c r="L5315">
        <v>407000</v>
      </c>
      <c r="M5315">
        <v>40700</v>
      </c>
    </row>
    <row r="5316" spans="1:13" x14ac:dyDescent="0.25">
      <c r="A5316" t="s">
        <v>17584</v>
      </c>
      <c r="B5316" t="s">
        <v>17585</v>
      </c>
      <c r="C5316" t="s">
        <v>15</v>
      </c>
      <c r="D5316" t="s">
        <v>288</v>
      </c>
      <c r="E5316" t="s">
        <v>15515</v>
      </c>
      <c r="F5316" t="s">
        <v>16310</v>
      </c>
      <c r="G5316" t="s">
        <v>17586</v>
      </c>
      <c r="H5316" t="str">
        <f>HYPERLINK("https://baanknet.com/view-property/201705/36095C9AC3CE3698F7B90AFEE5F34537660BDA682C872E2489A97A1EEB17E14D", "https://baanknet.com/view-property/201705/36095C9AC3CE3698F7B90AFEE5F34537660BDA682C872E2489A97A1EEB17E14D")</f>
        <v>https://baanknet.com/view-property/201705/36095C9AC3CE3698F7B90AFEE5F34537660BDA682C872E2489A97A1EEB17E14D</v>
      </c>
      <c r="I5316" t="str">
        <f>HYPERLINK("https://baanknet.com/view-property/201705/36095C9AC3CE3698F7B90AFEE5F34537660BDA682C872E2489A97A1EEB17E14D", "Open")</f>
        <v>Open</v>
      </c>
      <c r="J5316" t="s">
        <v>3803</v>
      </c>
      <c r="L5316">
        <v>1320000</v>
      </c>
      <c r="M5316">
        <v>132000</v>
      </c>
    </row>
    <row r="5317" spans="1:13" x14ac:dyDescent="0.25">
      <c r="A5317" t="s">
        <v>17587</v>
      </c>
      <c r="B5317" t="s">
        <v>17588</v>
      </c>
      <c r="C5317" t="s">
        <v>15</v>
      </c>
      <c r="D5317" t="s">
        <v>8975</v>
      </c>
      <c r="E5317" t="s">
        <v>15515</v>
      </c>
      <c r="F5317" t="s">
        <v>16310</v>
      </c>
      <c r="G5317" t="s">
        <v>17589</v>
      </c>
      <c r="H5317" t="str">
        <f>HYPERLINK("https://baanknet.com/view-property/262540/F85EDCC46C7DB5B378C268CE3CB545AFABF6255800424B0A73BDD04DC82A5B35", "https://baanknet.com/view-property/262540/F85EDCC46C7DB5B378C268CE3CB545AFABF6255800424B0A73BDD04DC82A5B35")</f>
        <v>https://baanknet.com/view-property/262540/F85EDCC46C7DB5B378C268CE3CB545AFABF6255800424B0A73BDD04DC82A5B35</v>
      </c>
      <c r="I5317" t="str">
        <f>HYPERLINK("https://baanknet.com/view-property/262540/F85EDCC46C7DB5B378C268CE3CB545AFABF6255800424B0A73BDD04DC82A5B35", "Open")</f>
        <v>Open</v>
      </c>
      <c r="J5317" t="s">
        <v>3803</v>
      </c>
      <c r="L5317">
        <v>1562000</v>
      </c>
      <c r="M5317">
        <v>156200</v>
      </c>
    </row>
    <row r="5318" spans="1:13" x14ac:dyDescent="0.25">
      <c r="A5318" t="s">
        <v>17590</v>
      </c>
      <c r="B5318" t="s">
        <v>17591</v>
      </c>
      <c r="C5318" t="s">
        <v>15</v>
      </c>
      <c r="D5318" t="s">
        <v>9851</v>
      </c>
      <c r="E5318" t="s">
        <v>15515</v>
      </c>
      <c r="F5318" t="s">
        <v>16310</v>
      </c>
      <c r="G5318" t="s">
        <v>17592</v>
      </c>
      <c r="H5318" t="str">
        <f>HYPERLINK("https://baanknet.com/view-property/218296/DE985FA14BF733E311625B96ADFAE785508BD3CF48F99971D43538EA82ADF000", "https://baanknet.com/view-property/218296/DE985FA14BF733E311625B96ADFAE785508BD3CF48F99971D43538EA82ADF000")</f>
        <v>https://baanknet.com/view-property/218296/DE985FA14BF733E311625B96ADFAE785508BD3CF48F99971D43538EA82ADF000</v>
      </c>
      <c r="I5318" t="str">
        <f>HYPERLINK("https://baanknet.com/view-property/218296/DE985FA14BF733E311625B96ADFAE785508BD3CF48F99971D43538EA82ADF000", "Open")</f>
        <v>Open</v>
      </c>
      <c r="J5318" t="s">
        <v>3803</v>
      </c>
      <c r="L5318">
        <v>1049000</v>
      </c>
      <c r="M5318">
        <v>104900</v>
      </c>
    </row>
    <row r="5319" spans="1:13" x14ac:dyDescent="0.25">
      <c r="A5319" t="s">
        <v>17593</v>
      </c>
      <c r="B5319" t="s">
        <v>17594</v>
      </c>
      <c r="C5319" t="s">
        <v>15</v>
      </c>
      <c r="D5319" t="s">
        <v>17595</v>
      </c>
      <c r="E5319" t="s">
        <v>15515</v>
      </c>
      <c r="F5319" t="s">
        <v>16310</v>
      </c>
      <c r="G5319" t="s">
        <v>17596</v>
      </c>
      <c r="H5319" t="str">
        <f>HYPERLINK("https://baanknet.com/view-property/225321/F22F41F054895DF7D79B678C5640995D84A4EECFDB6C5E381C954E165D789C40", "https://baanknet.com/view-property/225321/F22F41F054895DF7D79B678C5640995D84A4EECFDB6C5E381C954E165D789C40")</f>
        <v>https://baanknet.com/view-property/225321/F22F41F054895DF7D79B678C5640995D84A4EECFDB6C5E381C954E165D789C40</v>
      </c>
      <c r="I5319" t="str">
        <f>HYPERLINK("https://baanknet.com/view-property/225321/F22F41F054895DF7D79B678C5640995D84A4EECFDB6C5E381C954E165D789C40", "Open")</f>
        <v>Open</v>
      </c>
      <c r="J5319" t="s">
        <v>3803</v>
      </c>
      <c r="L5319">
        <v>1286000</v>
      </c>
      <c r="M5319">
        <v>128600</v>
      </c>
    </row>
    <row r="5320" spans="1:13" x14ac:dyDescent="0.25">
      <c r="A5320" t="s">
        <v>17597</v>
      </c>
      <c r="B5320" t="s">
        <v>17598</v>
      </c>
      <c r="C5320" t="s">
        <v>15</v>
      </c>
      <c r="D5320" t="s">
        <v>288</v>
      </c>
      <c r="E5320" t="s">
        <v>15515</v>
      </c>
      <c r="F5320" t="s">
        <v>16310</v>
      </c>
      <c r="G5320" t="s">
        <v>17599</v>
      </c>
      <c r="H5320" t="str">
        <f>HYPERLINK("https://baanknet.com/view-property/201718/FB100169ED2C4FA6E1317A6C8D24C23C1B9A60AEF08E71754C1336CF8B5F711D", "https://baanknet.com/view-property/201718/FB100169ED2C4FA6E1317A6C8D24C23C1B9A60AEF08E71754C1336CF8B5F711D")</f>
        <v>https://baanknet.com/view-property/201718/FB100169ED2C4FA6E1317A6C8D24C23C1B9A60AEF08E71754C1336CF8B5F711D</v>
      </c>
      <c r="I5320" t="str">
        <f>HYPERLINK("https://baanknet.com/view-property/201718/FB100169ED2C4FA6E1317A6C8D24C23C1B9A60AEF08E71754C1336CF8B5F711D", "Open")</f>
        <v>Open</v>
      </c>
      <c r="J5320" t="s">
        <v>3803</v>
      </c>
      <c r="L5320">
        <v>1038000</v>
      </c>
      <c r="M5320">
        <v>103800</v>
      </c>
    </row>
    <row r="5321" spans="1:13" x14ac:dyDescent="0.25">
      <c r="A5321" t="s">
        <v>17600</v>
      </c>
      <c r="B5321" t="s">
        <v>17601</v>
      </c>
      <c r="C5321" t="s">
        <v>15</v>
      </c>
      <c r="D5321" t="s">
        <v>288</v>
      </c>
      <c r="E5321" t="s">
        <v>15515</v>
      </c>
      <c r="F5321" t="s">
        <v>16310</v>
      </c>
      <c r="G5321" t="s">
        <v>17602</v>
      </c>
      <c r="H5321" t="str">
        <f>HYPERLINK("https://baanknet.com/view-property/200773/4379F9565930FECD34DB433F77C476D36AA3272F075E53F4CBC039640497086B", "https://baanknet.com/view-property/200773/4379F9565930FECD34DB433F77C476D36AA3272F075E53F4CBC039640497086B")</f>
        <v>https://baanknet.com/view-property/200773/4379F9565930FECD34DB433F77C476D36AA3272F075E53F4CBC039640497086B</v>
      </c>
      <c r="I5321" t="str">
        <f>HYPERLINK("https://baanknet.com/view-property/200773/4379F9565930FECD34DB433F77C476D36AA3272F075E53F4CBC039640497086B", "Open")</f>
        <v>Open</v>
      </c>
      <c r="J5321" t="s">
        <v>3803</v>
      </c>
      <c r="L5321">
        <v>3925000</v>
      </c>
      <c r="M5321">
        <v>392500</v>
      </c>
    </row>
    <row r="5322" spans="1:13" x14ac:dyDescent="0.25">
      <c r="A5322" t="s">
        <v>17603</v>
      </c>
      <c r="B5322" t="s">
        <v>17604</v>
      </c>
      <c r="C5322" t="s">
        <v>15</v>
      </c>
      <c r="D5322" t="s">
        <v>960</v>
      </c>
      <c r="E5322" t="s">
        <v>15515</v>
      </c>
      <c r="F5322" t="s">
        <v>16310</v>
      </c>
      <c r="G5322" t="s">
        <v>17605</v>
      </c>
      <c r="H5322" t="str">
        <f>HYPERLINK("https://baanknet.com/view-property/225311/CCD159B625B003A443FE8102A84932DA5B42FEA5D42F83C07A0A1AEC7B234062", "https://baanknet.com/view-property/225311/CCD159B625B003A443FE8102A84932DA5B42FEA5D42F83C07A0A1AEC7B234062")</f>
        <v>https://baanknet.com/view-property/225311/CCD159B625B003A443FE8102A84932DA5B42FEA5D42F83C07A0A1AEC7B234062</v>
      </c>
      <c r="I5322" t="str">
        <f>HYPERLINK("https://baanknet.com/view-property/225311/CCD159B625B003A443FE8102A84932DA5B42FEA5D42F83C07A0A1AEC7B234062", "Open")</f>
        <v>Open</v>
      </c>
      <c r="J5322" t="s">
        <v>3803</v>
      </c>
      <c r="L5322">
        <v>662000</v>
      </c>
      <c r="M5322">
        <v>66200</v>
      </c>
    </row>
    <row r="5323" spans="1:13" x14ac:dyDescent="0.25">
      <c r="A5323" t="s">
        <v>17606</v>
      </c>
      <c r="B5323" t="s">
        <v>17607</v>
      </c>
      <c r="C5323" t="s">
        <v>15</v>
      </c>
      <c r="D5323" t="s">
        <v>17608</v>
      </c>
      <c r="E5323" t="s">
        <v>15515</v>
      </c>
      <c r="F5323" t="s">
        <v>16310</v>
      </c>
      <c r="G5323" t="s">
        <v>17609</v>
      </c>
      <c r="H5323" t="str">
        <f>HYPERLINK("https://baanknet.com/view-property/241687/9800AF638340E719256618EBD76AB50787D9AECEF0E36AAAF2EFA8E15018833E", "https://baanknet.com/view-property/241687/9800AF638340E719256618EBD76AB50787D9AECEF0E36AAAF2EFA8E15018833E")</f>
        <v>https://baanknet.com/view-property/241687/9800AF638340E719256618EBD76AB50787D9AECEF0E36AAAF2EFA8E15018833E</v>
      </c>
      <c r="I5323" t="str">
        <f>HYPERLINK("https://baanknet.com/view-property/241687/9800AF638340E719256618EBD76AB50787D9AECEF0E36AAAF2EFA8E15018833E", "Open")</f>
        <v>Open</v>
      </c>
      <c r="J5323" t="s">
        <v>3803</v>
      </c>
      <c r="L5323">
        <v>2500000</v>
      </c>
      <c r="M5323">
        <v>250000</v>
      </c>
    </row>
    <row r="5324" spans="1:13" x14ac:dyDescent="0.25">
      <c r="A5324" t="s">
        <v>17610</v>
      </c>
      <c r="B5324" t="s">
        <v>17611</v>
      </c>
      <c r="C5324" t="s">
        <v>15</v>
      </c>
      <c r="D5324" t="s">
        <v>288</v>
      </c>
      <c r="E5324" t="s">
        <v>15515</v>
      </c>
      <c r="F5324" t="s">
        <v>16310</v>
      </c>
      <c r="G5324" t="s">
        <v>17612</v>
      </c>
      <c r="H5324" t="str">
        <f>HYPERLINK("https://baanknet.com/view-property/260907/83F7E919E26AD50709F331D61C12068F66F4A686345E3A057C19A5E96EDE71C6", "https://baanknet.com/view-property/260907/83F7E919E26AD50709F331D61C12068F66F4A686345E3A057C19A5E96EDE71C6")</f>
        <v>https://baanknet.com/view-property/260907/83F7E919E26AD50709F331D61C12068F66F4A686345E3A057C19A5E96EDE71C6</v>
      </c>
      <c r="I5324" t="str">
        <f>HYPERLINK("https://baanknet.com/view-property/260907/83F7E919E26AD50709F331D61C12068F66F4A686345E3A057C19A5E96EDE71C6", "Open")</f>
        <v>Open</v>
      </c>
      <c r="J5324" t="s">
        <v>3803</v>
      </c>
      <c r="L5324">
        <v>414000</v>
      </c>
      <c r="M5324">
        <v>41400</v>
      </c>
    </row>
    <row r="5325" spans="1:13" x14ac:dyDescent="0.25">
      <c r="A5325" t="s">
        <v>17613</v>
      </c>
      <c r="B5325" t="s">
        <v>17614</v>
      </c>
      <c r="C5325" t="s">
        <v>15</v>
      </c>
      <c r="D5325" t="s">
        <v>288</v>
      </c>
      <c r="E5325" t="s">
        <v>15515</v>
      </c>
      <c r="F5325" t="s">
        <v>16310</v>
      </c>
      <c r="G5325" t="s">
        <v>17615</v>
      </c>
      <c r="H5325" t="str">
        <f>HYPERLINK("https://baanknet.com/view-property/235651/40583777AE7FA7913525CF099454148FB312DC43A0849EB2940E66DAEB076477", "https://baanknet.com/view-property/235651/40583777AE7FA7913525CF099454148FB312DC43A0849EB2940E66DAEB076477")</f>
        <v>https://baanknet.com/view-property/235651/40583777AE7FA7913525CF099454148FB312DC43A0849EB2940E66DAEB076477</v>
      </c>
      <c r="I5325" t="str">
        <f>HYPERLINK("https://baanknet.com/view-property/235651/40583777AE7FA7913525CF099454148FB312DC43A0849EB2940E66DAEB076477", "Open")</f>
        <v>Open</v>
      </c>
      <c r="J5325" t="s">
        <v>3803</v>
      </c>
      <c r="L5325">
        <v>2958000</v>
      </c>
      <c r="M5325">
        <v>295800</v>
      </c>
    </row>
    <row r="5326" spans="1:13" x14ac:dyDescent="0.25">
      <c r="A5326" t="s">
        <v>17616</v>
      </c>
      <c r="B5326" t="s">
        <v>17617</v>
      </c>
      <c r="C5326" t="s">
        <v>15</v>
      </c>
      <c r="D5326" t="s">
        <v>288</v>
      </c>
      <c r="E5326" t="s">
        <v>15515</v>
      </c>
      <c r="F5326" t="s">
        <v>16310</v>
      </c>
      <c r="G5326" t="s">
        <v>17618</v>
      </c>
      <c r="H5326" t="str">
        <f>HYPERLINK("https://baanknet.com/view-property/282745/623DA42C15E1F5C453B0B5ADCF9969EF91FC75A18E460BBD88752434D9856176", "https://baanknet.com/view-property/282745/623DA42C15E1F5C453B0B5ADCF9969EF91FC75A18E460BBD88752434D9856176")</f>
        <v>https://baanknet.com/view-property/282745/623DA42C15E1F5C453B0B5ADCF9969EF91FC75A18E460BBD88752434D9856176</v>
      </c>
      <c r="I5326" t="str">
        <f>HYPERLINK("https://baanknet.com/view-property/282745/623DA42C15E1F5C453B0B5ADCF9969EF91FC75A18E460BBD88752434D9856176", "Open")</f>
        <v>Open</v>
      </c>
      <c r="J5326" t="s">
        <v>3803</v>
      </c>
      <c r="L5326">
        <v>1009000</v>
      </c>
      <c r="M5326">
        <v>100900</v>
      </c>
    </row>
    <row r="5327" spans="1:13" x14ac:dyDescent="0.25">
      <c r="A5327" t="s">
        <v>17619</v>
      </c>
      <c r="B5327" t="s">
        <v>17620</v>
      </c>
      <c r="C5327" t="s">
        <v>15</v>
      </c>
      <c r="D5327" t="s">
        <v>1520</v>
      </c>
      <c r="E5327" t="s">
        <v>15515</v>
      </c>
      <c r="F5327" t="s">
        <v>16310</v>
      </c>
      <c r="G5327" t="s">
        <v>17621</v>
      </c>
      <c r="H5327" t="str">
        <f>HYPERLINK("https://baanknet.com/view-property/244701/3C8F14DC83994CA38B0E1B31727C52CC87B1D3DF04D6809554FE712E6E40CF86", "https://baanknet.com/view-property/244701/3C8F14DC83994CA38B0E1B31727C52CC87B1D3DF04D6809554FE712E6E40CF86")</f>
        <v>https://baanknet.com/view-property/244701/3C8F14DC83994CA38B0E1B31727C52CC87B1D3DF04D6809554FE712E6E40CF86</v>
      </c>
      <c r="I5327" t="str">
        <f>HYPERLINK("https://baanknet.com/view-property/244701/3C8F14DC83994CA38B0E1B31727C52CC87B1D3DF04D6809554FE712E6E40CF86", "Open")</f>
        <v>Open</v>
      </c>
      <c r="J5327" t="s">
        <v>3803</v>
      </c>
      <c r="L5327">
        <v>1350000</v>
      </c>
      <c r="M5327">
        <v>135000</v>
      </c>
    </row>
    <row r="5328" spans="1:13" x14ac:dyDescent="0.25">
      <c r="A5328" t="s">
        <v>17622</v>
      </c>
      <c r="B5328" t="s">
        <v>17623</v>
      </c>
      <c r="C5328" t="s">
        <v>15</v>
      </c>
      <c r="D5328" t="s">
        <v>1520</v>
      </c>
      <c r="E5328" t="s">
        <v>15515</v>
      </c>
      <c r="F5328" t="s">
        <v>16310</v>
      </c>
      <c r="G5328" t="s">
        <v>17624</v>
      </c>
      <c r="H5328" t="str">
        <f>HYPERLINK("https://baanknet.com/view-property/244709/629D2355EF81DACB804D813C48B4C878F0B05D890EC6BF297F09CA5D5665BA65", "https://baanknet.com/view-property/244709/629D2355EF81DACB804D813C48B4C878F0B05D890EC6BF297F09CA5D5665BA65")</f>
        <v>https://baanknet.com/view-property/244709/629D2355EF81DACB804D813C48B4C878F0B05D890EC6BF297F09CA5D5665BA65</v>
      </c>
      <c r="I5328" t="str">
        <f>HYPERLINK("https://baanknet.com/view-property/244709/629D2355EF81DACB804D813C48B4C878F0B05D890EC6BF297F09CA5D5665BA65", "Open")</f>
        <v>Open</v>
      </c>
      <c r="J5328" t="s">
        <v>3803</v>
      </c>
      <c r="L5328">
        <v>1463400</v>
      </c>
      <c r="M5328">
        <v>146340</v>
      </c>
    </row>
    <row r="5329" spans="1:13" x14ac:dyDescent="0.25">
      <c r="A5329" t="s">
        <v>17625</v>
      </c>
      <c r="B5329" t="s">
        <v>17626</v>
      </c>
      <c r="C5329" t="s">
        <v>15</v>
      </c>
      <c r="D5329" t="s">
        <v>1520</v>
      </c>
      <c r="E5329" t="s">
        <v>15515</v>
      </c>
      <c r="F5329" t="s">
        <v>16310</v>
      </c>
      <c r="G5329" t="s">
        <v>17627</v>
      </c>
      <c r="H5329" t="str">
        <f>HYPERLINK("https://baanknet.com/view-property/286318/229D3E7905CF09A9567C288AD9047A41194E92BFED65E3187CF034F2C70DF9DE", "https://baanknet.com/view-property/286318/229D3E7905CF09A9567C288AD9047A41194E92BFED65E3187CF034F2C70DF9DE")</f>
        <v>https://baanknet.com/view-property/286318/229D3E7905CF09A9567C288AD9047A41194E92BFED65E3187CF034F2C70DF9DE</v>
      </c>
      <c r="I5329" t="str">
        <f>HYPERLINK("https://baanknet.com/view-property/286318/229D3E7905CF09A9567C288AD9047A41194E92BFED65E3187CF034F2C70DF9DE", "Open")</f>
        <v>Open</v>
      </c>
      <c r="J5329" t="s">
        <v>3803</v>
      </c>
      <c r="L5329">
        <v>4115000</v>
      </c>
      <c r="M5329">
        <v>411500</v>
      </c>
    </row>
    <row r="5330" spans="1:13" x14ac:dyDescent="0.25">
      <c r="A5330" t="s">
        <v>17628</v>
      </c>
      <c r="B5330" t="s">
        <v>17629</v>
      </c>
      <c r="C5330" t="s">
        <v>15</v>
      </c>
      <c r="D5330" t="s">
        <v>960</v>
      </c>
      <c r="E5330" t="s">
        <v>15515</v>
      </c>
      <c r="F5330" t="s">
        <v>16310</v>
      </c>
      <c r="G5330" t="s">
        <v>17630</v>
      </c>
      <c r="H5330" t="str">
        <f>HYPERLINK("https://baanknet.com/view-property/218295/1E9E20AF4ACA2A1ECF6371364E69F023F99536FA03E2D5E948ED2773FB7B356D", "https://baanknet.com/view-property/218295/1E9E20AF4ACA2A1ECF6371364E69F023F99536FA03E2D5E948ED2773FB7B356D")</f>
        <v>https://baanknet.com/view-property/218295/1E9E20AF4ACA2A1ECF6371364E69F023F99536FA03E2D5E948ED2773FB7B356D</v>
      </c>
      <c r="I5330" t="str">
        <f>HYPERLINK("https://baanknet.com/view-property/218295/1E9E20AF4ACA2A1ECF6371364E69F023F99536FA03E2D5E948ED2773FB7B356D", "Open")</f>
        <v>Open</v>
      </c>
      <c r="J5330" t="s">
        <v>3803</v>
      </c>
      <c r="L5330">
        <v>1543000</v>
      </c>
      <c r="M5330">
        <v>154300</v>
      </c>
    </row>
    <row r="5331" spans="1:13" x14ac:dyDescent="0.25">
      <c r="A5331" t="s">
        <v>17631</v>
      </c>
      <c r="B5331" t="s">
        <v>17632</v>
      </c>
      <c r="C5331" t="s">
        <v>15</v>
      </c>
      <c r="D5331" t="s">
        <v>288</v>
      </c>
      <c r="E5331" t="s">
        <v>15515</v>
      </c>
      <c r="F5331" t="s">
        <v>16310</v>
      </c>
      <c r="G5331" t="s">
        <v>17633</v>
      </c>
      <c r="H5331" t="str">
        <f>HYPERLINK("https://baanknet.com/view-property/279250/0356E95D16F20DF5892CC6675EBC9C8DC19FF2CF5DA798C7F2715860DF86691A", "https://baanknet.com/view-property/279250/0356E95D16F20DF5892CC6675EBC9C8DC19FF2CF5DA798C7F2715860DF86691A")</f>
        <v>https://baanknet.com/view-property/279250/0356E95D16F20DF5892CC6675EBC9C8DC19FF2CF5DA798C7F2715860DF86691A</v>
      </c>
      <c r="I5331" t="str">
        <f>HYPERLINK("https://baanknet.com/view-property/279250/0356E95D16F20DF5892CC6675EBC9C8DC19FF2CF5DA798C7F2715860DF86691A", "Open")</f>
        <v>Open</v>
      </c>
      <c r="J5331" t="s">
        <v>3803</v>
      </c>
      <c r="L5331">
        <v>1878000</v>
      </c>
      <c r="M5331">
        <v>187800</v>
      </c>
    </row>
    <row r="5332" spans="1:13" x14ac:dyDescent="0.25">
      <c r="A5332" t="s">
        <v>17634</v>
      </c>
      <c r="B5332" t="s">
        <v>17635</v>
      </c>
      <c r="C5332" t="s">
        <v>15</v>
      </c>
      <c r="D5332" t="s">
        <v>17595</v>
      </c>
      <c r="E5332" t="s">
        <v>15515</v>
      </c>
      <c r="F5332" t="s">
        <v>16310</v>
      </c>
      <c r="G5332" t="s">
        <v>17636</v>
      </c>
      <c r="H5332" t="str">
        <f>HYPERLINK("https://baanknet.com/view-property/246017/8A6563DE5E917F2ABA6020C17466EC411DAAB25222339893952D2C8E2169D6DE", "https://baanknet.com/view-property/246017/8A6563DE5E917F2ABA6020C17466EC411DAAB25222339893952D2C8E2169D6DE")</f>
        <v>https://baanknet.com/view-property/246017/8A6563DE5E917F2ABA6020C17466EC411DAAB25222339893952D2C8E2169D6DE</v>
      </c>
      <c r="I5332" t="str">
        <f>HYPERLINK("https://baanknet.com/view-property/246017/8A6563DE5E917F2ABA6020C17466EC411DAAB25222339893952D2C8E2169D6DE", "Open")</f>
        <v>Open</v>
      </c>
      <c r="J5332" t="s">
        <v>3803</v>
      </c>
      <c r="L5332">
        <v>931000</v>
      </c>
      <c r="M5332">
        <v>93100</v>
      </c>
    </row>
    <row r="5333" spans="1:13" x14ac:dyDescent="0.25">
      <c r="A5333" t="s">
        <v>17637</v>
      </c>
      <c r="B5333" t="s">
        <v>17638</v>
      </c>
      <c r="C5333" t="s">
        <v>15</v>
      </c>
      <c r="D5333" t="s">
        <v>9851</v>
      </c>
      <c r="E5333" t="s">
        <v>15515</v>
      </c>
      <c r="F5333" t="s">
        <v>16310</v>
      </c>
      <c r="G5333" t="s">
        <v>17639</v>
      </c>
      <c r="H5333" t="str">
        <f>HYPERLINK("https://baanknet.com/view-property/202931/4A553AF27AFB6BB2EA2485D80DB79B9C72B2DF02FD5B4A7D018128AE0F0FDE5F", "https://baanknet.com/view-property/202931/4A553AF27AFB6BB2EA2485D80DB79B9C72B2DF02FD5B4A7D018128AE0F0FDE5F")</f>
        <v>https://baanknet.com/view-property/202931/4A553AF27AFB6BB2EA2485D80DB79B9C72B2DF02FD5B4A7D018128AE0F0FDE5F</v>
      </c>
      <c r="I5333" t="str">
        <f>HYPERLINK("https://baanknet.com/view-property/202931/4A553AF27AFB6BB2EA2485D80DB79B9C72B2DF02FD5B4A7D018128AE0F0FDE5F", "Open")</f>
        <v>Open</v>
      </c>
      <c r="J5333" t="s">
        <v>3803</v>
      </c>
      <c r="L5333">
        <v>194750</v>
      </c>
      <c r="M5333">
        <v>19475</v>
      </c>
    </row>
    <row r="5334" spans="1:13" x14ac:dyDescent="0.25">
      <c r="A5334" t="s">
        <v>17640</v>
      </c>
      <c r="B5334" t="s">
        <v>17641</v>
      </c>
      <c r="C5334" t="s">
        <v>15</v>
      </c>
      <c r="D5334" t="s">
        <v>17642</v>
      </c>
      <c r="E5334" t="s">
        <v>15515</v>
      </c>
      <c r="F5334" t="s">
        <v>16310</v>
      </c>
      <c r="G5334" t="s">
        <v>17643</v>
      </c>
      <c r="H5334" t="str">
        <f>HYPERLINK("https://baanknet.com/view-property/283452/75886EA8C6BEE184169AEEAE5B32367185897368F937A0FF35001A4969DF3CA7", "https://baanknet.com/view-property/283452/75886EA8C6BEE184169AEEAE5B32367185897368F937A0FF35001A4969DF3CA7")</f>
        <v>https://baanknet.com/view-property/283452/75886EA8C6BEE184169AEEAE5B32367185897368F937A0FF35001A4969DF3CA7</v>
      </c>
      <c r="I5334" t="str">
        <f>HYPERLINK("https://baanknet.com/view-property/283452/75886EA8C6BEE184169AEEAE5B32367185897368F937A0FF35001A4969DF3CA7", "Open")</f>
        <v>Open</v>
      </c>
      <c r="J5334" t="s">
        <v>3803</v>
      </c>
      <c r="L5334">
        <v>2051000</v>
      </c>
      <c r="M5334">
        <v>205100</v>
      </c>
    </row>
    <row r="5335" spans="1:13" x14ac:dyDescent="0.25">
      <c r="A5335" t="s">
        <v>17644</v>
      </c>
      <c r="B5335" t="s">
        <v>17645</v>
      </c>
      <c r="C5335" t="s">
        <v>15</v>
      </c>
      <c r="D5335" t="s">
        <v>960</v>
      </c>
      <c r="E5335" t="s">
        <v>15515</v>
      </c>
      <c r="F5335" t="s">
        <v>16310</v>
      </c>
      <c r="G5335" t="s">
        <v>17646</v>
      </c>
      <c r="H5335" t="str">
        <f>HYPERLINK("https://baanknet.com/view-property/218290/4F54A5AEA6167545F243DD8A1F550BB59B6A6677E353540804945988465DBE27", "https://baanknet.com/view-property/218290/4F54A5AEA6167545F243DD8A1F550BB59B6A6677E353540804945988465DBE27")</f>
        <v>https://baanknet.com/view-property/218290/4F54A5AEA6167545F243DD8A1F550BB59B6A6677E353540804945988465DBE27</v>
      </c>
      <c r="I5335" t="str">
        <f>HYPERLINK("https://baanknet.com/view-property/218290/4F54A5AEA6167545F243DD8A1F550BB59B6A6677E353540804945988465DBE27", "Open")</f>
        <v>Open</v>
      </c>
      <c r="J5335" t="s">
        <v>3803</v>
      </c>
      <c r="L5335">
        <v>5168000</v>
      </c>
      <c r="M5335">
        <v>516800</v>
      </c>
    </row>
    <row r="5336" spans="1:13" x14ac:dyDescent="0.25">
      <c r="A5336" t="s">
        <v>17647</v>
      </c>
      <c r="B5336" t="s">
        <v>17648</v>
      </c>
      <c r="C5336" t="s">
        <v>15</v>
      </c>
      <c r="D5336" t="s">
        <v>937</v>
      </c>
      <c r="E5336" t="s">
        <v>15515</v>
      </c>
      <c r="F5336" t="s">
        <v>16310</v>
      </c>
      <c r="G5336" t="s">
        <v>17649</v>
      </c>
      <c r="H5336" t="str">
        <f>HYPERLINK("https://baanknet.com/view-property/201415/6DD9711BC3B826569D671B43F4D28E96A2B1D687A8B3293F4CC590227E5A6C5E", "https://baanknet.com/view-property/201415/6DD9711BC3B826569D671B43F4D28E96A2B1D687A8B3293F4CC590227E5A6C5E")</f>
        <v>https://baanknet.com/view-property/201415/6DD9711BC3B826569D671B43F4D28E96A2B1D687A8B3293F4CC590227E5A6C5E</v>
      </c>
      <c r="I5336" t="str">
        <f>HYPERLINK("https://baanknet.com/view-property/201415/6DD9711BC3B826569D671B43F4D28E96A2B1D687A8B3293F4CC590227E5A6C5E", "Open")</f>
        <v>Open</v>
      </c>
      <c r="J5336" t="s">
        <v>3803</v>
      </c>
      <c r="L5336">
        <v>1200000</v>
      </c>
      <c r="M5336">
        <v>120000</v>
      </c>
    </row>
    <row r="5337" spans="1:13" x14ac:dyDescent="0.25">
      <c r="A5337" t="s">
        <v>17650</v>
      </c>
      <c r="B5337" t="s">
        <v>17651</v>
      </c>
      <c r="C5337" t="s">
        <v>15</v>
      </c>
      <c r="D5337" t="s">
        <v>6258</v>
      </c>
      <c r="E5337" t="s">
        <v>15515</v>
      </c>
      <c r="F5337" t="s">
        <v>15527</v>
      </c>
      <c r="G5337" t="s">
        <v>17652</v>
      </c>
      <c r="H5337" t="str">
        <f>HYPERLINK("https://baanknet.com/view-property/244188/FF6859738C47D5CE8A639580B290A613D4E04AC3904BC72879DC58154025DDD0", "https://baanknet.com/view-property/244188/FF6859738C47D5CE8A639580B290A613D4E04AC3904BC72879DC58154025DDD0")</f>
        <v>https://baanknet.com/view-property/244188/FF6859738C47D5CE8A639580B290A613D4E04AC3904BC72879DC58154025DDD0</v>
      </c>
      <c r="I5337" t="str">
        <f>HYPERLINK("https://baanknet.com/view-property/244188/FF6859738C47D5CE8A639580B290A613D4E04AC3904BC72879DC58154025DDD0", "Open")</f>
        <v>Open</v>
      </c>
      <c r="J5337" t="s">
        <v>3803</v>
      </c>
      <c r="L5337">
        <v>2000000</v>
      </c>
      <c r="M5337">
        <v>200000</v>
      </c>
    </row>
    <row r="5338" spans="1:13" x14ac:dyDescent="0.25">
      <c r="A5338" t="s">
        <v>17653</v>
      </c>
      <c r="B5338" t="s">
        <v>17654</v>
      </c>
      <c r="C5338" t="s">
        <v>15</v>
      </c>
      <c r="D5338" t="s">
        <v>608</v>
      </c>
      <c r="E5338" t="s">
        <v>15515</v>
      </c>
      <c r="F5338" t="s">
        <v>15527</v>
      </c>
      <c r="G5338" t="s">
        <v>17655</v>
      </c>
      <c r="H5338" t="str">
        <f>HYPERLINK("https://baanknet.com/view-property/242314/4964D5617A0B16CB80F1B861C7EBDA409FE18F3AA51A6203A0D08D151F857326", "https://baanknet.com/view-property/242314/4964D5617A0B16CB80F1B861C7EBDA409FE18F3AA51A6203A0D08D151F857326")</f>
        <v>https://baanknet.com/view-property/242314/4964D5617A0B16CB80F1B861C7EBDA409FE18F3AA51A6203A0D08D151F857326</v>
      </c>
      <c r="I5338" t="str">
        <f>HYPERLINK("https://baanknet.com/view-property/242314/4964D5617A0B16CB80F1B861C7EBDA409FE18F3AA51A6203A0D08D151F857326", "Open")</f>
        <v>Open</v>
      </c>
      <c r="J5338" t="s">
        <v>3803</v>
      </c>
      <c r="L5338">
        <v>2700000</v>
      </c>
      <c r="M5338">
        <v>270000</v>
      </c>
    </row>
    <row r="5339" spans="1:13" x14ac:dyDescent="0.25">
      <c r="A5339" t="s">
        <v>17656</v>
      </c>
      <c r="B5339" t="s">
        <v>17657</v>
      </c>
      <c r="C5339" t="s">
        <v>15</v>
      </c>
      <c r="D5339" t="s">
        <v>11565</v>
      </c>
      <c r="E5339" t="s">
        <v>15515</v>
      </c>
      <c r="F5339" t="s">
        <v>15527</v>
      </c>
      <c r="G5339" t="s">
        <v>17658</v>
      </c>
      <c r="H5339" t="str">
        <f>HYPERLINK("https://baanknet.com/view-property/242331/E022D18639AD2E63B5912C82C0DB9CEBF3983883B70276047909B78F672402BB", "https://baanknet.com/view-property/242331/E022D18639AD2E63B5912C82C0DB9CEBF3983883B70276047909B78F672402BB")</f>
        <v>https://baanknet.com/view-property/242331/E022D18639AD2E63B5912C82C0DB9CEBF3983883B70276047909B78F672402BB</v>
      </c>
      <c r="I5339" t="str">
        <f>HYPERLINK("https://baanknet.com/view-property/242331/E022D18639AD2E63B5912C82C0DB9CEBF3983883B70276047909B78F672402BB", "Open")</f>
        <v>Open</v>
      </c>
      <c r="J5339" t="s">
        <v>3803</v>
      </c>
      <c r="L5339">
        <v>441000</v>
      </c>
      <c r="M5339">
        <v>44100</v>
      </c>
    </row>
    <row r="5340" spans="1:13" x14ac:dyDescent="0.25">
      <c r="A5340" t="s">
        <v>17659</v>
      </c>
      <c r="B5340" t="s">
        <v>17660</v>
      </c>
      <c r="C5340" t="s">
        <v>15</v>
      </c>
      <c r="D5340" t="s">
        <v>6258</v>
      </c>
      <c r="E5340" t="s">
        <v>15515</v>
      </c>
      <c r="F5340" t="s">
        <v>15527</v>
      </c>
      <c r="G5340" t="s">
        <v>17661</v>
      </c>
      <c r="H5340" t="str">
        <f>HYPERLINK("https://baanknet.com/view-property/242335/DD2270517A8D332C400852678165485C52E2B990927A13F51914C35A78DE84F9", "https://baanknet.com/view-property/242335/DD2270517A8D332C400852678165485C52E2B990927A13F51914C35A78DE84F9")</f>
        <v>https://baanknet.com/view-property/242335/DD2270517A8D332C400852678165485C52E2B990927A13F51914C35A78DE84F9</v>
      </c>
      <c r="I5340" t="str">
        <f>HYPERLINK("https://baanknet.com/view-property/242335/DD2270517A8D332C400852678165485C52E2B990927A13F51914C35A78DE84F9", "Open")</f>
        <v>Open</v>
      </c>
      <c r="J5340" t="s">
        <v>3803</v>
      </c>
      <c r="L5340">
        <v>4000000</v>
      </c>
      <c r="M5340">
        <v>400000</v>
      </c>
    </row>
    <row r="5341" spans="1:13" x14ac:dyDescent="0.25">
      <c r="A5341" t="s">
        <v>17662</v>
      </c>
      <c r="B5341" t="s">
        <v>17663</v>
      </c>
      <c r="C5341" t="s">
        <v>15</v>
      </c>
      <c r="D5341" t="s">
        <v>6258</v>
      </c>
      <c r="E5341" t="s">
        <v>15515</v>
      </c>
      <c r="F5341" t="s">
        <v>15527</v>
      </c>
      <c r="G5341" t="s">
        <v>17664</v>
      </c>
      <c r="H5341" t="str">
        <f>HYPERLINK("https://baanknet.com/view-property/242499/1D034B3EEF68FA80427F6110BCF9578FC885AEEEC20400007583919390531C84", "https://baanknet.com/view-property/242499/1D034B3EEF68FA80427F6110BCF9578FC885AEEEC20400007583919390531C84")</f>
        <v>https://baanknet.com/view-property/242499/1D034B3EEF68FA80427F6110BCF9578FC885AEEEC20400007583919390531C84</v>
      </c>
      <c r="I5341" t="str">
        <f>HYPERLINK("https://baanknet.com/view-property/242499/1D034B3EEF68FA80427F6110BCF9578FC885AEEEC20400007583919390531C84", "Open")</f>
        <v>Open</v>
      </c>
      <c r="J5341" t="s">
        <v>3803</v>
      </c>
      <c r="L5341">
        <v>4300000</v>
      </c>
      <c r="M5341">
        <v>430000</v>
      </c>
    </row>
    <row r="5342" spans="1:13" x14ac:dyDescent="0.25">
      <c r="A5342" t="s">
        <v>17665</v>
      </c>
      <c r="B5342" t="s">
        <v>17666</v>
      </c>
      <c r="C5342" t="s">
        <v>15</v>
      </c>
      <c r="D5342" t="s">
        <v>6262</v>
      </c>
      <c r="E5342" t="s">
        <v>15515</v>
      </c>
      <c r="F5342" t="s">
        <v>15527</v>
      </c>
      <c r="G5342" t="s">
        <v>17667</v>
      </c>
      <c r="H5342" t="str">
        <f>HYPERLINK("https://baanknet.com/view-property/242317/7C035234242F0D03A984BC7B210AFB04D22A002EE6A4419DCD4B81F4954E698E", "https://baanknet.com/view-property/242317/7C035234242F0D03A984BC7B210AFB04D22A002EE6A4419DCD4B81F4954E698E")</f>
        <v>https://baanknet.com/view-property/242317/7C035234242F0D03A984BC7B210AFB04D22A002EE6A4419DCD4B81F4954E698E</v>
      </c>
      <c r="I5342" t="str">
        <f>HYPERLINK("https://baanknet.com/view-property/242317/7C035234242F0D03A984BC7B210AFB04D22A002EE6A4419DCD4B81F4954E698E", "Open")</f>
        <v>Open</v>
      </c>
      <c r="J5342" t="s">
        <v>3803</v>
      </c>
      <c r="L5342">
        <v>1200000</v>
      </c>
      <c r="M5342">
        <v>120000</v>
      </c>
    </row>
    <row r="5343" spans="1:13" x14ac:dyDescent="0.25">
      <c r="A5343" t="s">
        <v>17668</v>
      </c>
      <c r="B5343" t="s">
        <v>17669</v>
      </c>
      <c r="C5343" t="s">
        <v>15</v>
      </c>
      <c r="D5343" t="s">
        <v>6258</v>
      </c>
      <c r="E5343" t="s">
        <v>15515</v>
      </c>
      <c r="F5343" t="s">
        <v>15527</v>
      </c>
      <c r="G5343" t="s">
        <v>17670</v>
      </c>
      <c r="H5343" t="str">
        <f>HYPERLINK("https://baanknet.com/view-property/242326/DC6193EFC847788AFD6F6B603949B590626316CEF5BD05626CF4A2ED79A0815E", "https://baanknet.com/view-property/242326/DC6193EFC847788AFD6F6B603949B590626316CEF5BD05626CF4A2ED79A0815E")</f>
        <v>https://baanknet.com/view-property/242326/DC6193EFC847788AFD6F6B603949B590626316CEF5BD05626CF4A2ED79A0815E</v>
      </c>
      <c r="I5343" t="str">
        <f>HYPERLINK("https://baanknet.com/view-property/242326/DC6193EFC847788AFD6F6B603949B590626316CEF5BD05626CF4A2ED79A0815E", "Open")</f>
        <v>Open</v>
      </c>
      <c r="J5343" t="s">
        <v>3803</v>
      </c>
      <c r="L5343">
        <v>1500000</v>
      </c>
      <c r="M5343">
        <v>150000</v>
      </c>
    </row>
    <row r="5344" spans="1:13" x14ac:dyDescent="0.25">
      <c r="A5344" t="s">
        <v>17671</v>
      </c>
      <c r="B5344" t="s">
        <v>17672</v>
      </c>
      <c r="C5344" t="s">
        <v>15</v>
      </c>
      <c r="D5344" t="s">
        <v>6258</v>
      </c>
      <c r="E5344" t="s">
        <v>15515</v>
      </c>
      <c r="F5344" t="s">
        <v>15527</v>
      </c>
      <c r="G5344" t="s">
        <v>17673</v>
      </c>
      <c r="H5344" t="str">
        <f>HYPERLINK("https://baanknet.com/view-property/242329/AB0CDCC1871918C5EEAA207F0351AEDFCF241BFC41BEF38B2A03C467F3898924", "https://baanknet.com/view-property/242329/AB0CDCC1871918C5EEAA207F0351AEDFCF241BFC41BEF38B2A03C467F3898924")</f>
        <v>https://baanknet.com/view-property/242329/AB0CDCC1871918C5EEAA207F0351AEDFCF241BFC41BEF38B2A03C467F3898924</v>
      </c>
      <c r="I5344" t="str">
        <f>HYPERLINK("https://baanknet.com/view-property/242329/AB0CDCC1871918C5EEAA207F0351AEDFCF241BFC41BEF38B2A03C467F3898924", "Open")</f>
        <v>Open</v>
      </c>
      <c r="J5344" t="s">
        <v>3803</v>
      </c>
      <c r="L5344">
        <v>3200000</v>
      </c>
      <c r="M5344">
        <v>320000</v>
      </c>
    </row>
    <row r="5345" spans="1:13" x14ac:dyDescent="0.25">
      <c r="A5345" t="s">
        <v>17674</v>
      </c>
      <c r="B5345" t="s">
        <v>17675</v>
      </c>
      <c r="C5345" t="s">
        <v>15</v>
      </c>
      <c r="D5345" t="s">
        <v>6258</v>
      </c>
      <c r="E5345" t="s">
        <v>15515</v>
      </c>
      <c r="F5345" t="s">
        <v>15527</v>
      </c>
      <c r="G5345" t="s">
        <v>17676</v>
      </c>
      <c r="H5345" t="str">
        <f>HYPERLINK("https://baanknet.com/view-property/242323/DC6B487720A780EBAB07064171996850FAB6752B3519E0DE03EBBBDCFA1DDF29", "https://baanknet.com/view-property/242323/DC6B487720A780EBAB07064171996850FAB6752B3519E0DE03EBBBDCFA1DDF29")</f>
        <v>https://baanknet.com/view-property/242323/DC6B487720A780EBAB07064171996850FAB6752B3519E0DE03EBBBDCFA1DDF29</v>
      </c>
      <c r="I5345" t="str">
        <f>HYPERLINK("https://baanknet.com/view-property/242323/DC6B487720A780EBAB07064171996850FAB6752B3519E0DE03EBBBDCFA1DDF29", "Open")</f>
        <v>Open</v>
      </c>
      <c r="J5345" t="s">
        <v>3803</v>
      </c>
      <c r="L5345">
        <v>2000000</v>
      </c>
      <c r="M5345">
        <v>200000</v>
      </c>
    </row>
    <row r="5346" spans="1:13" x14ac:dyDescent="0.25">
      <c r="A5346" t="s">
        <v>17677</v>
      </c>
      <c r="B5346" t="s">
        <v>17678</v>
      </c>
      <c r="C5346" t="s">
        <v>15</v>
      </c>
      <c r="D5346" t="s">
        <v>6262</v>
      </c>
      <c r="E5346" t="s">
        <v>15515</v>
      </c>
      <c r="F5346" t="s">
        <v>15527</v>
      </c>
      <c r="G5346" t="s">
        <v>17679</v>
      </c>
      <c r="H5346" t="str">
        <f>HYPERLINK("https://baanknet.com/view-property/255153/ED6280E2814BC8BD237DA702E1DAAD1D039AD3AF17B13C807553BF05A270026C", "https://baanknet.com/view-property/255153/ED6280E2814BC8BD237DA702E1DAAD1D039AD3AF17B13C807553BF05A270026C")</f>
        <v>https://baanknet.com/view-property/255153/ED6280E2814BC8BD237DA702E1DAAD1D039AD3AF17B13C807553BF05A270026C</v>
      </c>
      <c r="I5346" t="str">
        <f>HYPERLINK("https://baanknet.com/view-property/255153/ED6280E2814BC8BD237DA702E1DAAD1D039AD3AF17B13C807553BF05A270026C", "Open")</f>
        <v>Open</v>
      </c>
      <c r="J5346" t="s">
        <v>3803</v>
      </c>
      <c r="L5346">
        <v>2700000</v>
      </c>
      <c r="M5346">
        <v>270000</v>
      </c>
    </row>
    <row r="5347" spans="1:13" x14ac:dyDescent="0.25">
      <c r="A5347" t="s">
        <v>17680</v>
      </c>
      <c r="B5347" t="s">
        <v>17681</v>
      </c>
      <c r="C5347" t="s">
        <v>15</v>
      </c>
      <c r="D5347" t="s">
        <v>17682</v>
      </c>
      <c r="E5347" t="s">
        <v>15515</v>
      </c>
      <c r="F5347" t="s">
        <v>15527</v>
      </c>
      <c r="G5347" t="s">
        <v>17683</v>
      </c>
      <c r="H5347" t="str">
        <f>HYPERLINK("https://baanknet.com/view-property/242324/5B0465D511063333E395E67440A4858257988DEFB6C2935AAF15401BE9AFB071", "https://baanknet.com/view-property/242324/5B0465D511063333E395E67440A4858257988DEFB6C2935AAF15401BE9AFB071")</f>
        <v>https://baanknet.com/view-property/242324/5B0465D511063333E395E67440A4858257988DEFB6C2935AAF15401BE9AFB071</v>
      </c>
      <c r="I5347" t="str">
        <f>HYPERLINK("https://baanknet.com/view-property/242324/5B0465D511063333E395E67440A4858257988DEFB6C2935AAF15401BE9AFB071", "Open")</f>
        <v>Open</v>
      </c>
      <c r="J5347" t="s">
        <v>3803</v>
      </c>
      <c r="L5347">
        <v>2550000</v>
      </c>
      <c r="M5347">
        <v>255000</v>
      </c>
    </row>
    <row r="5348" spans="1:13" x14ac:dyDescent="0.25">
      <c r="A5348" t="s">
        <v>17684</v>
      </c>
      <c r="B5348" t="s">
        <v>17685</v>
      </c>
      <c r="C5348" t="s">
        <v>15</v>
      </c>
      <c r="D5348" t="s">
        <v>5365</v>
      </c>
      <c r="E5348" t="s">
        <v>15515</v>
      </c>
      <c r="F5348" t="s">
        <v>15527</v>
      </c>
      <c r="G5348" t="s">
        <v>17686</v>
      </c>
      <c r="H5348" t="str">
        <f>HYPERLINK("https://baanknet.com/view-property/201872/62BEB3F01B4A669EBA71229D4EAD808272F7A335D7F6BEBFB3762B7DAC81A0B2", "https://baanknet.com/view-property/201872/62BEB3F01B4A669EBA71229D4EAD808272F7A335D7F6BEBFB3762B7DAC81A0B2")</f>
        <v>https://baanknet.com/view-property/201872/62BEB3F01B4A669EBA71229D4EAD808272F7A335D7F6BEBFB3762B7DAC81A0B2</v>
      </c>
      <c r="I5348" t="str">
        <f>HYPERLINK("https://baanknet.com/view-property/201872/62BEB3F01B4A669EBA71229D4EAD808272F7A335D7F6BEBFB3762B7DAC81A0B2", "Open")</f>
        <v>Open</v>
      </c>
      <c r="J5348" t="s">
        <v>3803</v>
      </c>
      <c r="L5348">
        <v>850000</v>
      </c>
      <c r="M5348">
        <v>85000</v>
      </c>
    </row>
    <row r="5349" spans="1:13" x14ac:dyDescent="0.25">
      <c r="A5349" t="s">
        <v>17687</v>
      </c>
      <c r="B5349" t="s">
        <v>17688</v>
      </c>
      <c r="C5349" t="s">
        <v>15</v>
      </c>
      <c r="D5349" t="s">
        <v>17689</v>
      </c>
      <c r="E5349" t="s">
        <v>15515</v>
      </c>
      <c r="F5349" t="s">
        <v>15527</v>
      </c>
      <c r="G5349" t="s">
        <v>17690</v>
      </c>
      <c r="H5349" t="str">
        <f>HYPERLINK("https://baanknet.com/view-property/279439/FADC4A76F3D15CA5DFF31C61C3C6101AABE8EE8F27DBEB193442AA6C816CC633", "https://baanknet.com/view-property/279439/FADC4A76F3D15CA5DFF31C61C3C6101AABE8EE8F27DBEB193442AA6C816CC633")</f>
        <v>https://baanknet.com/view-property/279439/FADC4A76F3D15CA5DFF31C61C3C6101AABE8EE8F27DBEB193442AA6C816CC633</v>
      </c>
      <c r="I5349" t="str">
        <f>HYPERLINK("https://baanknet.com/view-property/279439/FADC4A76F3D15CA5DFF31C61C3C6101AABE8EE8F27DBEB193442AA6C816CC633", "Open")</f>
        <v>Open</v>
      </c>
      <c r="J5349" t="s">
        <v>3803</v>
      </c>
      <c r="L5349">
        <v>8367000</v>
      </c>
      <c r="M5349">
        <v>836700</v>
      </c>
    </row>
    <row r="5350" spans="1:13" x14ac:dyDescent="0.25">
      <c r="A5350" t="s">
        <v>17691</v>
      </c>
      <c r="B5350" t="s">
        <v>17692</v>
      </c>
      <c r="C5350" t="s">
        <v>15</v>
      </c>
      <c r="D5350" t="s">
        <v>17693</v>
      </c>
      <c r="E5350" t="s">
        <v>15515</v>
      </c>
      <c r="F5350" t="s">
        <v>15527</v>
      </c>
      <c r="G5350" t="s">
        <v>17694</v>
      </c>
      <c r="H5350" t="str">
        <f>HYPERLINK("https://baanknet.com/view-property/212125/47333C13C3905697C61D3B593C93590CC11E150A5F4FFBADB3750944BEA80383", "https://baanknet.com/view-property/212125/47333C13C3905697C61D3B593C93590CC11E150A5F4FFBADB3750944BEA80383")</f>
        <v>https://baanknet.com/view-property/212125/47333C13C3905697C61D3B593C93590CC11E150A5F4FFBADB3750944BEA80383</v>
      </c>
      <c r="I5350" t="str">
        <f>HYPERLINK("https://baanknet.com/view-property/212125/47333C13C3905697C61D3B593C93590CC11E150A5F4FFBADB3750944BEA80383", "Open")</f>
        <v>Open</v>
      </c>
      <c r="J5350" t="s">
        <v>3803</v>
      </c>
      <c r="L5350">
        <v>1530000</v>
      </c>
      <c r="M5350">
        <v>153000</v>
      </c>
    </row>
    <row r="5351" spans="1:13" x14ac:dyDescent="0.25">
      <c r="A5351" t="s">
        <v>17695</v>
      </c>
      <c r="B5351" t="s">
        <v>17696</v>
      </c>
      <c r="C5351" t="s">
        <v>15</v>
      </c>
      <c r="D5351" t="s">
        <v>17697</v>
      </c>
      <c r="E5351" t="s">
        <v>15515</v>
      </c>
      <c r="F5351" t="s">
        <v>15527</v>
      </c>
      <c r="G5351" t="s">
        <v>17698</v>
      </c>
      <c r="H5351" t="str">
        <f>HYPERLINK("https://baanknet.com/view-property/197580/B721AFD8000EA3FCD42B9A3D5832896BCED6289604BBD6E389180AB91E598359", "https://baanknet.com/view-property/197580/B721AFD8000EA3FCD42B9A3D5832896BCED6289604BBD6E389180AB91E598359")</f>
        <v>https://baanknet.com/view-property/197580/B721AFD8000EA3FCD42B9A3D5832896BCED6289604BBD6E389180AB91E598359</v>
      </c>
      <c r="I5351" t="str">
        <f>HYPERLINK("https://baanknet.com/view-property/197580/B721AFD8000EA3FCD42B9A3D5832896BCED6289604BBD6E389180AB91E598359", "Open")</f>
        <v>Open</v>
      </c>
      <c r="J5351" t="s">
        <v>3803</v>
      </c>
      <c r="L5351">
        <v>535000</v>
      </c>
      <c r="M5351">
        <v>53500</v>
      </c>
    </row>
    <row r="5352" spans="1:13" x14ac:dyDescent="0.25">
      <c r="A5352" t="s">
        <v>17699</v>
      </c>
      <c r="B5352" t="s">
        <v>17700</v>
      </c>
      <c r="C5352" t="s">
        <v>15</v>
      </c>
      <c r="D5352" t="s">
        <v>17701</v>
      </c>
      <c r="E5352" t="s">
        <v>15515</v>
      </c>
      <c r="F5352" t="s">
        <v>15527</v>
      </c>
      <c r="G5352" t="s">
        <v>17702</v>
      </c>
      <c r="H5352" t="str">
        <f>HYPERLINK("https://baanknet.com/view-property/270081/4487023460DD1B74DA54BAC0393B839D2F485FD1DB36767F79EEBE0AA861E7F4", "https://baanknet.com/view-property/270081/4487023460DD1B74DA54BAC0393B839D2F485FD1DB36767F79EEBE0AA861E7F4")</f>
        <v>https://baanknet.com/view-property/270081/4487023460DD1B74DA54BAC0393B839D2F485FD1DB36767F79EEBE0AA861E7F4</v>
      </c>
      <c r="I5352" t="str">
        <f>HYPERLINK("https://baanknet.com/view-property/270081/4487023460DD1B74DA54BAC0393B839D2F485FD1DB36767F79EEBE0AA861E7F4", "Open")</f>
        <v>Open</v>
      </c>
      <c r="J5352" t="s">
        <v>3803</v>
      </c>
      <c r="L5352">
        <v>1400000</v>
      </c>
      <c r="M5352">
        <v>140000</v>
      </c>
    </row>
    <row r="5353" spans="1:13" x14ac:dyDescent="0.25">
      <c r="A5353" t="s">
        <v>17703</v>
      </c>
      <c r="B5353" t="s">
        <v>17704</v>
      </c>
      <c r="C5353" t="s">
        <v>15</v>
      </c>
      <c r="D5353" t="s">
        <v>9943</v>
      </c>
      <c r="E5353" t="s">
        <v>15515</v>
      </c>
      <c r="F5353" t="s">
        <v>15527</v>
      </c>
      <c r="G5353" t="s">
        <v>17705</v>
      </c>
      <c r="H5353" t="str">
        <f>HYPERLINK("https://baanknet.com/view-property/238472/2BA7AB0FB7514B2DAD796FE1EB4BEB3770199C35405A7FD927D8151F0B218AF1", "https://baanknet.com/view-property/238472/2BA7AB0FB7514B2DAD796FE1EB4BEB3770199C35405A7FD927D8151F0B218AF1")</f>
        <v>https://baanknet.com/view-property/238472/2BA7AB0FB7514B2DAD796FE1EB4BEB3770199C35405A7FD927D8151F0B218AF1</v>
      </c>
      <c r="I5353" t="str">
        <f>HYPERLINK("https://baanknet.com/view-property/238472/2BA7AB0FB7514B2DAD796FE1EB4BEB3770199C35405A7FD927D8151F0B218AF1", "Open")</f>
        <v>Open</v>
      </c>
      <c r="J5353" t="s">
        <v>3803</v>
      </c>
      <c r="L5353">
        <v>1100000</v>
      </c>
      <c r="M5353">
        <v>110000</v>
      </c>
    </row>
    <row r="5354" spans="1:13" x14ac:dyDescent="0.25">
      <c r="A5354" t="s">
        <v>17706</v>
      </c>
      <c r="B5354" t="s">
        <v>17707</v>
      </c>
      <c r="C5354" t="s">
        <v>15</v>
      </c>
      <c r="D5354" t="s">
        <v>5365</v>
      </c>
      <c r="E5354" t="s">
        <v>15515</v>
      </c>
      <c r="F5354" t="s">
        <v>15527</v>
      </c>
      <c r="G5354" t="s">
        <v>17708</v>
      </c>
      <c r="H5354" t="str">
        <f>HYPERLINK("https://baanknet.com/view-property/264530/34F8D2D59656E6CD7BA884D1B6452D9C766C7BDDA7CAFEE5F2C74A5B6A7F260B", "https://baanknet.com/view-property/264530/34F8D2D59656E6CD7BA884D1B6452D9C766C7BDDA7CAFEE5F2C74A5B6A7F260B")</f>
        <v>https://baanknet.com/view-property/264530/34F8D2D59656E6CD7BA884D1B6452D9C766C7BDDA7CAFEE5F2C74A5B6A7F260B</v>
      </c>
      <c r="I5354" t="str">
        <f>HYPERLINK("https://baanknet.com/view-property/264530/34F8D2D59656E6CD7BA884D1B6452D9C766C7BDDA7CAFEE5F2C74A5B6A7F260B", "Open")</f>
        <v>Open</v>
      </c>
      <c r="J5354" t="s">
        <v>3803</v>
      </c>
      <c r="L5354">
        <v>3015000</v>
      </c>
      <c r="M5354">
        <v>301500</v>
      </c>
    </row>
    <row r="5355" spans="1:13" x14ac:dyDescent="0.25">
      <c r="A5355" t="s">
        <v>17709</v>
      </c>
      <c r="B5355" t="s">
        <v>17710</v>
      </c>
      <c r="C5355" t="s">
        <v>15</v>
      </c>
      <c r="D5355" t="s">
        <v>5365</v>
      </c>
      <c r="E5355" t="s">
        <v>15515</v>
      </c>
      <c r="F5355" t="s">
        <v>15527</v>
      </c>
      <c r="G5355" t="s">
        <v>17711</v>
      </c>
      <c r="H5355" t="str">
        <f>HYPERLINK("https://baanknet.com/view-property/276250/E8114B75EE32043A82AFF065C60476F5A9F0E4351D86A981456608F4C868E00A", "https://baanknet.com/view-property/276250/E8114B75EE32043A82AFF065C60476F5A9F0E4351D86A981456608F4C868E00A")</f>
        <v>https://baanknet.com/view-property/276250/E8114B75EE32043A82AFF065C60476F5A9F0E4351D86A981456608F4C868E00A</v>
      </c>
      <c r="I5355" t="str">
        <f>HYPERLINK("https://baanknet.com/view-property/276250/E8114B75EE32043A82AFF065C60476F5A9F0E4351D86A981456608F4C868E00A", "Open")</f>
        <v>Open</v>
      </c>
      <c r="J5355" t="s">
        <v>3803</v>
      </c>
      <c r="L5355">
        <v>4525000</v>
      </c>
      <c r="M5355">
        <v>452500</v>
      </c>
    </row>
    <row r="5356" spans="1:13" x14ac:dyDescent="0.25">
      <c r="A5356" t="s">
        <v>17712</v>
      </c>
      <c r="B5356" t="s">
        <v>17713</v>
      </c>
      <c r="C5356" t="s">
        <v>15</v>
      </c>
      <c r="D5356" t="s">
        <v>17714</v>
      </c>
      <c r="E5356" t="s">
        <v>15515</v>
      </c>
      <c r="F5356" t="s">
        <v>15527</v>
      </c>
      <c r="G5356" t="s">
        <v>17715</v>
      </c>
      <c r="H5356" t="str">
        <f>HYPERLINK("https://baanknet.com/view-property/259602/F19C5C983718E715EA88A32213E780715D61E5005F79299B6CBCFF2AFC6CF287", "https://baanknet.com/view-property/259602/F19C5C983718E715EA88A32213E780715D61E5005F79299B6CBCFF2AFC6CF287")</f>
        <v>https://baanknet.com/view-property/259602/F19C5C983718E715EA88A32213E780715D61E5005F79299B6CBCFF2AFC6CF287</v>
      </c>
      <c r="I5356" t="str">
        <f>HYPERLINK("https://baanknet.com/view-property/259602/F19C5C983718E715EA88A32213E780715D61E5005F79299B6CBCFF2AFC6CF287", "Open")</f>
        <v>Open</v>
      </c>
      <c r="J5356" t="s">
        <v>3803</v>
      </c>
      <c r="L5356">
        <v>1115000</v>
      </c>
      <c r="M5356">
        <v>111500</v>
      </c>
    </row>
    <row r="5357" spans="1:13" x14ac:dyDescent="0.25">
      <c r="A5357" t="s">
        <v>17716</v>
      </c>
      <c r="B5357" t="s">
        <v>17717</v>
      </c>
      <c r="C5357" t="s">
        <v>15</v>
      </c>
      <c r="D5357" t="s">
        <v>17718</v>
      </c>
      <c r="E5357" t="s">
        <v>15515</v>
      </c>
      <c r="F5357" t="s">
        <v>15527</v>
      </c>
      <c r="G5357" t="s">
        <v>17719</v>
      </c>
      <c r="H5357" t="str">
        <f>HYPERLINK("https://baanknet.com/view-property/276172/868A0BBC254E22AEAFADB13C2F4E9EBB1A536B7155066ADE2E51A24F6116C0B0", "https://baanknet.com/view-property/276172/868A0BBC254E22AEAFADB13C2F4E9EBB1A536B7155066ADE2E51A24F6116C0B0")</f>
        <v>https://baanknet.com/view-property/276172/868A0BBC254E22AEAFADB13C2F4E9EBB1A536B7155066ADE2E51A24F6116C0B0</v>
      </c>
      <c r="I5357" t="str">
        <f>HYPERLINK("https://baanknet.com/view-property/276172/868A0BBC254E22AEAFADB13C2F4E9EBB1A536B7155066ADE2E51A24F6116C0B0", "Open")</f>
        <v>Open</v>
      </c>
      <c r="J5357" t="s">
        <v>3803</v>
      </c>
      <c r="L5357">
        <v>2420000</v>
      </c>
      <c r="M5357">
        <v>242000</v>
      </c>
    </row>
    <row r="5358" spans="1:13" x14ac:dyDescent="0.25">
      <c r="A5358" t="s">
        <v>17720</v>
      </c>
      <c r="B5358" t="s">
        <v>17721</v>
      </c>
      <c r="C5358" t="s">
        <v>15</v>
      </c>
      <c r="D5358" t="s">
        <v>17722</v>
      </c>
      <c r="E5358" t="s">
        <v>15515</v>
      </c>
      <c r="F5358" t="s">
        <v>15527</v>
      </c>
      <c r="G5358" t="s">
        <v>17723</v>
      </c>
      <c r="H5358" t="str">
        <f>HYPERLINK("https://baanknet.com/view-property/287207/2E2244B1D8FD337F13716DE77375594761F9B888546FF8120B0E1CAAC7710754", "https://baanknet.com/view-property/287207/2E2244B1D8FD337F13716DE77375594761F9B888546FF8120B0E1CAAC7710754")</f>
        <v>https://baanknet.com/view-property/287207/2E2244B1D8FD337F13716DE77375594761F9B888546FF8120B0E1CAAC7710754</v>
      </c>
      <c r="I5358" t="str">
        <f>HYPERLINK("https://baanknet.com/view-property/287207/2E2244B1D8FD337F13716DE77375594761F9B888546FF8120B0E1CAAC7710754", "Open")</f>
        <v>Open</v>
      </c>
      <c r="J5358" t="s">
        <v>3803</v>
      </c>
      <c r="L5358">
        <v>2809000</v>
      </c>
      <c r="M5358">
        <v>280900</v>
      </c>
    </row>
    <row r="5359" spans="1:13" x14ac:dyDescent="0.25">
      <c r="A5359" t="s">
        <v>17724</v>
      </c>
      <c r="B5359" t="s">
        <v>17725</v>
      </c>
      <c r="C5359" t="s">
        <v>15</v>
      </c>
      <c r="D5359" t="s">
        <v>17726</v>
      </c>
      <c r="E5359" t="s">
        <v>15515</v>
      </c>
      <c r="F5359" t="s">
        <v>16441</v>
      </c>
      <c r="G5359" t="s">
        <v>17727</v>
      </c>
      <c r="H5359" t="str">
        <f>HYPERLINK("https://baanknet.com/view-property/189029/1443F80F1984FC449B75FC9891FECDF19779EABD83FF88D56644BE893A087F33", "https://baanknet.com/view-property/189029/1443F80F1984FC449B75FC9891FECDF19779EABD83FF88D56644BE893A087F33")</f>
        <v>https://baanknet.com/view-property/189029/1443F80F1984FC449B75FC9891FECDF19779EABD83FF88D56644BE893A087F33</v>
      </c>
      <c r="I5359" t="str">
        <f>HYPERLINK("https://baanknet.com/view-property/189029/1443F80F1984FC449B75FC9891FECDF19779EABD83FF88D56644BE893A087F33", "Open")</f>
        <v>Open</v>
      </c>
      <c r="J5359" t="s">
        <v>3803</v>
      </c>
      <c r="L5359">
        <v>1313000</v>
      </c>
      <c r="M5359">
        <v>131300</v>
      </c>
    </row>
    <row r="5360" spans="1:13" x14ac:dyDescent="0.25">
      <c r="A5360" t="s">
        <v>17728</v>
      </c>
      <c r="B5360" t="s">
        <v>17729</v>
      </c>
      <c r="C5360" t="s">
        <v>15</v>
      </c>
      <c r="D5360" t="s">
        <v>17730</v>
      </c>
      <c r="E5360" t="s">
        <v>15515</v>
      </c>
      <c r="F5360" t="s">
        <v>16441</v>
      </c>
      <c r="G5360" t="s">
        <v>17731</v>
      </c>
      <c r="H5360" t="str">
        <f>HYPERLINK("https://baanknet.com/view-property/238623/5E1ECFE29A2F9494495B9D9F62E3E01161D42DF0F7147EB696DFB3F629E01F10", "https://baanknet.com/view-property/238623/5E1ECFE29A2F9494495B9D9F62E3E01161D42DF0F7147EB696DFB3F629E01F10")</f>
        <v>https://baanknet.com/view-property/238623/5E1ECFE29A2F9494495B9D9F62E3E01161D42DF0F7147EB696DFB3F629E01F10</v>
      </c>
      <c r="I5360" t="str">
        <f>HYPERLINK("https://baanknet.com/view-property/238623/5E1ECFE29A2F9494495B9D9F62E3E01161D42DF0F7147EB696DFB3F629E01F10", "Open")</f>
        <v>Open</v>
      </c>
      <c r="J5360" t="s">
        <v>3803</v>
      </c>
      <c r="L5360">
        <v>1318000</v>
      </c>
      <c r="M5360">
        <v>131800</v>
      </c>
    </row>
    <row r="5361" spans="1:13" x14ac:dyDescent="0.25">
      <c r="A5361" t="s">
        <v>17732</v>
      </c>
      <c r="B5361" t="s">
        <v>17733</v>
      </c>
      <c r="C5361" t="s">
        <v>332</v>
      </c>
      <c r="D5361" t="s">
        <v>1481</v>
      </c>
      <c r="E5361" t="s">
        <v>15515</v>
      </c>
      <c r="F5361" t="s">
        <v>15560</v>
      </c>
      <c r="G5361" t="s">
        <v>17734</v>
      </c>
      <c r="H5361" t="str">
        <f>HYPERLINK("https://baanknet.com/view-property/274531/28F8436C8D2AABB0BD2EB5015561589C81DD171D954B5432CCB8DE17E97B6A6F", "https://baanknet.com/view-property/274531/28F8436C8D2AABB0BD2EB5015561589C81DD171D954B5432CCB8DE17E97B6A6F")</f>
        <v>https://baanknet.com/view-property/274531/28F8436C8D2AABB0BD2EB5015561589C81DD171D954B5432CCB8DE17E97B6A6F</v>
      </c>
      <c r="I5361" t="str">
        <f>HYPERLINK("https://baanknet.com/view-property/274531/28F8436C8D2AABB0BD2EB5015561589C81DD171D954B5432CCB8DE17E97B6A6F", "Open")</f>
        <v>Open</v>
      </c>
      <c r="J5361" t="s">
        <v>3803</v>
      </c>
      <c r="L5361">
        <v>10500000</v>
      </c>
      <c r="M5361">
        <v>1050000</v>
      </c>
    </row>
    <row r="5362" spans="1:13" x14ac:dyDescent="0.25">
      <c r="A5362" t="s">
        <v>17735</v>
      </c>
      <c r="B5362" t="s">
        <v>17736</v>
      </c>
      <c r="C5362" t="s">
        <v>15</v>
      </c>
      <c r="D5362" t="s">
        <v>17737</v>
      </c>
      <c r="E5362" t="s">
        <v>15515</v>
      </c>
      <c r="F5362" t="s">
        <v>15560</v>
      </c>
      <c r="G5362" t="s">
        <v>17738</v>
      </c>
      <c r="H5362" t="str">
        <f>HYPERLINK("https://baanknet.com/view-property/242751/247ED984D72E94F9B846F6A9A5D23322DB671B06AEADB5929DCA08DB49DC0AA1", "https://baanknet.com/view-property/242751/247ED984D72E94F9B846F6A9A5D23322DB671B06AEADB5929DCA08DB49DC0AA1")</f>
        <v>https://baanknet.com/view-property/242751/247ED984D72E94F9B846F6A9A5D23322DB671B06AEADB5929DCA08DB49DC0AA1</v>
      </c>
      <c r="I5362" t="str">
        <f>HYPERLINK("https://baanknet.com/view-property/242751/247ED984D72E94F9B846F6A9A5D23322DB671B06AEADB5929DCA08DB49DC0AA1", "Open")</f>
        <v>Open</v>
      </c>
      <c r="J5362" t="s">
        <v>3803</v>
      </c>
      <c r="L5362">
        <v>1100000</v>
      </c>
      <c r="M5362">
        <v>110000</v>
      </c>
    </row>
    <row r="5363" spans="1:13" x14ac:dyDescent="0.25">
      <c r="A5363" t="s">
        <v>17739</v>
      </c>
      <c r="B5363" t="s">
        <v>17740</v>
      </c>
      <c r="C5363" t="s">
        <v>332</v>
      </c>
      <c r="D5363" t="s">
        <v>1300</v>
      </c>
      <c r="E5363" t="s">
        <v>15515</v>
      </c>
      <c r="F5363" t="s">
        <v>15560</v>
      </c>
      <c r="G5363" t="s">
        <v>17741</v>
      </c>
      <c r="H5363" t="str">
        <f>HYPERLINK("https://baanknet.com/view-property/256013/2B045CB8DEDCD61F5D5A6433581D3E3C6849A81F2C1594E043591271EE47FDEB", "https://baanknet.com/view-property/256013/2B045CB8DEDCD61F5D5A6433581D3E3C6849A81F2C1594E043591271EE47FDEB")</f>
        <v>https://baanknet.com/view-property/256013/2B045CB8DEDCD61F5D5A6433581D3E3C6849A81F2C1594E043591271EE47FDEB</v>
      </c>
      <c r="I5363" t="str">
        <f>HYPERLINK("https://baanknet.com/view-property/256013/2B045CB8DEDCD61F5D5A6433581D3E3C6849A81F2C1594E043591271EE47FDEB", "Open")</f>
        <v>Open</v>
      </c>
      <c r="J5363" t="s">
        <v>3803</v>
      </c>
      <c r="L5363">
        <v>2828400</v>
      </c>
      <c r="M5363">
        <v>282840</v>
      </c>
    </row>
    <row r="5364" spans="1:13" x14ac:dyDescent="0.25">
      <c r="A5364" t="s">
        <v>17742</v>
      </c>
      <c r="B5364" t="s">
        <v>17743</v>
      </c>
      <c r="C5364" t="s">
        <v>332</v>
      </c>
      <c r="D5364" t="s">
        <v>17744</v>
      </c>
      <c r="E5364" t="s">
        <v>15515</v>
      </c>
      <c r="F5364" t="s">
        <v>15560</v>
      </c>
      <c r="G5364" t="s">
        <v>17745</v>
      </c>
      <c r="H5364" t="str">
        <f>HYPERLINK("https://baanknet.com/view-property/259351/FA95FC8C51EFA0E4C22A2E0AAEB79BD3D2686151A96ADBA03E0A9B6855CA88EA", "https://baanknet.com/view-property/259351/FA95FC8C51EFA0E4C22A2E0AAEB79BD3D2686151A96ADBA03E0A9B6855CA88EA")</f>
        <v>https://baanknet.com/view-property/259351/FA95FC8C51EFA0E4C22A2E0AAEB79BD3D2686151A96ADBA03E0A9B6855CA88EA</v>
      </c>
      <c r="I5364" t="str">
        <f>HYPERLINK("https://baanknet.com/view-property/259351/FA95FC8C51EFA0E4C22A2E0AAEB79BD3D2686151A96ADBA03E0A9B6855CA88EA", "Open")</f>
        <v>Open</v>
      </c>
      <c r="J5364" t="s">
        <v>3803</v>
      </c>
      <c r="L5364">
        <v>3849000</v>
      </c>
      <c r="M5364">
        <v>384900</v>
      </c>
    </row>
    <row r="5365" spans="1:13" x14ac:dyDescent="0.25">
      <c r="A5365" t="s">
        <v>17746</v>
      </c>
      <c r="B5365" t="s">
        <v>17747</v>
      </c>
      <c r="C5365" t="s">
        <v>332</v>
      </c>
      <c r="D5365" t="s">
        <v>1300</v>
      </c>
      <c r="E5365" t="s">
        <v>15515</v>
      </c>
      <c r="F5365" t="s">
        <v>15560</v>
      </c>
      <c r="G5365" t="s">
        <v>17748</v>
      </c>
      <c r="H5365" t="str">
        <f>HYPERLINK("https://baanknet.com/view-property/258161/5169BB04C04213AD10409FD46C38993D9D1FBF06B00588445DEF69F8CD354454", "https://baanknet.com/view-property/258161/5169BB04C04213AD10409FD46C38993D9D1FBF06B00588445DEF69F8CD354454")</f>
        <v>https://baanknet.com/view-property/258161/5169BB04C04213AD10409FD46C38993D9D1FBF06B00588445DEF69F8CD354454</v>
      </c>
      <c r="I5365" t="str">
        <f>HYPERLINK("https://baanknet.com/view-property/258161/5169BB04C04213AD10409FD46C38993D9D1FBF06B00588445DEF69F8CD354454", "Open")</f>
        <v>Open</v>
      </c>
      <c r="J5365" t="s">
        <v>3803</v>
      </c>
      <c r="L5365">
        <v>12797000</v>
      </c>
      <c r="M5365">
        <v>1279700</v>
      </c>
    </row>
    <row r="5366" spans="1:13" x14ac:dyDescent="0.25">
      <c r="A5366" t="s">
        <v>17749</v>
      </c>
      <c r="B5366" t="s">
        <v>17750</v>
      </c>
      <c r="C5366" t="s">
        <v>594</v>
      </c>
      <c r="D5366" t="s">
        <v>17751</v>
      </c>
      <c r="E5366" t="s">
        <v>15515</v>
      </c>
      <c r="F5366" t="s">
        <v>15608</v>
      </c>
      <c r="G5366" t="s">
        <v>17752</v>
      </c>
      <c r="H5366" t="str">
        <f>HYPERLINK("https://baanknet.com/view-property/285977/298C71022C30C925FCC4879FFEC4C03C706A58AE173C0A5D311C6D8D34004178", "https://baanknet.com/view-property/285977/298C71022C30C925FCC4879FFEC4C03C706A58AE173C0A5D311C6D8D34004178")</f>
        <v>https://baanknet.com/view-property/285977/298C71022C30C925FCC4879FFEC4C03C706A58AE173C0A5D311C6D8D34004178</v>
      </c>
      <c r="I5366" t="str">
        <f>HYPERLINK("https://baanknet.com/view-property/285977/298C71022C30C925FCC4879FFEC4C03C706A58AE173C0A5D311C6D8D34004178", "Open")</f>
        <v>Open</v>
      </c>
      <c r="J5366" t="s">
        <v>3803</v>
      </c>
      <c r="L5366">
        <v>91600000</v>
      </c>
      <c r="M5366">
        <v>9160000</v>
      </c>
    </row>
    <row r="5367" spans="1:13" x14ac:dyDescent="0.25">
      <c r="A5367" t="s">
        <v>17753</v>
      </c>
      <c r="B5367" t="s">
        <v>17754</v>
      </c>
      <c r="C5367" t="s">
        <v>594</v>
      </c>
      <c r="D5367" t="s">
        <v>32</v>
      </c>
      <c r="E5367" t="s">
        <v>15515</v>
      </c>
      <c r="F5367" t="s">
        <v>15608</v>
      </c>
      <c r="G5367" t="s">
        <v>17755</v>
      </c>
      <c r="H5367" t="str">
        <f>HYPERLINK("https://baanknet.com/view-property/273945/4EC7C536951C12C8AE76AC4321898C64D8B4F443E90B382E3F6FA60D04B7E47D", "https://baanknet.com/view-property/273945/4EC7C536951C12C8AE76AC4321898C64D8B4F443E90B382E3F6FA60D04B7E47D")</f>
        <v>https://baanknet.com/view-property/273945/4EC7C536951C12C8AE76AC4321898C64D8B4F443E90B382E3F6FA60D04B7E47D</v>
      </c>
      <c r="I5367" t="str">
        <f>HYPERLINK("https://baanknet.com/view-property/273945/4EC7C536951C12C8AE76AC4321898C64D8B4F443E90B382E3F6FA60D04B7E47D", "Open")</f>
        <v>Open</v>
      </c>
      <c r="J5367" t="s">
        <v>3803</v>
      </c>
      <c r="L5367">
        <v>21400000</v>
      </c>
      <c r="M5367">
        <v>2140000</v>
      </c>
    </row>
    <row r="5368" spans="1:13" x14ac:dyDescent="0.25">
      <c r="A5368" t="s">
        <v>17756</v>
      </c>
      <c r="B5368" t="s">
        <v>17757</v>
      </c>
      <c r="C5368" t="s">
        <v>594</v>
      </c>
      <c r="D5368" t="s">
        <v>32</v>
      </c>
      <c r="E5368" t="s">
        <v>15515</v>
      </c>
      <c r="F5368" t="s">
        <v>15608</v>
      </c>
      <c r="G5368" t="s">
        <v>17758</v>
      </c>
      <c r="H5368" t="str">
        <f>HYPERLINK("https://baanknet.com/view-property/32909/ECF7CD9435BF13C3C3D73E148BCFE150686DDB7AB08A005A7D5A35A8D4D3EE26", "https://baanknet.com/view-property/32909/ECF7CD9435BF13C3C3D73E148BCFE150686DDB7AB08A005A7D5A35A8D4D3EE26")</f>
        <v>https://baanknet.com/view-property/32909/ECF7CD9435BF13C3C3D73E148BCFE150686DDB7AB08A005A7D5A35A8D4D3EE26</v>
      </c>
      <c r="I5368" t="str">
        <f>HYPERLINK("https://baanknet.com/view-property/32909/ECF7CD9435BF13C3C3D73E148BCFE150686DDB7AB08A005A7D5A35A8D4D3EE26", "Open")</f>
        <v>Open</v>
      </c>
      <c r="J5368" t="s">
        <v>3803</v>
      </c>
      <c r="L5368">
        <v>5040000</v>
      </c>
      <c r="M5368">
        <v>504000</v>
      </c>
    </row>
    <row r="5369" spans="1:13" x14ac:dyDescent="0.25">
      <c r="A5369" t="s">
        <v>17759</v>
      </c>
      <c r="B5369" t="s">
        <v>17760</v>
      </c>
      <c r="C5369" t="s">
        <v>594</v>
      </c>
      <c r="D5369" t="s">
        <v>32</v>
      </c>
      <c r="E5369" t="s">
        <v>15515</v>
      </c>
      <c r="F5369" t="s">
        <v>15608</v>
      </c>
      <c r="G5369" t="s">
        <v>17761</v>
      </c>
      <c r="H5369" t="str">
        <f>HYPERLINK("https://baanknet.com/view-property/112693/E8F2A47A0C312E80EACA148C1849CC20931DE5B21C7837B5EA17ECFB5A49C50F", "https://baanknet.com/view-property/112693/E8F2A47A0C312E80EACA148C1849CC20931DE5B21C7837B5EA17ECFB5A49C50F")</f>
        <v>https://baanknet.com/view-property/112693/E8F2A47A0C312E80EACA148C1849CC20931DE5B21C7837B5EA17ECFB5A49C50F</v>
      </c>
      <c r="I5369" t="str">
        <f>HYPERLINK("https://baanknet.com/view-property/112693/E8F2A47A0C312E80EACA148C1849CC20931DE5B21C7837B5EA17ECFB5A49C50F", "Open")</f>
        <v>Open</v>
      </c>
      <c r="J5369" t="s">
        <v>3803</v>
      </c>
      <c r="L5369">
        <v>1600000</v>
      </c>
      <c r="M5369">
        <v>160000</v>
      </c>
    </row>
    <row r="5370" spans="1:13" x14ac:dyDescent="0.25">
      <c r="A5370" t="s">
        <v>17762</v>
      </c>
      <c r="B5370" t="s">
        <v>17763</v>
      </c>
      <c r="C5370" t="s">
        <v>594</v>
      </c>
      <c r="D5370" t="s">
        <v>1337</v>
      </c>
      <c r="E5370" t="s">
        <v>15515</v>
      </c>
      <c r="F5370" t="s">
        <v>15608</v>
      </c>
      <c r="G5370" t="s">
        <v>17764</v>
      </c>
      <c r="H5370" t="str">
        <f>HYPERLINK("https://baanknet.com/view-property/216130/EEC94363B5D625AAFEB2319C201E015AD24D5FC5220C46926820F3B4EFCFAD6A", "https://baanknet.com/view-property/216130/EEC94363B5D625AAFEB2319C201E015AD24D5FC5220C46926820F3B4EFCFAD6A")</f>
        <v>https://baanknet.com/view-property/216130/EEC94363B5D625AAFEB2319C201E015AD24D5FC5220C46926820F3B4EFCFAD6A</v>
      </c>
      <c r="I5370" t="str">
        <f>HYPERLINK("https://baanknet.com/view-property/216130/EEC94363B5D625AAFEB2319C201E015AD24D5FC5220C46926820F3B4EFCFAD6A", "Open")</f>
        <v>Open</v>
      </c>
      <c r="J5370" t="s">
        <v>3803</v>
      </c>
      <c r="L5370">
        <v>4848000</v>
      </c>
      <c r="M5370">
        <v>484800</v>
      </c>
    </row>
    <row r="5371" spans="1:13" x14ac:dyDescent="0.25">
      <c r="A5371" t="s">
        <v>17765</v>
      </c>
      <c r="B5371" t="s">
        <v>17766</v>
      </c>
      <c r="C5371" t="s">
        <v>594</v>
      </c>
      <c r="D5371" t="s">
        <v>14236</v>
      </c>
      <c r="E5371" t="s">
        <v>15515</v>
      </c>
      <c r="F5371" t="s">
        <v>15608</v>
      </c>
      <c r="G5371" t="s">
        <v>17767</v>
      </c>
      <c r="H5371" t="str">
        <f>HYPERLINK("https://baanknet.com/view-property/232142/71722F1A7632499A227A6C616661F299F8BFC3F07F5329F1912A77D1F30F7876", "https://baanknet.com/view-property/232142/71722F1A7632499A227A6C616661F299F8BFC3F07F5329F1912A77D1F30F7876")</f>
        <v>https://baanknet.com/view-property/232142/71722F1A7632499A227A6C616661F299F8BFC3F07F5329F1912A77D1F30F7876</v>
      </c>
      <c r="I5371" t="str">
        <f>HYPERLINK("https://baanknet.com/view-property/232142/71722F1A7632499A227A6C616661F299F8BFC3F07F5329F1912A77D1F30F7876", "Open")</f>
        <v>Open</v>
      </c>
      <c r="J5371" t="s">
        <v>3803</v>
      </c>
      <c r="L5371">
        <v>4928000</v>
      </c>
      <c r="M5371">
        <v>492800</v>
      </c>
    </row>
    <row r="5372" spans="1:13" x14ac:dyDescent="0.25">
      <c r="A5372" t="s">
        <v>17768</v>
      </c>
      <c r="B5372" t="s">
        <v>17769</v>
      </c>
      <c r="C5372" t="s">
        <v>594</v>
      </c>
      <c r="D5372" t="s">
        <v>14236</v>
      </c>
      <c r="E5372" t="s">
        <v>15515</v>
      </c>
      <c r="F5372" t="s">
        <v>15608</v>
      </c>
      <c r="G5372" t="s">
        <v>17770</v>
      </c>
      <c r="H5372" t="str">
        <f>HYPERLINK("https://baanknet.com/view-property/232143/FE2444513C03FC965B12AB60422374780B2C87A51AC20D454AA5131998163E9E", "https://baanknet.com/view-property/232143/FE2444513C03FC965B12AB60422374780B2C87A51AC20D454AA5131998163E9E")</f>
        <v>https://baanknet.com/view-property/232143/FE2444513C03FC965B12AB60422374780B2C87A51AC20D454AA5131998163E9E</v>
      </c>
      <c r="I5372" t="str">
        <f>HYPERLINK("https://baanknet.com/view-property/232143/FE2444513C03FC965B12AB60422374780B2C87A51AC20D454AA5131998163E9E", "Open")</f>
        <v>Open</v>
      </c>
      <c r="J5372" t="s">
        <v>3803</v>
      </c>
      <c r="L5372">
        <v>5454000</v>
      </c>
      <c r="M5372">
        <v>545400</v>
      </c>
    </row>
    <row r="5373" spans="1:13" x14ac:dyDescent="0.25">
      <c r="A5373" t="s">
        <v>17771</v>
      </c>
      <c r="B5373" t="s">
        <v>17772</v>
      </c>
      <c r="C5373" t="s">
        <v>594</v>
      </c>
      <c r="D5373" t="s">
        <v>14236</v>
      </c>
      <c r="E5373" t="s">
        <v>15515</v>
      </c>
      <c r="F5373" t="s">
        <v>15608</v>
      </c>
      <c r="G5373" t="s">
        <v>17773</v>
      </c>
      <c r="H5373" t="str">
        <f>HYPERLINK("https://baanknet.com/view-property/232144/F79BF3BB112142D1905787D8919304BF97ECD95CCA2BAE3F119F10C973AE3187", "https://baanknet.com/view-property/232144/F79BF3BB112142D1905787D8919304BF97ECD95CCA2BAE3F119F10C973AE3187")</f>
        <v>https://baanknet.com/view-property/232144/F79BF3BB112142D1905787D8919304BF97ECD95CCA2BAE3F119F10C973AE3187</v>
      </c>
      <c r="I5373" t="str">
        <f>HYPERLINK("https://baanknet.com/view-property/232144/F79BF3BB112142D1905787D8919304BF97ECD95CCA2BAE3F119F10C973AE3187", "Open")</f>
        <v>Open</v>
      </c>
      <c r="J5373" t="s">
        <v>3803</v>
      </c>
      <c r="L5373">
        <v>1469000</v>
      </c>
      <c r="M5373">
        <v>146900</v>
      </c>
    </row>
    <row r="5374" spans="1:13" x14ac:dyDescent="0.25">
      <c r="A5374" t="s">
        <v>17774</v>
      </c>
      <c r="B5374" t="s">
        <v>17775</v>
      </c>
      <c r="C5374" t="s">
        <v>594</v>
      </c>
      <c r="D5374" t="s">
        <v>32</v>
      </c>
      <c r="E5374" t="s">
        <v>15515</v>
      </c>
      <c r="F5374" t="s">
        <v>15608</v>
      </c>
      <c r="G5374" t="s">
        <v>17776</v>
      </c>
      <c r="H5374" t="str">
        <f>HYPERLINK("https://baanknet.com/view-property/99549/F4BE12BE4D0E6762EEDD0D12F258C74B39542B7FB1B1A45F0D7F04980D0266A2", "https://baanknet.com/view-property/99549/F4BE12BE4D0E6762EEDD0D12F258C74B39542B7FB1B1A45F0D7F04980D0266A2")</f>
        <v>https://baanknet.com/view-property/99549/F4BE12BE4D0E6762EEDD0D12F258C74B39542B7FB1B1A45F0D7F04980D0266A2</v>
      </c>
      <c r="I5374" t="str">
        <f>HYPERLINK("https://baanknet.com/view-property/99549/F4BE12BE4D0E6762EEDD0D12F258C74B39542B7FB1B1A45F0D7F04980D0266A2", "Open")</f>
        <v>Open</v>
      </c>
      <c r="J5374" t="s">
        <v>3803</v>
      </c>
      <c r="L5374">
        <v>1476000</v>
      </c>
      <c r="M5374">
        <v>147600</v>
      </c>
    </row>
    <row r="5375" spans="1:13" x14ac:dyDescent="0.25">
      <c r="A5375" t="s">
        <v>17777</v>
      </c>
      <c r="B5375" t="s">
        <v>17778</v>
      </c>
      <c r="C5375" t="s">
        <v>594</v>
      </c>
      <c r="D5375" t="s">
        <v>32</v>
      </c>
      <c r="E5375" t="s">
        <v>15515</v>
      </c>
      <c r="F5375" t="s">
        <v>15608</v>
      </c>
      <c r="G5375" t="s">
        <v>17779</v>
      </c>
      <c r="H5375" t="str">
        <f>HYPERLINK("https://baanknet.com/view-property/235703/748B069FC77B4F3A604ED3F9282024B196F4215F4D96CBF09440716F29C82B22", "https://baanknet.com/view-property/235703/748B069FC77B4F3A604ED3F9282024B196F4215F4D96CBF09440716F29C82B22")</f>
        <v>https://baanknet.com/view-property/235703/748B069FC77B4F3A604ED3F9282024B196F4215F4D96CBF09440716F29C82B22</v>
      </c>
      <c r="I5375" t="str">
        <f>HYPERLINK("https://baanknet.com/view-property/235703/748B069FC77B4F3A604ED3F9282024B196F4215F4D96CBF09440716F29C82B22", "Open")</f>
        <v>Open</v>
      </c>
      <c r="J5375" t="s">
        <v>3803</v>
      </c>
      <c r="L5375">
        <v>4196000</v>
      </c>
      <c r="M5375">
        <v>419600</v>
      </c>
    </row>
    <row r="5376" spans="1:13" x14ac:dyDescent="0.25">
      <c r="A5376" t="s">
        <v>17780</v>
      </c>
      <c r="B5376" t="s">
        <v>17781</v>
      </c>
      <c r="C5376" t="s">
        <v>594</v>
      </c>
      <c r="D5376" t="s">
        <v>17782</v>
      </c>
      <c r="E5376" t="s">
        <v>15515</v>
      </c>
      <c r="F5376" t="s">
        <v>15608</v>
      </c>
      <c r="G5376" t="s">
        <v>17783</v>
      </c>
      <c r="H5376" t="str">
        <f>HYPERLINK("https://baanknet.com/view-property/277468/158F4103C0BBF7522AC93E4A2F1203B1793DE5DC9CE04A994D28D374946CA8B7", "https://baanknet.com/view-property/277468/158F4103C0BBF7522AC93E4A2F1203B1793DE5DC9CE04A994D28D374946CA8B7")</f>
        <v>https://baanknet.com/view-property/277468/158F4103C0BBF7522AC93E4A2F1203B1793DE5DC9CE04A994D28D374946CA8B7</v>
      </c>
      <c r="I5376" t="str">
        <f>HYPERLINK("https://baanknet.com/view-property/277468/158F4103C0BBF7522AC93E4A2F1203B1793DE5DC9CE04A994D28D374946CA8B7", "Open")</f>
        <v>Open</v>
      </c>
      <c r="J5376" t="s">
        <v>3803</v>
      </c>
      <c r="L5376">
        <v>39168000</v>
      </c>
      <c r="M5376">
        <v>3916800</v>
      </c>
    </row>
    <row r="5377" spans="1:13" x14ac:dyDescent="0.25">
      <c r="A5377" t="s">
        <v>17784</v>
      </c>
      <c r="B5377" t="s">
        <v>17785</v>
      </c>
      <c r="C5377" t="s">
        <v>15</v>
      </c>
      <c r="D5377" t="s">
        <v>17786</v>
      </c>
      <c r="E5377" t="s">
        <v>14001</v>
      </c>
      <c r="F5377" t="s">
        <v>17479</v>
      </c>
      <c r="G5377" t="s">
        <v>17787</v>
      </c>
      <c r="H5377" t="str">
        <f>HYPERLINK("https://baanknet.com/view-property/284894/B9A6B9825FF5D4E7EB89381D95350CBC75188B76E6693F21AF2D028467BC975E", "https://baanknet.com/view-property/284894/B9A6B9825FF5D4E7EB89381D95350CBC75188B76E6693F21AF2D028467BC975E")</f>
        <v>https://baanknet.com/view-property/284894/B9A6B9825FF5D4E7EB89381D95350CBC75188B76E6693F21AF2D028467BC975E</v>
      </c>
      <c r="I5377" t="str">
        <f>HYPERLINK("https://baanknet.com/view-property/284894/B9A6B9825FF5D4E7EB89381D95350CBC75188B76E6693F21AF2D028467BC975E", "Open")</f>
        <v>Open</v>
      </c>
      <c r="J5377" t="s">
        <v>3803</v>
      </c>
      <c r="L5377">
        <v>7170300</v>
      </c>
      <c r="M5377">
        <v>717030</v>
      </c>
    </row>
    <row r="5378" spans="1:13" x14ac:dyDescent="0.25">
      <c r="A5378" t="s">
        <v>17788</v>
      </c>
      <c r="B5378" t="s">
        <v>17789</v>
      </c>
      <c r="C5378" t="s">
        <v>15</v>
      </c>
      <c r="D5378" t="s">
        <v>7297</v>
      </c>
      <c r="E5378" t="s">
        <v>14001</v>
      </c>
      <c r="F5378" t="s">
        <v>17479</v>
      </c>
      <c r="G5378" t="s">
        <v>17790</v>
      </c>
      <c r="H5378" t="str">
        <f>HYPERLINK("https://baanknet.com/view-property/285645/588745D4151006D194F4D5F5DCB8A93327F00B280BD2BF9FC87FE3A7EFE1DF84", "https://baanknet.com/view-property/285645/588745D4151006D194F4D5F5DCB8A93327F00B280BD2BF9FC87FE3A7EFE1DF84")</f>
        <v>https://baanknet.com/view-property/285645/588745D4151006D194F4D5F5DCB8A93327F00B280BD2BF9FC87FE3A7EFE1DF84</v>
      </c>
      <c r="I5378" t="str">
        <f>HYPERLINK("https://baanknet.com/view-property/285645/588745D4151006D194F4D5F5DCB8A93327F00B280BD2BF9FC87FE3A7EFE1DF84", "Open")</f>
        <v>Open</v>
      </c>
      <c r="J5378" t="s">
        <v>3803</v>
      </c>
      <c r="L5378">
        <v>1148000</v>
      </c>
      <c r="M5378">
        <v>114800</v>
      </c>
    </row>
    <row r="5379" spans="1:13" x14ac:dyDescent="0.25">
      <c r="A5379" t="s">
        <v>17791</v>
      </c>
      <c r="B5379" t="s">
        <v>17792</v>
      </c>
      <c r="C5379" t="s">
        <v>15</v>
      </c>
      <c r="D5379" t="s">
        <v>17793</v>
      </c>
      <c r="E5379" t="s">
        <v>14001</v>
      </c>
      <c r="F5379" t="s">
        <v>17479</v>
      </c>
      <c r="G5379" t="s">
        <v>17794</v>
      </c>
      <c r="H5379" t="str">
        <f>HYPERLINK("https://baanknet.com/view-property/285848/4E79C4DFB83F1FFD112E6A893578F9F46CE5C31E44A273456AB3AB675A3932AC", "https://baanknet.com/view-property/285848/4E79C4DFB83F1FFD112E6A893578F9F46CE5C31E44A273456AB3AB675A3932AC")</f>
        <v>https://baanknet.com/view-property/285848/4E79C4DFB83F1FFD112E6A893578F9F46CE5C31E44A273456AB3AB675A3932AC</v>
      </c>
      <c r="I5379" t="str">
        <f>HYPERLINK("https://baanknet.com/view-property/285848/4E79C4DFB83F1FFD112E6A893578F9F46CE5C31E44A273456AB3AB675A3932AC", "Open")</f>
        <v>Open</v>
      </c>
      <c r="J5379" t="s">
        <v>3803</v>
      </c>
      <c r="L5379">
        <v>1242000</v>
      </c>
      <c r="M5379">
        <v>124200</v>
      </c>
    </row>
    <row r="5380" spans="1:13" x14ac:dyDescent="0.25">
      <c r="A5380" t="s">
        <v>17795</v>
      </c>
      <c r="B5380" t="s">
        <v>17796</v>
      </c>
      <c r="C5380" t="s">
        <v>15</v>
      </c>
      <c r="D5380" t="s">
        <v>17797</v>
      </c>
      <c r="E5380" t="s">
        <v>14001</v>
      </c>
      <c r="F5380" t="s">
        <v>17479</v>
      </c>
      <c r="G5380" t="s">
        <v>17798</v>
      </c>
      <c r="H5380" t="str">
        <f>HYPERLINK("https://baanknet.com/view-property/191117/C1F56A6395C3DB5BBF28761A3FAE2E022180470FEF8D905F1DFA6AD6D72C585E", "https://baanknet.com/view-property/191117/C1F56A6395C3DB5BBF28761A3FAE2E022180470FEF8D905F1DFA6AD6D72C585E")</f>
        <v>https://baanknet.com/view-property/191117/C1F56A6395C3DB5BBF28761A3FAE2E022180470FEF8D905F1DFA6AD6D72C585E</v>
      </c>
      <c r="I5380" t="str">
        <f>HYPERLINK("https://baanknet.com/view-property/191117/C1F56A6395C3DB5BBF28761A3FAE2E022180470FEF8D905F1DFA6AD6D72C585E", "Open")</f>
        <v>Open</v>
      </c>
      <c r="J5380" t="s">
        <v>3803</v>
      </c>
      <c r="L5380">
        <v>1000000</v>
      </c>
      <c r="M5380">
        <v>100000</v>
      </c>
    </row>
    <row r="5381" spans="1:13" x14ac:dyDescent="0.25">
      <c r="A5381" t="s">
        <v>17799</v>
      </c>
      <c r="B5381" t="s">
        <v>17800</v>
      </c>
      <c r="C5381" t="s">
        <v>15</v>
      </c>
      <c r="D5381" t="s">
        <v>17797</v>
      </c>
      <c r="E5381" t="s">
        <v>14001</v>
      </c>
      <c r="F5381" t="s">
        <v>17479</v>
      </c>
      <c r="G5381" t="s">
        <v>17801</v>
      </c>
      <c r="H5381" t="str">
        <f>HYPERLINK("https://baanknet.com/view-property/191167/5DC9017138C693896E91AB778D3884C4B0B6866CF07C1FE288A72EED722FA335", "https://baanknet.com/view-property/191167/5DC9017138C693896E91AB778D3884C4B0B6866CF07C1FE288A72EED722FA335")</f>
        <v>https://baanknet.com/view-property/191167/5DC9017138C693896E91AB778D3884C4B0B6866CF07C1FE288A72EED722FA335</v>
      </c>
      <c r="I5381" t="str">
        <f>HYPERLINK("https://baanknet.com/view-property/191167/5DC9017138C693896E91AB778D3884C4B0B6866CF07C1FE288A72EED722FA335", "Open")</f>
        <v>Open</v>
      </c>
      <c r="J5381" t="s">
        <v>3803</v>
      </c>
      <c r="L5381">
        <v>1000000</v>
      </c>
      <c r="M5381">
        <v>100000</v>
      </c>
    </row>
    <row r="5382" spans="1:13" x14ac:dyDescent="0.25">
      <c r="A5382" t="s">
        <v>17802</v>
      </c>
      <c r="B5382" t="s">
        <v>17803</v>
      </c>
      <c r="C5382" t="s">
        <v>15</v>
      </c>
      <c r="D5382" t="s">
        <v>17797</v>
      </c>
      <c r="E5382" t="s">
        <v>14001</v>
      </c>
      <c r="F5382" t="s">
        <v>17479</v>
      </c>
      <c r="G5382" t="s">
        <v>17804</v>
      </c>
      <c r="H5382" t="str">
        <f>HYPERLINK("https://baanknet.com/view-property/191213/C362A0AFD690346F2532256CF64227A60A0293DEF87DE409D35DB655E295B9C9", "https://baanknet.com/view-property/191213/C362A0AFD690346F2532256CF64227A60A0293DEF87DE409D35DB655E295B9C9")</f>
        <v>https://baanknet.com/view-property/191213/C362A0AFD690346F2532256CF64227A60A0293DEF87DE409D35DB655E295B9C9</v>
      </c>
      <c r="I5382" t="str">
        <f>HYPERLINK("https://baanknet.com/view-property/191213/C362A0AFD690346F2532256CF64227A60A0293DEF87DE409D35DB655E295B9C9", "Open")</f>
        <v>Open</v>
      </c>
      <c r="J5382" t="s">
        <v>3803</v>
      </c>
      <c r="L5382">
        <v>11700000</v>
      </c>
      <c r="M5382">
        <v>1170000</v>
      </c>
    </row>
    <row r="5383" spans="1:13" x14ac:dyDescent="0.25">
      <c r="A5383" t="s">
        <v>17805</v>
      </c>
      <c r="B5383" t="s">
        <v>17806</v>
      </c>
      <c r="C5383" t="s">
        <v>15</v>
      </c>
      <c r="D5383" t="s">
        <v>17797</v>
      </c>
      <c r="E5383" t="s">
        <v>14001</v>
      </c>
      <c r="F5383" t="s">
        <v>17479</v>
      </c>
      <c r="G5383" t="s">
        <v>17807</v>
      </c>
      <c r="H5383" t="str">
        <f>HYPERLINK("https://baanknet.com/view-property/191133/87B85F1D44C6162758E4A9A73B29D8C291423A913589F0F4628EEAD3585A50D2", "https://baanknet.com/view-property/191133/87B85F1D44C6162758E4A9A73B29D8C291423A913589F0F4628EEAD3585A50D2")</f>
        <v>https://baanknet.com/view-property/191133/87B85F1D44C6162758E4A9A73B29D8C291423A913589F0F4628EEAD3585A50D2</v>
      </c>
      <c r="I5383" t="str">
        <f>HYPERLINK("https://baanknet.com/view-property/191133/87B85F1D44C6162758E4A9A73B29D8C291423A913589F0F4628EEAD3585A50D2", "Open")</f>
        <v>Open</v>
      </c>
      <c r="J5383" t="s">
        <v>3803</v>
      </c>
      <c r="L5383">
        <v>11100000</v>
      </c>
      <c r="M5383">
        <v>1110000</v>
      </c>
    </row>
    <row r="5384" spans="1:13" x14ac:dyDescent="0.25">
      <c r="A5384" t="s">
        <v>17808</v>
      </c>
      <c r="B5384" t="s">
        <v>17809</v>
      </c>
      <c r="C5384" t="s">
        <v>15</v>
      </c>
      <c r="D5384" t="s">
        <v>17797</v>
      </c>
      <c r="E5384" t="s">
        <v>14001</v>
      </c>
      <c r="F5384" t="s">
        <v>17479</v>
      </c>
      <c r="G5384" t="s">
        <v>17810</v>
      </c>
      <c r="H5384" t="str">
        <f>HYPERLINK("https://baanknet.com/view-property/191175/2021F8D40650C9EABE64D2B22156B645E3F76DC5FD7007D0502F051FA3A9D476", "https://baanknet.com/view-property/191175/2021F8D40650C9EABE64D2B22156B645E3F76DC5FD7007D0502F051FA3A9D476")</f>
        <v>https://baanknet.com/view-property/191175/2021F8D40650C9EABE64D2B22156B645E3F76DC5FD7007D0502F051FA3A9D476</v>
      </c>
      <c r="I5384" t="str">
        <f>HYPERLINK("https://baanknet.com/view-property/191175/2021F8D40650C9EABE64D2B22156B645E3F76DC5FD7007D0502F051FA3A9D476", "Open")</f>
        <v>Open</v>
      </c>
      <c r="J5384" t="s">
        <v>3803</v>
      </c>
      <c r="L5384">
        <v>1000000</v>
      </c>
      <c r="M5384">
        <v>100000</v>
      </c>
    </row>
    <row r="5385" spans="1:13" x14ac:dyDescent="0.25">
      <c r="A5385" t="s">
        <v>17811</v>
      </c>
      <c r="B5385" t="s">
        <v>17812</v>
      </c>
      <c r="C5385" t="s">
        <v>15</v>
      </c>
      <c r="D5385" t="s">
        <v>17797</v>
      </c>
      <c r="E5385" t="s">
        <v>14001</v>
      </c>
      <c r="F5385" t="s">
        <v>17479</v>
      </c>
      <c r="G5385" t="s">
        <v>17813</v>
      </c>
      <c r="H5385" t="str">
        <f>HYPERLINK("https://baanknet.com/view-property/191183/43FB7219EB9747485DFCD974B425FF4208ACC17F1FE30CB860DDCAABEB6B2C07", "https://baanknet.com/view-property/191183/43FB7219EB9747485DFCD974B425FF4208ACC17F1FE30CB860DDCAABEB6B2C07")</f>
        <v>https://baanknet.com/view-property/191183/43FB7219EB9747485DFCD974B425FF4208ACC17F1FE30CB860DDCAABEB6B2C07</v>
      </c>
      <c r="I5385" t="str">
        <f>HYPERLINK("https://baanknet.com/view-property/191183/43FB7219EB9747485DFCD974B425FF4208ACC17F1FE30CB860DDCAABEB6B2C07", "Open")</f>
        <v>Open</v>
      </c>
      <c r="J5385" t="s">
        <v>3803</v>
      </c>
      <c r="L5385">
        <v>1000000</v>
      </c>
      <c r="M5385">
        <v>100000</v>
      </c>
    </row>
    <row r="5386" spans="1:13" x14ac:dyDescent="0.25">
      <c r="A5386" t="s">
        <v>17814</v>
      </c>
      <c r="B5386" t="s">
        <v>17815</v>
      </c>
      <c r="C5386" t="s">
        <v>15</v>
      </c>
      <c r="D5386" t="s">
        <v>17797</v>
      </c>
      <c r="E5386" t="s">
        <v>14001</v>
      </c>
      <c r="F5386" t="s">
        <v>17479</v>
      </c>
      <c r="G5386" t="s">
        <v>17816</v>
      </c>
      <c r="H5386" t="str">
        <f>HYPERLINK("https://baanknet.com/view-property/191139/5E79A76B30BFC6A750B9E9DEC17B7C2CD467AFA5B685EDD3C1B8FF31A7D31F90", "https://baanknet.com/view-property/191139/5E79A76B30BFC6A750B9E9DEC17B7C2CD467AFA5B685EDD3C1B8FF31A7D31F90")</f>
        <v>https://baanknet.com/view-property/191139/5E79A76B30BFC6A750B9E9DEC17B7C2CD467AFA5B685EDD3C1B8FF31A7D31F90</v>
      </c>
      <c r="I5386" t="str">
        <f>HYPERLINK("https://baanknet.com/view-property/191139/5E79A76B30BFC6A750B9E9DEC17B7C2CD467AFA5B685EDD3C1B8FF31A7D31F90", "Open")</f>
        <v>Open</v>
      </c>
      <c r="J5386" t="s">
        <v>3803</v>
      </c>
      <c r="L5386">
        <v>35500000</v>
      </c>
      <c r="M5386">
        <v>3550000</v>
      </c>
    </row>
    <row r="5387" spans="1:13" x14ac:dyDescent="0.25">
      <c r="A5387" t="s">
        <v>17817</v>
      </c>
      <c r="B5387" t="s">
        <v>17818</v>
      </c>
      <c r="C5387" t="s">
        <v>15</v>
      </c>
      <c r="D5387" t="s">
        <v>17797</v>
      </c>
      <c r="E5387" t="s">
        <v>14001</v>
      </c>
      <c r="F5387" t="s">
        <v>17479</v>
      </c>
      <c r="G5387" t="s">
        <v>17819</v>
      </c>
      <c r="H5387" t="str">
        <f>HYPERLINK("https://baanknet.com/view-property/191224/3DEEBDB7AA1822D45872875F5002ADEDC6CF2F55D66539C9EE2366853441C119", "https://baanknet.com/view-property/191224/3DEEBDB7AA1822D45872875F5002ADEDC6CF2F55D66539C9EE2366853441C119")</f>
        <v>https://baanknet.com/view-property/191224/3DEEBDB7AA1822D45872875F5002ADEDC6CF2F55D66539C9EE2366853441C119</v>
      </c>
      <c r="I5387" t="str">
        <f>HYPERLINK("https://baanknet.com/view-property/191224/3DEEBDB7AA1822D45872875F5002ADEDC6CF2F55D66539C9EE2366853441C119", "Open")</f>
        <v>Open</v>
      </c>
      <c r="J5387" t="s">
        <v>3803</v>
      </c>
      <c r="L5387">
        <v>1000000</v>
      </c>
      <c r="M5387">
        <v>100000</v>
      </c>
    </row>
    <row r="5388" spans="1:13" x14ac:dyDescent="0.25">
      <c r="A5388" t="s">
        <v>17820</v>
      </c>
      <c r="B5388" t="s">
        <v>17821</v>
      </c>
      <c r="C5388" t="s">
        <v>15</v>
      </c>
      <c r="D5388" t="s">
        <v>17797</v>
      </c>
      <c r="E5388" t="s">
        <v>14001</v>
      </c>
      <c r="F5388" t="s">
        <v>17479</v>
      </c>
      <c r="G5388" t="s">
        <v>17822</v>
      </c>
      <c r="H5388" t="str">
        <f>HYPERLINK("https://baanknet.com/view-property/191169/E65858F01E77C5202B7DD69AC5015487440A56B2545AC87BCEFF14F2C9190FE9", "https://baanknet.com/view-property/191169/E65858F01E77C5202B7DD69AC5015487440A56B2545AC87BCEFF14F2C9190FE9")</f>
        <v>https://baanknet.com/view-property/191169/E65858F01E77C5202B7DD69AC5015487440A56B2545AC87BCEFF14F2C9190FE9</v>
      </c>
      <c r="I5388" t="str">
        <f>HYPERLINK("https://baanknet.com/view-property/191169/E65858F01E77C5202B7DD69AC5015487440A56B2545AC87BCEFF14F2C9190FE9", "Open")</f>
        <v>Open</v>
      </c>
      <c r="J5388" t="s">
        <v>3803</v>
      </c>
      <c r="L5388">
        <v>1000000</v>
      </c>
      <c r="M5388">
        <v>100000</v>
      </c>
    </row>
    <row r="5389" spans="1:13" x14ac:dyDescent="0.25">
      <c r="A5389" t="s">
        <v>17823</v>
      </c>
      <c r="B5389" t="s">
        <v>17824</v>
      </c>
      <c r="C5389" t="s">
        <v>15</v>
      </c>
      <c r="D5389" t="s">
        <v>1366</v>
      </c>
      <c r="E5389" t="s">
        <v>14001</v>
      </c>
      <c r="F5389" t="s">
        <v>17479</v>
      </c>
      <c r="G5389" t="s">
        <v>17825</v>
      </c>
      <c r="H5389" t="str">
        <f>HYPERLINK("https://baanknet.com/view-property/286736/29F27A3C77D5EA971D4A4ED603815327FA6F8BDD8727A8B31406C890AEC55647", "https://baanknet.com/view-property/286736/29F27A3C77D5EA971D4A4ED603815327FA6F8BDD8727A8B31406C890AEC55647")</f>
        <v>https://baanknet.com/view-property/286736/29F27A3C77D5EA971D4A4ED603815327FA6F8BDD8727A8B31406C890AEC55647</v>
      </c>
      <c r="I5389" t="str">
        <f>HYPERLINK("https://baanknet.com/view-property/286736/29F27A3C77D5EA971D4A4ED603815327FA6F8BDD8727A8B31406C890AEC55647", "Open")</f>
        <v>Open</v>
      </c>
      <c r="J5389" t="s">
        <v>3803</v>
      </c>
      <c r="L5389">
        <v>2109000</v>
      </c>
      <c r="M5389">
        <v>210900</v>
      </c>
    </row>
    <row r="5390" spans="1:13" x14ac:dyDescent="0.25">
      <c r="A5390" t="s">
        <v>17826</v>
      </c>
      <c r="B5390" t="s">
        <v>17827</v>
      </c>
      <c r="C5390" t="s">
        <v>15</v>
      </c>
      <c r="D5390" t="s">
        <v>1366</v>
      </c>
      <c r="E5390" t="s">
        <v>14001</v>
      </c>
      <c r="F5390" t="s">
        <v>17479</v>
      </c>
      <c r="G5390" t="s">
        <v>17828</v>
      </c>
      <c r="H5390" t="str">
        <f>HYPERLINK("https://baanknet.com/view-property/286729/D4EA8621DCFE99352E85EE48FBACB826A0D91FAD19383595F32AF785EA201D62", "https://baanknet.com/view-property/286729/D4EA8621DCFE99352E85EE48FBACB826A0D91FAD19383595F32AF785EA201D62")</f>
        <v>https://baanknet.com/view-property/286729/D4EA8621DCFE99352E85EE48FBACB826A0D91FAD19383595F32AF785EA201D62</v>
      </c>
      <c r="I5390" t="str">
        <f>HYPERLINK("https://baanknet.com/view-property/286729/D4EA8621DCFE99352E85EE48FBACB826A0D91FAD19383595F32AF785EA201D62", "Open")</f>
        <v>Open</v>
      </c>
      <c r="J5390" t="s">
        <v>3803</v>
      </c>
      <c r="L5390">
        <v>6864000</v>
      </c>
      <c r="M5390">
        <v>686400</v>
      </c>
    </row>
    <row r="5391" spans="1:13" x14ac:dyDescent="0.25">
      <c r="A5391" t="s">
        <v>17829</v>
      </c>
      <c r="B5391" t="s">
        <v>17830</v>
      </c>
      <c r="C5391" t="s">
        <v>15</v>
      </c>
      <c r="D5391" t="s">
        <v>2932</v>
      </c>
      <c r="E5391" t="s">
        <v>14001</v>
      </c>
      <c r="F5391" t="s">
        <v>17479</v>
      </c>
      <c r="G5391" t="s">
        <v>17831</v>
      </c>
      <c r="H5391" t="str">
        <f>HYPERLINK("https://baanknet.com/view-property/262932/57249142CD31684E451AB0EBB7DCABE3C2DC749B4F2BB3F20C665DCAC4007312", "https://baanknet.com/view-property/262932/57249142CD31684E451AB0EBB7DCABE3C2DC749B4F2BB3F20C665DCAC4007312")</f>
        <v>https://baanknet.com/view-property/262932/57249142CD31684E451AB0EBB7DCABE3C2DC749B4F2BB3F20C665DCAC4007312</v>
      </c>
      <c r="I5391" t="str">
        <f>HYPERLINK("https://baanknet.com/view-property/262932/57249142CD31684E451AB0EBB7DCABE3C2DC749B4F2BB3F20C665DCAC4007312", "Open")</f>
        <v>Open</v>
      </c>
      <c r="J5391" t="s">
        <v>3803</v>
      </c>
      <c r="L5391">
        <v>4000000</v>
      </c>
      <c r="M5391">
        <v>400000</v>
      </c>
    </row>
    <row r="5392" spans="1:13" x14ac:dyDescent="0.25">
      <c r="A5392" t="s">
        <v>17832</v>
      </c>
      <c r="B5392" t="s">
        <v>17833</v>
      </c>
      <c r="C5392" t="s">
        <v>15</v>
      </c>
      <c r="D5392" t="s">
        <v>2932</v>
      </c>
      <c r="E5392" t="s">
        <v>14001</v>
      </c>
      <c r="F5392" t="s">
        <v>17479</v>
      </c>
      <c r="G5392" t="s">
        <v>17834</v>
      </c>
      <c r="H5392" t="str">
        <f>HYPERLINK("https://baanknet.com/view-property/262930/6B84013F54ED9BD815D6D412DFEC39125E5C258644BB180DF0E5AE645EB8F821", "https://baanknet.com/view-property/262930/6B84013F54ED9BD815D6D412DFEC39125E5C258644BB180DF0E5AE645EB8F821")</f>
        <v>https://baanknet.com/view-property/262930/6B84013F54ED9BD815D6D412DFEC39125E5C258644BB180DF0E5AE645EB8F821</v>
      </c>
      <c r="I5392" t="str">
        <f>HYPERLINK("https://baanknet.com/view-property/262930/6B84013F54ED9BD815D6D412DFEC39125E5C258644BB180DF0E5AE645EB8F821", "Open")</f>
        <v>Open</v>
      </c>
      <c r="J5392" t="s">
        <v>3803</v>
      </c>
      <c r="L5392">
        <v>9500000</v>
      </c>
      <c r="M5392">
        <v>950000</v>
      </c>
    </row>
    <row r="5393" spans="1:13" x14ac:dyDescent="0.25">
      <c r="A5393" t="s">
        <v>17835</v>
      </c>
      <c r="B5393" t="s">
        <v>17836</v>
      </c>
      <c r="C5393" t="s">
        <v>15</v>
      </c>
      <c r="D5393" t="s">
        <v>422</v>
      </c>
      <c r="E5393" t="s">
        <v>14001</v>
      </c>
      <c r="F5393" t="s">
        <v>17479</v>
      </c>
      <c r="G5393" t="s">
        <v>17837</v>
      </c>
      <c r="H5393" t="str">
        <f>HYPERLINK("https://baanknet.com/view-property/246844/41D8F7A74277AF7FF9CEE3EC6CC0253FF65D2BF7C57C8DEA8DA130BAEE2EAD21", "https://baanknet.com/view-property/246844/41D8F7A74277AF7FF9CEE3EC6CC0253FF65D2BF7C57C8DEA8DA130BAEE2EAD21")</f>
        <v>https://baanknet.com/view-property/246844/41D8F7A74277AF7FF9CEE3EC6CC0253FF65D2BF7C57C8DEA8DA130BAEE2EAD21</v>
      </c>
      <c r="I5393" t="str">
        <f>HYPERLINK("https://baanknet.com/view-property/246844/41D8F7A74277AF7FF9CEE3EC6CC0253FF65D2BF7C57C8DEA8DA130BAEE2EAD21", "Open")</f>
        <v>Open</v>
      </c>
      <c r="J5393" t="s">
        <v>3803</v>
      </c>
      <c r="L5393">
        <v>1300000</v>
      </c>
      <c r="M5393">
        <v>130000</v>
      </c>
    </row>
    <row r="5394" spans="1:13" x14ac:dyDescent="0.25">
      <c r="A5394" t="s">
        <v>17838</v>
      </c>
      <c r="B5394" t="s">
        <v>17839</v>
      </c>
      <c r="C5394" t="s">
        <v>15</v>
      </c>
      <c r="D5394" t="s">
        <v>1366</v>
      </c>
      <c r="E5394" t="s">
        <v>14001</v>
      </c>
      <c r="F5394" t="s">
        <v>17479</v>
      </c>
      <c r="G5394" t="s">
        <v>17840</v>
      </c>
      <c r="H5394" t="str">
        <f>HYPERLINK("https://baanknet.com/view-property/243665/5D99F4692ED0915D8DFD4DACF0B1B7F832322BB4A73D649C6529AB0707B5933D", "https://baanknet.com/view-property/243665/5D99F4692ED0915D8DFD4DACF0B1B7F832322BB4A73D649C6529AB0707B5933D")</f>
        <v>https://baanknet.com/view-property/243665/5D99F4692ED0915D8DFD4DACF0B1B7F832322BB4A73D649C6529AB0707B5933D</v>
      </c>
      <c r="I5394" t="str">
        <f>HYPERLINK("https://baanknet.com/view-property/243665/5D99F4692ED0915D8DFD4DACF0B1B7F832322BB4A73D649C6529AB0707B5933D", "Open")</f>
        <v>Open</v>
      </c>
      <c r="J5394" t="s">
        <v>3803</v>
      </c>
      <c r="L5394">
        <v>2391840</v>
      </c>
      <c r="M5394">
        <v>239184</v>
      </c>
    </row>
    <row r="5395" spans="1:13" x14ac:dyDescent="0.25">
      <c r="A5395" t="s">
        <v>17841</v>
      </c>
      <c r="B5395" t="s">
        <v>17842</v>
      </c>
      <c r="C5395" t="s">
        <v>15</v>
      </c>
      <c r="D5395" t="s">
        <v>1366</v>
      </c>
      <c r="E5395" t="s">
        <v>14001</v>
      </c>
      <c r="F5395" t="s">
        <v>17479</v>
      </c>
      <c r="G5395" t="s">
        <v>17843</v>
      </c>
      <c r="H5395" t="str">
        <f>HYPERLINK("https://baanknet.com/view-property/259300/C24EB7BEF74889FE6DDB8A23D14BB7A20651A1E4FF21FB5841872188B500E580", "https://baanknet.com/view-property/259300/C24EB7BEF74889FE6DDB8A23D14BB7A20651A1E4FF21FB5841872188B500E580")</f>
        <v>https://baanknet.com/view-property/259300/C24EB7BEF74889FE6DDB8A23D14BB7A20651A1E4FF21FB5841872188B500E580</v>
      </c>
      <c r="I5395" t="str">
        <f>HYPERLINK("https://baanknet.com/view-property/259300/C24EB7BEF74889FE6DDB8A23D14BB7A20651A1E4FF21FB5841872188B500E580", "Open")</f>
        <v>Open</v>
      </c>
      <c r="J5395" t="s">
        <v>3803</v>
      </c>
      <c r="L5395">
        <v>4532220</v>
      </c>
      <c r="M5395">
        <v>453222</v>
      </c>
    </row>
    <row r="5396" spans="1:13" x14ac:dyDescent="0.25">
      <c r="A5396" t="s">
        <v>17844</v>
      </c>
      <c r="B5396" t="s">
        <v>17845</v>
      </c>
      <c r="C5396" t="s">
        <v>15</v>
      </c>
      <c r="D5396" t="s">
        <v>17846</v>
      </c>
      <c r="E5396" t="s">
        <v>14001</v>
      </c>
      <c r="F5396" t="s">
        <v>17479</v>
      </c>
      <c r="G5396" t="s">
        <v>17847</v>
      </c>
      <c r="H5396" t="str">
        <f>HYPERLINK("https://baanknet.com/view-property/240577/A0DDE492336D90B336E2C20BA5ABD7C9A6BFF242D2380E142A9F3811343AE897", "https://baanknet.com/view-property/240577/A0DDE492336D90B336E2C20BA5ABD7C9A6BFF242D2380E142A9F3811343AE897")</f>
        <v>https://baanknet.com/view-property/240577/A0DDE492336D90B336E2C20BA5ABD7C9A6BFF242D2380E142A9F3811343AE897</v>
      </c>
      <c r="I5396" t="str">
        <f>HYPERLINK("https://baanknet.com/view-property/240577/A0DDE492336D90B336E2C20BA5ABD7C9A6BFF242D2380E142A9F3811343AE897", "Open")</f>
        <v>Open</v>
      </c>
      <c r="J5396" t="s">
        <v>3803</v>
      </c>
      <c r="L5396">
        <v>2349000</v>
      </c>
      <c r="M5396">
        <v>234900</v>
      </c>
    </row>
    <row r="5397" spans="1:13" x14ac:dyDescent="0.25">
      <c r="A5397" t="s">
        <v>17848</v>
      </c>
      <c r="B5397" t="s">
        <v>17849</v>
      </c>
      <c r="C5397" t="s">
        <v>15</v>
      </c>
      <c r="D5397" t="s">
        <v>7002</v>
      </c>
      <c r="E5397" t="s">
        <v>14001</v>
      </c>
      <c r="F5397" t="s">
        <v>17479</v>
      </c>
      <c r="G5397" t="s">
        <v>17850</v>
      </c>
      <c r="H5397" t="str">
        <f>HYPERLINK("https://baanknet.com/view-property/279429/87E7D12F59ABEA90BB6DC94A6DF9A43690E8D841EB78CC6AEEA658676E9A74BA", "https://baanknet.com/view-property/279429/87E7D12F59ABEA90BB6DC94A6DF9A43690E8D841EB78CC6AEEA658676E9A74BA")</f>
        <v>https://baanknet.com/view-property/279429/87E7D12F59ABEA90BB6DC94A6DF9A43690E8D841EB78CC6AEEA658676E9A74BA</v>
      </c>
      <c r="I5397" t="str">
        <f>HYPERLINK("https://baanknet.com/view-property/279429/87E7D12F59ABEA90BB6DC94A6DF9A43690E8D841EB78CC6AEEA658676E9A74BA", "Open")</f>
        <v>Open</v>
      </c>
      <c r="J5397" t="s">
        <v>3803</v>
      </c>
      <c r="L5397">
        <v>6665000</v>
      </c>
      <c r="M5397">
        <v>666500</v>
      </c>
    </row>
    <row r="5398" spans="1:13" x14ac:dyDescent="0.25">
      <c r="A5398" t="s">
        <v>17851</v>
      </c>
      <c r="B5398" t="s">
        <v>17852</v>
      </c>
      <c r="C5398" t="s">
        <v>15</v>
      </c>
      <c r="D5398" t="s">
        <v>393</v>
      </c>
      <c r="E5398" t="s">
        <v>14001</v>
      </c>
      <c r="F5398" t="s">
        <v>17479</v>
      </c>
      <c r="G5398" t="s">
        <v>17853</v>
      </c>
      <c r="H5398" t="str">
        <f>HYPERLINK("https://baanknet.com/view-property/278428/22DFBC9DBDB3EE96D74FE15B815654988DDF0081E8660193B2F584B26186170B", "https://baanknet.com/view-property/278428/22DFBC9DBDB3EE96D74FE15B815654988DDF0081E8660193B2F584B26186170B")</f>
        <v>https://baanknet.com/view-property/278428/22DFBC9DBDB3EE96D74FE15B815654988DDF0081E8660193B2F584B26186170B</v>
      </c>
      <c r="I5398" t="str">
        <f>HYPERLINK("https://baanknet.com/view-property/278428/22DFBC9DBDB3EE96D74FE15B815654988DDF0081E8660193B2F584B26186170B", "Open")</f>
        <v>Open</v>
      </c>
      <c r="J5398" t="s">
        <v>3803</v>
      </c>
      <c r="L5398">
        <v>2432000</v>
      </c>
      <c r="M5398">
        <v>243200</v>
      </c>
    </row>
    <row r="5399" spans="1:13" x14ac:dyDescent="0.25">
      <c r="A5399" t="s">
        <v>17854</v>
      </c>
      <c r="B5399" t="s">
        <v>17855</v>
      </c>
      <c r="C5399" t="s">
        <v>15</v>
      </c>
      <c r="D5399" t="s">
        <v>635</v>
      </c>
      <c r="E5399" t="s">
        <v>14001</v>
      </c>
      <c r="F5399" t="s">
        <v>17479</v>
      </c>
      <c r="G5399" t="s">
        <v>17856</v>
      </c>
      <c r="H5399" t="str">
        <f>HYPERLINK("https://baanknet.com/view-property/250512/24DDB01B7238D1A5D7FE01F107B3001428414144DA673BB2983D70C0ED6D69E0", "https://baanknet.com/view-property/250512/24DDB01B7238D1A5D7FE01F107B3001428414144DA673BB2983D70C0ED6D69E0")</f>
        <v>https://baanknet.com/view-property/250512/24DDB01B7238D1A5D7FE01F107B3001428414144DA673BB2983D70C0ED6D69E0</v>
      </c>
      <c r="I5399" t="str">
        <f>HYPERLINK("https://baanknet.com/view-property/250512/24DDB01B7238D1A5D7FE01F107B3001428414144DA673BB2983D70C0ED6D69E0", "Open")</f>
        <v>Open</v>
      </c>
      <c r="J5399" t="s">
        <v>3803</v>
      </c>
      <c r="L5399">
        <v>2430000</v>
      </c>
      <c r="M5399">
        <v>243000</v>
      </c>
    </row>
    <row r="5400" spans="1:13" x14ac:dyDescent="0.25">
      <c r="A5400" t="s">
        <v>17857</v>
      </c>
      <c r="B5400" t="s">
        <v>17858</v>
      </c>
      <c r="C5400" t="s">
        <v>15</v>
      </c>
      <c r="D5400" t="s">
        <v>4095</v>
      </c>
      <c r="E5400" t="s">
        <v>14001</v>
      </c>
      <c r="F5400" t="s">
        <v>17859</v>
      </c>
      <c r="G5400" t="s">
        <v>17860</v>
      </c>
      <c r="H5400" t="str">
        <f>HYPERLINK("https://baanknet.com/view-property/199711/5C98F7BE51EA3B8090DF4A2260C82F87EC9A89E40754C148481CE7B07F57E515", "https://baanknet.com/view-property/199711/5C98F7BE51EA3B8090DF4A2260C82F87EC9A89E40754C148481CE7B07F57E515")</f>
        <v>https://baanknet.com/view-property/199711/5C98F7BE51EA3B8090DF4A2260C82F87EC9A89E40754C148481CE7B07F57E515</v>
      </c>
      <c r="I5400" t="str">
        <f>HYPERLINK("https://baanknet.com/view-property/199711/5C98F7BE51EA3B8090DF4A2260C82F87EC9A89E40754C148481CE7B07F57E515", "Open")</f>
        <v>Open</v>
      </c>
      <c r="J5400" t="s">
        <v>3803</v>
      </c>
      <c r="L5400">
        <v>740000</v>
      </c>
      <c r="M5400">
        <v>74000</v>
      </c>
    </row>
    <row r="5401" spans="1:13" x14ac:dyDescent="0.25">
      <c r="A5401" t="s">
        <v>17861</v>
      </c>
      <c r="B5401" t="s">
        <v>17862</v>
      </c>
      <c r="C5401" t="s">
        <v>15</v>
      </c>
      <c r="D5401" t="s">
        <v>17863</v>
      </c>
      <c r="E5401" t="s">
        <v>14001</v>
      </c>
      <c r="F5401" t="s">
        <v>17859</v>
      </c>
      <c r="G5401" t="s">
        <v>17864</v>
      </c>
      <c r="H5401" t="str">
        <f>HYPERLINK("https://baanknet.com/view-property/204939/B6D79094C6E9DD3CADC56749A272DFFDDB40BA86AA8DB031245B500685DD00A7", "https://baanknet.com/view-property/204939/B6D79094C6E9DD3CADC56749A272DFFDDB40BA86AA8DB031245B500685DD00A7")</f>
        <v>https://baanknet.com/view-property/204939/B6D79094C6E9DD3CADC56749A272DFFDDB40BA86AA8DB031245B500685DD00A7</v>
      </c>
      <c r="I5401" t="str">
        <f>HYPERLINK("https://baanknet.com/view-property/204939/B6D79094C6E9DD3CADC56749A272DFFDDB40BA86AA8DB031245B500685DD00A7", "Open")</f>
        <v>Open</v>
      </c>
      <c r="J5401" t="s">
        <v>3803</v>
      </c>
      <c r="L5401">
        <v>1175000</v>
      </c>
      <c r="M5401">
        <v>117500</v>
      </c>
    </row>
    <row r="5402" spans="1:13" x14ac:dyDescent="0.25">
      <c r="A5402" t="s">
        <v>17865</v>
      </c>
      <c r="B5402" t="s">
        <v>17866</v>
      </c>
      <c r="C5402" t="s">
        <v>15</v>
      </c>
      <c r="D5402" t="s">
        <v>4799</v>
      </c>
      <c r="E5402" t="s">
        <v>14001</v>
      </c>
      <c r="F5402" t="s">
        <v>17859</v>
      </c>
      <c r="G5402" t="s">
        <v>17867</v>
      </c>
      <c r="H5402" t="str">
        <f>HYPERLINK("https://baanknet.com/view-property/260641/704153CE98CE65E3A17175939F34304F1D5EC6F0FC365ECD1431BE993930EDE9", "https://baanknet.com/view-property/260641/704153CE98CE65E3A17175939F34304F1D5EC6F0FC365ECD1431BE993930EDE9")</f>
        <v>https://baanknet.com/view-property/260641/704153CE98CE65E3A17175939F34304F1D5EC6F0FC365ECD1431BE993930EDE9</v>
      </c>
      <c r="I5402" t="str">
        <f>HYPERLINK("https://baanknet.com/view-property/260641/704153CE98CE65E3A17175939F34304F1D5EC6F0FC365ECD1431BE993930EDE9", "Open")</f>
        <v>Open</v>
      </c>
      <c r="J5402" t="s">
        <v>3803</v>
      </c>
      <c r="L5402">
        <v>2138000</v>
      </c>
      <c r="M5402">
        <v>213800</v>
      </c>
    </row>
    <row r="5403" spans="1:13" x14ac:dyDescent="0.25">
      <c r="A5403" t="s">
        <v>17868</v>
      </c>
      <c r="B5403" t="s">
        <v>17869</v>
      </c>
      <c r="C5403" t="s">
        <v>15</v>
      </c>
      <c r="D5403" t="s">
        <v>4471</v>
      </c>
      <c r="E5403" t="s">
        <v>14001</v>
      </c>
      <c r="F5403" t="s">
        <v>17859</v>
      </c>
      <c r="G5403" t="s">
        <v>17870</v>
      </c>
      <c r="H5403" t="str">
        <f>HYPERLINK("https://baanknet.com/view-property/200690/847240DC750711B86FC4A6491DD1134F553D12593ED01183ECF8C0D6DA64BE27", "https://baanknet.com/view-property/200690/847240DC750711B86FC4A6491DD1134F553D12593ED01183ECF8C0D6DA64BE27")</f>
        <v>https://baanknet.com/view-property/200690/847240DC750711B86FC4A6491DD1134F553D12593ED01183ECF8C0D6DA64BE27</v>
      </c>
      <c r="I5403" t="str">
        <f>HYPERLINK("https://baanknet.com/view-property/200690/847240DC750711B86FC4A6491DD1134F553D12593ED01183ECF8C0D6DA64BE27", "Open")</f>
        <v>Open</v>
      </c>
      <c r="J5403" t="s">
        <v>3803</v>
      </c>
      <c r="L5403">
        <v>2800000</v>
      </c>
      <c r="M5403">
        <v>280000</v>
      </c>
    </row>
    <row r="5404" spans="1:13" x14ac:dyDescent="0.25">
      <c r="A5404" t="s">
        <v>17871</v>
      </c>
      <c r="B5404" t="s">
        <v>17872</v>
      </c>
      <c r="C5404" t="s">
        <v>15</v>
      </c>
      <c r="D5404" t="s">
        <v>7328</v>
      </c>
      <c r="E5404" t="s">
        <v>14001</v>
      </c>
      <c r="F5404" t="s">
        <v>17859</v>
      </c>
      <c r="G5404" t="s">
        <v>17873</v>
      </c>
      <c r="H5404" t="str">
        <f>HYPERLINK("https://baanknet.com/view-property/248419/A135FA4CB702944B0A02A9B530086ACBD2A2414B2835E259141929A244B34723", "https://baanknet.com/view-property/248419/A135FA4CB702944B0A02A9B530086ACBD2A2414B2835E259141929A244B34723")</f>
        <v>https://baanknet.com/view-property/248419/A135FA4CB702944B0A02A9B530086ACBD2A2414B2835E259141929A244B34723</v>
      </c>
      <c r="I5404" t="str">
        <f>HYPERLINK("https://baanknet.com/view-property/248419/A135FA4CB702944B0A02A9B530086ACBD2A2414B2835E259141929A244B34723", "Open")</f>
        <v>Open</v>
      </c>
      <c r="J5404" t="s">
        <v>3803</v>
      </c>
      <c r="L5404">
        <v>2300000</v>
      </c>
      <c r="M5404">
        <v>230000</v>
      </c>
    </row>
    <row r="5405" spans="1:13" x14ac:dyDescent="0.25">
      <c r="A5405" t="s">
        <v>17874</v>
      </c>
      <c r="B5405" t="s">
        <v>17875</v>
      </c>
      <c r="C5405" t="s">
        <v>15</v>
      </c>
      <c r="D5405" t="s">
        <v>6417</v>
      </c>
      <c r="E5405" t="s">
        <v>14001</v>
      </c>
      <c r="F5405" t="s">
        <v>17859</v>
      </c>
      <c r="G5405" t="s">
        <v>17876</v>
      </c>
      <c r="H5405" t="str">
        <f>HYPERLINK("https://baanknet.com/view-property/199216/67E95A05E99887C7276CF1C321472FE94B3B74FD49B0655515BA8994AFE89E10", "https://baanknet.com/view-property/199216/67E95A05E99887C7276CF1C321472FE94B3B74FD49B0655515BA8994AFE89E10")</f>
        <v>https://baanknet.com/view-property/199216/67E95A05E99887C7276CF1C321472FE94B3B74FD49B0655515BA8994AFE89E10</v>
      </c>
      <c r="I5405" t="str">
        <f>HYPERLINK("https://baanknet.com/view-property/199216/67E95A05E99887C7276CF1C321472FE94B3B74FD49B0655515BA8994AFE89E10", "Open")</f>
        <v>Open</v>
      </c>
      <c r="J5405" t="s">
        <v>3803</v>
      </c>
      <c r="L5405">
        <v>1420000</v>
      </c>
      <c r="M5405">
        <v>142000</v>
      </c>
    </row>
    <row r="5406" spans="1:13" x14ac:dyDescent="0.25">
      <c r="A5406" t="s">
        <v>17877</v>
      </c>
      <c r="B5406" t="s">
        <v>17878</v>
      </c>
      <c r="C5406" t="s">
        <v>15</v>
      </c>
      <c r="D5406" t="s">
        <v>5239</v>
      </c>
      <c r="E5406" t="s">
        <v>14001</v>
      </c>
      <c r="F5406" t="s">
        <v>17859</v>
      </c>
      <c r="G5406" t="s">
        <v>17879</v>
      </c>
      <c r="H5406" t="str">
        <f>HYPERLINK("https://baanknet.com/view-property/243068/D6073B60AC363D0548DFF9F5DCBF58DC84240D044391F56A199AA923236FAE7A", "https://baanknet.com/view-property/243068/D6073B60AC363D0548DFF9F5DCBF58DC84240D044391F56A199AA923236FAE7A")</f>
        <v>https://baanknet.com/view-property/243068/D6073B60AC363D0548DFF9F5DCBF58DC84240D044391F56A199AA923236FAE7A</v>
      </c>
      <c r="I5406" t="str">
        <f>HYPERLINK("https://baanknet.com/view-property/243068/D6073B60AC363D0548DFF9F5DCBF58DC84240D044391F56A199AA923236FAE7A", "Open")</f>
        <v>Open</v>
      </c>
      <c r="J5406" t="s">
        <v>3803</v>
      </c>
      <c r="L5406">
        <v>1120000</v>
      </c>
      <c r="M5406">
        <v>112000</v>
      </c>
    </row>
    <row r="5407" spans="1:13" x14ac:dyDescent="0.25">
      <c r="A5407" t="s">
        <v>17880</v>
      </c>
      <c r="B5407" t="s">
        <v>17881</v>
      </c>
      <c r="C5407" t="s">
        <v>15</v>
      </c>
      <c r="D5407" t="s">
        <v>4471</v>
      </c>
      <c r="E5407" t="s">
        <v>14001</v>
      </c>
      <c r="F5407" t="s">
        <v>17859</v>
      </c>
      <c r="G5407" t="s">
        <v>17882</v>
      </c>
      <c r="H5407" t="str">
        <f>HYPERLINK("https://baanknet.com/view-property/247208/976E6368D488BCCE01DC7A89B413623F6709B5C3022BAB843329401D541E6CD5", "https://baanknet.com/view-property/247208/976E6368D488BCCE01DC7A89B413623F6709B5C3022BAB843329401D541E6CD5")</f>
        <v>https://baanknet.com/view-property/247208/976E6368D488BCCE01DC7A89B413623F6709B5C3022BAB843329401D541E6CD5</v>
      </c>
      <c r="I5407" t="str">
        <f>HYPERLINK("https://baanknet.com/view-property/247208/976E6368D488BCCE01DC7A89B413623F6709B5C3022BAB843329401D541E6CD5", "Open")</f>
        <v>Open</v>
      </c>
      <c r="J5407" t="s">
        <v>3803</v>
      </c>
      <c r="L5407">
        <v>1550000</v>
      </c>
      <c r="M5407">
        <v>155000</v>
      </c>
    </row>
    <row r="5408" spans="1:13" x14ac:dyDescent="0.25">
      <c r="A5408" t="s">
        <v>17883</v>
      </c>
      <c r="B5408" t="s">
        <v>17884</v>
      </c>
      <c r="C5408" t="s">
        <v>15</v>
      </c>
      <c r="D5408" t="s">
        <v>17885</v>
      </c>
      <c r="E5408" t="s">
        <v>14001</v>
      </c>
      <c r="F5408" t="s">
        <v>17859</v>
      </c>
      <c r="G5408" t="s">
        <v>17886</v>
      </c>
      <c r="H5408" t="str">
        <f>HYPERLINK("https://baanknet.com/view-property/253239/73A94512FF2C71F9F8900B39188BE20AD836D6452250D43CE35CD871B445AA82", "https://baanknet.com/view-property/253239/73A94512FF2C71F9F8900B39188BE20AD836D6452250D43CE35CD871B445AA82")</f>
        <v>https://baanknet.com/view-property/253239/73A94512FF2C71F9F8900B39188BE20AD836D6452250D43CE35CD871B445AA82</v>
      </c>
      <c r="I5408" t="str">
        <f>HYPERLINK("https://baanknet.com/view-property/253239/73A94512FF2C71F9F8900B39188BE20AD836D6452250D43CE35CD871B445AA82", "Open")</f>
        <v>Open</v>
      </c>
      <c r="J5408" t="s">
        <v>3803</v>
      </c>
      <c r="L5408">
        <v>995000</v>
      </c>
      <c r="M5408">
        <v>99500</v>
      </c>
    </row>
    <row r="5409" spans="1:13" x14ac:dyDescent="0.25">
      <c r="A5409" t="s">
        <v>17887</v>
      </c>
      <c r="B5409" t="s">
        <v>17888</v>
      </c>
      <c r="C5409" t="s">
        <v>15</v>
      </c>
      <c r="D5409" t="s">
        <v>4471</v>
      </c>
      <c r="E5409" t="s">
        <v>14001</v>
      </c>
      <c r="F5409" t="s">
        <v>17859</v>
      </c>
      <c r="G5409" t="s">
        <v>17889</v>
      </c>
      <c r="H5409" t="str">
        <f>HYPERLINK("https://baanknet.com/view-property/283086/7B7E7F5292D0CBF0AE1CF88D5D5C9964B6E30940F14CDEAB81ACCBA89A1FA363", "https://baanknet.com/view-property/283086/7B7E7F5292D0CBF0AE1CF88D5D5C9964B6E30940F14CDEAB81ACCBA89A1FA363")</f>
        <v>https://baanknet.com/view-property/283086/7B7E7F5292D0CBF0AE1CF88D5D5C9964B6E30940F14CDEAB81ACCBA89A1FA363</v>
      </c>
      <c r="I5409" t="str">
        <f>HYPERLINK("https://baanknet.com/view-property/283086/7B7E7F5292D0CBF0AE1CF88D5D5C9964B6E30940F14CDEAB81ACCBA89A1FA363", "Open")</f>
        <v>Open</v>
      </c>
      <c r="J5409" t="s">
        <v>3803</v>
      </c>
      <c r="L5409">
        <v>2231000</v>
      </c>
      <c r="M5409">
        <v>223100</v>
      </c>
    </row>
    <row r="5410" spans="1:13" x14ac:dyDescent="0.25">
      <c r="A5410" t="s">
        <v>17890</v>
      </c>
      <c r="B5410" t="s">
        <v>17891</v>
      </c>
      <c r="C5410" t="s">
        <v>15</v>
      </c>
      <c r="D5410" t="s">
        <v>4799</v>
      </c>
      <c r="E5410" t="s">
        <v>14001</v>
      </c>
      <c r="F5410" t="s">
        <v>17859</v>
      </c>
      <c r="G5410" t="s">
        <v>17892</v>
      </c>
      <c r="H5410" t="str">
        <f>HYPERLINK("https://baanknet.com/view-property/228472/BD8D5B837DF175D5F6B602E1A247F3EE5301046443D6FE4CD59348A24B772E77", "https://baanknet.com/view-property/228472/BD8D5B837DF175D5F6B602E1A247F3EE5301046443D6FE4CD59348A24B772E77")</f>
        <v>https://baanknet.com/view-property/228472/BD8D5B837DF175D5F6B602E1A247F3EE5301046443D6FE4CD59348A24B772E77</v>
      </c>
      <c r="I5410" t="str">
        <f>HYPERLINK("https://baanknet.com/view-property/228472/BD8D5B837DF175D5F6B602E1A247F3EE5301046443D6FE4CD59348A24B772E77", "Open")</f>
        <v>Open</v>
      </c>
      <c r="J5410" t="s">
        <v>3803</v>
      </c>
      <c r="L5410">
        <v>1280000</v>
      </c>
      <c r="M5410">
        <v>128000</v>
      </c>
    </row>
    <row r="5411" spans="1:13" x14ac:dyDescent="0.25">
      <c r="A5411" t="s">
        <v>17893</v>
      </c>
      <c r="B5411" t="s">
        <v>17894</v>
      </c>
      <c r="C5411" t="s">
        <v>387</v>
      </c>
      <c r="D5411" t="s">
        <v>17895</v>
      </c>
      <c r="E5411" t="s">
        <v>14001</v>
      </c>
      <c r="F5411" t="s">
        <v>15608</v>
      </c>
      <c r="G5411" t="s">
        <v>17896</v>
      </c>
      <c r="H5411" t="str">
        <f>HYPERLINK("https://baanknet.com/view-property/260570/BF4615E3D63D7F8E4E8ECA1228A69C3DF9F2E88EC578225A83F9394C14540474", "https://baanknet.com/view-property/260570/BF4615E3D63D7F8E4E8ECA1228A69C3DF9F2E88EC578225A83F9394C14540474")</f>
        <v>https://baanknet.com/view-property/260570/BF4615E3D63D7F8E4E8ECA1228A69C3DF9F2E88EC578225A83F9394C14540474</v>
      </c>
      <c r="I5411" t="str">
        <f>HYPERLINK("https://baanknet.com/view-property/260570/BF4615E3D63D7F8E4E8ECA1228A69C3DF9F2E88EC578225A83F9394C14540474", "Open")</f>
        <v>Open</v>
      </c>
      <c r="J5411" t="s">
        <v>3803</v>
      </c>
      <c r="L5411">
        <v>2562000</v>
      </c>
      <c r="M5411">
        <v>256200</v>
      </c>
    </row>
    <row r="5412" spans="1:13" x14ac:dyDescent="0.25">
      <c r="A5412" t="s">
        <v>17897</v>
      </c>
      <c r="B5412" t="s">
        <v>17898</v>
      </c>
      <c r="C5412" t="s">
        <v>387</v>
      </c>
      <c r="D5412" t="s">
        <v>383</v>
      </c>
      <c r="E5412" t="s">
        <v>14001</v>
      </c>
      <c r="F5412" t="s">
        <v>15608</v>
      </c>
      <c r="G5412" t="s">
        <v>17899</v>
      </c>
      <c r="H5412" t="str">
        <f>HYPERLINK("https://baanknet.com/view-property/271232/A8C4F72A90AE959C6AF77B30E6497949613B85346FBD8E4DB08246AEBACAE9D8", "https://baanknet.com/view-property/271232/A8C4F72A90AE959C6AF77B30E6497949613B85346FBD8E4DB08246AEBACAE9D8")</f>
        <v>https://baanknet.com/view-property/271232/A8C4F72A90AE959C6AF77B30E6497949613B85346FBD8E4DB08246AEBACAE9D8</v>
      </c>
      <c r="I5412" t="str">
        <f>HYPERLINK("https://baanknet.com/view-property/271232/A8C4F72A90AE959C6AF77B30E6497949613B85346FBD8E4DB08246AEBACAE9D8", "Open")</f>
        <v>Open</v>
      </c>
      <c r="J5412" t="s">
        <v>3803</v>
      </c>
      <c r="L5412">
        <v>2832000</v>
      </c>
      <c r="M5412">
        <v>283200</v>
      </c>
    </row>
    <row r="5413" spans="1:13" x14ac:dyDescent="0.25">
      <c r="A5413" t="s">
        <v>17900</v>
      </c>
      <c r="B5413" t="s">
        <v>17901</v>
      </c>
      <c r="C5413" t="s">
        <v>387</v>
      </c>
      <c r="D5413" t="s">
        <v>374</v>
      </c>
      <c r="E5413" t="s">
        <v>14001</v>
      </c>
      <c r="F5413" t="s">
        <v>15608</v>
      </c>
      <c r="G5413" t="s">
        <v>17902</v>
      </c>
      <c r="H5413" t="str">
        <f>HYPERLINK("https://baanknet.com/view-property/287799/8FDE614E6B397A1DF5D630EB076910F7D8ECC074D442AA3078E33032AEC6961A", "https://baanknet.com/view-property/287799/8FDE614E6B397A1DF5D630EB076910F7D8ECC074D442AA3078E33032AEC6961A")</f>
        <v>https://baanknet.com/view-property/287799/8FDE614E6B397A1DF5D630EB076910F7D8ECC074D442AA3078E33032AEC6961A</v>
      </c>
      <c r="I5413" t="str">
        <f>HYPERLINK("https://baanknet.com/view-property/287799/8FDE614E6B397A1DF5D630EB076910F7D8ECC074D442AA3078E33032AEC6961A", "Open")</f>
        <v>Open</v>
      </c>
      <c r="J5413" t="s">
        <v>3803</v>
      </c>
      <c r="L5413">
        <v>5658000</v>
      </c>
      <c r="M5413">
        <v>565800</v>
      </c>
    </row>
    <row r="5414" spans="1:13" x14ac:dyDescent="0.25">
      <c r="A5414" t="s">
        <v>17903</v>
      </c>
      <c r="B5414" t="s">
        <v>17904</v>
      </c>
      <c r="C5414" t="s">
        <v>15</v>
      </c>
      <c r="D5414" t="s">
        <v>17905</v>
      </c>
      <c r="E5414" t="s">
        <v>16310</v>
      </c>
      <c r="F5414" t="s">
        <v>16441</v>
      </c>
      <c r="G5414" t="s">
        <v>17906</v>
      </c>
      <c r="H5414" t="str">
        <f>HYPERLINK("https://baanknet.com/view-property/285856/FE9744D45611529E0789D3B7600ED43EB1462879AC3E61757A8A772EE648A662", "https://baanknet.com/view-property/285856/FE9744D45611529E0789D3B7600ED43EB1462879AC3E61757A8A772EE648A662")</f>
        <v>https://baanknet.com/view-property/285856/FE9744D45611529E0789D3B7600ED43EB1462879AC3E61757A8A772EE648A662</v>
      </c>
      <c r="I5414" t="str">
        <f>HYPERLINK("https://baanknet.com/view-property/285856/FE9744D45611529E0789D3B7600ED43EB1462879AC3E61757A8A772EE648A662", "Open")</f>
        <v>Open</v>
      </c>
      <c r="J5414" t="s">
        <v>3803</v>
      </c>
      <c r="L5414">
        <v>9100000</v>
      </c>
      <c r="M5414">
        <v>910000</v>
      </c>
    </row>
    <row r="5415" spans="1:13" x14ac:dyDescent="0.25">
      <c r="A5415" t="s">
        <v>17907</v>
      </c>
      <c r="B5415" t="s">
        <v>17908</v>
      </c>
      <c r="C5415" t="s">
        <v>15</v>
      </c>
      <c r="D5415" t="s">
        <v>17905</v>
      </c>
      <c r="E5415" t="s">
        <v>16310</v>
      </c>
      <c r="F5415" t="s">
        <v>16441</v>
      </c>
      <c r="G5415" t="s">
        <v>17909</v>
      </c>
      <c r="H5415" t="str">
        <f>HYPERLINK("https://baanknet.com/view-property/285859/DAB76B33C37FE3C6773A65494618C88048EB3188A50BC5640E0142663D0B6CC5", "https://baanknet.com/view-property/285859/DAB76B33C37FE3C6773A65494618C88048EB3188A50BC5640E0142663D0B6CC5")</f>
        <v>https://baanknet.com/view-property/285859/DAB76B33C37FE3C6773A65494618C88048EB3188A50BC5640E0142663D0B6CC5</v>
      </c>
      <c r="I5415" t="str">
        <f>HYPERLINK("https://baanknet.com/view-property/285859/DAB76B33C37FE3C6773A65494618C88048EB3188A50BC5640E0142663D0B6CC5", "Open")</f>
        <v>Open</v>
      </c>
      <c r="J5415" t="s">
        <v>3803</v>
      </c>
      <c r="L5415">
        <v>7200000</v>
      </c>
      <c r="M5415">
        <v>720000</v>
      </c>
    </row>
    <row r="5416" spans="1:13" x14ac:dyDescent="0.25">
      <c r="A5416" t="s">
        <v>17910</v>
      </c>
      <c r="B5416" t="s">
        <v>17911</v>
      </c>
      <c r="C5416" t="s">
        <v>15</v>
      </c>
      <c r="D5416" t="s">
        <v>17905</v>
      </c>
      <c r="E5416" t="s">
        <v>16310</v>
      </c>
      <c r="F5416" t="s">
        <v>16441</v>
      </c>
      <c r="G5416" t="s">
        <v>17912</v>
      </c>
      <c r="H5416" t="str">
        <f>HYPERLINK("https://baanknet.com/view-property/285861/DE8865F52DD298D8A1A0BEADB322C87FE80879D102379591E33A70D56E0053ED", "https://baanknet.com/view-property/285861/DE8865F52DD298D8A1A0BEADB322C87FE80879D102379591E33A70D56E0053ED")</f>
        <v>https://baanknet.com/view-property/285861/DE8865F52DD298D8A1A0BEADB322C87FE80879D102379591E33A70D56E0053ED</v>
      </c>
      <c r="I5416" t="str">
        <f>HYPERLINK("https://baanknet.com/view-property/285861/DE8865F52DD298D8A1A0BEADB322C87FE80879D102379591E33A70D56E0053ED", "Open")</f>
        <v>Open</v>
      </c>
      <c r="J5416" t="s">
        <v>3803</v>
      </c>
      <c r="L5416">
        <v>3250000</v>
      </c>
      <c r="M5416">
        <v>325000</v>
      </c>
    </row>
    <row r="5417" spans="1:13" x14ac:dyDescent="0.25">
      <c r="A5417" t="s">
        <v>17913</v>
      </c>
      <c r="B5417" t="s">
        <v>17914</v>
      </c>
      <c r="C5417" t="s">
        <v>15</v>
      </c>
      <c r="D5417" t="s">
        <v>17915</v>
      </c>
      <c r="E5417" t="s">
        <v>16310</v>
      </c>
      <c r="F5417" t="s">
        <v>16441</v>
      </c>
      <c r="G5417" t="s">
        <v>17916</v>
      </c>
      <c r="H5417" t="str">
        <f>HYPERLINK("https://baanknet.com/view-property/202568/9EE1967793A6BD71C690431B49E775CE48808C1E6810279B1E72C21189CF76D7", "https://baanknet.com/view-property/202568/9EE1967793A6BD71C690431B49E775CE48808C1E6810279B1E72C21189CF76D7")</f>
        <v>https://baanknet.com/view-property/202568/9EE1967793A6BD71C690431B49E775CE48808C1E6810279B1E72C21189CF76D7</v>
      </c>
      <c r="I5417" t="str">
        <f>HYPERLINK("https://baanknet.com/view-property/202568/9EE1967793A6BD71C690431B49E775CE48808C1E6810279B1E72C21189CF76D7", "Open")</f>
        <v>Open</v>
      </c>
      <c r="J5417" t="s">
        <v>3803</v>
      </c>
      <c r="L5417">
        <v>4050000</v>
      </c>
      <c r="M5417">
        <v>405000</v>
      </c>
    </row>
    <row r="5418" spans="1:13" x14ac:dyDescent="0.25">
      <c r="A5418" t="s">
        <v>17917</v>
      </c>
      <c r="B5418" t="s">
        <v>17918</v>
      </c>
      <c r="C5418" t="s">
        <v>15</v>
      </c>
      <c r="D5418" t="s">
        <v>17919</v>
      </c>
      <c r="E5418" t="s">
        <v>16310</v>
      </c>
      <c r="F5418" t="s">
        <v>16441</v>
      </c>
      <c r="G5418" t="s">
        <v>17920</v>
      </c>
      <c r="H5418" t="str">
        <f>HYPERLINK("https://baanknet.com/view-property/269865/18F2EC73CBC29E5AF44D4FD43D6BF1235D1486A52C13CFEF1E7CEF0B1679459F", "https://baanknet.com/view-property/269865/18F2EC73CBC29E5AF44D4FD43D6BF1235D1486A52C13CFEF1E7CEF0B1679459F")</f>
        <v>https://baanknet.com/view-property/269865/18F2EC73CBC29E5AF44D4FD43D6BF1235D1486A52C13CFEF1E7CEF0B1679459F</v>
      </c>
      <c r="I5418" t="str">
        <f>HYPERLINK("https://baanknet.com/view-property/269865/18F2EC73CBC29E5AF44D4FD43D6BF1235D1486A52C13CFEF1E7CEF0B1679459F", "Open")</f>
        <v>Open</v>
      </c>
      <c r="J5418" t="s">
        <v>3803</v>
      </c>
      <c r="L5418">
        <v>4200000</v>
      </c>
      <c r="M5418">
        <v>420000</v>
      </c>
    </row>
    <row r="5419" spans="1:13" x14ac:dyDescent="0.25">
      <c r="A5419" t="s">
        <v>17921</v>
      </c>
      <c r="B5419" t="s">
        <v>17922</v>
      </c>
      <c r="C5419" t="s">
        <v>15</v>
      </c>
      <c r="D5419" t="s">
        <v>1619</v>
      </c>
      <c r="E5419" t="s">
        <v>16310</v>
      </c>
      <c r="F5419" t="s">
        <v>16441</v>
      </c>
      <c r="G5419" t="s">
        <v>17923</v>
      </c>
      <c r="H5419" t="str">
        <f>HYPERLINK("https://baanknet.com/view-property/269866/F9E7C08E8E1598B743055A35B2A68688EAC846D4551F5F4EEB572166A55E7C95", "https://baanknet.com/view-property/269866/F9E7C08E8E1598B743055A35B2A68688EAC846D4551F5F4EEB572166A55E7C95")</f>
        <v>https://baanknet.com/view-property/269866/F9E7C08E8E1598B743055A35B2A68688EAC846D4551F5F4EEB572166A55E7C95</v>
      </c>
      <c r="I5419" t="str">
        <f>HYPERLINK("https://baanknet.com/view-property/269866/F9E7C08E8E1598B743055A35B2A68688EAC846D4551F5F4EEB572166A55E7C95", "Open")</f>
        <v>Open</v>
      </c>
      <c r="J5419" t="s">
        <v>3803</v>
      </c>
      <c r="L5419">
        <v>25500000</v>
      </c>
      <c r="M5419">
        <v>2550000</v>
      </c>
    </row>
    <row r="5420" spans="1:13" x14ac:dyDescent="0.25">
      <c r="A5420" t="s">
        <v>17924</v>
      </c>
      <c r="B5420" t="s">
        <v>17925</v>
      </c>
      <c r="C5420" t="s">
        <v>15</v>
      </c>
      <c r="D5420" t="s">
        <v>1619</v>
      </c>
      <c r="E5420" t="s">
        <v>16310</v>
      </c>
      <c r="F5420" t="s">
        <v>16441</v>
      </c>
      <c r="G5420" t="s">
        <v>17926</v>
      </c>
      <c r="H5420" t="str">
        <f>HYPERLINK("https://baanknet.com/view-property/269867/9B211D53A7955F772C2A6598FE8A58653207FDE4470139C9E01AF5B518768422", "https://baanknet.com/view-property/269867/9B211D53A7955F772C2A6598FE8A58653207FDE4470139C9E01AF5B518768422")</f>
        <v>https://baanknet.com/view-property/269867/9B211D53A7955F772C2A6598FE8A58653207FDE4470139C9E01AF5B518768422</v>
      </c>
      <c r="I5420" t="str">
        <f>HYPERLINK("https://baanknet.com/view-property/269867/9B211D53A7955F772C2A6598FE8A58653207FDE4470139C9E01AF5B518768422", "Open")</f>
        <v>Open</v>
      </c>
      <c r="J5420" t="s">
        <v>3803</v>
      </c>
      <c r="L5420">
        <v>6120000</v>
      </c>
      <c r="M5420">
        <v>612000</v>
      </c>
    </row>
    <row r="5421" spans="1:13" x14ac:dyDescent="0.25">
      <c r="A5421" t="s">
        <v>17927</v>
      </c>
      <c r="B5421" t="s">
        <v>17928</v>
      </c>
      <c r="C5421" t="s">
        <v>144</v>
      </c>
      <c r="D5421" t="s">
        <v>4184</v>
      </c>
      <c r="E5421" t="s">
        <v>16310</v>
      </c>
      <c r="F5421" t="s">
        <v>15560</v>
      </c>
      <c r="G5421" t="s">
        <v>17929</v>
      </c>
      <c r="H5421" t="str">
        <f>HYPERLINK("https://baanknet.com/view-property/166704/85F1B72D5C580F82B1B35AAABB78E439DC9C0755DFFEDF01312B648219BE3233", "https://baanknet.com/view-property/166704/85F1B72D5C580F82B1B35AAABB78E439DC9C0755DFFEDF01312B648219BE3233")</f>
        <v>https://baanknet.com/view-property/166704/85F1B72D5C580F82B1B35AAABB78E439DC9C0755DFFEDF01312B648219BE3233</v>
      </c>
      <c r="I5421" t="str">
        <f>HYPERLINK("https://baanknet.com/view-property/166704/85F1B72D5C580F82B1B35AAABB78E439DC9C0755DFFEDF01312B648219BE3233", "Open")</f>
        <v>Open</v>
      </c>
      <c r="J5421" t="s">
        <v>3803</v>
      </c>
      <c r="L5421">
        <v>1165000</v>
      </c>
      <c r="M5421">
        <v>116500</v>
      </c>
    </row>
    <row r="5422" spans="1:13" x14ac:dyDescent="0.25">
      <c r="A5422" t="s">
        <v>17930</v>
      </c>
      <c r="B5422" t="s">
        <v>17931</v>
      </c>
      <c r="C5422" t="s">
        <v>7449</v>
      </c>
      <c r="D5422" t="s">
        <v>2581</v>
      </c>
      <c r="E5422" t="s">
        <v>16310</v>
      </c>
      <c r="F5422" t="s">
        <v>15608</v>
      </c>
      <c r="G5422" t="s">
        <v>17932</v>
      </c>
      <c r="H5422" t="str">
        <f>HYPERLINK("https://baanknet.com/view-property/286596/B68B987540F0DEC9215662B97F0F3A0C4AA834CB67F4012304C39A2551E4DD60", "https://baanknet.com/view-property/286596/B68B987540F0DEC9215662B97F0F3A0C4AA834CB67F4012304C39A2551E4DD60")</f>
        <v>https://baanknet.com/view-property/286596/B68B987540F0DEC9215662B97F0F3A0C4AA834CB67F4012304C39A2551E4DD60</v>
      </c>
      <c r="I5422" t="str">
        <f>HYPERLINK("https://baanknet.com/view-property/286596/B68B987540F0DEC9215662B97F0F3A0C4AA834CB67F4012304C39A2551E4DD60", "Open")</f>
        <v>Open</v>
      </c>
      <c r="J5422" t="s">
        <v>3803</v>
      </c>
      <c r="L5422">
        <v>9441900</v>
      </c>
      <c r="M5422">
        <v>944190</v>
      </c>
    </row>
    <row r="5423" spans="1:13" x14ac:dyDescent="0.25">
      <c r="A5423" t="s">
        <v>17933</v>
      </c>
      <c r="B5423" t="s">
        <v>17934</v>
      </c>
      <c r="C5423" t="s">
        <v>7449</v>
      </c>
      <c r="D5423" t="s">
        <v>2581</v>
      </c>
      <c r="E5423" t="s">
        <v>16310</v>
      </c>
      <c r="F5423" t="s">
        <v>15608</v>
      </c>
      <c r="G5423" t="s">
        <v>17935</v>
      </c>
      <c r="H5423" t="str">
        <f>HYPERLINK("https://baanknet.com/view-property/286587/4DBF0F22FA726D17EBF82FC10E6EA8010D0A72A5BD471170F6700A2078D6198D", "https://baanknet.com/view-property/286587/4DBF0F22FA726D17EBF82FC10E6EA8010D0A72A5BD471170F6700A2078D6198D")</f>
        <v>https://baanknet.com/view-property/286587/4DBF0F22FA726D17EBF82FC10E6EA8010D0A72A5BD471170F6700A2078D6198D</v>
      </c>
      <c r="I5423" t="str">
        <f>HYPERLINK("https://baanknet.com/view-property/286587/4DBF0F22FA726D17EBF82FC10E6EA8010D0A72A5BD471170F6700A2078D6198D", "Open")</f>
        <v>Open</v>
      </c>
      <c r="J5423" t="s">
        <v>3803</v>
      </c>
      <c r="L5423">
        <v>1264500</v>
      </c>
      <c r="M5423">
        <v>126450</v>
      </c>
    </row>
    <row r="5424" spans="1:13" x14ac:dyDescent="0.25">
      <c r="A5424" t="s">
        <v>17936</v>
      </c>
      <c r="B5424" t="s">
        <v>17937</v>
      </c>
      <c r="C5424" t="s">
        <v>7449</v>
      </c>
      <c r="D5424" t="s">
        <v>17938</v>
      </c>
      <c r="E5424" t="s">
        <v>16310</v>
      </c>
      <c r="F5424" t="s">
        <v>15608</v>
      </c>
      <c r="G5424" t="s">
        <v>17939</v>
      </c>
      <c r="H5424" t="str">
        <f>HYPERLINK("https://baanknet.com/view-property/286612/340343E36FE2924C0CDD7639DE3BCE4166868F1C3BC27BF9039B01D9362CC952", "https://baanknet.com/view-property/286612/340343E36FE2924C0CDD7639DE3BCE4166868F1C3BC27BF9039B01D9362CC952")</f>
        <v>https://baanknet.com/view-property/286612/340343E36FE2924C0CDD7639DE3BCE4166868F1C3BC27BF9039B01D9362CC952</v>
      </c>
      <c r="I5424" t="str">
        <f>HYPERLINK("https://baanknet.com/view-property/286612/340343E36FE2924C0CDD7639DE3BCE4166868F1C3BC27BF9039B01D9362CC952", "Open")</f>
        <v>Open</v>
      </c>
      <c r="J5424" t="s">
        <v>3803</v>
      </c>
      <c r="L5424">
        <v>3195000</v>
      </c>
      <c r="M5424">
        <v>319500</v>
      </c>
    </row>
    <row r="5425" spans="1:13" x14ac:dyDescent="0.25">
      <c r="A5425" t="s">
        <v>17940</v>
      </c>
      <c r="B5425" t="s">
        <v>17941</v>
      </c>
      <c r="C5425" t="s">
        <v>7449</v>
      </c>
      <c r="D5425" t="s">
        <v>338</v>
      </c>
      <c r="E5425" t="s">
        <v>16310</v>
      </c>
      <c r="F5425" t="s">
        <v>15608</v>
      </c>
      <c r="G5425" t="s">
        <v>17942</v>
      </c>
      <c r="H5425" t="str">
        <f>HYPERLINK("https://baanknet.com/view-property/286604/C87EB5B367A39080021BDCAA5760C69B2571289C9C9B82805461C1FB7231ADC2", "https://baanknet.com/view-property/286604/C87EB5B367A39080021BDCAA5760C69B2571289C9C9B82805461C1FB7231ADC2")</f>
        <v>https://baanknet.com/view-property/286604/C87EB5B367A39080021BDCAA5760C69B2571289C9C9B82805461C1FB7231ADC2</v>
      </c>
      <c r="I5425" t="str">
        <f>HYPERLINK("https://baanknet.com/view-property/286604/C87EB5B367A39080021BDCAA5760C69B2571289C9C9B82805461C1FB7231ADC2", "Open")</f>
        <v>Open</v>
      </c>
      <c r="J5425" t="s">
        <v>3803</v>
      </c>
      <c r="L5425">
        <v>2280000</v>
      </c>
      <c r="M5425">
        <v>228000</v>
      </c>
    </row>
    <row r="5426" spans="1:13" x14ac:dyDescent="0.25">
      <c r="A5426" t="s">
        <v>17943</v>
      </c>
      <c r="B5426" t="s">
        <v>17944</v>
      </c>
      <c r="C5426" t="s">
        <v>7449</v>
      </c>
      <c r="D5426" t="s">
        <v>813</v>
      </c>
      <c r="E5426" t="s">
        <v>16310</v>
      </c>
      <c r="F5426" t="s">
        <v>15608</v>
      </c>
      <c r="G5426" t="s">
        <v>17945</v>
      </c>
      <c r="H5426" t="str">
        <f>HYPERLINK("https://baanknet.com/view-property/230857/A010B5DB7F154CA7C865F38F5208996404DE7F12242F1D187D34072366F6857E", "https://baanknet.com/view-property/230857/A010B5DB7F154CA7C865F38F5208996404DE7F12242F1D187D34072366F6857E")</f>
        <v>https://baanknet.com/view-property/230857/A010B5DB7F154CA7C865F38F5208996404DE7F12242F1D187D34072366F6857E</v>
      </c>
      <c r="I5426" t="str">
        <f>HYPERLINK("https://baanknet.com/view-property/230857/A010B5DB7F154CA7C865F38F5208996404DE7F12242F1D187D34072366F6857E", "Open")</f>
        <v>Open</v>
      </c>
      <c r="J5426" t="s">
        <v>3803</v>
      </c>
      <c r="L5426">
        <v>2000000</v>
      </c>
      <c r="M5426">
        <v>200000</v>
      </c>
    </row>
    <row r="5427" spans="1:13" x14ac:dyDescent="0.25">
      <c r="A5427" t="s">
        <v>17946</v>
      </c>
      <c r="B5427" t="s">
        <v>17947</v>
      </c>
      <c r="C5427" t="s">
        <v>7449</v>
      </c>
      <c r="D5427" t="s">
        <v>17948</v>
      </c>
      <c r="E5427" t="s">
        <v>16310</v>
      </c>
      <c r="F5427" t="s">
        <v>15608</v>
      </c>
      <c r="G5427" t="s">
        <v>17949</v>
      </c>
      <c r="H5427" t="str">
        <f>HYPERLINK("https://baanknet.com/view-property/248309/039840E129C9F79FEE338FCE63A15B64132DA5687410604C3C4A02D374148756", "https://baanknet.com/view-property/248309/039840E129C9F79FEE338FCE63A15B64132DA5687410604C3C4A02D374148756")</f>
        <v>https://baanknet.com/view-property/248309/039840E129C9F79FEE338FCE63A15B64132DA5687410604C3C4A02D374148756</v>
      </c>
      <c r="I5427" t="str">
        <f>HYPERLINK("https://baanknet.com/view-property/248309/039840E129C9F79FEE338FCE63A15B64132DA5687410604C3C4A02D374148756", "Open")</f>
        <v>Open</v>
      </c>
      <c r="J5427" t="s">
        <v>3803</v>
      </c>
      <c r="L5427">
        <v>2369200</v>
      </c>
      <c r="M5427">
        <v>236920</v>
      </c>
    </row>
    <row r="5428" spans="1:13" x14ac:dyDescent="0.25">
      <c r="A5428" t="s">
        <v>17950</v>
      </c>
      <c r="B5428" t="s">
        <v>17951</v>
      </c>
      <c r="C5428" t="s">
        <v>7449</v>
      </c>
      <c r="D5428" t="s">
        <v>2650</v>
      </c>
      <c r="E5428" t="s">
        <v>16310</v>
      </c>
      <c r="F5428" t="s">
        <v>15608</v>
      </c>
      <c r="G5428" t="s">
        <v>17952</v>
      </c>
      <c r="H5428" t="str">
        <f>HYPERLINK("https://baanknet.com/view-property/262920/2913EDFA0B8066E0DFD99DD7FE8640A351DF316BBAC748DB29BEBD42CE320622", "https://baanknet.com/view-property/262920/2913EDFA0B8066E0DFD99DD7FE8640A351DF316BBAC748DB29BEBD42CE320622")</f>
        <v>https://baanknet.com/view-property/262920/2913EDFA0B8066E0DFD99DD7FE8640A351DF316BBAC748DB29BEBD42CE320622</v>
      </c>
      <c r="I5428" t="str">
        <f>HYPERLINK("https://baanknet.com/view-property/262920/2913EDFA0B8066E0DFD99DD7FE8640A351DF316BBAC748DB29BEBD42CE320622", "Open")</f>
        <v>Open</v>
      </c>
      <c r="J5428" t="s">
        <v>3803</v>
      </c>
      <c r="L5428">
        <v>1853000</v>
      </c>
      <c r="M5428">
        <v>185300</v>
      </c>
    </row>
    <row r="5429" spans="1:13" x14ac:dyDescent="0.25">
      <c r="A5429" t="s">
        <v>17953</v>
      </c>
      <c r="B5429" t="s">
        <v>17954</v>
      </c>
      <c r="C5429" t="s">
        <v>7449</v>
      </c>
      <c r="D5429" t="s">
        <v>813</v>
      </c>
      <c r="E5429" t="s">
        <v>16310</v>
      </c>
      <c r="F5429" t="s">
        <v>15608</v>
      </c>
      <c r="G5429" t="s">
        <v>17955</v>
      </c>
      <c r="H5429" t="str">
        <f>HYPERLINK("https://baanknet.com/view-property/55268/2E8E27DF7CB6E07DB45CC93667F4061F00F49045DAD6DC7189D529305BC09926", "https://baanknet.com/view-property/55268/2E8E27DF7CB6E07DB45CC93667F4061F00F49045DAD6DC7189D529305BC09926")</f>
        <v>https://baanknet.com/view-property/55268/2E8E27DF7CB6E07DB45CC93667F4061F00F49045DAD6DC7189D529305BC09926</v>
      </c>
      <c r="I5429" t="str">
        <f>HYPERLINK("https://baanknet.com/view-property/55268/2E8E27DF7CB6E07DB45CC93667F4061F00F49045DAD6DC7189D529305BC09926", "Open")</f>
        <v>Open</v>
      </c>
      <c r="J5429" t="s">
        <v>3803</v>
      </c>
      <c r="L5429">
        <v>1500000</v>
      </c>
      <c r="M5429">
        <v>150000</v>
      </c>
    </row>
    <row r="5430" spans="1:13" x14ac:dyDescent="0.25">
      <c r="A5430" t="s">
        <v>17956</v>
      </c>
      <c r="B5430" t="s">
        <v>17957</v>
      </c>
      <c r="C5430" t="s">
        <v>7449</v>
      </c>
      <c r="D5430" t="s">
        <v>1007</v>
      </c>
      <c r="E5430" t="s">
        <v>16310</v>
      </c>
      <c r="F5430" t="s">
        <v>15608</v>
      </c>
      <c r="G5430" t="s">
        <v>17958</v>
      </c>
      <c r="H5430" t="str">
        <f>HYPERLINK("https://baanknet.com/view-property/230865/3C8CF5F2F81D28453BB2B767B469B300006CBA243571CD6BC31CD1148C7895E5", "https://baanknet.com/view-property/230865/3C8CF5F2F81D28453BB2B767B469B300006CBA243571CD6BC31CD1148C7895E5")</f>
        <v>https://baanknet.com/view-property/230865/3C8CF5F2F81D28453BB2B767B469B300006CBA243571CD6BC31CD1148C7895E5</v>
      </c>
      <c r="I5430" t="str">
        <f>HYPERLINK("https://baanknet.com/view-property/230865/3C8CF5F2F81D28453BB2B767B469B300006CBA243571CD6BC31CD1148C7895E5", "Open")</f>
        <v>Open</v>
      </c>
      <c r="J5430" t="s">
        <v>3803</v>
      </c>
      <c r="L5430">
        <v>2675000</v>
      </c>
      <c r="M5430">
        <v>267500</v>
      </c>
    </row>
    <row r="5431" spans="1:13" x14ac:dyDescent="0.25">
      <c r="A5431" t="s">
        <v>17959</v>
      </c>
      <c r="B5431" t="s">
        <v>17960</v>
      </c>
      <c r="C5431" t="s">
        <v>7449</v>
      </c>
      <c r="D5431" t="s">
        <v>1007</v>
      </c>
      <c r="E5431" t="s">
        <v>16310</v>
      </c>
      <c r="F5431" t="s">
        <v>15608</v>
      </c>
      <c r="G5431" t="s">
        <v>17961</v>
      </c>
      <c r="H5431" t="str">
        <f>HYPERLINK("https://baanknet.com/view-property/261903/2A4BB689565BD5FC0A891EDAF17FD392AFC576C97E909E27C3A58CC61CF2E8F2", "https://baanknet.com/view-property/261903/2A4BB689565BD5FC0A891EDAF17FD392AFC576C97E909E27C3A58CC61CF2E8F2")</f>
        <v>https://baanknet.com/view-property/261903/2A4BB689565BD5FC0A891EDAF17FD392AFC576C97E909E27C3A58CC61CF2E8F2</v>
      </c>
      <c r="I5431" t="str">
        <f>HYPERLINK("https://baanknet.com/view-property/261903/2A4BB689565BD5FC0A891EDAF17FD392AFC576C97E909E27C3A58CC61CF2E8F2", "Open")</f>
        <v>Open</v>
      </c>
      <c r="J5431" t="s">
        <v>3803</v>
      </c>
      <c r="L5431">
        <v>5387000</v>
      </c>
      <c r="M5431">
        <v>538700</v>
      </c>
    </row>
    <row r="5432" spans="1:13" x14ac:dyDescent="0.25">
      <c r="A5432" t="s">
        <v>17962</v>
      </c>
      <c r="B5432" t="s">
        <v>17963</v>
      </c>
      <c r="C5432" t="s">
        <v>7449</v>
      </c>
      <c r="D5432" t="s">
        <v>2167</v>
      </c>
      <c r="E5432" t="s">
        <v>16310</v>
      </c>
      <c r="F5432" t="s">
        <v>15608</v>
      </c>
      <c r="G5432" t="s">
        <v>17964</v>
      </c>
      <c r="H5432" t="str">
        <f>HYPERLINK("https://baanknet.com/view-property/252817/69573FC2971A57357CE0A9ED2195A0ECC671201D1B88738BE7223DA78F332935", "https://baanknet.com/view-property/252817/69573FC2971A57357CE0A9ED2195A0ECC671201D1B88738BE7223DA78F332935")</f>
        <v>https://baanknet.com/view-property/252817/69573FC2971A57357CE0A9ED2195A0ECC671201D1B88738BE7223DA78F332935</v>
      </c>
      <c r="I5432" t="str">
        <f>HYPERLINK("https://baanknet.com/view-property/252817/69573FC2971A57357CE0A9ED2195A0ECC671201D1B88738BE7223DA78F332935", "Open")</f>
        <v>Open</v>
      </c>
      <c r="J5432" t="s">
        <v>3803</v>
      </c>
      <c r="L5432">
        <v>7353000</v>
      </c>
      <c r="M5432">
        <v>735300</v>
      </c>
    </row>
    <row r="5433" spans="1:13" x14ac:dyDescent="0.25">
      <c r="A5433" t="s">
        <v>17965</v>
      </c>
      <c r="B5433" t="s">
        <v>17966</v>
      </c>
      <c r="C5433" t="s">
        <v>7449</v>
      </c>
      <c r="D5433" t="s">
        <v>1839</v>
      </c>
      <c r="E5433" t="s">
        <v>16310</v>
      </c>
      <c r="F5433" t="s">
        <v>15608</v>
      </c>
      <c r="G5433" t="s">
        <v>17967</v>
      </c>
      <c r="H5433" t="str">
        <f>HYPERLINK("https://baanknet.com/view-property/56524/5C48CFE46F63DA9E70D6D6B73F5CCE4579144B604A29CD1B3179A08D985EBB55", "https://baanknet.com/view-property/56524/5C48CFE46F63DA9E70D6D6B73F5CCE4579144B604A29CD1B3179A08D985EBB55")</f>
        <v>https://baanknet.com/view-property/56524/5C48CFE46F63DA9E70D6D6B73F5CCE4579144B604A29CD1B3179A08D985EBB55</v>
      </c>
      <c r="I5433" t="str">
        <f>HYPERLINK("https://baanknet.com/view-property/56524/5C48CFE46F63DA9E70D6D6B73F5CCE4579144B604A29CD1B3179A08D985EBB55", "Open")</f>
        <v>Open</v>
      </c>
      <c r="J5433" t="s">
        <v>3803</v>
      </c>
      <c r="L5433">
        <v>2100000</v>
      </c>
      <c r="M5433">
        <v>210000</v>
      </c>
    </row>
    <row r="5434" spans="1:13" x14ac:dyDescent="0.25">
      <c r="A5434" t="s">
        <v>17968</v>
      </c>
      <c r="B5434" t="s">
        <v>17969</v>
      </c>
      <c r="C5434" t="s">
        <v>7449</v>
      </c>
      <c r="D5434" t="s">
        <v>1127</v>
      </c>
      <c r="E5434" t="s">
        <v>16310</v>
      </c>
      <c r="F5434" t="s">
        <v>15608</v>
      </c>
      <c r="G5434" t="s">
        <v>17970</v>
      </c>
      <c r="H5434" t="str">
        <f>HYPERLINK("https://baanknet.com/view-property/262820/CB58B079C3DD2B82DDF54A96EB653F77B3B0D52F2FCC11A066FDEEC3DD6AC9A0", "https://baanknet.com/view-property/262820/CB58B079C3DD2B82DDF54A96EB653F77B3B0D52F2FCC11A066FDEEC3DD6AC9A0")</f>
        <v>https://baanknet.com/view-property/262820/CB58B079C3DD2B82DDF54A96EB653F77B3B0D52F2FCC11A066FDEEC3DD6AC9A0</v>
      </c>
      <c r="I5434" t="str">
        <f>HYPERLINK("https://baanknet.com/view-property/262820/CB58B079C3DD2B82DDF54A96EB653F77B3B0D52F2FCC11A066FDEEC3DD6AC9A0", "Open")</f>
        <v>Open</v>
      </c>
      <c r="J5434" t="s">
        <v>3803</v>
      </c>
      <c r="L5434">
        <v>4875000</v>
      </c>
      <c r="M5434">
        <v>487500</v>
      </c>
    </row>
    <row r="5435" spans="1:13" x14ac:dyDescent="0.25">
      <c r="A5435" t="s">
        <v>17971</v>
      </c>
      <c r="B5435" t="s">
        <v>17972</v>
      </c>
      <c r="C5435" t="s">
        <v>7449</v>
      </c>
      <c r="D5435" t="s">
        <v>813</v>
      </c>
      <c r="E5435" t="s">
        <v>16310</v>
      </c>
      <c r="F5435" t="s">
        <v>15608</v>
      </c>
      <c r="G5435" t="s">
        <v>17973</v>
      </c>
      <c r="H5435" t="str">
        <f>HYPERLINK("https://baanknet.com/view-property/68505/894F7D6C1732B9678AF605AB7D221373A814CEF84E96ABF2D4EBB5C25C7F065F", "https://baanknet.com/view-property/68505/894F7D6C1732B9678AF605AB7D221373A814CEF84E96ABF2D4EBB5C25C7F065F")</f>
        <v>https://baanknet.com/view-property/68505/894F7D6C1732B9678AF605AB7D221373A814CEF84E96ABF2D4EBB5C25C7F065F</v>
      </c>
      <c r="I5435" t="str">
        <f>HYPERLINK("https://baanknet.com/view-property/68505/894F7D6C1732B9678AF605AB7D221373A814CEF84E96ABF2D4EBB5C25C7F065F", "Open")</f>
        <v>Open</v>
      </c>
      <c r="J5435" t="s">
        <v>3803</v>
      </c>
      <c r="L5435">
        <v>2900000</v>
      </c>
      <c r="M5435">
        <v>290000</v>
      </c>
    </row>
    <row r="5436" spans="1:13" x14ac:dyDescent="0.25">
      <c r="A5436" t="s">
        <v>17974</v>
      </c>
      <c r="B5436" t="s">
        <v>17975</v>
      </c>
      <c r="C5436" t="s">
        <v>15</v>
      </c>
      <c r="D5436" t="s">
        <v>3266</v>
      </c>
      <c r="E5436" t="s">
        <v>15527</v>
      </c>
      <c r="F5436" t="s">
        <v>15560</v>
      </c>
      <c r="G5436" t="s">
        <v>17976</v>
      </c>
      <c r="H5436" t="str">
        <f>HYPERLINK("https://baanknet.com/view-property/282836/90E27775C1E2D39CAA0D0C0A34A038A5B05BFC274895993A69F3B9E0CF939221", "https://baanknet.com/view-property/282836/90E27775C1E2D39CAA0D0C0A34A038A5B05BFC274895993A69F3B9E0CF939221")</f>
        <v>https://baanknet.com/view-property/282836/90E27775C1E2D39CAA0D0C0A34A038A5B05BFC274895993A69F3B9E0CF939221</v>
      </c>
      <c r="I5436" t="str">
        <f>HYPERLINK("https://baanknet.com/view-property/282836/90E27775C1E2D39CAA0D0C0A34A038A5B05BFC274895993A69F3B9E0CF939221", "Open")</f>
        <v>Open</v>
      </c>
      <c r="J5436" t="s">
        <v>3803</v>
      </c>
      <c r="L5436">
        <v>2000000</v>
      </c>
      <c r="M5436">
        <v>200000</v>
      </c>
    </row>
    <row r="5437" spans="1:13" x14ac:dyDescent="0.25">
      <c r="A5437" t="s">
        <v>17977</v>
      </c>
      <c r="B5437" t="s">
        <v>17978</v>
      </c>
      <c r="C5437" t="s">
        <v>15</v>
      </c>
      <c r="D5437" t="s">
        <v>3790</v>
      </c>
      <c r="E5437" t="s">
        <v>15527</v>
      </c>
      <c r="F5437" t="s">
        <v>15560</v>
      </c>
      <c r="G5437" t="s">
        <v>17979</v>
      </c>
      <c r="H5437" t="str">
        <f>HYPERLINK("https://baanknet.com/view-property/185913/8CAAA96C28EEDC3B1F2CA1C4EFFD597EC19AA0C829B0F3DD68F8082D6EEEC496", "https://baanknet.com/view-property/185913/8CAAA96C28EEDC3B1F2CA1C4EFFD597EC19AA0C829B0F3DD68F8082D6EEEC496")</f>
        <v>https://baanknet.com/view-property/185913/8CAAA96C28EEDC3B1F2CA1C4EFFD597EC19AA0C829B0F3DD68F8082D6EEEC496</v>
      </c>
      <c r="I5437" t="str">
        <f>HYPERLINK("https://baanknet.com/view-property/185913/8CAAA96C28EEDC3B1F2CA1C4EFFD597EC19AA0C829B0F3DD68F8082D6EEEC496", "Open")</f>
        <v>Open</v>
      </c>
      <c r="J5437" t="s">
        <v>3803</v>
      </c>
      <c r="L5437">
        <v>725000</v>
      </c>
      <c r="M5437">
        <v>72500</v>
      </c>
    </row>
    <row r="5438" spans="1:13" x14ac:dyDescent="0.25">
      <c r="A5438" t="s">
        <v>17980</v>
      </c>
      <c r="B5438" t="s">
        <v>17981</v>
      </c>
      <c r="C5438" t="s">
        <v>15</v>
      </c>
      <c r="D5438" t="s">
        <v>3713</v>
      </c>
      <c r="E5438" t="s">
        <v>15527</v>
      </c>
      <c r="F5438" t="s">
        <v>15560</v>
      </c>
      <c r="G5438" t="s">
        <v>17982</v>
      </c>
      <c r="H5438" t="str">
        <f>HYPERLINK("https://baanknet.com/view-property/186450/5D92CA43BA935155E8B5376F5E91DC2C6D318ECD78290B8BA2E92DAA273C529E", "https://baanknet.com/view-property/186450/5D92CA43BA935155E8B5376F5E91DC2C6D318ECD78290B8BA2E92DAA273C529E")</f>
        <v>https://baanknet.com/view-property/186450/5D92CA43BA935155E8B5376F5E91DC2C6D318ECD78290B8BA2E92DAA273C529E</v>
      </c>
      <c r="I5438" t="str">
        <f>HYPERLINK("https://baanknet.com/view-property/186450/5D92CA43BA935155E8B5376F5E91DC2C6D318ECD78290B8BA2E92DAA273C529E", "Open")</f>
        <v>Open</v>
      </c>
      <c r="J5438" t="s">
        <v>3803</v>
      </c>
      <c r="L5438">
        <v>975000</v>
      </c>
      <c r="M5438">
        <v>97500</v>
      </c>
    </row>
    <row r="5439" spans="1:13" x14ac:dyDescent="0.25">
      <c r="A5439" t="s">
        <v>17983</v>
      </c>
      <c r="B5439" t="s">
        <v>17984</v>
      </c>
      <c r="C5439" t="s">
        <v>15</v>
      </c>
      <c r="D5439" t="s">
        <v>3835</v>
      </c>
      <c r="E5439" t="s">
        <v>15527</v>
      </c>
      <c r="F5439" t="s">
        <v>15560</v>
      </c>
      <c r="G5439" t="s">
        <v>17985</v>
      </c>
      <c r="H5439" t="str">
        <f>HYPERLINK("https://baanknet.com/view-property/252616/6FFEA250D66673BCAC60EF071C0B484A6BA52D02E5225381B1202833D633B0E5", "https://baanknet.com/view-property/252616/6FFEA250D66673BCAC60EF071C0B484A6BA52D02E5225381B1202833D633B0E5")</f>
        <v>https://baanknet.com/view-property/252616/6FFEA250D66673BCAC60EF071C0B484A6BA52D02E5225381B1202833D633B0E5</v>
      </c>
      <c r="I5439" t="str">
        <f>HYPERLINK("https://baanknet.com/view-property/252616/6FFEA250D66673BCAC60EF071C0B484A6BA52D02E5225381B1202833D633B0E5", "Open")</f>
        <v>Open</v>
      </c>
      <c r="J5439" t="s">
        <v>3803</v>
      </c>
      <c r="L5439">
        <v>450000</v>
      </c>
      <c r="M5439">
        <v>45000</v>
      </c>
    </row>
    <row r="5440" spans="1:13" x14ac:dyDescent="0.25">
      <c r="A5440" t="s">
        <v>17986</v>
      </c>
      <c r="B5440" t="s">
        <v>17987</v>
      </c>
      <c r="C5440" t="s">
        <v>15</v>
      </c>
      <c r="D5440" t="s">
        <v>4665</v>
      </c>
      <c r="E5440" t="s">
        <v>15527</v>
      </c>
      <c r="F5440" t="s">
        <v>15560</v>
      </c>
      <c r="G5440" t="s">
        <v>17988</v>
      </c>
      <c r="H5440" t="str">
        <f>HYPERLINK("https://baanknet.com/view-property/275573/50FEB2CE7AD061BEA5F318C564D32F5A2C9195027F46C6165B0A0F623B16DFC3", "https://baanknet.com/view-property/275573/50FEB2CE7AD061BEA5F318C564D32F5A2C9195027F46C6165B0A0F623B16DFC3")</f>
        <v>https://baanknet.com/view-property/275573/50FEB2CE7AD061BEA5F318C564D32F5A2C9195027F46C6165B0A0F623B16DFC3</v>
      </c>
      <c r="I5440" t="str">
        <f>HYPERLINK("https://baanknet.com/view-property/275573/50FEB2CE7AD061BEA5F318C564D32F5A2C9195027F46C6165B0A0F623B16DFC3", "Open")</f>
        <v>Open</v>
      </c>
      <c r="J5440" t="s">
        <v>3803</v>
      </c>
      <c r="L5440">
        <v>1650000</v>
      </c>
      <c r="M5440">
        <v>165000</v>
      </c>
    </row>
    <row r="5441" spans="1:13" x14ac:dyDescent="0.25">
      <c r="A5441" t="s">
        <v>17989</v>
      </c>
      <c r="B5441" t="s">
        <v>17990</v>
      </c>
      <c r="C5441" t="s">
        <v>15</v>
      </c>
      <c r="D5441" t="s">
        <v>3835</v>
      </c>
      <c r="E5441" t="s">
        <v>15527</v>
      </c>
      <c r="F5441" t="s">
        <v>15560</v>
      </c>
      <c r="G5441" t="s">
        <v>17991</v>
      </c>
      <c r="H5441" t="str">
        <f>HYPERLINK("https://baanknet.com/view-property/190638/49EDF3F8D2498583090161B806410793F29F371B1FF732D608F07721AD6DF41E", "https://baanknet.com/view-property/190638/49EDF3F8D2498583090161B806410793F29F371B1FF732D608F07721AD6DF41E")</f>
        <v>https://baanknet.com/view-property/190638/49EDF3F8D2498583090161B806410793F29F371B1FF732D608F07721AD6DF41E</v>
      </c>
      <c r="I5441" t="str">
        <f>HYPERLINK("https://baanknet.com/view-property/190638/49EDF3F8D2498583090161B806410793F29F371B1FF732D608F07721AD6DF41E", "Open")</f>
        <v>Open</v>
      </c>
      <c r="J5441" t="s">
        <v>3803</v>
      </c>
      <c r="L5441">
        <v>865000</v>
      </c>
      <c r="M5441">
        <v>86500</v>
      </c>
    </row>
    <row r="5442" spans="1:13" x14ac:dyDescent="0.25">
      <c r="A5442" t="s">
        <v>17992</v>
      </c>
      <c r="B5442" t="s">
        <v>17993</v>
      </c>
      <c r="C5442" t="s">
        <v>15</v>
      </c>
      <c r="D5442" t="s">
        <v>17994</v>
      </c>
      <c r="E5442" t="s">
        <v>15527</v>
      </c>
      <c r="F5442" t="s">
        <v>15560</v>
      </c>
      <c r="G5442" t="s">
        <v>17995</v>
      </c>
      <c r="H5442" t="str">
        <f>HYPERLINK("https://baanknet.com/view-property/275299/11833345F4A618C005A987EA88AB5DD844C4969C83639739A97EA7A7847E1DA8", "https://baanknet.com/view-property/275299/11833345F4A618C005A987EA88AB5DD844C4969C83639739A97EA7A7847E1DA8")</f>
        <v>https://baanknet.com/view-property/275299/11833345F4A618C005A987EA88AB5DD844C4969C83639739A97EA7A7847E1DA8</v>
      </c>
      <c r="I5442" t="str">
        <f>HYPERLINK("https://baanknet.com/view-property/275299/11833345F4A618C005A987EA88AB5DD844C4969C83639739A97EA7A7847E1DA8", "Open")</f>
        <v>Open</v>
      </c>
      <c r="J5442" t="s">
        <v>3803</v>
      </c>
      <c r="L5442">
        <v>1188000</v>
      </c>
      <c r="M5442">
        <v>118800</v>
      </c>
    </row>
    <row r="5443" spans="1:13" x14ac:dyDescent="0.25">
      <c r="A5443" t="s">
        <v>17996</v>
      </c>
      <c r="B5443" t="s">
        <v>17997</v>
      </c>
      <c r="C5443" t="s">
        <v>15</v>
      </c>
      <c r="D5443" t="s">
        <v>17998</v>
      </c>
      <c r="E5443" t="s">
        <v>15527</v>
      </c>
      <c r="F5443" t="s">
        <v>15560</v>
      </c>
      <c r="G5443" t="s">
        <v>17999</v>
      </c>
      <c r="H5443" t="str">
        <f>HYPERLINK("https://baanknet.com/view-property/190687/908165B592195AE6A6A565DE6B920C5618972FAD175570E278736DE38764B57F", "https://baanknet.com/view-property/190687/908165B592195AE6A6A565DE6B920C5618972FAD175570E278736DE38764B57F")</f>
        <v>https://baanknet.com/view-property/190687/908165B592195AE6A6A565DE6B920C5618972FAD175570E278736DE38764B57F</v>
      </c>
      <c r="I5443" t="str">
        <f>HYPERLINK("https://baanknet.com/view-property/190687/908165B592195AE6A6A565DE6B920C5618972FAD175570E278736DE38764B57F", "Open")</f>
        <v>Open</v>
      </c>
      <c r="J5443" t="s">
        <v>3803</v>
      </c>
      <c r="L5443">
        <v>1500000</v>
      </c>
      <c r="M5443">
        <v>150000</v>
      </c>
    </row>
    <row r="5444" spans="1:13" x14ac:dyDescent="0.25">
      <c r="A5444" t="s">
        <v>18000</v>
      </c>
      <c r="B5444" t="s">
        <v>18001</v>
      </c>
      <c r="C5444" t="s">
        <v>15</v>
      </c>
      <c r="D5444" t="s">
        <v>18002</v>
      </c>
      <c r="E5444" t="s">
        <v>15527</v>
      </c>
      <c r="F5444" t="s">
        <v>15560</v>
      </c>
      <c r="G5444" t="s">
        <v>18003</v>
      </c>
      <c r="H5444" t="str">
        <f>HYPERLINK("https://baanknet.com/view-property/249066/F80F87656C4CCAFBAED5572A57A519BC2D918AF1D859EAE29D1A2058362B542A", "https://baanknet.com/view-property/249066/F80F87656C4CCAFBAED5572A57A519BC2D918AF1D859EAE29D1A2058362B542A")</f>
        <v>https://baanknet.com/view-property/249066/F80F87656C4CCAFBAED5572A57A519BC2D918AF1D859EAE29D1A2058362B542A</v>
      </c>
      <c r="I5444" t="str">
        <f>HYPERLINK("https://baanknet.com/view-property/249066/F80F87656C4CCAFBAED5572A57A519BC2D918AF1D859EAE29D1A2058362B542A", "Open")</f>
        <v>Open</v>
      </c>
      <c r="J5444" t="s">
        <v>3803</v>
      </c>
      <c r="L5444">
        <v>2875000</v>
      </c>
      <c r="M5444">
        <v>287500</v>
      </c>
    </row>
    <row r="5445" spans="1:13" x14ac:dyDescent="0.25">
      <c r="A5445" t="s">
        <v>18004</v>
      </c>
      <c r="B5445" t="s">
        <v>18005</v>
      </c>
      <c r="C5445" t="s">
        <v>15</v>
      </c>
      <c r="D5445" t="s">
        <v>3592</v>
      </c>
      <c r="E5445" t="s">
        <v>15527</v>
      </c>
      <c r="F5445" t="s">
        <v>15560</v>
      </c>
      <c r="G5445" t="s">
        <v>18006</v>
      </c>
      <c r="H5445" t="str">
        <f>HYPERLINK("https://baanknet.com/view-property/260913/DCF539BB0DC4955C17701E7C427DB3DBFC94BCA638DE302A94495A5125D566EE", "https://baanknet.com/view-property/260913/DCF539BB0DC4955C17701E7C427DB3DBFC94BCA638DE302A94495A5125D566EE")</f>
        <v>https://baanknet.com/view-property/260913/DCF539BB0DC4955C17701E7C427DB3DBFC94BCA638DE302A94495A5125D566EE</v>
      </c>
      <c r="I5445" t="str">
        <f>HYPERLINK("https://baanknet.com/view-property/260913/DCF539BB0DC4955C17701E7C427DB3DBFC94BCA638DE302A94495A5125D566EE", "Open")</f>
        <v>Open</v>
      </c>
      <c r="J5445" t="s">
        <v>3803</v>
      </c>
      <c r="L5445">
        <v>6800000</v>
      </c>
      <c r="M5445">
        <v>680000</v>
      </c>
    </row>
    <row r="5446" spans="1:13" x14ac:dyDescent="0.25">
      <c r="A5446" t="s">
        <v>18007</v>
      </c>
      <c r="B5446" t="s">
        <v>18008</v>
      </c>
      <c r="C5446" t="s">
        <v>15</v>
      </c>
      <c r="D5446" t="s">
        <v>3266</v>
      </c>
      <c r="E5446" t="s">
        <v>15527</v>
      </c>
      <c r="F5446" t="s">
        <v>15560</v>
      </c>
      <c r="G5446" t="s">
        <v>18009</v>
      </c>
      <c r="H5446" t="str">
        <f>HYPERLINK("https://baanknet.com/view-property/275600/28DD2D1AEBE5A4B371352946D145DA278AA6A51F400EF4728C65C415BB7F7AFD", "https://baanknet.com/view-property/275600/28DD2D1AEBE5A4B371352946D145DA278AA6A51F400EF4728C65C415BB7F7AFD")</f>
        <v>https://baanknet.com/view-property/275600/28DD2D1AEBE5A4B371352946D145DA278AA6A51F400EF4728C65C415BB7F7AFD</v>
      </c>
      <c r="I5446" t="str">
        <f>HYPERLINK("https://baanknet.com/view-property/275600/28DD2D1AEBE5A4B371352946D145DA278AA6A51F400EF4728C65C415BB7F7AFD", "Open")</f>
        <v>Open</v>
      </c>
      <c r="J5446" t="s">
        <v>3803</v>
      </c>
      <c r="L5446">
        <v>2900000</v>
      </c>
      <c r="M5446">
        <v>290000</v>
      </c>
    </row>
    <row r="5447" spans="1:13" x14ac:dyDescent="0.25">
      <c r="A5447" t="s">
        <v>18010</v>
      </c>
      <c r="B5447" t="s">
        <v>18011</v>
      </c>
      <c r="C5447" t="s">
        <v>15</v>
      </c>
      <c r="D5447" t="s">
        <v>3266</v>
      </c>
      <c r="E5447" t="s">
        <v>15527</v>
      </c>
      <c r="F5447" t="s">
        <v>15560</v>
      </c>
      <c r="G5447" t="s">
        <v>18012</v>
      </c>
      <c r="H5447" t="str">
        <f>HYPERLINK("https://baanknet.com/view-property/277489/E9796009CAB84914F2C5E4D0B8D9172726AC454C7C371B250B00065FEA6BF61C", "https://baanknet.com/view-property/277489/E9796009CAB84914F2C5E4D0B8D9172726AC454C7C371B250B00065FEA6BF61C")</f>
        <v>https://baanknet.com/view-property/277489/E9796009CAB84914F2C5E4D0B8D9172726AC454C7C371B250B00065FEA6BF61C</v>
      </c>
      <c r="I5447" t="str">
        <f>HYPERLINK("https://baanknet.com/view-property/277489/E9796009CAB84914F2C5E4D0B8D9172726AC454C7C371B250B00065FEA6BF61C", "Open")</f>
        <v>Open</v>
      </c>
      <c r="J5447" t="s">
        <v>3803</v>
      </c>
      <c r="L5447">
        <v>1700000</v>
      </c>
      <c r="M5447">
        <v>170000</v>
      </c>
    </row>
    <row r="5448" spans="1:13" x14ac:dyDescent="0.25">
      <c r="A5448" t="s">
        <v>18013</v>
      </c>
      <c r="B5448" t="s">
        <v>18014</v>
      </c>
      <c r="C5448" t="s">
        <v>15</v>
      </c>
      <c r="D5448" t="s">
        <v>3266</v>
      </c>
      <c r="E5448" t="s">
        <v>15527</v>
      </c>
      <c r="F5448" t="s">
        <v>15560</v>
      </c>
      <c r="G5448" t="s">
        <v>18015</v>
      </c>
      <c r="H5448" t="str">
        <f>HYPERLINK("https://baanknet.com/view-property/272194/711037D434CAC4D383CFB025BDCB218B4E933DD0311225C5209BDF131556CD2D", "https://baanknet.com/view-property/272194/711037D434CAC4D383CFB025BDCB218B4E933DD0311225C5209BDF131556CD2D")</f>
        <v>https://baanknet.com/view-property/272194/711037D434CAC4D383CFB025BDCB218B4E933DD0311225C5209BDF131556CD2D</v>
      </c>
      <c r="I5448" t="str">
        <f>HYPERLINK("https://baanknet.com/view-property/272194/711037D434CAC4D383CFB025BDCB218B4E933DD0311225C5209BDF131556CD2D", "Open")</f>
        <v>Open</v>
      </c>
      <c r="J5448" t="s">
        <v>3803</v>
      </c>
      <c r="L5448">
        <v>12500000</v>
      </c>
      <c r="M5448">
        <v>1250000</v>
      </c>
    </row>
    <row r="5449" spans="1:13" x14ac:dyDescent="0.25">
      <c r="A5449" t="s">
        <v>18016</v>
      </c>
      <c r="B5449" t="s">
        <v>18017</v>
      </c>
      <c r="C5449" t="s">
        <v>15</v>
      </c>
      <c r="D5449" t="s">
        <v>4657</v>
      </c>
      <c r="E5449" t="s">
        <v>15527</v>
      </c>
      <c r="F5449" t="s">
        <v>15560</v>
      </c>
      <c r="G5449" t="s">
        <v>18018</v>
      </c>
      <c r="H5449" t="str">
        <f>HYPERLINK("https://baanknet.com/view-property/198505/FF861C09D3BB2FF994CCB45B50419E2E127ABA9DC521CE7386A62E1F5E74C09E", "https://baanknet.com/view-property/198505/FF861C09D3BB2FF994CCB45B50419E2E127ABA9DC521CE7386A62E1F5E74C09E")</f>
        <v>https://baanknet.com/view-property/198505/FF861C09D3BB2FF994CCB45B50419E2E127ABA9DC521CE7386A62E1F5E74C09E</v>
      </c>
      <c r="I5449" t="str">
        <f>HYPERLINK("https://baanknet.com/view-property/198505/FF861C09D3BB2FF994CCB45B50419E2E127ABA9DC521CE7386A62E1F5E74C09E", "Open")</f>
        <v>Open</v>
      </c>
      <c r="J5449" t="s">
        <v>3803</v>
      </c>
      <c r="L5449">
        <v>750000</v>
      </c>
      <c r="M5449">
        <v>75000</v>
      </c>
    </row>
    <row r="5450" spans="1:13" x14ac:dyDescent="0.25">
      <c r="A5450" t="s">
        <v>18019</v>
      </c>
      <c r="B5450" t="s">
        <v>18020</v>
      </c>
      <c r="C5450" t="s">
        <v>15</v>
      </c>
      <c r="D5450" t="s">
        <v>3797</v>
      </c>
      <c r="E5450" t="s">
        <v>15527</v>
      </c>
      <c r="F5450" t="s">
        <v>15560</v>
      </c>
      <c r="G5450" t="s">
        <v>18021</v>
      </c>
      <c r="H5450" t="str">
        <f>HYPERLINK("https://baanknet.com/view-property/242564/120EA085E109301D79637946A68D6B90D14B24F493D41C586246BCEB819CD6BA", "https://baanknet.com/view-property/242564/120EA085E109301D79637946A68D6B90D14B24F493D41C586246BCEB819CD6BA")</f>
        <v>https://baanknet.com/view-property/242564/120EA085E109301D79637946A68D6B90D14B24F493D41C586246BCEB819CD6BA</v>
      </c>
      <c r="I5450" t="str">
        <f>HYPERLINK("https://baanknet.com/view-property/242564/120EA085E109301D79637946A68D6B90D14B24F493D41C586246BCEB819CD6BA", "Open")</f>
        <v>Open</v>
      </c>
      <c r="J5450" t="s">
        <v>3803</v>
      </c>
      <c r="L5450">
        <v>1110000</v>
      </c>
      <c r="M5450">
        <v>111000</v>
      </c>
    </row>
    <row r="5451" spans="1:13" x14ac:dyDescent="0.25">
      <c r="A5451" t="s">
        <v>18022</v>
      </c>
      <c r="B5451" t="s">
        <v>18023</v>
      </c>
      <c r="C5451" t="s">
        <v>144</v>
      </c>
      <c r="D5451" t="s">
        <v>7106</v>
      </c>
      <c r="E5451" t="s">
        <v>15527</v>
      </c>
      <c r="F5451" t="s">
        <v>15560</v>
      </c>
      <c r="G5451" t="s">
        <v>18024</v>
      </c>
      <c r="H5451" t="str">
        <f>HYPERLINK("https://baanknet.com/view-property/255764/F43B9A33B0359C375F99B9B3A199B6951ECC59ED9B8A959A954E4DCCE9CAF71D", "https://baanknet.com/view-property/255764/F43B9A33B0359C375F99B9B3A199B6951ECC59ED9B8A959A954E4DCCE9CAF71D")</f>
        <v>https://baanknet.com/view-property/255764/F43B9A33B0359C375F99B9B3A199B6951ECC59ED9B8A959A954E4DCCE9CAF71D</v>
      </c>
      <c r="I5451" t="str">
        <f>HYPERLINK("https://baanknet.com/view-property/255764/F43B9A33B0359C375F99B9B3A199B6951ECC59ED9B8A959A954E4DCCE9CAF71D", "Open")</f>
        <v>Open</v>
      </c>
      <c r="J5451" t="s">
        <v>3803</v>
      </c>
      <c r="L5451">
        <v>7948000</v>
      </c>
      <c r="M5451">
        <v>794800</v>
      </c>
    </row>
    <row r="5452" spans="1:13" x14ac:dyDescent="0.25">
      <c r="A5452" t="s">
        <v>18025</v>
      </c>
      <c r="B5452" t="s">
        <v>18026</v>
      </c>
      <c r="C5452" t="s">
        <v>15</v>
      </c>
      <c r="D5452" t="s">
        <v>12345</v>
      </c>
      <c r="E5452" t="s">
        <v>15527</v>
      </c>
      <c r="F5452" t="s">
        <v>15560</v>
      </c>
      <c r="G5452" t="s">
        <v>18027</v>
      </c>
      <c r="H5452" t="str">
        <f>HYPERLINK("https://baanknet.com/view-property/260025/7ABC1649FF6BACA969ED09876914A8C5E70591107B6C0F5BDC71D6B05CC4F260", "https://baanknet.com/view-property/260025/7ABC1649FF6BACA969ED09876914A8C5E70591107B6C0F5BDC71D6B05CC4F260")</f>
        <v>https://baanknet.com/view-property/260025/7ABC1649FF6BACA969ED09876914A8C5E70591107B6C0F5BDC71D6B05CC4F260</v>
      </c>
      <c r="I5452" t="str">
        <f>HYPERLINK("https://baanknet.com/view-property/260025/7ABC1649FF6BACA969ED09876914A8C5E70591107B6C0F5BDC71D6B05CC4F260", "Open")</f>
        <v>Open</v>
      </c>
      <c r="J5452" t="s">
        <v>3803</v>
      </c>
      <c r="L5452">
        <v>4200000</v>
      </c>
      <c r="M5452">
        <v>420000</v>
      </c>
    </row>
    <row r="5453" spans="1:13" x14ac:dyDescent="0.25">
      <c r="A5453" t="s">
        <v>18028</v>
      </c>
      <c r="B5453" t="s">
        <v>18029</v>
      </c>
      <c r="C5453" t="s">
        <v>15</v>
      </c>
      <c r="D5453" t="s">
        <v>18030</v>
      </c>
      <c r="E5453" t="s">
        <v>15527</v>
      </c>
      <c r="F5453" t="s">
        <v>15608</v>
      </c>
      <c r="G5453" t="s">
        <v>18031</v>
      </c>
      <c r="H5453" t="str">
        <f>HYPERLINK("https://baanknet.com/view-property/187158/DE6018EE20C18BBDB0E276C5F706DF73D682A979967730E614C3CDEC02F65B11", "https://baanknet.com/view-property/187158/DE6018EE20C18BBDB0E276C5F706DF73D682A979967730E614C3CDEC02F65B11")</f>
        <v>https://baanknet.com/view-property/187158/DE6018EE20C18BBDB0E276C5F706DF73D682A979967730E614C3CDEC02F65B11</v>
      </c>
      <c r="I5453" t="str">
        <f>HYPERLINK("https://baanknet.com/view-property/187158/DE6018EE20C18BBDB0E276C5F706DF73D682A979967730E614C3CDEC02F65B11", "Open")</f>
        <v>Open</v>
      </c>
      <c r="J5453" t="s">
        <v>3803</v>
      </c>
      <c r="L5453">
        <v>2774400</v>
      </c>
      <c r="M5453">
        <v>277440</v>
      </c>
    </row>
    <row r="5454" spans="1:13" x14ac:dyDescent="0.25">
      <c r="A5454" t="s">
        <v>18032</v>
      </c>
      <c r="B5454" t="s">
        <v>18033</v>
      </c>
      <c r="C5454" t="s">
        <v>15</v>
      </c>
      <c r="D5454" t="s">
        <v>18034</v>
      </c>
      <c r="E5454" t="s">
        <v>15527</v>
      </c>
      <c r="F5454" t="s">
        <v>15608</v>
      </c>
      <c r="G5454" t="s">
        <v>18035</v>
      </c>
      <c r="H5454" t="str">
        <f>HYPERLINK("https://baanknet.com/view-property/258679/1AA8A765878972F76473E2676F8ACF66DC3001AB25A9DFB133FF3091A094037D", "https://baanknet.com/view-property/258679/1AA8A765878972F76473E2676F8ACF66DC3001AB25A9DFB133FF3091A094037D")</f>
        <v>https://baanknet.com/view-property/258679/1AA8A765878972F76473E2676F8ACF66DC3001AB25A9DFB133FF3091A094037D</v>
      </c>
      <c r="I5454" t="str">
        <f>HYPERLINK("https://baanknet.com/view-property/258679/1AA8A765878972F76473E2676F8ACF66DC3001AB25A9DFB133FF3091A094037D", "Open")</f>
        <v>Open</v>
      </c>
      <c r="J5454" t="s">
        <v>3803</v>
      </c>
      <c r="L5454">
        <v>5484350</v>
      </c>
      <c r="M5454">
        <v>548435</v>
      </c>
    </row>
    <row r="5455" spans="1:13" x14ac:dyDescent="0.25">
      <c r="A5455" t="s">
        <v>18036</v>
      </c>
      <c r="B5455" t="s">
        <v>18037</v>
      </c>
      <c r="C5455" t="s">
        <v>15</v>
      </c>
      <c r="D5455" t="s">
        <v>4756</v>
      </c>
      <c r="E5455" t="s">
        <v>15527</v>
      </c>
      <c r="F5455" t="s">
        <v>15608</v>
      </c>
      <c r="G5455" t="s">
        <v>18038</v>
      </c>
      <c r="H5455" t="str">
        <f>HYPERLINK("https://baanknet.com/view-property/231216/9C5FAE1AD3BED7FB4F886D915820CBAE7070475372D261F4ACF48ECCDC0CC222", "https://baanknet.com/view-property/231216/9C5FAE1AD3BED7FB4F886D915820CBAE7070475372D261F4ACF48ECCDC0CC222")</f>
        <v>https://baanknet.com/view-property/231216/9C5FAE1AD3BED7FB4F886D915820CBAE7070475372D261F4ACF48ECCDC0CC222</v>
      </c>
      <c r="I5455" t="str">
        <f>HYPERLINK("https://baanknet.com/view-property/231216/9C5FAE1AD3BED7FB4F886D915820CBAE7070475372D261F4ACF48ECCDC0CC222", "Open")</f>
        <v>Open</v>
      </c>
      <c r="J5455" t="s">
        <v>3803</v>
      </c>
      <c r="L5455">
        <v>995040</v>
      </c>
      <c r="M5455">
        <v>99504</v>
      </c>
    </row>
    <row r="5456" spans="1:13" x14ac:dyDescent="0.25">
      <c r="A5456" t="s">
        <v>18039</v>
      </c>
      <c r="B5456" t="s">
        <v>18040</v>
      </c>
      <c r="C5456" t="s">
        <v>15</v>
      </c>
      <c r="D5456" t="s">
        <v>12790</v>
      </c>
      <c r="E5456" t="s">
        <v>15527</v>
      </c>
      <c r="F5456" t="s">
        <v>15608</v>
      </c>
      <c r="G5456" t="s">
        <v>18041</v>
      </c>
      <c r="H5456" t="str">
        <f>HYPERLINK("https://baanknet.com/view-property/268947/6CBCD3DB6D6F2A8851388BAC8A4B0DAE92841A5C8FD8523046E8660717307B85", "https://baanknet.com/view-property/268947/6CBCD3DB6D6F2A8851388BAC8A4B0DAE92841A5C8FD8523046E8660717307B85")</f>
        <v>https://baanknet.com/view-property/268947/6CBCD3DB6D6F2A8851388BAC8A4B0DAE92841A5C8FD8523046E8660717307B85</v>
      </c>
      <c r="I5456" t="str">
        <f>HYPERLINK("https://baanknet.com/view-property/268947/6CBCD3DB6D6F2A8851388BAC8A4B0DAE92841A5C8FD8523046E8660717307B85", "Open")</f>
        <v>Open</v>
      </c>
      <c r="J5456" t="s">
        <v>3803</v>
      </c>
      <c r="L5456">
        <v>852930</v>
      </c>
      <c r="M5456">
        <v>85293</v>
      </c>
    </row>
    <row r="5457" spans="1:13" x14ac:dyDescent="0.25">
      <c r="A5457" t="s">
        <v>18042</v>
      </c>
      <c r="B5457" t="s">
        <v>18043</v>
      </c>
      <c r="C5457" t="s">
        <v>15</v>
      </c>
      <c r="D5457" t="s">
        <v>11467</v>
      </c>
      <c r="E5457" t="s">
        <v>15527</v>
      </c>
      <c r="F5457" t="s">
        <v>15608</v>
      </c>
      <c r="G5457" t="s">
        <v>18044</v>
      </c>
      <c r="H5457" t="str">
        <f>HYPERLINK("https://baanknet.com/view-property/186547/D557FBF4335017B6C4A7E0BFFB2BA5B5E500B845A75A4E6D4E141E0685077790", "https://baanknet.com/view-property/186547/D557FBF4335017B6C4A7E0BFFB2BA5B5E500B845A75A4E6D4E141E0685077790")</f>
        <v>https://baanknet.com/view-property/186547/D557FBF4335017B6C4A7E0BFFB2BA5B5E500B845A75A4E6D4E141E0685077790</v>
      </c>
      <c r="I5457" t="str">
        <f>HYPERLINK("https://baanknet.com/view-property/186547/D557FBF4335017B6C4A7E0BFFB2BA5B5E500B845A75A4E6D4E141E0685077790", "Open")</f>
        <v>Open</v>
      </c>
      <c r="J5457" t="s">
        <v>3803</v>
      </c>
      <c r="L5457">
        <v>860650</v>
      </c>
      <c r="M5457">
        <v>86065</v>
      </c>
    </row>
    <row r="5458" spans="1:13" x14ac:dyDescent="0.25">
      <c r="A5458" t="s">
        <v>18045</v>
      </c>
      <c r="B5458" t="s">
        <v>18046</v>
      </c>
      <c r="C5458" t="s">
        <v>15</v>
      </c>
      <c r="D5458" t="s">
        <v>18047</v>
      </c>
      <c r="E5458" t="s">
        <v>15527</v>
      </c>
      <c r="F5458" t="s">
        <v>15608</v>
      </c>
      <c r="G5458" t="s">
        <v>18048</v>
      </c>
      <c r="H5458" t="str">
        <f>HYPERLINK("https://baanknet.com/view-property/223930/5FAF646F5797CD9849D20B48F892F5072FE37680FF5F8C12879E34E336CDEB9F", "https://baanknet.com/view-property/223930/5FAF646F5797CD9849D20B48F892F5072FE37680FF5F8C12879E34E336CDEB9F")</f>
        <v>https://baanknet.com/view-property/223930/5FAF646F5797CD9849D20B48F892F5072FE37680FF5F8C12879E34E336CDEB9F</v>
      </c>
      <c r="I5458" t="str">
        <f>HYPERLINK("https://baanknet.com/view-property/223930/5FAF646F5797CD9849D20B48F892F5072FE37680FF5F8C12879E34E336CDEB9F", "Open")</f>
        <v>Open</v>
      </c>
      <c r="J5458" t="s">
        <v>3803</v>
      </c>
      <c r="L5458">
        <v>785000</v>
      </c>
      <c r="M5458">
        <v>78500</v>
      </c>
    </row>
    <row r="5459" spans="1:13" x14ac:dyDescent="0.25">
      <c r="A5459" t="s">
        <v>18049</v>
      </c>
      <c r="B5459" t="s">
        <v>18050</v>
      </c>
      <c r="C5459" t="s">
        <v>15</v>
      </c>
      <c r="D5459" t="s">
        <v>4756</v>
      </c>
      <c r="E5459" t="s">
        <v>15527</v>
      </c>
      <c r="F5459" t="s">
        <v>15608</v>
      </c>
      <c r="G5459" t="s">
        <v>18051</v>
      </c>
      <c r="H5459" t="str">
        <f>HYPERLINK("https://baanknet.com/view-property/198987/BED9BD040A70772F87E81D262450EDDD8109FE3162F399360C08D6B4188D0A09", "https://baanknet.com/view-property/198987/BED9BD040A70772F87E81D262450EDDD8109FE3162F399360C08D6B4188D0A09")</f>
        <v>https://baanknet.com/view-property/198987/BED9BD040A70772F87E81D262450EDDD8109FE3162F399360C08D6B4188D0A09</v>
      </c>
      <c r="I5459" t="str">
        <f>HYPERLINK("https://baanknet.com/view-property/198987/BED9BD040A70772F87E81D262450EDDD8109FE3162F399360C08D6B4188D0A09", "Open")</f>
        <v>Open</v>
      </c>
      <c r="J5459" t="s">
        <v>3803</v>
      </c>
      <c r="L5459">
        <v>1767000</v>
      </c>
      <c r="M5459">
        <v>176700</v>
      </c>
    </row>
    <row r="5460" spans="1:13" x14ac:dyDescent="0.25">
      <c r="A5460" t="s">
        <v>18052</v>
      </c>
      <c r="B5460" t="s">
        <v>18053</v>
      </c>
      <c r="C5460" t="s">
        <v>15</v>
      </c>
      <c r="D5460" t="s">
        <v>18054</v>
      </c>
      <c r="E5460" t="s">
        <v>15527</v>
      </c>
      <c r="F5460" t="s">
        <v>15608</v>
      </c>
      <c r="G5460" t="s">
        <v>18055</v>
      </c>
      <c r="H5460" t="str">
        <f>HYPERLINK("https://baanknet.com/view-property/186519/E9EA5115AF8C1DC506A896A63D9791CA9146644A3FA708C30A12DC16CFB0C353", "https://baanknet.com/view-property/186519/E9EA5115AF8C1DC506A896A63D9791CA9146644A3FA708C30A12DC16CFB0C353")</f>
        <v>https://baanknet.com/view-property/186519/E9EA5115AF8C1DC506A896A63D9791CA9146644A3FA708C30A12DC16CFB0C353</v>
      </c>
      <c r="I5460" t="str">
        <f>HYPERLINK("https://baanknet.com/view-property/186519/E9EA5115AF8C1DC506A896A63D9791CA9146644A3FA708C30A12DC16CFB0C353", "Open")</f>
        <v>Open</v>
      </c>
      <c r="J5460" t="s">
        <v>3803</v>
      </c>
      <c r="L5460">
        <v>1438200</v>
      </c>
      <c r="M5460">
        <v>143820</v>
      </c>
    </row>
    <row r="5461" spans="1:13" x14ac:dyDescent="0.25">
      <c r="A5461" t="s">
        <v>18056</v>
      </c>
      <c r="B5461" t="s">
        <v>18057</v>
      </c>
      <c r="C5461" t="s">
        <v>83</v>
      </c>
      <c r="D5461" t="s">
        <v>1007</v>
      </c>
      <c r="E5461" t="s">
        <v>15527</v>
      </c>
      <c r="F5461" t="s">
        <v>15497</v>
      </c>
      <c r="G5461" t="s">
        <v>18058</v>
      </c>
      <c r="H5461" t="str">
        <f>HYPERLINK("https://baanknet.com/view-property/200076/15AAA1C0477E07205654802E1C9452F8A040DB20D2869D78C6EFEFA141005EE6", "https://baanknet.com/view-property/200076/15AAA1C0477E07205654802E1C9452F8A040DB20D2869D78C6EFEFA141005EE6")</f>
        <v>https://baanknet.com/view-property/200076/15AAA1C0477E07205654802E1C9452F8A040DB20D2869D78C6EFEFA141005EE6</v>
      </c>
      <c r="I5461" t="str">
        <f>HYPERLINK("https://baanknet.com/view-property/200076/15AAA1C0477E07205654802E1C9452F8A040DB20D2869D78C6EFEFA141005EE6", "Open")</f>
        <v>Open</v>
      </c>
      <c r="J5461" t="s">
        <v>3803</v>
      </c>
      <c r="L5461">
        <v>7180000</v>
      </c>
      <c r="M5461">
        <v>718000</v>
      </c>
    </row>
    <row r="5462" spans="1:13" x14ac:dyDescent="0.25">
      <c r="A5462" t="s">
        <v>18059</v>
      </c>
      <c r="B5462" t="s">
        <v>18060</v>
      </c>
      <c r="C5462" t="s">
        <v>83</v>
      </c>
      <c r="D5462" t="s">
        <v>8815</v>
      </c>
      <c r="E5462" t="s">
        <v>15527</v>
      </c>
      <c r="F5462" t="s">
        <v>15497</v>
      </c>
      <c r="G5462" t="s">
        <v>18061</v>
      </c>
      <c r="H5462" t="str">
        <f>HYPERLINK("https://baanknet.com/view-property/200871/A9677B7C128F4981928F32A8392F926C5119887C832CAC6CE16574A62102E042", "https://baanknet.com/view-property/200871/A9677B7C128F4981928F32A8392F926C5119887C832CAC6CE16574A62102E042")</f>
        <v>https://baanknet.com/view-property/200871/A9677B7C128F4981928F32A8392F926C5119887C832CAC6CE16574A62102E042</v>
      </c>
      <c r="I5462" t="str">
        <f>HYPERLINK("https://baanknet.com/view-property/200871/A9677B7C128F4981928F32A8392F926C5119887C832CAC6CE16574A62102E042", "Open")</f>
        <v>Open</v>
      </c>
      <c r="J5462" t="s">
        <v>3803</v>
      </c>
      <c r="L5462">
        <v>1336000</v>
      </c>
      <c r="M5462">
        <v>133600</v>
      </c>
    </row>
    <row r="5463" spans="1:13" x14ac:dyDescent="0.25">
      <c r="A5463" t="s">
        <v>18062</v>
      </c>
      <c r="B5463" t="s">
        <v>18063</v>
      </c>
      <c r="C5463" t="s">
        <v>83</v>
      </c>
      <c r="D5463" t="s">
        <v>2167</v>
      </c>
      <c r="E5463" t="s">
        <v>15527</v>
      </c>
      <c r="F5463" t="s">
        <v>15497</v>
      </c>
      <c r="G5463" t="s">
        <v>18064</v>
      </c>
      <c r="H5463" t="str">
        <f>HYPERLINK("https://baanknet.com/view-property/207252/381B2DE1B08A6523A6067BB7C1DC707939A15A4AF052895639DEEDD4F0863537", "https://baanknet.com/view-property/207252/381B2DE1B08A6523A6067BB7C1DC707939A15A4AF052895639DEEDD4F0863537")</f>
        <v>https://baanknet.com/view-property/207252/381B2DE1B08A6523A6067BB7C1DC707939A15A4AF052895639DEEDD4F0863537</v>
      </c>
      <c r="I5463" t="str">
        <f>HYPERLINK("https://baanknet.com/view-property/207252/381B2DE1B08A6523A6067BB7C1DC707939A15A4AF052895639DEEDD4F0863537", "Open")</f>
        <v>Open</v>
      </c>
      <c r="J5463" t="s">
        <v>3803</v>
      </c>
      <c r="L5463">
        <v>1226000</v>
      </c>
      <c r="M5463">
        <v>122600</v>
      </c>
    </row>
    <row r="5464" spans="1:13" x14ac:dyDescent="0.25">
      <c r="A5464" t="s">
        <v>18065</v>
      </c>
      <c r="B5464" t="s">
        <v>18066</v>
      </c>
      <c r="C5464" t="s">
        <v>83</v>
      </c>
      <c r="D5464" t="s">
        <v>2167</v>
      </c>
      <c r="E5464" t="s">
        <v>15527</v>
      </c>
      <c r="F5464" t="s">
        <v>15497</v>
      </c>
      <c r="G5464" t="s">
        <v>18067</v>
      </c>
      <c r="H5464" t="str">
        <f>HYPERLINK("https://baanknet.com/view-property/227001/A98AF57EFAB10F557F93C52E9BFFA5A3847B6D9B9587CA5690A439FD70B2DCE4", "https://baanknet.com/view-property/227001/A98AF57EFAB10F557F93C52E9BFFA5A3847B6D9B9587CA5690A439FD70B2DCE4")</f>
        <v>https://baanknet.com/view-property/227001/A98AF57EFAB10F557F93C52E9BFFA5A3847B6D9B9587CA5690A439FD70B2DCE4</v>
      </c>
      <c r="I5464" t="str">
        <f>HYPERLINK("https://baanknet.com/view-property/227001/A98AF57EFAB10F557F93C52E9BFFA5A3847B6D9B9587CA5690A439FD70B2DCE4", "Open")</f>
        <v>Open</v>
      </c>
      <c r="J5464" t="s">
        <v>3803</v>
      </c>
      <c r="L5464">
        <v>2081000</v>
      </c>
      <c r="M5464">
        <v>208100</v>
      </c>
    </row>
    <row r="5465" spans="1:13" x14ac:dyDescent="0.25">
      <c r="A5465" t="s">
        <v>18068</v>
      </c>
      <c r="B5465" t="s">
        <v>18069</v>
      </c>
      <c r="C5465" t="s">
        <v>83</v>
      </c>
      <c r="D5465" t="s">
        <v>758</v>
      </c>
      <c r="E5465" t="s">
        <v>15527</v>
      </c>
      <c r="F5465" t="s">
        <v>15497</v>
      </c>
      <c r="G5465" t="s">
        <v>18070</v>
      </c>
      <c r="H5465" t="str">
        <f>HYPERLINK("https://baanknet.com/view-property/201388/BC5D41F133BF189EE1E8AF37C3301E4FE223445C97F7D1453D065891FFE07B54", "https://baanknet.com/view-property/201388/BC5D41F133BF189EE1E8AF37C3301E4FE223445C97F7D1453D065891FFE07B54")</f>
        <v>https://baanknet.com/view-property/201388/BC5D41F133BF189EE1E8AF37C3301E4FE223445C97F7D1453D065891FFE07B54</v>
      </c>
      <c r="I5465" t="str">
        <f>HYPERLINK("https://baanknet.com/view-property/201388/BC5D41F133BF189EE1E8AF37C3301E4FE223445C97F7D1453D065891FFE07B54", "Open")</f>
        <v>Open</v>
      </c>
      <c r="J5465" t="s">
        <v>3803</v>
      </c>
      <c r="L5465">
        <v>5100000</v>
      </c>
      <c r="M5465">
        <v>510000</v>
      </c>
    </row>
    <row r="5466" spans="1:13" x14ac:dyDescent="0.25">
      <c r="A5466" t="s">
        <v>18071</v>
      </c>
      <c r="B5466" t="s">
        <v>18072</v>
      </c>
      <c r="C5466" t="s">
        <v>83</v>
      </c>
      <c r="D5466" t="s">
        <v>9411</v>
      </c>
      <c r="E5466" t="s">
        <v>15527</v>
      </c>
      <c r="F5466" t="s">
        <v>15497</v>
      </c>
      <c r="G5466" t="s">
        <v>18073</v>
      </c>
      <c r="H5466" t="str">
        <f>HYPERLINK("https://baanknet.com/view-property/279831/2CF597A463C1F354BCB6FE57FB740EEEC71E350AB09581465C3FA53FCEB2EC45", "https://baanknet.com/view-property/279831/2CF597A463C1F354BCB6FE57FB740EEEC71E350AB09581465C3FA53FCEB2EC45")</f>
        <v>https://baanknet.com/view-property/279831/2CF597A463C1F354BCB6FE57FB740EEEC71E350AB09581465C3FA53FCEB2EC45</v>
      </c>
      <c r="I5466" t="str">
        <f>HYPERLINK("https://baanknet.com/view-property/279831/2CF597A463C1F354BCB6FE57FB740EEEC71E350AB09581465C3FA53FCEB2EC45", "Open")</f>
        <v>Open</v>
      </c>
      <c r="J5466" t="s">
        <v>3803</v>
      </c>
      <c r="L5466">
        <v>19619000</v>
      </c>
      <c r="M5466">
        <v>1961900</v>
      </c>
    </row>
    <row r="5467" spans="1:13" x14ac:dyDescent="0.25">
      <c r="A5467" t="s">
        <v>18074</v>
      </c>
      <c r="B5467" t="s">
        <v>18075</v>
      </c>
      <c r="C5467" t="s">
        <v>83</v>
      </c>
      <c r="D5467" t="s">
        <v>2425</v>
      </c>
      <c r="E5467" t="s">
        <v>15527</v>
      </c>
      <c r="F5467" t="s">
        <v>15497</v>
      </c>
      <c r="G5467" t="s">
        <v>18076</v>
      </c>
      <c r="H5467" t="str">
        <f>HYPERLINK("https://baanknet.com/view-property/242232/8E2777805B221C0EB4C654F8621D3F68C64EAEB832596D3186E8B29DE85881A9", "https://baanknet.com/view-property/242232/8E2777805B221C0EB4C654F8621D3F68C64EAEB832596D3186E8B29DE85881A9")</f>
        <v>https://baanknet.com/view-property/242232/8E2777805B221C0EB4C654F8621D3F68C64EAEB832596D3186E8B29DE85881A9</v>
      </c>
      <c r="I5467" t="str">
        <f>HYPERLINK("https://baanknet.com/view-property/242232/8E2777805B221C0EB4C654F8621D3F68C64EAEB832596D3186E8B29DE85881A9", "Open")</f>
        <v>Open</v>
      </c>
      <c r="J5467" t="s">
        <v>3803</v>
      </c>
      <c r="L5467">
        <v>2600000</v>
      </c>
      <c r="M5467">
        <v>260000</v>
      </c>
    </row>
    <row r="5468" spans="1:13" x14ac:dyDescent="0.25">
      <c r="A5468" t="s">
        <v>18077</v>
      </c>
      <c r="B5468" t="s">
        <v>18078</v>
      </c>
      <c r="C5468" t="s">
        <v>83</v>
      </c>
      <c r="D5468" t="s">
        <v>1310</v>
      </c>
      <c r="E5468" t="s">
        <v>15527</v>
      </c>
      <c r="F5468" t="s">
        <v>15497</v>
      </c>
      <c r="G5468" t="s">
        <v>18079</v>
      </c>
      <c r="H5468" t="str">
        <f>HYPERLINK("https://baanknet.com/view-property/122006/84D96177505675430EBAC0E13EA62EE8795E367B5481909ED591FAA82DF6DD20", "https://baanknet.com/view-property/122006/84D96177505675430EBAC0E13EA62EE8795E367B5481909ED591FAA82DF6DD20")</f>
        <v>https://baanknet.com/view-property/122006/84D96177505675430EBAC0E13EA62EE8795E367B5481909ED591FAA82DF6DD20</v>
      </c>
      <c r="I5468" t="str">
        <f>HYPERLINK("https://baanknet.com/view-property/122006/84D96177505675430EBAC0E13EA62EE8795E367B5481909ED591FAA82DF6DD20", "Open")</f>
        <v>Open</v>
      </c>
      <c r="J5468" t="s">
        <v>3803</v>
      </c>
      <c r="L5468">
        <v>12250000</v>
      </c>
      <c r="M5468">
        <v>1225000</v>
      </c>
    </row>
    <row r="5469" spans="1:13" x14ac:dyDescent="0.25">
      <c r="A5469" t="s">
        <v>18080</v>
      </c>
      <c r="B5469" t="s">
        <v>18081</v>
      </c>
      <c r="C5469" t="s">
        <v>83</v>
      </c>
      <c r="D5469" t="s">
        <v>8087</v>
      </c>
      <c r="E5469" t="s">
        <v>15527</v>
      </c>
      <c r="F5469" t="s">
        <v>15497</v>
      </c>
      <c r="G5469" t="s">
        <v>18082</v>
      </c>
      <c r="H5469" t="str">
        <f>HYPERLINK("https://baanknet.com/view-property/245395/34DC6E7AC4F2D9234BBD48EBA0E9EDB18611CF143FB8AFDF4824987A0625CCC7", "https://baanknet.com/view-property/245395/34DC6E7AC4F2D9234BBD48EBA0E9EDB18611CF143FB8AFDF4824987A0625CCC7")</f>
        <v>https://baanknet.com/view-property/245395/34DC6E7AC4F2D9234BBD48EBA0E9EDB18611CF143FB8AFDF4824987A0625CCC7</v>
      </c>
      <c r="I5469" t="str">
        <f>HYPERLINK("https://baanknet.com/view-property/245395/34DC6E7AC4F2D9234BBD48EBA0E9EDB18611CF143FB8AFDF4824987A0625CCC7", "Open")</f>
        <v>Open</v>
      </c>
      <c r="J5469" t="s">
        <v>3803</v>
      </c>
      <c r="L5469">
        <v>1710000</v>
      </c>
      <c r="M5469">
        <v>171000</v>
      </c>
    </row>
    <row r="5470" spans="1:13" x14ac:dyDescent="0.25">
      <c r="A5470" t="s">
        <v>18083</v>
      </c>
      <c r="B5470" t="s">
        <v>18084</v>
      </c>
      <c r="C5470" t="s">
        <v>83</v>
      </c>
      <c r="D5470" t="s">
        <v>853</v>
      </c>
      <c r="E5470" t="s">
        <v>15527</v>
      </c>
      <c r="F5470" t="s">
        <v>15497</v>
      </c>
      <c r="G5470" t="s">
        <v>18085</v>
      </c>
      <c r="H5470" t="str">
        <f>HYPERLINK("https://baanknet.com/view-property/219928/DBD556C45934C9B64B16BA4F5C760FEF86F69E6E873D491FF9E2702E96CAFA77", "https://baanknet.com/view-property/219928/DBD556C45934C9B64B16BA4F5C760FEF86F69E6E873D491FF9E2702E96CAFA77")</f>
        <v>https://baanknet.com/view-property/219928/DBD556C45934C9B64B16BA4F5C760FEF86F69E6E873D491FF9E2702E96CAFA77</v>
      </c>
      <c r="I5470" t="str">
        <f>HYPERLINK("https://baanknet.com/view-property/219928/DBD556C45934C9B64B16BA4F5C760FEF86F69E6E873D491FF9E2702E96CAFA77", "Open")</f>
        <v>Open</v>
      </c>
      <c r="J5470" t="s">
        <v>3803</v>
      </c>
      <c r="L5470">
        <v>855000</v>
      </c>
      <c r="M5470">
        <v>85500</v>
      </c>
    </row>
    <row r="5471" spans="1:13" x14ac:dyDescent="0.25">
      <c r="A5471" t="s">
        <v>18086</v>
      </c>
      <c r="B5471" t="s">
        <v>18087</v>
      </c>
      <c r="C5471" t="s">
        <v>83</v>
      </c>
      <c r="D5471" t="s">
        <v>853</v>
      </c>
      <c r="E5471" t="s">
        <v>15527</v>
      </c>
      <c r="F5471" t="s">
        <v>15497</v>
      </c>
      <c r="G5471" t="s">
        <v>18088</v>
      </c>
      <c r="H5471" t="str">
        <f>HYPERLINK("https://baanknet.com/view-property/219914/3FE2CCF95AB897FDAA24BF24013A05DF3B0C88D9A42B6F9C1C694D4CEEFD429B", "https://baanknet.com/view-property/219914/3FE2CCF95AB897FDAA24BF24013A05DF3B0C88D9A42B6F9C1C694D4CEEFD429B")</f>
        <v>https://baanknet.com/view-property/219914/3FE2CCF95AB897FDAA24BF24013A05DF3B0C88D9A42B6F9C1C694D4CEEFD429B</v>
      </c>
      <c r="I5471" t="str">
        <f>HYPERLINK("https://baanknet.com/view-property/219914/3FE2CCF95AB897FDAA24BF24013A05DF3B0C88D9A42B6F9C1C694D4CEEFD429B", "Open")</f>
        <v>Open</v>
      </c>
      <c r="J5471" t="s">
        <v>3803</v>
      </c>
      <c r="L5471">
        <v>850000</v>
      </c>
      <c r="M5471">
        <v>85000</v>
      </c>
    </row>
    <row r="5472" spans="1:13" x14ac:dyDescent="0.25">
      <c r="A5472" t="s">
        <v>18089</v>
      </c>
      <c r="B5472" t="s">
        <v>18090</v>
      </c>
      <c r="C5472" t="s">
        <v>83</v>
      </c>
      <c r="D5472" t="s">
        <v>1310</v>
      </c>
      <c r="E5472" t="s">
        <v>15527</v>
      </c>
      <c r="F5472" t="s">
        <v>15497</v>
      </c>
      <c r="G5472" t="s">
        <v>18091</v>
      </c>
      <c r="H5472" t="str">
        <f>HYPERLINK("https://baanknet.com/view-property/198590/A0194D77CEC8E8BC528A237670835FEF4F3619737EA0F8476D6877F7071AE1DF", "https://baanknet.com/view-property/198590/A0194D77CEC8E8BC528A237670835FEF4F3619737EA0F8476D6877F7071AE1DF")</f>
        <v>https://baanknet.com/view-property/198590/A0194D77CEC8E8BC528A237670835FEF4F3619737EA0F8476D6877F7071AE1DF</v>
      </c>
      <c r="I5472" t="str">
        <f>HYPERLINK("https://baanknet.com/view-property/198590/A0194D77CEC8E8BC528A237670835FEF4F3619737EA0F8476D6877F7071AE1DF", "Open")</f>
        <v>Open</v>
      </c>
      <c r="J5472" t="s">
        <v>3803</v>
      </c>
      <c r="L5472">
        <v>5792000</v>
      </c>
      <c r="M5472">
        <v>579200</v>
      </c>
    </row>
    <row r="5473" spans="1:13" x14ac:dyDescent="0.25">
      <c r="A5473" t="s">
        <v>18092</v>
      </c>
      <c r="B5473" t="s">
        <v>18093</v>
      </c>
      <c r="C5473" t="s">
        <v>83</v>
      </c>
      <c r="D5473" t="s">
        <v>1310</v>
      </c>
      <c r="E5473" t="s">
        <v>15527</v>
      </c>
      <c r="F5473" t="s">
        <v>15497</v>
      </c>
      <c r="G5473" t="s">
        <v>18094</v>
      </c>
      <c r="H5473" t="str">
        <f>HYPERLINK("https://baanknet.com/view-property/245375/2053EF914EF8BEA795BB943A8795F2ED5964F88C4D9D67BCF3B317DC88536F70", "https://baanknet.com/view-property/245375/2053EF914EF8BEA795BB943A8795F2ED5964F88C4D9D67BCF3B317DC88536F70")</f>
        <v>https://baanknet.com/view-property/245375/2053EF914EF8BEA795BB943A8795F2ED5964F88C4D9D67BCF3B317DC88536F70</v>
      </c>
      <c r="I5473" t="str">
        <f>HYPERLINK("https://baanknet.com/view-property/245375/2053EF914EF8BEA795BB943A8795F2ED5964F88C4D9D67BCF3B317DC88536F70", "Open")</f>
        <v>Open</v>
      </c>
      <c r="J5473" t="s">
        <v>3803</v>
      </c>
      <c r="L5473">
        <v>3115000</v>
      </c>
      <c r="M5473">
        <v>311500</v>
      </c>
    </row>
    <row r="5474" spans="1:13" x14ac:dyDescent="0.25">
      <c r="A5474" t="s">
        <v>18095</v>
      </c>
      <c r="B5474" t="s">
        <v>18096</v>
      </c>
      <c r="C5474" t="s">
        <v>83</v>
      </c>
      <c r="D5474" t="s">
        <v>2163</v>
      </c>
      <c r="E5474" t="s">
        <v>15527</v>
      </c>
      <c r="F5474" t="s">
        <v>15497</v>
      </c>
      <c r="G5474" t="s">
        <v>18097</v>
      </c>
      <c r="H5474" t="str">
        <f>HYPERLINK("https://baanknet.com/view-property/254931/6466CEE85A18892CEC9BD3CFFD78B11BCC120059D99445BC68BCA5C3A9A7D1E5", "https://baanknet.com/view-property/254931/6466CEE85A18892CEC9BD3CFFD78B11BCC120059D99445BC68BCA5C3A9A7D1E5")</f>
        <v>https://baanknet.com/view-property/254931/6466CEE85A18892CEC9BD3CFFD78B11BCC120059D99445BC68BCA5C3A9A7D1E5</v>
      </c>
      <c r="I5474" t="str">
        <f>HYPERLINK("https://baanknet.com/view-property/254931/6466CEE85A18892CEC9BD3CFFD78B11BCC120059D99445BC68BCA5C3A9A7D1E5", "Open")</f>
        <v>Open</v>
      </c>
      <c r="J5474" t="s">
        <v>3803</v>
      </c>
      <c r="L5474">
        <v>3050000</v>
      </c>
      <c r="M5474">
        <v>305000</v>
      </c>
    </row>
    <row r="5475" spans="1:13" x14ac:dyDescent="0.25">
      <c r="A5475" t="s">
        <v>18098</v>
      </c>
      <c r="B5475" t="s">
        <v>18099</v>
      </c>
      <c r="C5475" t="s">
        <v>83</v>
      </c>
      <c r="D5475" t="s">
        <v>6245</v>
      </c>
      <c r="E5475" t="s">
        <v>15527</v>
      </c>
      <c r="F5475" t="s">
        <v>15497</v>
      </c>
      <c r="G5475" t="s">
        <v>18100</v>
      </c>
      <c r="H5475" t="str">
        <f>HYPERLINK("https://baanknet.com/view-property/254939/703A1382392D854654CCC57529A9DEE99585A0C8F355F3F70A26A84FF3961A89", "https://baanknet.com/view-property/254939/703A1382392D854654CCC57529A9DEE99585A0C8F355F3F70A26A84FF3961A89")</f>
        <v>https://baanknet.com/view-property/254939/703A1382392D854654CCC57529A9DEE99585A0C8F355F3F70A26A84FF3961A89</v>
      </c>
      <c r="I5475" t="str">
        <f>HYPERLINK("https://baanknet.com/view-property/254939/703A1382392D854654CCC57529A9DEE99585A0C8F355F3F70A26A84FF3961A89", "Open")</f>
        <v>Open</v>
      </c>
      <c r="J5475" t="s">
        <v>3803</v>
      </c>
      <c r="L5475">
        <v>1630000</v>
      </c>
      <c r="M5475">
        <v>163000</v>
      </c>
    </row>
    <row r="5476" spans="1:13" x14ac:dyDescent="0.25">
      <c r="A5476" t="s">
        <v>18101</v>
      </c>
      <c r="B5476" t="s">
        <v>18102</v>
      </c>
      <c r="C5476" t="s">
        <v>83</v>
      </c>
      <c r="D5476" t="s">
        <v>6245</v>
      </c>
      <c r="E5476" t="s">
        <v>15527</v>
      </c>
      <c r="F5476" t="s">
        <v>15497</v>
      </c>
      <c r="G5476" t="s">
        <v>18103</v>
      </c>
      <c r="H5476" t="str">
        <f>HYPERLINK("https://baanknet.com/view-property/254941/D289A4611C7B968C864419BC3ADF2042F31B5C80971426A628EFF4845D9438CE", "https://baanknet.com/view-property/254941/D289A4611C7B968C864419BC3ADF2042F31B5C80971426A628EFF4845D9438CE")</f>
        <v>https://baanknet.com/view-property/254941/D289A4611C7B968C864419BC3ADF2042F31B5C80971426A628EFF4845D9438CE</v>
      </c>
      <c r="I5476" t="str">
        <f>HYPERLINK("https://baanknet.com/view-property/254941/D289A4611C7B968C864419BC3ADF2042F31B5C80971426A628EFF4845D9438CE", "Open")</f>
        <v>Open</v>
      </c>
      <c r="J5476" t="s">
        <v>3803</v>
      </c>
      <c r="L5476">
        <v>770000</v>
      </c>
      <c r="M5476">
        <v>77000</v>
      </c>
    </row>
    <row r="5477" spans="1:13" x14ac:dyDescent="0.25">
      <c r="A5477" t="s">
        <v>18104</v>
      </c>
      <c r="B5477" t="s">
        <v>18105</v>
      </c>
      <c r="C5477" t="s">
        <v>83</v>
      </c>
      <c r="D5477" t="s">
        <v>853</v>
      </c>
      <c r="E5477" t="s">
        <v>15527</v>
      </c>
      <c r="F5477" t="s">
        <v>15497</v>
      </c>
      <c r="G5477" t="s">
        <v>18106</v>
      </c>
      <c r="H5477" t="str">
        <f>HYPERLINK("https://baanknet.com/view-property/279719/C0F278D3714BAFDEB7156B2770C38FE9C6EF62A7147D58B224CCDEDAD84A1C19", "https://baanknet.com/view-property/279719/C0F278D3714BAFDEB7156B2770C38FE9C6EF62A7147D58B224CCDEDAD84A1C19")</f>
        <v>https://baanknet.com/view-property/279719/C0F278D3714BAFDEB7156B2770C38FE9C6EF62A7147D58B224CCDEDAD84A1C19</v>
      </c>
      <c r="I5477" t="str">
        <f>HYPERLINK("https://baanknet.com/view-property/279719/C0F278D3714BAFDEB7156B2770C38FE9C6EF62A7147D58B224CCDEDAD84A1C19", "Open")</f>
        <v>Open</v>
      </c>
      <c r="J5477" t="s">
        <v>3803</v>
      </c>
      <c r="L5477">
        <v>3222000</v>
      </c>
      <c r="M5477">
        <v>322200</v>
      </c>
    </row>
    <row r="5478" spans="1:13" x14ac:dyDescent="0.25">
      <c r="A5478" t="s">
        <v>18107</v>
      </c>
      <c r="B5478" t="s">
        <v>18108</v>
      </c>
      <c r="C5478" t="s">
        <v>83</v>
      </c>
      <c r="D5478" t="s">
        <v>557</v>
      </c>
      <c r="E5478" t="s">
        <v>15527</v>
      </c>
      <c r="F5478" t="s">
        <v>15497</v>
      </c>
      <c r="G5478" t="s">
        <v>18109</v>
      </c>
      <c r="H5478" t="str">
        <f>HYPERLINK("https://baanknet.com/view-property/279842/CAD0066CC8F47CB785C7188AAA76E4E93913734A34CB34765C9338154471678F", "https://baanknet.com/view-property/279842/CAD0066CC8F47CB785C7188AAA76E4E93913734A34CB34765C9338154471678F")</f>
        <v>https://baanknet.com/view-property/279842/CAD0066CC8F47CB785C7188AAA76E4E93913734A34CB34765C9338154471678F</v>
      </c>
      <c r="I5478" t="str">
        <f>HYPERLINK("https://baanknet.com/view-property/279842/CAD0066CC8F47CB785C7188AAA76E4E93913734A34CB34765C9338154471678F", "Open")</f>
        <v>Open</v>
      </c>
      <c r="J5478" t="s">
        <v>3803</v>
      </c>
      <c r="L5478">
        <v>941000</v>
      </c>
      <c r="M5478">
        <v>94100</v>
      </c>
    </row>
    <row r="5479" spans="1:13" x14ac:dyDescent="0.25">
      <c r="A5479" t="s">
        <v>18110</v>
      </c>
      <c r="B5479" t="s">
        <v>18111</v>
      </c>
      <c r="C5479" t="s">
        <v>83</v>
      </c>
      <c r="D5479" t="s">
        <v>557</v>
      </c>
      <c r="E5479" t="s">
        <v>15527</v>
      </c>
      <c r="F5479" t="s">
        <v>15497</v>
      </c>
      <c r="G5479" t="s">
        <v>18112</v>
      </c>
      <c r="H5479" t="str">
        <f>HYPERLINK("https://baanknet.com/view-property/279838/8950354E38E184B7BC4D60093FA00630BBBE19029BF1C8F634C19D07DE294933", "https://baanknet.com/view-property/279838/8950354E38E184B7BC4D60093FA00630BBBE19029BF1C8F634C19D07DE294933")</f>
        <v>https://baanknet.com/view-property/279838/8950354E38E184B7BC4D60093FA00630BBBE19029BF1C8F634C19D07DE294933</v>
      </c>
      <c r="I5479" t="str">
        <f>HYPERLINK("https://baanknet.com/view-property/279838/8950354E38E184B7BC4D60093FA00630BBBE19029BF1C8F634C19D07DE294933", "Open")</f>
        <v>Open</v>
      </c>
      <c r="J5479" t="s">
        <v>3803</v>
      </c>
      <c r="L5479">
        <v>1292000</v>
      </c>
      <c r="M5479">
        <v>129200</v>
      </c>
    </row>
    <row r="5480" spans="1:13" x14ac:dyDescent="0.25">
      <c r="A5480" t="s">
        <v>18113</v>
      </c>
      <c r="B5480" t="s">
        <v>18114</v>
      </c>
      <c r="C5480" t="s">
        <v>83</v>
      </c>
      <c r="D5480" t="s">
        <v>1293</v>
      </c>
      <c r="E5480" t="s">
        <v>15527</v>
      </c>
      <c r="F5480" t="s">
        <v>15497</v>
      </c>
      <c r="G5480" t="s">
        <v>18115</v>
      </c>
      <c r="H5480" t="str">
        <f>HYPERLINK("https://baanknet.com/view-property/278527/86FB80CF65057B3B1DEE41E5C84D78BE2AFE2CD5E60974AFD657C3E65454A980", "https://baanknet.com/view-property/278527/86FB80CF65057B3B1DEE41E5C84D78BE2AFE2CD5E60974AFD657C3E65454A980")</f>
        <v>https://baanknet.com/view-property/278527/86FB80CF65057B3B1DEE41E5C84D78BE2AFE2CD5E60974AFD657C3E65454A980</v>
      </c>
      <c r="I5480" t="str">
        <f>HYPERLINK("https://baanknet.com/view-property/278527/86FB80CF65057B3B1DEE41E5C84D78BE2AFE2CD5E60974AFD657C3E65454A980", "Open")</f>
        <v>Open</v>
      </c>
      <c r="J5480" t="s">
        <v>3803</v>
      </c>
      <c r="L5480">
        <v>1125000</v>
      </c>
      <c r="M5480">
        <v>112500</v>
      </c>
    </row>
    <row r="5481" spans="1:13" x14ac:dyDescent="0.25">
      <c r="A5481" t="s">
        <v>18116</v>
      </c>
      <c r="B5481" t="s">
        <v>18117</v>
      </c>
      <c r="C5481" t="s">
        <v>83</v>
      </c>
      <c r="D5481" t="s">
        <v>6245</v>
      </c>
      <c r="E5481" t="s">
        <v>15527</v>
      </c>
      <c r="F5481" t="s">
        <v>15497</v>
      </c>
      <c r="G5481" t="s">
        <v>18118</v>
      </c>
      <c r="H5481" t="str">
        <f>HYPERLINK("https://baanknet.com/view-property/279694/380948E6633E9E4965AE4E25E8AEB25EB7F289167D614AE3EB38BA7E231487C4", "https://baanknet.com/view-property/279694/380948E6633E9E4965AE4E25E8AEB25EB7F289167D614AE3EB38BA7E231487C4")</f>
        <v>https://baanknet.com/view-property/279694/380948E6633E9E4965AE4E25E8AEB25EB7F289167D614AE3EB38BA7E231487C4</v>
      </c>
      <c r="I5481" t="str">
        <f>HYPERLINK("https://baanknet.com/view-property/279694/380948E6633E9E4965AE4E25E8AEB25EB7F289167D614AE3EB38BA7E231487C4", "Open")</f>
        <v>Open</v>
      </c>
      <c r="J5481" t="s">
        <v>3803</v>
      </c>
      <c r="L5481">
        <v>2910000</v>
      </c>
      <c r="M5481">
        <v>291000</v>
      </c>
    </row>
    <row r="5482" spans="1:13" x14ac:dyDescent="0.25">
      <c r="A5482" t="s">
        <v>18119</v>
      </c>
      <c r="B5482" t="s">
        <v>18120</v>
      </c>
      <c r="C5482" t="s">
        <v>83</v>
      </c>
      <c r="D5482" t="s">
        <v>1310</v>
      </c>
      <c r="E5482" t="s">
        <v>15527</v>
      </c>
      <c r="F5482" t="s">
        <v>15497</v>
      </c>
      <c r="G5482" t="s">
        <v>18121</v>
      </c>
      <c r="H5482" t="str">
        <f>HYPERLINK("https://baanknet.com/view-property/279733/F3EF03C4C1CA48A97BB1933DA297A8524480CB4FFA5AC94E3906CA3D32FBE756", "https://baanknet.com/view-property/279733/F3EF03C4C1CA48A97BB1933DA297A8524480CB4FFA5AC94E3906CA3D32FBE756")</f>
        <v>https://baanknet.com/view-property/279733/F3EF03C4C1CA48A97BB1933DA297A8524480CB4FFA5AC94E3906CA3D32FBE756</v>
      </c>
      <c r="I5482" t="str">
        <f>HYPERLINK("https://baanknet.com/view-property/279733/F3EF03C4C1CA48A97BB1933DA297A8524480CB4FFA5AC94E3906CA3D32FBE756", "Open")</f>
        <v>Open</v>
      </c>
      <c r="J5482" t="s">
        <v>3803</v>
      </c>
      <c r="L5482">
        <v>47600000</v>
      </c>
      <c r="M5482">
        <v>4760000</v>
      </c>
    </row>
    <row r="5483" spans="1:13" x14ac:dyDescent="0.25">
      <c r="A5483" t="s">
        <v>18122</v>
      </c>
      <c r="B5483" t="s">
        <v>18123</v>
      </c>
      <c r="C5483" t="s">
        <v>83</v>
      </c>
      <c r="D5483" t="s">
        <v>853</v>
      </c>
      <c r="E5483" t="s">
        <v>15527</v>
      </c>
      <c r="F5483" t="s">
        <v>15497</v>
      </c>
      <c r="G5483" t="s">
        <v>18124</v>
      </c>
      <c r="H5483" t="str">
        <f>HYPERLINK("https://baanknet.com/view-property/254654/7938928F24A56C5D64FABD54D091D4449BA268F2A5622567E98365154F9B2BD4", "https://baanknet.com/view-property/254654/7938928F24A56C5D64FABD54D091D4449BA268F2A5622567E98365154F9B2BD4")</f>
        <v>https://baanknet.com/view-property/254654/7938928F24A56C5D64FABD54D091D4449BA268F2A5622567E98365154F9B2BD4</v>
      </c>
      <c r="I5483" t="str">
        <f>HYPERLINK("https://baanknet.com/view-property/254654/7938928F24A56C5D64FABD54D091D4449BA268F2A5622567E98365154F9B2BD4", "Open")</f>
        <v>Open</v>
      </c>
      <c r="J5483" t="s">
        <v>3803</v>
      </c>
      <c r="L5483">
        <v>14833350</v>
      </c>
      <c r="M5483">
        <v>1483335</v>
      </c>
    </row>
    <row r="5484" spans="1:13" x14ac:dyDescent="0.25">
      <c r="A5484" t="s">
        <v>18125</v>
      </c>
      <c r="B5484" t="s">
        <v>18126</v>
      </c>
      <c r="C5484" t="s">
        <v>83</v>
      </c>
      <c r="D5484" t="s">
        <v>1310</v>
      </c>
      <c r="E5484" t="s">
        <v>15527</v>
      </c>
      <c r="F5484" t="s">
        <v>15497</v>
      </c>
      <c r="G5484" t="s">
        <v>18127</v>
      </c>
      <c r="H5484" t="str">
        <f>HYPERLINK("https://baanknet.com/view-property/258265/D09245B4FB90EE6A986E24D3AA7D5F932A0617570E305560085CCD6BB6EFCDE3", "https://baanknet.com/view-property/258265/D09245B4FB90EE6A986E24D3AA7D5F932A0617570E305560085CCD6BB6EFCDE3")</f>
        <v>https://baanknet.com/view-property/258265/D09245B4FB90EE6A986E24D3AA7D5F932A0617570E305560085CCD6BB6EFCDE3</v>
      </c>
      <c r="I5484" t="str">
        <f>HYPERLINK("https://baanknet.com/view-property/258265/D09245B4FB90EE6A986E24D3AA7D5F932A0617570E305560085CCD6BB6EFCDE3", "Open")</f>
        <v>Open</v>
      </c>
      <c r="J5484" t="s">
        <v>3803</v>
      </c>
      <c r="L5484">
        <v>16425000</v>
      </c>
      <c r="M5484">
        <v>1642500</v>
      </c>
    </row>
    <row r="5485" spans="1:13" x14ac:dyDescent="0.25">
      <c r="A5485" t="s">
        <v>18128</v>
      </c>
      <c r="B5485" t="s">
        <v>18129</v>
      </c>
      <c r="C5485" t="s">
        <v>83</v>
      </c>
      <c r="D5485" t="s">
        <v>553</v>
      </c>
      <c r="E5485" t="s">
        <v>15527</v>
      </c>
      <c r="F5485" t="s">
        <v>15497</v>
      </c>
      <c r="G5485" t="s">
        <v>18130</v>
      </c>
      <c r="H5485" t="str">
        <f>HYPERLINK("https://baanknet.com/view-property/254935/E6AFFF630BC01B23F272711491D38EDD1BEFB24FDA93DD3BAC5D90505963CC34", "https://baanknet.com/view-property/254935/E6AFFF630BC01B23F272711491D38EDD1BEFB24FDA93DD3BAC5D90505963CC34")</f>
        <v>https://baanknet.com/view-property/254935/E6AFFF630BC01B23F272711491D38EDD1BEFB24FDA93DD3BAC5D90505963CC34</v>
      </c>
      <c r="I5485" t="str">
        <f>HYPERLINK("https://baanknet.com/view-property/254935/E6AFFF630BC01B23F272711491D38EDD1BEFB24FDA93DD3BAC5D90505963CC34", "Open")</f>
        <v>Open</v>
      </c>
      <c r="J5485" t="s">
        <v>3803</v>
      </c>
      <c r="L5485">
        <v>2100000</v>
      </c>
      <c r="M5485">
        <v>210000</v>
      </c>
    </row>
    <row r="5486" spans="1:13" x14ac:dyDescent="0.25">
      <c r="A5486" t="s">
        <v>18131</v>
      </c>
      <c r="B5486" t="s">
        <v>18132</v>
      </c>
      <c r="C5486" t="s">
        <v>83</v>
      </c>
      <c r="D5486" t="s">
        <v>6245</v>
      </c>
      <c r="E5486" t="s">
        <v>15527</v>
      </c>
      <c r="F5486" t="s">
        <v>15497</v>
      </c>
      <c r="G5486" t="s">
        <v>18133</v>
      </c>
      <c r="H5486" t="str">
        <f>HYPERLINK("https://baanknet.com/view-property/254649/D5496F88AF661724ABF1505C40B9F6A5425742E516760CB6B6569D1D935D8569", "https://baanknet.com/view-property/254649/D5496F88AF661724ABF1505C40B9F6A5425742E516760CB6B6569D1D935D8569")</f>
        <v>https://baanknet.com/view-property/254649/D5496F88AF661724ABF1505C40B9F6A5425742E516760CB6B6569D1D935D8569</v>
      </c>
      <c r="I5486" t="str">
        <f>HYPERLINK("https://baanknet.com/view-property/254649/D5496F88AF661724ABF1505C40B9F6A5425742E516760CB6B6569D1D935D8569", "Open")</f>
        <v>Open</v>
      </c>
      <c r="J5486" t="s">
        <v>3803</v>
      </c>
      <c r="L5486">
        <v>7762500</v>
      </c>
      <c r="M5486">
        <v>776250</v>
      </c>
    </row>
    <row r="5487" spans="1:13" x14ac:dyDescent="0.25">
      <c r="A5487" t="s">
        <v>18134</v>
      </c>
      <c r="B5487" t="s">
        <v>18135</v>
      </c>
      <c r="C5487" t="s">
        <v>83</v>
      </c>
      <c r="D5487" t="s">
        <v>710</v>
      </c>
      <c r="E5487" t="s">
        <v>15527</v>
      </c>
      <c r="F5487" t="s">
        <v>15497</v>
      </c>
      <c r="G5487" t="s">
        <v>18136</v>
      </c>
      <c r="H5487" t="str">
        <f>HYPERLINK("https://baanknet.com/view-property/279727/F5713620179CEB79411F43CED1F1FB268C57907DF022E6FF5D8D07A76C4C3334", "https://baanknet.com/view-property/279727/F5713620179CEB79411F43CED1F1FB268C57907DF022E6FF5D8D07A76C4C3334")</f>
        <v>https://baanknet.com/view-property/279727/F5713620179CEB79411F43CED1F1FB268C57907DF022E6FF5D8D07A76C4C3334</v>
      </c>
      <c r="I5487" t="str">
        <f>HYPERLINK("https://baanknet.com/view-property/279727/F5713620179CEB79411F43CED1F1FB268C57907DF022E6FF5D8D07A76C4C3334", "Open")</f>
        <v>Open</v>
      </c>
      <c r="J5487" t="s">
        <v>3803</v>
      </c>
      <c r="L5487">
        <v>6000000</v>
      </c>
      <c r="M5487">
        <v>600000</v>
      </c>
    </row>
    <row r="5488" spans="1:13" x14ac:dyDescent="0.25">
      <c r="A5488" t="s">
        <v>18137</v>
      </c>
      <c r="B5488" t="s">
        <v>18138</v>
      </c>
      <c r="C5488" t="s">
        <v>83</v>
      </c>
      <c r="D5488" t="s">
        <v>1310</v>
      </c>
      <c r="E5488" t="s">
        <v>15527</v>
      </c>
      <c r="F5488" t="s">
        <v>15497</v>
      </c>
      <c r="G5488" t="s">
        <v>18139</v>
      </c>
      <c r="H5488" t="str">
        <f>HYPERLINK("https://baanknet.com/view-property/287769/1ED1F8E0CFF9029775A2360A0796E20E64658D57ABD145EE106C349898226C35", "https://baanknet.com/view-property/287769/1ED1F8E0CFF9029775A2360A0796E20E64658D57ABD145EE106C349898226C35")</f>
        <v>https://baanknet.com/view-property/287769/1ED1F8E0CFF9029775A2360A0796E20E64658D57ABD145EE106C349898226C35</v>
      </c>
      <c r="I5488" t="str">
        <f>HYPERLINK("https://baanknet.com/view-property/287769/1ED1F8E0CFF9029775A2360A0796E20E64658D57ABD145EE106C349898226C35", "Open")</f>
        <v>Open</v>
      </c>
      <c r="J5488" t="s">
        <v>3803</v>
      </c>
      <c r="L5488">
        <v>9797400</v>
      </c>
      <c r="M5488">
        <v>979740</v>
      </c>
    </row>
    <row r="5489" spans="1:13" x14ac:dyDescent="0.25">
      <c r="A5489" t="s">
        <v>18140</v>
      </c>
      <c r="B5489" t="s">
        <v>18141</v>
      </c>
      <c r="C5489" t="s">
        <v>83</v>
      </c>
      <c r="D5489" t="s">
        <v>1003</v>
      </c>
      <c r="E5489" t="s">
        <v>16441</v>
      </c>
      <c r="F5489" t="s">
        <v>15608</v>
      </c>
      <c r="G5489" t="s">
        <v>18142</v>
      </c>
      <c r="H5489" t="str">
        <f>HYPERLINK("https://baanknet.com/view-property/284623/78F62FA0A9E8F215C1D1988F4927B630A4216FF055668E08A38FD0DCC68C42D1", "https://baanknet.com/view-property/284623/78F62FA0A9E8F215C1D1988F4927B630A4216FF055668E08A38FD0DCC68C42D1")</f>
        <v>https://baanknet.com/view-property/284623/78F62FA0A9E8F215C1D1988F4927B630A4216FF055668E08A38FD0DCC68C42D1</v>
      </c>
      <c r="I5489" t="str">
        <f>HYPERLINK("https://baanknet.com/view-property/284623/78F62FA0A9E8F215C1D1988F4927B630A4216FF055668E08A38FD0DCC68C42D1", "Open")</f>
        <v>Open</v>
      </c>
      <c r="J5489" t="s">
        <v>3803</v>
      </c>
      <c r="L5489">
        <v>1950075</v>
      </c>
      <c r="M5489">
        <v>195007.5</v>
      </c>
    </row>
    <row r="5490" spans="1:13" x14ac:dyDescent="0.25">
      <c r="A5490" t="s">
        <v>18143</v>
      </c>
      <c r="B5490" t="s">
        <v>18144</v>
      </c>
      <c r="C5490" t="s">
        <v>83</v>
      </c>
      <c r="D5490" t="s">
        <v>1003</v>
      </c>
      <c r="E5490" t="s">
        <v>16441</v>
      </c>
      <c r="F5490" t="s">
        <v>15608</v>
      </c>
      <c r="G5490" t="s">
        <v>18145</v>
      </c>
      <c r="H5490" t="str">
        <f>HYPERLINK("https://baanknet.com/view-property/64300/1E27FF9BD3FB3CCD90D3C0D0C616E6855F1E289A6BCE68E13E4D274AB763F477", "https://baanknet.com/view-property/64300/1E27FF9BD3FB3CCD90D3C0D0C616E6855F1E289A6BCE68E13E4D274AB763F477")</f>
        <v>https://baanknet.com/view-property/64300/1E27FF9BD3FB3CCD90D3C0D0C616E6855F1E289A6BCE68E13E4D274AB763F477</v>
      </c>
      <c r="I5490" t="str">
        <f>HYPERLINK("https://baanknet.com/view-property/64300/1E27FF9BD3FB3CCD90D3C0D0C616E6855F1E289A6BCE68E13E4D274AB763F477", "Open")</f>
        <v>Open</v>
      </c>
      <c r="J5490" t="s">
        <v>3803</v>
      </c>
      <c r="L5490">
        <v>1101600</v>
      </c>
      <c r="M5490">
        <v>110160</v>
      </c>
    </row>
    <row r="5491" spans="1:13" x14ac:dyDescent="0.25">
      <c r="A5491" t="s">
        <v>18146</v>
      </c>
      <c r="B5491" t="s">
        <v>18147</v>
      </c>
      <c r="C5491" t="s">
        <v>83</v>
      </c>
      <c r="D5491" t="s">
        <v>1003</v>
      </c>
      <c r="E5491" t="s">
        <v>16441</v>
      </c>
      <c r="F5491" t="s">
        <v>15608</v>
      </c>
      <c r="G5491" t="s">
        <v>18148</v>
      </c>
      <c r="H5491" t="str">
        <f>HYPERLINK("https://baanknet.com/view-property/273497/B6D8323DCBD84015791332B9EB54581AEACC86B5D1788DEBE3127A1C4704B43F", "https://baanknet.com/view-property/273497/B6D8323DCBD84015791332B9EB54581AEACC86B5D1788DEBE3127A1C4704B43F")</f>
        <v>https://baanknet.com/view-property/273497/B6D8323DCBD84015791332B9EB54581AEACC86B5D1788DEBE3127A1C4704B43F</v>
      </c>
      <c r="I5491" t="str">
        <f>HYPERLINK("https://baanknet.com/view-property/273497/B6D8323DCBD84015791332B9EB54581AEACC86B5D1788DEBE3127A1C4704B43F", "Open")</f>
        <v>Open</v>
      </c>
      <c r="J5491" t="s">
        <v>3803</v>
      </c>
      <c r="L5491">
        <v>1513890</v>
      </c>
      <c r="M5491">
        <v>151389</v>
      </c>
    </row>
    <row r="5492" spans="1:13" x14ac:dyDescent="0.25">
      <c r="A5492" t="s">
        <v>18149</v>
      </c>
      <c r="B5492" t="s">
        <v>18150</v>
      </c>
      <c r="C5492" t="s">
        <v>83</v>
      </c>
      <c r="D5492" t="s">
        <v>1003</v>
      </c>
      <c r="E5492" t="s">
        <v>16441</v>
      </c>
      <c r="F5492" t="s">
        <v>15608</v>
      </c>
      <c r="G5492" t="s">
        <v>18151</v>
      </c>
      <c r="H5492" t="str">
        <f>HYPERLINK("https://baanknet.com/view-property/273506/27E409BEA2F2268F24C5E797CBCA454A57B287970EEE8406E3DDE72B84898FF6", "https://baanknet.com/view-property/273506/27E409BEA2F2268F24C5E797CBCA454A57B287970EEE8406E3DDE72B84898FF6")</f>
        <v>https://baanknet.com/view-property/273506/27E409BEA2F2268F24C5E797CBCA454A57B287970EEE8406E3DDE72B84898FF6</v>
      </c>
      <c r="I5492" t="str">
        <f>HYPERLINK("https://baanknet.com/view-property/273506/27E409BEA2F2268F24C5E797CBCA454A57B287970EEE8406E3DDE72B84898FF6", "Open")</f>
        <v>Open</v>
      </c>
      <c r="J5492" t="s">
        <v>3803</v>
      </c>
      <c r="L5492">
        <v>1377000</v>
      </c>
      <c r="M5492">
        <v>137700</v>
      </c>
    </row>
    <row r="5493" spans="1:13" x14ac:dyDescent="0.25">
      <c r="A5493" t="s">
        <v>18152</v>
      </c>
      <c r="B5493" t="s">
        <v>18153</v>
      </c>
      <c r="C5493" t="s">
        <v>83</v>
      </c>
      <c r="D5493" t="s">
        <v>1003</v>
      </c>
      <c r="E5493" t="s">
        <v>16441</v>
      </c>
      <c r="F5493" t="s">
        <v>15608</v>
      </c>
      <c r="G5493" t="s">
        <v>18154</v>
      </c>
      <c r="H5493" t="str">
        <f>HYPERLINK("https://baanknet.com/view-property/123163/EEC1B68B65FF321EECDDFA158424AD8CED80CAFF713D73532BF175AE65009171", "https://baanknet.com/view-property/123163/EEC1B68B65FF321EECDDFA158424AD8CED80CAFF713D73532BF175AE65009171")</f>
        <v>https://baanknet.com/view-property/123163/EEC1B68B65FF321EECDDFA158424AD8CED80CAFF713D73532BF175AE65009171</v>
      </c>
      <c r="I5493" t="str">
        <f>HYPERLINK("https://baanknet.com/view-property/123163/EEC1B68B65FF321EECDDFA158424AD8CED80CAFF713D73532BF175AE65009171", "Open")</f>
        <v>Open</v>
      </c>
      <c r="J5493" t="s">
        <v>3803</v>
      </c>
      <c r="L5493">
        <v>1364850</v>
      </c>
      <c r="M5493">
        <v>136485</v>
      </c>
    </row>
    <row r="5494" spans="1:13" x14ac:dyDescent="0.25">
      <c r="A5494" t="s">
        <v>18155</v>
      </c>
      <c r="B5494" t="s">
        <v>18156</v>
      </c>
      <c r="C5494" t="s">
        <v>83</v>
      </c>
      <c r="D5494" t="s">
        <v>1003</v>
      </c>
      <c r="E5494" t="s">
        <v>16441</v>
      </c>
      <c r="F5494" t="s">
        <v>15608</v>
      </c>
      <c r="G5494" t="s">
        <v>18157</v>
      </c>
      <c r="H5494" t="str">
        <f>HYPERLINK("https://baanknet.com/view-property/271121/4ABB033407412734F4A4C664EC7D0282F96A89A74EDDBF1B0DCC6AA00366F244", "https://baanknet.com/view-property/271121/4ABB033407412734F4A4C664EC7D0282F96A89A74EDDBF1B0DCC6AA00366F244")</f>
        <v>https://baanknet.com/view-property/271121/4ABB033407412734F4A4C664EC7D0282F96A89A74EDDBF1B0DCC6AA00366F244</v>
      </c>
      <c r="I5494" t="str">
        <f>HYPERLINK("https://baanknet.com/view-property/271121/4ABB033407412734F4A4C664EC7D0282F96A89A74EDDBF1B0DCC6AA00366F244", "Open")</f>
        <v>Open</v>
      </c>
      <c r="J5494" t="s">
        <v>3803</v>
      </c>
      <c r="L5494">
        <v>3141990</v>
      </c>
      <c r="M5494">
        <v>314199</v>
      </c>
    </row>
    <row r="5495" spans="1:13" x14ac:dyDescent="0.25">
      <c r="A5495" t="s">
        <v>18158</v>
      </c>
      <c r="B5495" t="s">
        <v>18159</v>
      </c>
      <c r="C5495" t="s">
        <v>83</v>
      </c>
      <c r="D5495" t="s">
        <v>1003</v>
      </c>
      <c r="E5495" t="s">
        <v>16441</v>
      </c>
      <c r="F5495" t="s">
        <v>15608</v>
      </c>
      <c r="G5495" t="s">
        <v>18160</v>
      </c>
      <c r="H5495" t="str">
        <f>HYPERLINK("https://baanknet.com/view-property/6726/08466C3762F5D15ED2D8574526553C4E070794216AF7FA90EB213E9B7FD79011", "https://baanknet.com/view-property/6726/08466C3762F5D15ED2D8574526553C4E070794216AF7FA90EB213E9B7FD79011")</f>
        <v>https://baanknet.com/view-property/6726/08466C3762F5D15ED2D8574526553C4E070794216AF7FA90EB213E9B7FD79011</v>
      </c>
      <c r="I5495" t="str">
        <f>HYPERLINK("https://baanknet.com/view-property/6726/08466C3762F5D15ED2D8574526553C4E070794216AF7FA90EB213E9B7FD79011", "Open")</f>
        <v>Open</v>
      </c>
      <c r="J5495" t="s">
        <v>3803</v>
      </c>
      <c r="L5495">
        <v>805950</v>
      </c>
      <c r="M5495">
        <v>80595</v>
      </c>
    </row>
    <row r="5496" spans="1:13" x14ac:dyDescent="0.25">
      <c r="A5496" t="s">
        <v>18161</v>
      </c>
      <c r="B5496" t="s">
        <v>18162</v>
      </c>
      <c r="C5496" t="s">
        <v>83</v>
      </c>
      <c r="D5496" t="s">
        <v>1003</v>
      </c>
      <c r="E5496" t="s">
        <v>16441</v>
      </c>
      <c r="F5496" t="s">
        <v>15608</v>
      </c>
      <c r="G5496" t="s">
        <v>18163</v>
      </c>
      <c r="H5496" t="str">
        <f>HYPERLINK("https://baanknet.com/view-property/279549/D727D373C6CA35709F70A8D92B57B131F05A9058C0C485940AA770B8E99DD839", "https://baanknet.com/view-property/279549/D727D373C6CA35709F70A8D92B57B131F05A9058C0C485940AA770B8E99DD839")</f>
        <v>https://baanknet.com/view-property/279549/D727D373C6CA35709F70A8D92B57B131F05A9058C0C485940AA770B8E99DD839</v>
      </c>
      <c r="I5496" t="str">
        <f>HYPERLINK("https://baanknet.com/view-property/279549/D727D373C6CA35709F70A8D92B57B131F05A9058C0C485940AA770B8E99DD839", "Open")</f>
        <v>Open</v>
      </c>
      <c r="J5496" t="s">
        <v>3803</v>
      </c>
      <c r="L5496">
        <v>1554390</v>
      </c>
      <c r="M5496">
        <v>155439</v>
      </c>
    </row>
    <row r="5497" spans="1:13" x14ac:dyDescent="0.25">
      <c r="A5497" t="s">
        <v>18164</v>
      </c>
      <c r="B5497" t="s">
        <v>18165</v>
      </c>
      <c r="C5497" t="s">
        <v>83</v>
      </c>
      <c r="D5497" t="s">
        <v>1003</v>
      </c>
      <c r="E5497" t="s">
        <v>16441</v>
      </c>
      <c r="F5497" t="s">
        <v>15608</v>
      </c>
      <c r="G5497" t="s">
        <v>18166</v>
      </c>
      <c r="H5497" t="str">
        <f>HYPERLINK("https://baanknet.com/view-property/58867/E38CF44B6DDA4E01731F07E874A80A3489F0E14CA8AFDBB320A2D6512DA43B07", "https://baanknet.com/view-property/58867/E38CF44B6DDA4E01731F07E874A80A3489F0E14CA8AFDBB320A2D6512DA43B07")</f>
        <v>https://baanknet.com/view-property/58867/E38CF44B6DDA4E01731F07E874A80A3489F0E14CA8AFDBB320A2D6512DA43B07</v>
      </c>
      <c r="I5497" t="str">
        <f>HYPERLINK("https://baanknet.com/view-property/58867/E38CF44B6DDA4E01731F07E874A80A3489F0E14CA8AFDBB320A2D6512DA43B07", "Open")</f>
        <v>Open</v>
      </c>
      <c r="J5497" t="s">
        <v>3803</v>
      </c>
      <c r="L5497">
        <v>704700</v>
      </c>
      <c r="M5497">
        <v>70470</v>
      </c>
    </row>
    <row r="5498" spans="1:13" x14ac:dyDescent="0.25">
      <c r="A5498" t="s">
        <v>18167</v>
      </c>
      <c r="B5498" t="s">
        <v>18168</v>
      </c>
      <c r="C5498" t="s">
        <v>83</v>
      </c>
      <c r="D5498" t="s">
        <v>1003</v>
      </c>
      <c r="E5498" t="s">
        <v>16441</v>
      </c>
      <c r="F5498" t="s">
        <v>15608</v>
      </c>
      <c r="G5498" t="s">
        <v>18169</v>
      </c>
      <c r="H5498" t="str">
        <f>HYPERLINK("https://baanknet.com/view-property/257169/7649C1340460EE8E2FEEDBEBD4FE43C78426FC66D78EDD996ED38A27D64DFFDC", "https://baanknet.com/view-property/257169/7649C1340460EE8E2FEEDBEBD4FE43C78426FC66D78EDD996ED38A27D64DFFDC")</f>
        <v>https://baanknet.com/view-property/257169/7649C1340460EE8E2FEEDBEBD4FE43C78426FC66D78EDD996ED38A27D64DFFDC</v>
      </c>
      <c r="I5498" t="str">
        <f>HYPERLINK("https://baanknet.com/view-property/257169/7649C1340460EE8E2FEEDBEBD4FE43C78426FC66D78EDD996ED38A27D64DFFDC", "Open")</f>
        <v>Open</v>
      </c>
      <c r="J5498" t="s">
        <v>3803</v>
      </c>
      <c r="L5498">
        <v>1944000</v>
      </c>
      <c r="M5498">
        <v>194400</v>
      </c>
    </row>
    <row r="5499" spans="1:13" x14ac:dyDescent="0.25">
      <c r="A5499" t="s">
        <v>18170</v>
      </c>
      <c r="B5499" t="s">
        <v>18171</v>
      </c>
      <c r="C5499" t="s">
        <v>83</v>
      </c>
      <c r="D5499" t="s">
        <v>1003</v>
      </c>
      <c r="E5499" t="s">
        <v>16441</v>
      </c>
      <c r="F5499" t="s">
        <v>15608</v>
      </c>
      <c r="G5499" t="s">
        <v>18172</v>
      </c>
      <c r="H5499" t="str">
        <f>HYPERLINK("https://baanknet.com/view-property/52890/880F4BDB996669E24BD59C6EC33770A630B1563C2CECCA6CF55BECC49CED32A4", "https://baanknet.com/view-property/52890/880F4BDB996669E24BD59C6EC33770A630B1563C2CECCA6CF55BECC49CED32A4")</f>
        <v>https://baanknet.com/view-property/52890/880F4BDB996669E24BD59C6EC33770A630B1563C2CECCA6CF55BECC49CED32A4</v>
      </c>
      <c r="I5499" t="str">
        <f>HYPERLINK("https://baanknet.com/view-property/52890/880F4BDB996669E24BD59C6EC33770A630B1563C2CECCA6CF55BECC49CED32A4", "Open")</f>
        <v>Open</v>
      </c>
      <c r="J5499" t="s">
        <v>3803</v>
      </c>
      <c r="L5499">
        <v>1364850</v>
      </c>
      <c r="M5499">
        <v>136485</v>
      </c>
    </row>
    <row r="5500" spans="1:13" x14ac:dyDescent="0.25">
      <c r="A5500" t="s">
        <v>18173</v>
      </c>
      <c r="B5500" t="s">
        <v>18174</v>
      </c>
      <c r="C5500" t="s">
        <v>83</v>
      </c>
      <c r="D5500" t="s">
        <v>5389</v>
      </c>
      <c r="E5500" t="s">
        <v>16441</v>
      </c>
      <c r="F5500" t="s">
        <v>15608</v>
      </c>
      <c r="G5500" t="s">
        <v>18175</v>
      </c>
      <c r="H5500" t="str">
        <f>HYPERLINK("https://baanknet.com/view-property/107421/BBD521401549ADF38BA001535EAC561271E50F217ABAD7D9E7FE4C89EE43AA6A", "https://baanknet.com/view-property/107421/BBD521401549ADF38BA001535EAC561271E50F217ABAD7D9E7FE4C89EE43AA6A")</f>
        <v>https://baanknet.com/view-property/107421/BBD521401549ADF38BA001535EAC561271E50F217ABAD7D9E7FE4C89EE43AA6A</v>
      </c>
      <c r="I5500" t="str">
        <f>HYPERLINK("https://baanknet.com/view-property/107421/BBD521401549ADF38BA001535EAC561271E50F217ABAD7D9E7FE4C89EE43AA6A", "Open")</f>
        <v>Open</v>
      </c>
      <c r="J5500" t="s">
        <v>3803</v>
      </c>
      <c r="L5500">
        <v>1749600</v>
      </c>
      <c r="M5500">
        <v>174960</v>
      </c>
    </row>
    <row r="5501" spans="1:13" x14ac:dyDescent="0.25">
      <c r="A5501" t="s">
        <v>18176</v>
      </c>
      <c r="B5501" t="s">
        <v>18177</v>
      </c>
      <c r="C5501" t="s">
        <v>571</v>
      </c>
      <c r="D5501" t="s">
        <v>18178</v>
      </c>
      <c r="E5501" t="s">
        <v>18179</v>
      </c>
      <c r="F5501" t="s">
        <v>18180</v>
      </c>
      <c r="G5501" t="s">
        <v>18181</v>
      </c>
      <c r="H5501" t="str">
        <f>HYPERLINK("https://baanknet.com/view-property/261764/2BAF2C73FFC2C55A639EF0A65E84C34ED879356CC019EB26C2497114024CFE48", "https://baanknet.com/view-property/261764/2BAF2C73FFC2C55A639EF0A65E84C34ED879356CC019EB26C2497114024CFE48")</f>
        <v>https://baanknet.com/view-property/261764/2BAF2C73FFC2C55A639EF0A65E84C34ED879356CC019EB26C2497114024CFE48</v>
      </c>
      <c r="I5501" t="str">
        <f>HYPERLINK("https://baanknet.com/view-property/261764/2BAF2C73FFC2C55A639EF0A65E84C34ED879356CC019EB26C2497114024CFE48", "Open")</f>
        <v>Open</v>
      </c>
      <c r="J5501" t="s">
        <v>3803</v>
      </c>
      <c r="L5501">
        <v>1450000</v>
      </c>
      <c r="M5501">
        <v>145000</v>
      </c>
    </row>
    <row r="5502" spans="1:13" x14ac:dyDescent="0.25">
      <c r="A5502" t="s">
        <v>18182</v>
      </c>
      <c r="B5502" t="s">
        <v>18183</v>
      </c>
      <c r="C5502" t="s">
        <v>571</v>
      </c>
      <c r="D5502" t="s">
        <v>18184</v>
      </c>
      <c r="E5502" t="s">
        <v>18179</v>
      </c>
      <c r="F5502" t="s">
        <v>18180</v>
      </c>
      <c r="G5502" t="s">
        <v>18185</v>
      </c>
      <c r="H5502" t="str">
        <f>HYPERLINK("https://baanknet.com/view-property/261766/E6CFA6FB09699A7CE884E75D866987388714037D7EC2FEEA1A819C4A3A203247", "https://baanknet.com/view-property/261766/E6CFA6FB09699A7CE884E75D866987388714037D7EC2FEEA1A819C4A3A203247")</f>
        <v>https://baanknet.com/view-property/261766/E6CFA6FB09699A7CE884E75D866987388714037D7EC2FEEA1A819C4A3A203247</v>
      </c>
      <c r="I5502" t="str">
        <f>HYPERLINK("https://baanknet.com/view-property/261766/E6CFA6FB09699A7CE884E75D866987388714037D7EC2FEEA1A819C4A3A203247", "Open")</f>
        <v>Open</v>
      </c>
      <c r="J5502" t="s">
        <v>3803</v>
      </c>
      <c r="L5502">
        <v>1500000</v>
      </c>
      <c r="M5502">
        <v>150000</v>
      </c>
    </row>
    <row r="5503" spans="1:13" x14ac:dyDescent="0.25">
      <c r="A5503" t="s">
        <v>18186</v>
      </c>
      <c r="B5503" t="s">
        <v>18187</v>
      </c>
      <c r="C5503" t="s">
        <v>726</v>
      </c>
      <c r="D5503" t="s">
        <v>18188</v>
      </c>
      <c r="E5503" t="s">
        <v>18189</v>
      </c>
      <c r="F5503" t="s">
        <v>18190</v>
      </c>
      <c r="G5503" t="s">
        <v>18191</v>
      </c>
      <c r="H5503" t="str">
        <f>HYPERLINK("https://baanknet.com/view-property/286588/CC70199528F06E576355B3D60E431AFDDA698F364CEDBCC1C082E1FFA957D6D5", "https://baanknet.com/view-property/286588/CC70199528F06E576355B3D60E431AFDDA698F364CEDBCC1C082E1FFA957D6D5")</f>
        <v>https://baanknet.com/view-property/286588/CC70199528F06E576355B3D60E431AFDDA698F364CEDBCC1C082E1FFA957D6D5</v>
      </c>
      <c r="I5503" t="str">
        <f>HYPERLINK("https://baanknet.com/view-property/286588/CC70199528F06E576355B3D60E431AFDDA698F364CEDBCC1C082E1FFA957D6D5", "Open")</f>
        <v>Open</v>
      </c>
      <c r="J5503" t="s">
        <v>3803</v>
      </c>
      <c r="L5503">
        <v>15000000</v>
      </c>
      <c r="M5503">
        <v>1500000</v>
      </c>
    </row>
    <row r="5504" spans="1:13" x14ac:dyDescent="0.25">
      <c r="A5504" t="s">
        <v>18192</v>
      </c>
      <c r="B5504" t="s">
        <v>18193</v>
      </c>
      <c r="C5504" t="s">
        <v>15</v>
      </c>
      <c r="D5504" t="s">
        <v>18194</v>
      </c>
      <c r="E5504" t="s">
        <v>18189</v>
      </c>
      <c r="F5504" t="s">
        <v>18190</v>
      </c>
      <c r="G5504" t="s">
        <v>18195</v>
      </c>
      <c r="H5504" t="str">
        <f>HYPERLINK("https://baanknet.com/view-property/285675/CD6702D0E8DD18D149A9923A96C5756413DFA3E97B768701D27944368C37C19F", "https://baanknet.com/view-property/285675/CD6702D0E8DD18D149A9923A96C5756413DFA3E97B768701D27944368C37C19F")</f>
        <v>https://baanknet.com/view-property/285675/CD6702D0E8DD18D149A9923A96C5756413DFA3E97B768701D27944368C37C19F</v>
      </c>
      <c r="I5504" t="str">
        <f>HYPERLINK("https://baanknet.com/view-property/285675/CD6702D0E8DD18D149A9923A96C5756413DFA3E97B768701D27944368C37C19F", "Open")</f>
        <v>Open</v>
      </c>
      <c r="J5504" t="s">
        <v>3803</v>
      </c>
      <c r="L5504">
        <v>6944000</v>
      </c>
      <c r="M5504">
        <v>694400</v>
      </c>
    </row>
    <row r="5505" spans="1:13" x14ac:dyDescent="0.25">
      <c r="A5505" t="s">
        <v>18196</v>
      </c>
      <c r="B5505" t="s">
        <v>18197</v>
      </c>
      <c r="C5505" t="s">
        <v>332</v>
      </c>
      <c r="D5505" t="s">
        <v>900</v>
      </c>
      <c r="E5505" t="s">
        <v>18189</v>
      </c>
      <c r="F5505" t="s">
        <v>18198</v>
      </c>
      <c r="G5505" t="s">
        <v>18199</v>
      </c>
      <c r="H5505" t="str">
        <f>HYPERLINK("https://baanknet.com/view-property/285682/0D5B28651986CCAACA0B0BA797094706C3CAA3322EFC66CAB780F62608767490", "https://baanknet.com/view-property/285682/0D5B28651986CCAACA0B0BA797094706C3CAA3322EFC66CAB780F62608767490")</f>
        <v>https://baanknet.com/view-property/285682/0D5B28651986CCAACA0B0BA797094706C3CAA3322EFC66CAB780F62608767490</v>
      </c>
      <c r="I5505" t="str">
        <f>HYPERLINK("https://baanknet.com/view-property/285682/0D5B28651986CCAACA0B0BA797094706C3CAA3322EFC66CAB780F62608767490", "Open")</f>
        <v>Open</v>
      </c>
      <c r="J5505" t="s">
        <v>3803</v>
      </c>
      <c r="L5505">
        <v>7500000</v>
      </c>
      <c r="M5505">
        <v>750000</v>
      </c>
    </row>
    <row r="5506" spans="1:13" x14ac:dyDescent="0.25">
      <c r="A5506" t="s">
        <v>18200</v>
      </c>
      <c r="B5506" t="s">
        <v>18201</v>
      </c>
      <c r="C5506" t="s">
        <v>332</v>
      </c>
      <c r="D5506" t="s">
        <v>18202</v>
      </c>
      <c r="E5506" t="s">
        <v>18189</v>
      </c>
      <c r="F5506" t="s">
        <v>18198</v>
      </c>
      <c r="G5506" t="s">
        <v>18203</v>
      </c>
      <c r="H5506" t="str">
        <f>HYPERLINK("https://baanknet.com/view-property/285678/BD6A50BC2B8BBB1601F01B26F9B6A140E6278BA9D3C77450BF57D2E3D77A349B", "https://baanknet.com/view-property/285678/BD6A50BC2B8BBB1601F01B26F9B6A140E6278BA9D3C77450BF57D2E3D77A349B")</f>
        <v>https://baanknet.com/view-property/285678/BD6A50BC2B8BBB1601F01B26F9B6A140E6278BA9D3C77450BF57D2E3D77A349B</v>
      </c>
      <c r="I5506" t="str">
        <f>HYPERLINK("https://baanknet.com/view-property/285678/BD6A50BC2B8BBB1601F01B26F9B6A140E6278BA9D3C77450BF57D2E3D77A349B", "Open")</f>
        <v>Open</v>
      </c>
      <c r="J5506" t="s">
        <v>3803</v>
      </c>
      <c r="L5506">
        <v>2600000</v>
      </c>
      <c r="M5506">
        <v>260000</v>
      </c>
    </row>
    <row r="5507" spans="1:13" x14ac:dyDescent="0.25">
      <c r="A5507" t="s">
        <v>18204</v>
      </c>
      <c r="B5507" t="s">
        <v>18205</v>
      </c>
      <c r="C5507" t="s">
        <v>121</v>
      </c>
      <c r="D5507" t="s">
        <v>32</v>
      </c>
      <c r="E5507" t="s">
        <v>18189</v>
      </c>
      <c r="F5507" t="s">
        <v>18198</v>
      </c>
      <c r="G5507" t="s">
        <v>18206</v>
      </c>
      <c r="H5507" t="str">
        <f>HYPERLINK("https://baanknet.com/view-property/280213/0C2454521A25E18556FF053D4F0D635FE770D17087BCFFC672BE284100ADDB7E", "https://baanknet.com/view-property/280213/0C2454521A25E18556FF053D4F0D635FE770D17087BCFFC672BE284100ADDB7E")</f>
        <v>https://baanknet.com/view-property/280213/0C2454521A25E18556FF053D4F0D635FE770D17087BCFFC672BE284100ADDB7E</v>
      </c>
      <c r="I5507" t="str">
        <f>HYPERLINK("https://baanknet.com/view-property/280213/0C2454521A25E18556FF053D4F0D635FE770D17087BCFFC672BE284100ADDB7E", "Open")</f>
        <v>Open</v>
      </c>
      <c r="J5507" t="s">
        <v>3803</v>
      </c>
      <c r="L5507">
        <v>79800000</v>
      </c>
      <c r="M5507">
        <v>7980000</v>
      </c>
    </row>
    <row r="5508" spans="1:13" x14ac:dyDescent="0.25">
      <c r="A5508" t="s">
        <v>18207</v>
      </c>
      <c r="B5508" t="s">
        <v>18208</v>
      </c>
      <c r="C5508" t="s">
        <v>332</v>
      </c>
      <c r="D5508" t="s">
        <v>8454</v>
      </c>
      <c r="E5508" t="s">
        <v>18209</v>
      </c>
      <c r="F5508" t="s">
        <v>18190</v>
      </c>
      <c r="G5508" t="s">
        <v>18210</v>
      </c>
      <c r="H5508" t="str">
        <f>HYPERLINK("https://baanknet.com/view-property/259655/D8B9367411CF11D99E2DFB452C66E00FF980A89C80B25BF9310A482F1416D3F8", "https://baanknet.com/view-property/259655/D8B9367411CF11D99E2DFB452C66E00FF980A89C80B25BF9310A482F1416D3F8")</f>
        <v>https://baanknet.com/view-property/259655/D8B9367411CF11D99E2DFB452C66E00FF980A89C80B25BF9310A482F1416D3F8</v>
      </c>
      <c r="I5508" t="str">
        <f>HYPERLINK("https://baanknet.com/view-property/259655/D8B9367411CF11D99E2DFB452C66E00FF980A89C80B25BF9310A482F1416D3F8", "Open")</f>
        <v>Open</v>
      </c>
      <c r="J5508" t="s">
        <v>3803</v>
      </c>
      <c r="L5508">
        <v>18600000</v>
      </c>
      <c r="M5508">
        <v>1860000</v>
      </c>
    </row>
    <row r="5509" spans="1:13" x14ac:dyDescent="0.25">
      <c r="A5509" t="s">
        <v>18211</v>
      </c>
      <c r="B5509" t="s">
        <v>18212</v>
      </c>
      <c r="C5509" t="s">
        <v>332</v>
      </c>
      <c r="D5509" t="s">
        <v>853</v>
      </c>
      <c r="E5509" t="s">
        <v>18209</v>
      </c>
      <c r="F5509" t="s">
        <v>18198</v>
      </c>
      <c r="G5509" t="s">
        <v>18213</v>
      </c>
      <c r="H5509" t="str">
        <f>HYPERLINK("https://baanknet.com/view-property/280089/9C3DB0E856A7734E3F98EFF866EE7C275AA8F62E0ABCA2A087849E0321D52DF6", "https://baanknet.com/view-property/280089/9C3DB0E856A7734E3F98EFF866EE7C275AA8F62E0ABCA2A087849E0321D52DF6")</f>
        <v>https://baanknet.com/view-property/280089/9C3DB0E856A7734E3F98EFF866EE7C275AA8F62E0ABCA2A087849E0321D52DF6</v>
      </c>
      <c r="I5509" t="str">
        <f>HYPERLINK("https://baanknet.com/view-property/280089/9C3DB0E856A7734E3F98EFF866EE7C275AA8F62E0ABCA2A087849E0321D52DF6", "Open")</f>
        <v>Open</v>
      </c>
      <c r="J5509" t="s">
        <v>3803</v>
      </c>
    </row>
    <row r="5510" spans="1:13" x14ac:dyDescent="0.25">
      <c r="A5510" t="s">
        <v>18214</v>
      </c>
      <c r="B5510" t="s">
        <v>18215</v>
      </c>
      <c r="C5510" t="s">
        <v>332</v>
      </c>
      <c r="D5510" t="s">
        <v>4246</v>
      </c>
      <c r="E5510" t="s">
        <v>18209</v>
      </c>
      <c r="F5510" t="s">
        <v>18198</v>
      </c>
      <c r="G5510" t="s">
        <v>18216</v>
      </c>
      <c r="H5510" t="str">
        <f>HYPERLINK("https://baanknet.com/view-property/247658/75E5B9E2155AF65EB283EA0A557544EE9E93021E7927912668C00EDF0672FFA4", "https://baanknet.com/view-property/247658/75E5B9E2155AF65EB283EA0A557544EE9E93021E7927912668C00EDF0672FFA4")</f>
        <v>https://baanknet.com/view-property/247658/75E5B9E2155AF65EB283EA0A557544EE9E93021E7927912668C00EDF0672FFA4</v>
      </c>
      <c r="I5510" t="str">
        <f>HYPERLINK("https://baanknet.com/view-property/247658/75E5B9E2155AF65EB283EA0A557544EE9E93021E7927912668C00EDF0672FFA4", "Open")</f>
        <v>Open</v>
      </c>
      <c r="J5510" t="s">
        <v>3803</v>
      </c>
      <c r="L5510">
        <v>2250000</v>
      </c>
      <c r="M5510">
        <v>225000</v>
      </c>
    </row>
    <row r="5511" spans="1:13" x14ac:dyDescent="0.25">
      <c r="A5511" t="s">
        <v>18217</v>
      </c>
      <c r="B5511" t="s">
        <v>18218</v>
      </c>
      <c r="C5511" t="s">
        <v>332</v>
      </c>
      <c r="D5511" t="s">
        <v>1300</v>
      </c>
      <c r="E5511" t="s">
        <v>18209</v>
      </c>
      <c r="F5511" t="s">
        <v>18198</v>
      </c>
      <c r="G5511" t="s">
        <v>18219</v>
      </c>
      <c r="H5511" t="str">
        <f>HYPERLINK("https://baanknet.com/view-property/244925/A7880F695E15B01B548B9573E28E4B8891EC6880C79AD6924A41C7C058B99A05", "https://baanknet.com/view-property/244925/A7880F695E15B01B548B9573E28E4B8891EC6880C79AD6924A41C7C058B99A05")</f>
        <v>https://baanknet.com/view-property/244925/A7880F695E15B01B548B9573E28E4B8891EC6880C79AD6924A41C7C058B99A05</v>
      </c>
      <c r="I5511" t="str">
        <f>HYPERLINK("https://baanknet.com/view-property/244925/A7880F695E15B01B548B9573E28E4B8891EC6880C79AD6924A41C7C058B99A05", "Open")</f>
        <v>Open</v>
      </c>
      <c r="J5511" t="s">
        <v>3803</v>
      </c>
      <c r="L5511">
        <v>3050000</v>
      </c>
      <c r="M5511">
        <v>305000</v>
      </c>
    </row>
    <row r="5512" spans="1:13" x14ac:dyDescent="0.25">
      <c r="A5512" t="s">
        <v>18220</v>
      </c>
      <c r="B5512" t="s">
        <v>18221</v>
      </c>
      <c r="C5512" t="s">
        <v>332</v>
      </c>
      <c r="D5512" t="s">
        <v>1300</v>
      </c>
      <c r="E5512" t="s">
        <v>18209</v>
      </c>
      <c r="F5512" t="s">
        <v>18198</v>
      </c>
      <c r="G5512" t="s">
        <v>18222</v>
      </c>
      <c r="H5512" t="str">
        <f>HYPERLINK("https://baanknet.com/view-property/118988/82AE5B0EE2A5741B2B9537FC59C596A81FC8E3896C44B96657A812CD69D54384", "https://baanknet.com/view-property/118988/82AE5B0EE2A5741B2B9537FC59C596A81FC8E3896C44B96657A812CD69D54384")</f>
        <v>https://baanknet.com/view-property/118988/82AE5B0EE2A5741B2B9537FC59C596A81FC8E3896C44B96657A812CD69D54384</v>
      </c>
      <c r="I5512" t="str">
        <f>HYPERLINK("https://baanknet.com/view-property/118988/82AE5B0EE2A5741B2B9537FC59C596A81FC8E3896C44B96657A812CD69D54384", "Open")</f>
        <v>Open</v>
      </c>
      <c r="J5512" t="s">
        <v>3803</v>
      </c>
      <c r="L5512">
        <v>3770000</v>
      </c>
      <c r="M5512">
        <v>377000</v>
      </c>
    </row>
    <row r="5513" spans="1:13" x14ac:dyDescent="0.25">
      <c r="A5513" t="s">
        <v>18223</v>
      </c>
      <c r="B5513" t="s">
        <v>18224</v>
      </c>
      <c r="C5513" t="s">
        <v>332</v>
      </c>
      <c r="D5513" t="s">
        <v>853</v>
      </c>
      <c r="E5513" t="s">
        <v>18209</v>
      </c>
      <c r="F5513" t="s">
        <v>18198</v>
      </c>
      <c r="G5513" t="s">
        <v>18225</v>
      </c>
      <c r="H5513" t="str">
        <f>HYPERLINK("https://baanknet.com/view-property/256448/2C642088589C7060E3970E2FBF26F71EBBE2706BCF764FA3BF1401A85FB2E5DF", "https://baanknet.com/view-property/256448/2C642088589C7060E3970E2FBF26F71EBBE2706BCF764FA3BF1401A85FB2E5DF")</f>
        <v>https://baanknet.com/view-property/256448/2C642088589C7060E3970E2FBF26F71EBBE2706BCF764FA3BF1401A85FB2E5DF</v>
      </c>
      <c r="I5513" t="str">
        <f>HYPERLINK("https://baanknet.com/view-property/256448/2C642088589C7060E3970E2FBF26F71EBBE2706BCF764FA3BF1401A85FB2E5DF", "Open")</f>
        <v>Open</v>
      </c>
      <c r="J5513" t="s">
        <v>3803</v>
      </c>
      <c r="L5513">
        <v>5500000</v>
      </c>
      <c r="M5513">
        <v>550000</v>
      </c>
    </row>
    <row r="5514" spans="1:13" x14ac:dyDescent="0.25">
      <c r="A5514" t="s">
        <v>18226</v>
      </c>
      <c r="B5514" t="s">
        <v>18227</v>
      </c>
      <c r="C5514" t="s">
        <v>332</v>
      </c>
      <c r="D5514" t="s">
        <v>1300</v>
      </c>
      <c r="E5514" t="s">
        <v>18209</v>
      </c>
      <c r="F5514" t="s">
        <v>18198</v>
      </c>
      <c r="G5514" t="s">
        <v>18228</v>
      </c>
      <c r="H5514" t="str">
        <f>HYPERLINK("https://baanknet.com/view-property/248139/FE7BC04B105403D3D892A75175A88214DAB0B08CAD035ECBAA8A13A4EEF1AC1B", "https://baanknet.com/view-property/248139/FE7BC04B105403D3D892A75175A88214DAB0B08CAD035ECBAA8A13A4EEF1AC1B")</f>
        <v>https://baanknet.com/view-property/248139/FE7BC04B105403D3D892A75175A88214DAB0B08CAD035ECBAA8A13A4EEF1AC1B</v>
      </c>
      <c r="I5514" t="str">
        <f>HYPERLINK("https://baanknet.com/view-property/248139/FE7BC04B105403D3D892A75175A88214DAB0B08CAD035ECBAA8A13A4EEF1AC1B", "Open")</f>
        <v>Open</v>
      </c>
      <c r="J5514" t="s">
        <v>3803</v>
      </c>
      <c r="L5514">
        <v>5500000</v>
      </c>
      <c r="M5514">
        <v>550000</v>
      </c>
    </row>
    <row r="5515" spans="1:13" x14ac:dyDescent="0.25">
      <c r="A5515" t="s">
        <v>18229</v>
      </c>
      <c r="B5515" t="s">
        <v>18230</v>
      </c>
      <c r="C5515" t="s">
        <v>332</v>
      </c>
      <c r="D5515" t="s">
        <v>18231</v>
      </c>
      <c r="E5515" t="s">
        <v>18209</v>
      </c>
      <c r="F5515" t="s">
        <v>18198</v>
      </c>
      <c r="G5515" t="s">
        <v>18232</v>
      </c>
      <c r="H5515" t="str">
        <f>HYPERLINK("https://baanknet.com/view-property/280068/062551DC93AFF363D7A8415D8FD6FBF94CD082B92072DF36849BAA502D1F411C", "https://baanknet.com/view-property/280068/062551DC93AFF363D7A8415D8FD6FBF94CD082B92072DF36849BAA502D1F411C")</f>
        <v>https://baanknet.com/view-property/280068/062551DC93AFF363D7A8415D8FD6FBF94CD082B92072DF36849BAA502D1F411C</v>
      </c>
      <c r="I5515" t="str">
        <f>HYPERLINK("https://baanknet.com/view-property/280068/062551DC93AFF363D7A8415D8FD6FBF94CD082B92072DF36849BAA502D1F411C", "Open")</f>
        <v>Open</v>
      </c>
      <c r="J5515" t="s">
        <v>3803</v>
      </c>
    </row>
    <row r="5516" spans="1:13" x14ac:dyDescent="0.25">
      <c r="A5516" t="s">
        <v>18233</v>
      </c>
      <c r="B5516" t="s">
        <v>18234</v>
      </c>
      <c r="C5516" t="s">
        <v>332</v>
      </c>
      <c r="D5516" t="s">
        <v>18231</v>
      </c>
      <c r="E5516" t="s">
        <v>18209</v>
      </c>
      <c r="F5516" t="s">
        <v>18198</v>
      </c>
      <c r="G5516" t="s">
        <v>18235</v>
      </c>
      <c r="H5516" t="str">
        <f>HYPERLINK("https://baanknet.com/view-property/280045/CD396D6761B7E306C9D30A8D66D50281859D2564BD74ECB385E3A3876F28C5CA", "https://baanknet.com/view-property/280045/CD396D6761B7E306C9D30A8D66D50281859D2564BD74ECB385E3A3876F28C5CA")</f>
        <v>https://baanknet.com/view-property/280045/CD396D6761B7E306C9D30A8D66D50281859D2564BD74ECB385E3A3876F28C5CA</v>
      </c>
      <c r="I5516" t="str">
        <f>HYPERLINK("https://baanknet.com/view-property/280045/CD396D6761B7E306C9D30A8D66D50281859D2564BD74ECB385E3A3876F28C5CA", "Open")</f>
        <v>Open</v>
      </c>
      <c r="J5516" t="s">
        <v>3803</v>
      </c>
    </row>
    <row r="5517" spans="1:13" x14ac:dyDescent="0.25">
      <c r="A5517" t="s">
        <v>18236</v>
      </c>
      <c r="B5517" t="s">
        <v>18237</v>
      </c>
      <c r="C5517" t="s">
        <v>332</v>
      </c>
      <c r="D5517" t="s">
        <v>10653</v>
      </c>
      <c r="E5517" t="s">
        <v>18209</v>
      </c>
      <c r="F5517" t="s">
        <v>18198</v>
      </c>
      <c r="G5517" t="s">
        <v>18238</v>
      </c>
      <c r="H5517" t="str">
        <f>HYPERLINK("https://baanknet.com/view-property/218756/63D2127D50ED38866AF0C2BA389922C5B12F17F8F837B77D8E80B6186F0F79C8", "https://baanknet.com/view-property/218756/63D2127D50ED38866AF0C2BA389922C5B12F17F8F837B77D8E80B6186F0F79C8")</f>
        <v>https://baanknet.com/view-property/218756/63D2127D50ED38866AF0C2BA389922C5B12F17F8F837B77D8E80B6186F0F79C8</v>
      </c>
      <c r="I5517" t="str">
        <f>HYPERLINK("https://baanknet.com/view-property/218756/63D2127D50ED38866AF0C2BA389922C5B12F17F8F837B77D8E80B6186F0F79C8", "Open")</f>
        <v>Open</v>
      </c>
      <c r="J5517" t="s">
        <v>3803</v>
      </c>
      <c r="L5517">
        <v>2800000</v>
      </c>
      <c r="M5517">
        <v>280000</v>
      </c>
    </row>
    <row r="5518" spans="1:13" x14ac:dyDescent="0.25">
      <c r="A5518" t="s">
        <v>18239</v>
      </c>
      <c r="B5518" t="s">
        <v>18240</v>
      </c>
      <c r="C5518" t="s">
        <v>332</v>
      </c>
      <c r="D5518" t="s">
        <v>8087</v>
      </c>
      <c r="E5518" t="s">
        <v>18209</v>
      </c>
      <c r="F5518" t="s">
        <v>18198</v>
      </c>
      <c r="G5518" t="s">
        <v>18241</v>
      </c>
      <c r="H5518" t="str">
        <f>HYPERLINK("https://baanknet.com/view-property/236012/77EBB864D327FC1FF588337589E6277DB07E0CE94ED54A0E74AEE2E20AD830CC", "https://baanknet.com/view-property/236012/77EBB864D327FC1FF588337589E6277DB07E0CE94ED54A0E74AEE2E20AD830CC")</f>
        <v>https://baanknet.com/view-property/236012/77EBB864D327FC1FF588337589E6277DB07E0CE94ED54A0E74AEE2E20AD830CC</v>
      </c>
      <c r="I5518" t="str">
        <f>HYPERLINK("https://baanknet.com/view-property/236012/77EBB864D327FC1FF588337589E6277DB07E0CE94ED54A0E74AEE2E20AD830CC", "Open")</f>
        <v>Open</v>
      </c>
      <c r="J5518" t="s">
        <v>3803</v>
      </c>
      <c r="L5518">
        <v>4550000</v>
      </c>
      <c r="M5518">
        <v>455000</v>
      </c>
    </row>
    <row r="5519" spans="1:13" x14ac:dyDescent="0.25">
      <c r="A5519" t="s">
        <v>18242</v>
      </c>
      <c r="B5519" t="s">
        <v>18243</v>
      </c>
      <c r="C5519" t="s">
        <v>83</v>
      </c>
      <c r="D5519" t="s">
        <v>493</v>
      </c>
      <c r="E5519" t="s">
        <v>18244</v>
      </c>
      <c r="F5519" t="s">
        <v>18245</v>
      </c>
      <c r="G5519" t="s">
        <v>18246</v>
      </c>
      <c r="H5519" t="str">
        <f>HYPERLINK("https://baanknet.com/view-property/285217/7D5BB510820C0A8C61CC039AEE4FE9E026AC9CB35B70A68239A5085EDF226BDE", "https://baanknet.com/view-property/285217/7D5BB510820C0A8C61CC039AEE4FE9E026AC9CB35B70A68239A5085EDF226BDE")</f>
        <v>https://baanknet.com/view-property/285217/7D5BB510820C0A8C61CC039AEE4FE9E026AC9CB35B70A68239A5085EDF226BDE</v>
      </c>
      <c r="I5519" t="str">
        <f>HYPERLINK("https://baanknet.com/view-property/285217/7D5BB510820C0A8C61CC039AEE4FE9E026AC9CB35B70A68239A5085EDF226BDE", "Open")</f>
        <v>Open</v>
      </c>
      <c r="J5519" t="s">
        <v>3803</v>
      </c>
      <c r="L5519">
        <v>8243000</v>
      </c>
      <c r="M5519">
        <v>825000</v>
      </c>
    </row>
    <row r="5520" spans="1:13" x14ac:dyDescent="0.25">
      <c r="A5520" t="s">
        <v>18247</v>
      </c>
      <c r="B5520" t="s">
        <v>18248</v>
      </c>
      <c r="C5520" t="s">
        <v>571</v>
      </c>
      <c r="D5520" t="s">
        <v>18249</v>
      </c>
      <c r="E5520" t="s">
        <v>18250</v>
      </c>
      <c r="F5520" t="s">
        <v>18251</v>
      </c>
      <c r="G5520" t="s">
        <v>18252</v>
      </c>
      <c r="H5520" t="str">
        <f>HYPERLINK("https://baanknet.com/view-property/285996/67946DF148BBA962F837374C37FBDD848210A2113C5C2FD831DC6ED6D09890B1", "https://baanknet.com/view-property/285996/67946DF148BBA962F837374C37FBDD848210A2113C5C2FD831DC6ED6D09890B1")</f>
        <v>https://baanknet.com/view-property/285996/67946DF148BBA962F837374C37FBDD848210A2113C5C2FD831DC6ED6D09890B1</v>
      </c>
      <c r="I5520" t="str">
        <f>HYPERLINK("https://baanknet.com/view-property/285996/67946DF148BBA962F837374C37FBDD848210A2113C5C2FD831DC6ED6D09890B1", "Open")</f>
        <v>Open</v>
      </c>
      <c r="J5520" t="s">
        <v>3803</v>
      </c>
      <c r="L5520">
        <v>630000</v>
      </c>
      <c r="M5520">
        <v>63000</v>
      </c>
    </row>
    <row r="5521" spans="1:13" x14ac:dyDescent="0.25">
      <c r="A5521" t="s">
        <v>18253</v>
      </c>
      <c r="B5521" t="s">
        <v>18254</v>
      </c>
      <c r="C5521" t="s">
        <v>571</v>
      </c>
      <c r="D5521" t="s">
        <v>18255</v>
      </c>
      <c r="E5521" t="s">
        <v>18250</v>
      </c>
      <c r="F5521" t="s">
        <v>18251</v>
      </c>
      <c r="G5521" t="s">
        <v>18256</v>
      </c>
      <c r="H5521" t="str">
        <f>HYPERLINK("https://baanknet.com/view-property/285783/F3CF39F0B34CA3F8CF82B711D4F33940EF0C5C89C34AA9C41520DA961C103818", "https://baanknet.com/view-property/285783/F3CF39F0B34CA3F8CF82B711D4F33940EF0C5C89C34AA9C41520DA961C103818")</f>
        <v>https://baanknet.com/view-property/285783/F3CF39F0B34CA3F8CF82B711D4F33940EF0C5C89C34AA9C41520DA961C103818</v>
      </c>
      <c r="I5521" t="str">
        <f>HYPERLINK("https://baanknet.com/view-property/285783/F3CF39F0B34CA3F8CF82B711D4F33940EF0C5C89C34AA9C41520DA961C103818", "Open")</f>
        <v>Open</v>
      </c>
      <c r="J5521" t="s">
        <v>3803</v>
      </c>
      <c r="L5521">
        <v>4500000</v>
      </c>
      <c r="M5521">
        <v>450000</v>
      </c>
    </row>
    <row r="5522" spans="1:13" x14ac:dyDescent="0.25">
      <c r="A5522" t="s">
        <v>18257</v>
      </c>
      <c r="B5522" t="s">
        <v>18258</v>
      </c>
      <c r="C5522" t="s">
        <v>571</v>
      </c>
      <c r="D5522" t="s">
        <v>18255</v>
      </c>
      <c r="E5522" t="s">
        <v>18250</v>
      </c>
      <c r="F5522" t="s">
        <v>18251</v>
      </c>
      <c r="G5522" t="s">
        <v>18259</v>
      </c>
      <c r="H5522" t="str">
        <f>HYPERLINK("https://baanknet.com/view-property/285752/3F66BCAB3B78524360CC1A8C8B09AA1A696F7B0680747C285333EAFB1A50F5D6", "https://baanknet.com/view-property/285752/3F66BCAB3B78524360CC1A8C8B09AA1A696F7B0680747C285333EAFB1A50F5D6")</f>
        <v>https://baanknet.com/view-property/285752/3F66BCAB3B78524360CC1A8C8B09AA1A696F7B0680747C285333EAFB1A50F5D6</v>
      </c>
      <c r="I5522" t="str">
        <f>HYPERLINK("https://baanknet.com/view-property/285752/3F66BCAB3B78524360CC1A8C8B09AA1A696F7B0680747C285333EAFB1A50F5D6", "Open")</f>
        <v>Open</v>
      </c>
      <c r="J5522" t="s">
        <v>3803</v>
      </c>
      <c r="L5522">
        <v>7848000</v>
      </c>
      <c r="M5522">
        <v>784800</v>
      </c>
    </row>
    <row r="5523" spans="1:13" x14ac:dyDescent="0.25">
      <c r="A5523" t="s">
        <v>18260</v>
      </c>
      <c r="B5523" t="s">
        <v>18261</v>
      </c>
      <c r="C5523" t="s">
        <v>15</v>
      </c>
      <c r="D5523" t="s">
        <v>15818</v>
      </c>
      <c r="E5523" t="s">
        <v>18262</v>
      </c>
      <c r="F5523" t="s">
        <v>18263</v>
      </c>
      <c r="G5523" t="s">
        <v>18264</v>
      </c>
      <c r="H5523" t="str">
        <f>HYPERLINK("https://baanknet.com/view-property/197433/27110D83F4AEF4904B29302759040DEAE6206222E9216149467149C7CD012EA0", "https://baanknet.com/view-property/197433/27110D83F4AEF4904B29302759040DEAE6206222E9216149467149C7CD012EA0")</f>
        <v>https://baanknet.com/view-property/197433/27110D83F4AEF4904B29302759040DEAE6206222E9216149467149C7CD012EA0</v>
      </c>
      <c r="I5523" t="str">
        <f>HYPERLINK("https://baanknet.com/view-property/197433/27110D83F4AEF4904B29302759040DEAE6206222E9216149467149C7CD012EA0", "Open")</f>
        <v>Open</v>
      </c>
      <c r="J5523" t="s">
        <v>3803</v>
      </c>
      <c r="L5523">
        <v>3125000</v>
      </c>
      <c r="M5523">
        <v>312500</v>
      </c>
    </row>
    <row r="5524" spans="1:13" x14ac:dyDescent="0.25">
      <c r="A5524" t="s">
        <v>18265</v>
      </c>
      <c r="B5524" t="s">
        <v>18266</v>
      </c>
      <c r="C5524" t="s">
        <v>15</v>
      </c>
      <c r="D5524" t="s">
        <v>3588</v>
      </c>
      <c r="E5524" t="s">
        <v>18262</v>
      </c>
      <c r="F5524" t="s">
        <v>18263</v>
      </c>
      <c r="G5524" t="s">
        <v>18267</v>
      </c>
      <c r="H5524" t="str">
        <f>HYPERLINK("https://baanknet.com/view-property/249202/D71F996422EA0E4DC7DC127B1D1261CBDFFE938D3F2293CFCD8CAC7E99F0CBEA", "https://baanknet.com/view-property/249202/D71F996422EA0E4DC7DC127B1D1261CBDFFE938D3F2293CFCD8CAC7E99F0CBEA")</f>
        <v>https://baanknet.com/view-property/249202/D71F996422EA0E4DC7DC127B1D1261CBDFFE938D3F2293CFCD8CAC7E99F0CBEA</v>
      </c>
      <c r="I5524" t="str">
        <f>HYPERLINK("https://baanknet.com/view-property/249202/D71F996422EA0E4DC7DC127B1D1261CBDFFE938D3F2293CFCD8CAC7E99F0CBEA", "Open")</f>
        <v>Open</v>
      </c>
      <c r="J5524" t="s">
        <v>3803</v>
      </c>
      <c r="L5524">
        <v>3690000</v>
      </c>
      <c r="M5524">
        <v>369000</v>
      </c>
    </row>
    <row r="5525" spans="1:13" x14ac:dyDescent="0.25">
      <c r="A5525" t="s">
        <v>18268</v>
      </c>
      <c r="B5525" t="s">
        <v>18269</v>
      </c>
      <c r="C5525" t="s">
        <v>594</v>
      </c>
      <c r="D5525" t="s">
        <v>2384</v>
      </c>
      <c r="E5525" t="s">
        <v>18270</v>
      </c>
      <c r="F5525" t="s">
        <v>18271</v>
      </c>
      <c r="G5525" t="s">
        <v>18272</v>
      </c>
      <c r="H5525" t="str">
        <f>HYPERLINK("https://baanknet.com/view-property/287665/1A6B7AA25215E4E29309BF40189827BB2DD638524FEB83F07DB02A8CCFC015EE", "https://baanknet.com/view-property/287665/1A6B7AA25215E4E29309BF40189827BB2DD638524FEB83F07DB02A8CCFC015EE")</f>
        <v>https://baanknet.com/view-property/287665/1A6B7AA25215E4E29309BF40189827BB2DD638524FEB83F07DB02A8CCFC015EE</v>
      </c>
      <c r="I5525" t="str">
        <f>HYPERLINK("https://baanknet.com/view-property/287665/1A6B7AA25215E4E29309BF40189827BB2DD638524FEB83F07DB02A8CCFC015EE", "Open")</f>
        <v>Open</v>
      </c>
      <c r="J5525" t="s">
        <v>3803</v>
      </c>
      <c r="L5525">
        <v>6700000</v>
      </c>
      <c r="M5525">
        <v>670000</v>
      </c>
    </row>
    <row r="5526" spans="1:13" x14ac:dyDescent="0.25">
      <c r="A5526" t="s">
        <v>18273</v>
      </c>
      <c r="B5526" t="s">
        <v>18274</v>
      </c>
      <c r="C5526" t="s">
        <v>332</v>
      </c>
      <c r="D5526" t="s">
        <v>1310</v>
      </c>
      <c r="E5526" t="s">
        <v>18270</v>
      </c>
      <c r="F5526" t="s">
        <v>18275</v>
      </c>
      <c r="G5526" t="s">
        <v>18276</v>
      </c>
      <c r="H5526" t="str">
        <f>HYPERLINK("https://baanknet.com/view-property/285896/5A06DD41AD42FFCE405D751B1356D89370C0A5C65CF94BDC499E156E852D5AB9", "https://baanknet.com/view-property/285896/5A06DD41AD42FFCE405D751B1356D89370C0A5C65CF94BDC499E156E852D5AB9")</f>
        <v>https://baanknet.com/view-property/285896/5A06DD41AD42FFCE405D751B1356D89370C0A5C65CF94BDC499E156E852D5AB9</v>
      </c>
      <c r="I5526" t="str">
        <f>HYPERLINK("https://baanknet.com/view-property/285896/5A06DD41AD42FFCE405D751B1356D89370C0A5C65CF94BDC499E156E852D5AB9", "Open")</f>
        <v>Open</v>
      </c>
      <c r="J5526" t="s">
        <v>3803</v>
      </c>
      <c r="L5526">
        <v>70800000</v>
      </c>
      <c r="M5526">
        <v>7080000</v>
      </c>
    </row>
    <row r="5527" spans="1:13" x14ac:dyDescent="0.25">
      <c r="A5527" t="s">
        <v>18277</v>
      </c>
      <c r="B5527" t="s">
        <v>18278</v>
      </c>
      <c r="C5527" t="s">
        <v>332</v>
      </c>
      <c r="D5527" t="s">
        <v>3217</v>
      </c>
      <c r="E5527" t="s">
        <v>18270</v>
      </c>
      <c r="F5527" t="s">
        <v>18275</v>
      </c>
      <c r="G5527" t="s">
        <v>18279</v>
      </c>
      <c r="H5527" t="str">
        <f>HYPERLINK("https://baanknet.com/view-property/281827/8D6BAA0A9264E387367C6CDDD34C7B9F3BB3EACB0C91E0661FA126B6358AE579", "https://baanknet.com/view-property/281827/8D6BAA0A9264E387367C6CDDD34C7B9F3BB3EACB0C91E0661FA126B6358AE579")</f>
        <v>https://baanknet.com/view-property/281827/8D6BAA0A9264E387367C6CDDD34C7B9F3BB3EACB0C91E0661FA126B6358AE579</v>
      </c>
      <c r="I5527" t="str">
        <f>HYPERLINK("https://baanknet.com/view-property/281827/8D6BAA0A9264E387367C6CDDD34C7B9F3BB3EACB0C91E0661FA126B6358AE579", "Open")</f>
        <v>Open</v>
      </c>
      <c r="J5527" t="s">
        <v>3803</v>
      </c>
      <c r="L5527">
        <v>3124000</v>
      </c>
      <c r="M5527">
        <v>312400</v>
      </c>
    </row>
    <row r="5528" spans="1:13" x14ac:dyDescent="0.25">
      <c r="A5528" t="s">
        <v>18280</v>
      </c>
      <c r="B5528" t="s">
        <v>18281</v>
      </c>
      <c r="C5528" t="s">
        <v>332</v>
      </c>
      <c r="D5528" t="s">
        <v>3968</v>
      </c>
      <c r="E5528" t="s">
        <v>18270</v>
      </c>
      <c r="F5528" t="s">
        <v>18251</v>
      </c>
      <c r="G5528" t="s">
        <v>18282</v>
      </c>
      <c r="H5528" t="str">
        <f>HYPERLINK("https://baanknet.com/view-property/181666/52315ACA4D5ADBE493CBF51C0E8DA6FCF2605AD64CDAD2F6D917DF524FF139F8", "https://baanknet.com/view-property/181666/52315ACA4D5ADBE493CBF51C0E8DA6FCF2605AD64CDAD2F6D917DF524FF139F8")</f>
        <v>https://baanknet.com/view-property/181666/52315ACA4D5ADBE493CBF51C0E8DA6FCF2605AD64CDAD2F6D917DF524FF139F8</v>
      </c>
      <c r="I5528" t="str">
        <f>HYPERLINK("https://baanknet.com/view-property/181666/52315ACA4D5ADBE493CBF51C0E8DA6FCF2605AD64CDAD2F6D917DF524FF139F8", "Open")</f>
        <v>Open</v>
      </c>
      <c r="J5528" t="s">
        <v>3803</v>
      </c>
      <c r="L5528">
        <v>7209000</v>
      </c>
      <c r="M5528">
        <v>720900</v>
      </c>
    </row>
    <row r="5529" spans="1:13" x14ac:dyDescent="0.25">
      <c r="A5529" t="s">
        <v>18283</v>
      </c>
      <c r="B5529" t="s">
        <v>18284</v>
      </c>
      <c r="C5529" t="s">
        <v>332</v>
      </c>
      <c r="D5529" t="s">
        <v>5036</v>
      </c>
      <c r="E5529" t="s">
        <v>18270</v>
      </c>
      <c r="F5529" t="s">
        <v>18251</v>
      </c>
      <c r="G5529" t="s">
        <v>18285</v>
      </c>
      <c r="H5529" t="str">
        <f>HYPERLINK("https://baanknet.com/view-property/188445/908319D64F160325ABF918220ED6A5A9F1E18A965559872FE14894149D42DAA0", "https://baanknet.com/view-property/188445/908319D64F160325ABF918220ED6A5A9F1E18A965559872FE14894149D42DAA0")</f>
        <v>https://baanknet.com/view-property/188445/908319D64F160325ABF918220ED6A5A9F1E18A965559872FE14894149D42DAA0</v>
      </c>
      <c r="I5529" t="str">
        <f>HYPERLINK("https://baanknet.com/view-property/188445/908319D64F160325ABF918220ED6A5A9F1E18A965559872FE14894149D42DAA0", "Open")</f>
        <v>Open</v>
      </c>
      <c r="J5529" t="s">
        <v>3803</v>
      </c>
      <c r="L5529">
        <v>8991000</v>
      </c>
      <c r="M5529">
        <v>899100</v>
      </c>
    </row>
    <row r="5530" spans="1:13" x14ac:dyDescent="0.25">
      <c r="A5530" t="s">
        <v>18286</v>
      </c>
      <c r="B5530" t="s">
        <v>18287</v>
      </c>
      <c r="C5530" t="s">
        <v>332</v>
      </c>
      <c r="D5530" t="s">
        <v>15818</v>
      </c>
      <c r="E5530" t="s">
        <v>18270</v>
      </c>
      <c r="F5530" t="s">
        <v>18251</v>
      </c>
      <c r="G5530" t="s">
        <v>18288</v>
      </c>
      <c r="H5530" t="str">
        <f>HYPERLINK("https://baanknet.com/view-property/285208/BEAB853FC45F8EBF72E2F22251205123058CA72E1EDDCDBDCAEBDB36CDF301EC", "https://baanknet.com/view-property/285208/BEAB853FC45F8EBF72E2F22251205123058CA72E1EDDCDBDCAEBDB36CDF301EC")</f>
        <v>https://baanknet.com/view-property/285208/BEAB853FC45F8EBF72E2F22251205123058CA72E1EDDCDBDCAEBDB36CDF301EC</v>
      </c>
      <c r="I5530" t="str">
        <f>HYPERLINK("https://baanknet.com/view-property/285208/BEAB853FC45F8EBF72E2F22251205123058CA72E1EDDCDBDCAEBDB36CDF301EC", "Open")</f>
        <v>Open</v>
      </c>
      <c r="J5530" t="s">
        <v>3803</v>
      </c>
      <c r="L5530">
        <v>4090000</v>
      </c>
      <c r="M5530">
        <v>409000</v>
      </c>
    </row>
    <row r="5531" spans="1:13" x14ac:dyDescent="0.25">
      <c r="A5531" t="s">
        <v>18289</v>
      </c>
      <c r="B5531" t="s">
        <v>18290</v>
      </c>
      <c r="C5531" t="s">
        <v>332</v>
      </c>
      <c r="D5531" t="s">
        <v>4542</v>
      </c>
      <c r="E5531" t="s">
        <v>18270</v>
      </c>
      <c r="F5531" t="s">
        <v>18251</v>
      </c>
      <c r="G5531" t="s">
        <v>18291</v>
      </c>
      <c r="H5531" t="str">
        <f>HYPERLINK("https://baanknet.com/view-property/260948/A85CF4048E11BA4047FE0DEA52292BD2DAF0CF94C377E816C26524C2866570B3", "https://baanknet.com/view-property/260948/A85CF4048E11BA4047FE0DEA52292BD2DAF0CF94C377E816C26524C2866570B3")</f>
        <v>https://baanknet.com/view-property/260948/A85CF4048E11BA4047FE0DEA52292BD2DAF0CF94C377E816C26524C2866570B3</v>
      </c>
      <c r="I5531" t="str">
        <f>HYPERLINK("https://baanknet.com/view-property/260948/A85CF4048E11BA4047FE0DEA52292BD2DAF0CF94C377E816C26524C2866570B3", "Open")</f>
        <v>Open</v>
      </c>
      <c r="J5531" t="s">
        <v>3803</v>
      </c>
      <c r="L5531">
        <v>5100000</v>
      </c>
      <c r="M5531">
        <v>510000</v>
      </c>
    </row>
    <row r="5532" spans="1:13" x14ac:dyDescent="0.25">
      <c r="A5532" t="s">
        <v>18292</v>
      </c>
      <c r="B5532" t="s">
        <v>18293</v>
      </c>
      <c r="C5532" t="s">
        <v>332</v>
      </c>
      <c r="D5532" t="s">
        <v>7044</v>
      </c>
      <c r="E5532" t="s">
        <v>18270</v>
      </c>
      <c r="F5532" t="s">
        <v>18251</v>
      </c>
      <c r="G5532" t="s">
        <v>18294</v>
      </c>
      <c r="H5532" t="str">
        <f>HYPERLINK("https://baanknet.com/view-property/225160/A984E27EB3DF7D9D248A9E4D83754F1494A088D6E5C80EE81D4B469F38719A6A", "https://baanknet.com/view-property/225160/A984E27EB3DF7D9D248A9E4D83754F1494A088D6E5C80EE81D4B469F38719A6A")</f>
        <v>https://baanknet.com/view-property/225160/A984E27EB3DF7D9D248A9E4D83754F1494A088D6E5C80EE81D4B469F38719A6A</v>
      </c>
      <c r="I5532" t="str">
        <f>HYPERLINK("https://baanknet.com/view-property/225160/A984E27EB3DF7D9D248A9E4D83754F1494A088D6E5C80EE81D4B469F38719A6A", "Open")</f>
        <v>Open</v>
      </c>
      <c r="J5532" t="s">
        <v>3803</v>
      </c>
      <c r="L5532">
        <v>45000000</v>
      </c>
      <c r="M5532">
        <v>4500000</v>
      </c>
    </row>
    <row r="5533" spans="1:13" x14ac:dyDescent="0.25">
      <c r="A5533" t="s">
        <v>18295</v>
      </c>
      <c r="B5533" t="s">
        <v>18296</v>
      </c>
      <c r="C5533" t="s">
        <v>332</v>
      </c>
      <c r="D5533" t="s">
        <v>4542</v>
      </c>
      <c r="E5533" t="s">
        <v>18270</v>
      </c>
      <c r="F5533" t="s">
        <v>18251</v>
      </c>
      <c r="G5533" t="s">
        <v>18297</v>
      </c>
      <c r="H5533" t="str">
        <f>HYPERLINK("https://baanknet.com/view-property/283457/6ADE3D73F900AE486BE7CEDB8C8657A9635B8EF3CF81A2D2D77C9EE66E9A0F20", "https://baanknet.com/view-property/283457/6ADE3D73F900AE486BE7CEDB8C8657A9635B8EF3CF81A2D2D77C9EE66E9A0F20")</f>
        <v>https://baanknet.com/view-property/283457/6ADE3D73F900AE486BE7CEDB8C8657A9635B8EF3CF81A2D2D77C9EE66E9A0F20</v>
      </c>
      <c r="I5533" t="str">
        <f>HYPERLINK("https://baanknet.com/view-property/283457/6ADE3D73F900AE486BE7CEDB8C8657A9635B8EF3CF81A2D2D77C9EE66E9A0F20", "Open")</f>
        <v>Open</v>
      </c>
      <c r="J5533" t="s">
        <v>3803</v>
      </c>
      <c r="L5533">
        <v>2790000</v>
      </c>
      <c r="M5533">
        <v>279000</v>
      </c>
    </row>
    <row r="5534" spans="1:13" x14ac:dyDescent="0.25">
      <c r="A5534" t="s">
        <v>18298</v>
      </c>
      <c r="B5534" t="s">
        <v>18299</v>
      </c>
      <c r="C5534" t="s">
        <v>332</v>
      </c>
      <c r="D5534" t="s">
        <v>1619</v>
      </c>
      <c r="E5534" t="s">
        <v>18271</v>
      </c>
      <c r="F5534" t="s">
        <v>18300</v>
      </c>
      <c r="G5534" t="s">
        <v>18301</v>
      </c>
      <c r="H5534" t="str">
        <f>HYPERLINK("https://baanknet.com/view-property/286413/6D1CF4C3E45070CF82F01CDC77DF9E0C1B135D4856E6B13AF32DBB93B8EBD970", "https://baanknet.com/view-property/286413/6D1CF4C3E45070CF82F01CDC77DF9E0C1B135D4856E6B13AF32DBB93B8EBD970")</f>
        <v>https://baanknet.com/view-property/286413/6D1CF4C3E45070CF82F01CDC77DF9E0C1B135D4856E6B13AF32DBB93B8EBD970</v>
      </c>
      <c r="I5534" t="str">
        <f>HYPERLINK("https://baanknet.com/view-property/286413/6D1CF4C3E45070CF82F01CDC77DF9E0C1B135D4856E6B13AF32DBB93B8EBD970", "Open")</f>
        <v>Open</v>
      </c>
      <c r="J5534" t="s">
        <v>3803</v>
      </c>
      <c r="L5534">
        <v>16354000</v>
      </c>
      <c r="M5534">
        <v>1635400</v>
      </c>
    </row>
    <row r="5535" spans="1:13" x14ac:dyDescent="0.25">
      <c r="A5535" t="s">
        <v>18302</v>
      </c>
      <c r="B5535" t="s">
        <v>18303</v>
      </c>
      <c r="C5535" t="s">
        <v>332</v>
      </c>
      <c r="D5535" t="s">
        <v>1619</v>
      </c>
      <c r="E5535" t="s">
        <v>18271</v>
      </c>
      <c r="F5535" t="s">
        <v>18300</v>
      </c>
      <c r="G5535" t="s">
        <v>18304</v>
      </c>
      <c r="H5535" t="str">
        <f>HYPERLINK("https://baanknet.com/view-property/286423/7A721224F0B74FCC8E7B8A3973EA34520C62F71E000601740B54AD7736D44C7D", "https://baanknet.com/view-property/286423/7A721224F0B74FCC8E7B8A3973EA34520C62F71E000601740B54AD7736D44C7D")</f>
        <v>https://baanknet.com/view-property/286423/7A721224F0B74FCC8E7B8A3973EA34520C62F71E000601740B54AD7736D44C7D</v>
      </c>
      <c r="I5535" t="str">
        <f>HYPERLINK("https://baanknet.com/view-property/286423/7A721224F0B74FCC8E7B8A3973EA34520C62F71E000601740B54AD7736D44C7D", "Open")</f>
        <v>Open</v>
      </c>
      <c r="J5535" t="s">
        <v>3803</v>
      </c>
      <c r="L5535">
        <v>4686000</v>
      </c>
      <c r="M5535">
        <v>468600</v>
      </c>
    </row>
    <row r="5536" spans="1:13" x14ac:dyDescent="0.25">
      <c r="A5536" t="s">
        <v>18305</v>
      </c>
      <c r="B5536" t="s">
        <v>18306</v>
      </c>
      <c r="C5536" t="s">
        <v>332</v>
      </c>
      <c r="D5536" t="s">
        <v>1619</v>
      </c>
      <c r="E5536" t="s">
        <v>18271</v>
      </c>
      <c r="F5536" t="s">
        <v>18300</v>
      </c>
      <c r="G5536" t="s">
        <v>18307</v>
      </c>
      <c r="H5536" t="str">
        <f>HYPERLINK("https://baanknet.com/view-property/286456/2EE67F44E6BA13B88018463284566E28F9F42BD4E5DA873C5AAF548ACA995F20", "https://baanknet.com/view-property/286456/2EE67F44E6BA13B88018463284566E28F9F42BD4E5DA873C5AAF548ACA995F20")</f>
        <v>https://baanknet.com/view-property/286456/2EE67F44E6BA13B88018463284566E28F9F42BD4E5DA873C5AAF548ACA995F20</v>
      </c>
      <c r="I5536" t="str">
        <f>HYPERLINK("https://baanknet.com/view-property/286456/2EE67F44E6BA13B88018463284566E28F9F42BD4E5DA873C5AAF548ACA995F20", "Open")</f>
        <v>Open</v>
      </c>
      <c r="J5536" t="s">
        <v>3803</v>
      </c>
      <c r="L5536">
        <v>2329000</v>
      </c>
      <c r="M5536">
        <v>232900</v>
      </c>
    </row>
    <row r="5537" spans="1:13" x14ac:dyDescent="0.25">
      <c r="A5537" t="s">
        <v>18308</v>
      </c>
      <c r="B5537" t="s">
        <v>18309</v>
      </c>
      <c r="C5537" t="s">
        <v>332</v>
      </c>
      <c r="D5537" t="s">
        <v>1619</v>
      </c>
      <c r="E5537" t="s">
        <v>18271</v>
      </c>
      <c r="F5537" t="s">
        <v>18300</v>
      </c>
      <c r="G5537" t="s">
        <v>18310</v>
      </c>
      <c r="H5537" t="str">
        <f>HYPERLINK("https://baanknet.com/view-property/286490/2A989DCF59A81DCB7A328750A1AABA9FD195FCD8F84C2B49508F68A0BDFDEE3C", "https://baanknet.com/view-property/286490/2A989DCF59A81DCB7A328750A1AABA9FD195FCD8F84C2B49508F68A0BDFDEE3C")</f>
        <v>https://baanknet.com/view-property/286490/2A989DCF59A81DCB7A328750A1AABA9FD195FCD8F84C2B49508F68A0BDFDEE3C</v>
      </c>
      <c r="I5537" t="str">
        <f>HYPERLINK("https://baanknet.com/view-property/286490/2A989DCF59A81DCB7A328750A1AABA9FD195FCD8F84C2B49508F68A0BDFDEE3C", "Open")</f>
        <v>Open</v>
      </c>
      <c r="J5537" t="s">
        <v>3803</v>
      </c>
      <c r="L5537">
        <v>2718000</v>
      </c>
      <c r="M5537">
        <v>271800</v>
      </c>
    </row>
    <row r="5538" spans="1:13" x14ac:dyDescent="0.25">
      <c r="A5538" t="s">
        <v>18311</v>
      </c>
      <c r="B5538" t="s">
        <v>18312</v>
      </c>
      <c r="C5538" t="s">
        <v>332</v>
      </c>
      <c r="D5538" t="s">
        <v>4481</v>
      </c>
      <c r="E5538" t="s">
        <v>18313</v>
      </c>
      <c r="F5538" t="s">
        <v>18300</v>
      </c>
      <c r="G5538" t="s">
        <v>18314</v>
      </c>
      <c r="H5538" t="str">
        <f>HYPERLINK("https://baanknet.com/view-property/284029/10ED3A56C32C441F135B638D8F8E722EC1F763CC1DA9B11D2FB8C0195A451C5A", "https://baanknet.com/view-property/284029/10ED3A56C32C441F135B638D8F8E722EC1F763CC1DA9B11D2FB8C0195A451C5A")</f>
        <v>https://baanknet.com/view-property/284029/10ED3A56C32C441F135B638D8F8E722EC1F763CC1DA9B11D2FB8C0195A451C5A</v>
      </c>
      <c r="I5538" t="str">
        <f>HYPERLINK("https://baanknet.com/view-property/284029/10ED3A56C32C441F135B638D8F8E722EC1F763CC1DA9B11D2FB8C0195A451C5A", "Open")</f>
        <v>Open</v>
      </c>
      <c r="J5538" t="s">
        <v>3803</v>
      </c>
      <c r="L5538">
        <v>1519000</v>
      </c>
      <c r="M5538">
        <v>151900</v>
      </c>
    </row>
    <row r="5539" spans="1:13" x14ac:dyDescent="0.25">
      <c r="A5539" t="s">
        <v>18315</v>
      </c>
      <c r="B5539" t="s">
        <v>18316</v>
      </c>
      <c r="C5539" t="s">
        <v>332</v>
      </c>
      <c r="D5539" t="s">
        <v>4481</v>
      </c>
      <c r="E5539" t="s">
        <v>18313</v>
      </c>
      <c r="F5539" t="s">
        <v>18300</v>
      </c>
      <c r="G5539" t="s">
        <v>18317</v>
      </c>
      <c r="H5539" t="str">
        <f>HYPERLINK("https://baanknet.com/view-property/284016/9B433E1EE7B09F4DA3B302CD202E356454032694A9EFCEA87391ED94E4EC5374", "https://baanknet.com/view-property/284016/9B433E1EE7B09F4DA3B302CD202E356454032694A9EFCEA87391ED94E4EC5374")</f>
        <v>https://baanknet.com/view-property/284016/9B433E1EE7B09F4DA3B302CD202E356454032694A9EFCEA87391ED94E4EC5374</v>
      </c>
      <c r="I5539" t="str">
        <f>HYPERLINK("https://baanknet.com/view-property/284016/9B433E1EE7B09F4DA3B302CD202E356454032694A9EFCEA87391ED94E4EC5374", "Open")</f>
        <v>Open</v>
      </c>
      <c r="J5539" t="s">
        <v>3803</v>
      </c>
      <c r="L5539">
        <v>3301000</v>
      </c>
      <c r="M5539">
        <v>330100</v>
      </c>
    </row>
    <row r="5540" spans="1:13" x14ac:dyDescent="0.25">
      <c r="A5540" t="s">
        <v>18318</v>
      </c>
      <c r="B5540" t="s">
        <v>18319</v>
      </c>
      <c r="C5540" t="s">
        <v>332</v>
      </c>
      <c r="D5540" t="s">
        <v>4481</v>
      </c>
      <c r="E5540" t="s">
        <v>18313</v>
      </c>
      <c r="F5540" t="s">
        <v>18300</v>
      </c>
      <c r="G5540" t="s">
        <v>18320</v>
      </c>
      <c r="H5540" t="str">
        <f>HYPERLINK("https://baanknet.com/view-property/284020/A7E68B98F0C731AD4DFE45B6BB531527530323BA3D532509491ACA54D8C37E88", "https://baanknet.com/view-property/284020/A7E68B98F0C731AD4DFE45B6BB531527530323BA3D532509491ACA54D8C37E88")</f>
        <v>https://baanknet.com/view-property/284020/A7E68B98F0C731AD4DFE45B6BB531527530323BA3D532509491ACA54D8C37E88</v>
      </c>
      <c r="I5540" t="str">
        <f>HYPERLINK("https://baanknet.com/view-property/284020/A7E68B98F0C731AD4DFE45B6BB531527530323BA3D532509491ACA54D8C37E88", "Open")</f>
        <v>Open</v>
      </c>
      <c r="J5540" t="s">
        <v>3803</v>
      </c>
      <c r="L5540">
        <v>1229000</v>
      </c>
      <c r="M5540">
        <v>122900</v>
      </c>
    </row>
    <row r="5541" spans="1:13" x14ac:dyDescent="0.25">
      <c r="A5541" t="s">
        <v>18321</v>
      </c>
      <c r="B5541" t="s">
        <v>18322</v>
      </c>
      <c r="C5541" t="s">
        <v>332</v>
      </c>
      <c r="D5541" t="s">
        <v>4481</v>
      </c>
      <c r="E5541" t="s">
        <v>18313</v>
      </c>
      <c r="F5541" t="s">
        <v>18300</v>
      </c>
      <c r="G5541" t="s">
        <v>18323</v>
      </c>
      <c r="H5541" t="str">
        <f>HYPERLINK("https://baanknet.com/view-property/284072/8FAD6880FB3B450A0BDF15BB5D3925680B4523D0E11BAEE1A10737E199584A5C", "https://baanknet.com/view-property/284072/8FAD6880FB3B450A0BDF15BB5D3925680B4523D0E11BAEE1A10737E199584A5C")</f>
        <v>https://baanknet.com/view-property/284072/8FAD6880FB3B450A0BDF15BB5D3925680B4523D0E11BAEE1A10737E199584A5C</v>
      </c>
      <c r="I5541" t="str">
        <f>HYPERLINK("https://baanknet.com/view-property/284072/8FAD6880FB3B450A0BDF15BB5D3925680B4523D0E11BAEE1A10737E199584A5C", "Open")</f>
        <v>Open</v>
      </c>
      <c r="J5541" t="s">
        <v>3803</v>
      </c>
      <c r="L5541">
        <v>3455000</v>
      </c>
      <c r="M5541">
        <v>345500</v>
      </c>
    </row>
    <row r="5542" spans="1:13" x14ac:dyDescent="0.25">
      <c r="A5542" t="s">
        <v>18324</v>
      </c>
      <c r="B5542" t="s">
        <v>18325</v>
      </c>
      <c r="C5542" t="s">
        <v>83</v>
      </c>
      <c r="D5542" t="s">
        <v>608</v>
      </c>
      <c r="E5542" t="s">
        <v>18313</v>
      </c>
      <c r="F5542" t="s">
        <v>18326</v>
      </c>
      <c r="G5542" t="s">
        <v>18327</v>
      </c>
      <c r="H5542" t="str">
        <f>HYPERLINK("https://baanknet.com/view-property/285539/7748B5C32BD87CBB7F43BCC499AA6581AE7D5B67C788A06F9E6FEC1278432F6C", "https://baanknet.com/view-property/285539/7748B5C32BD87CBB7F43BCC499AA6581AE7D5B67C788A06F9E6FEC1278432F6C")</f>
        <v>https://baanknet.com/view-property/285539/7748B5C32BD87CBB7F43BCC499AA6581AE7D5B67C788A06F9E6FEC1278432F6C</v>
      </c>
      <c r="I5542" t="str">
        <f>HYPERLINK("https://baanknet.com/view-property/285539/7748B5C32BD87CBB7F43BCC499AA6581AE7D5B67C788A06F9E6FEC1278432F6C", "Open")</f>
        <v>Open</v>
      </c>
      <c r="J5542" t="s">
        <v>3803</v>
      </c>
      <c r="L5542">
        <v>5277600</v>
      </c>
      <c r="M5542">
        <v>527760</v>
      </c>
    </row>
    <row r="5543" spans="1:13" x14ac:dyDescent="0.25">
      <c r="A5543" t="s">
        <v>18328</v>
      </c>
      <c r="B5543" t="s">
        <v>18329</v>
      </c>
      <c r="C5543" t="s">
        <v>15</v>
      </c>
      <c r="D5543" t="s">
        <v>18330</v>
      </c>
      <c r="E5543" t="s">
        <v>18331</v>
      </c>
      <c r="F5543" t="s">
        <v>18275</v>
      </c>
      <c r="G5543" t="s">
        <v>18332</v>
      </c>
      <c r="H5543" t="str">
        <f>HYPERLINK("https://baanknet.com/view-property/284710/88CF5595374994153AC892F1ACA1D59856106BCFD8ACCCF75CC9B35B9CDDA5CF", "https://baanknet.com/view-property/284710/88CF5595374994153AC892F1ACA1D59856106BCFD8ACCCF75CC9B35B9CDDA5CF")</f>
        <v>https://baanknet.com/view-property/284710/88CF5595374994153AC892F1ACA1D59856106BCFD8ACCCF75CC9B35B9CDDA5CF</v>
      </c>
      <c r="I5543" t="str">
        <f>HYPERLINK("https://baanknet.com/view-property/284710/88CF5595374994153AC892F1ACA1D59856106BCFD8ACCCF75CC9B35B9CDDA5CF", "Open")</f>
        <v>Open</v>
      </c>
      <c r="J5543" t="s">
        <v>3803</v>
      </c>
      <c r="L5543">
        <v>5629000</v>
      </c>
      <c r="M5543">
        <v>562900</v>
      </c>
    </row>
    <row r="5544" spans="1:13" x14ac:dyDescent="0.25">
      <c r="A5544" t="s">
        <v>18333</v>
      </c>
      <c r="B5544" t="s">
        <v>18334</v>
      </c>
      <c r="C5544" t="s">
        <v>15</v>
      </c>
      <c r="D5544" t="s">
        <v>1127</v>
      </c>
      <c r="E5544" t="s">
        <v>18335</v>
      </c>
      <c r="F5544" t="s">
        <v>18336</v>
      </c>
      <c r="G5544" t="s">
        <v>18337</v>
      </c>
      <c r="H5544" t="str">
        <f>HYPERLINK("https://baanknet.com/view-property/240280/E8B8BDDD25B0C3AEC120F3936E18B25AB2483B0518B980A186C274CEC99D4EAA", "https://baanknet.com/view-property/240280/E8B8BDDD25B0C3AEC120F3936E18B25AB2483B0518B980A186C274CEC99D4EAA")</f>
        <v>https://baanknet.com/view-property/240280/E8B8BDDD25B0C3AEC120F3936E18B25AB2483B0518B980A186C274CEC99D4EAA</v>
      </c>
      <c r="I5544" t="str">
        <f>HYPERLINK("https://baanknet.com/view-property/240280/E8B8BDDD25B0C3AEC120F3936E18B25AB2483B0518B980A186C274CEC99D4EAA", "Open")</f>
        <v>Open</v>
      </c>
      <c r="J5544" t="s">
        <v>3803</v>
      </c>
      <c r="L5544">
        <v>1251000</v>
      </c>
      <c r="M5544">
        <v>125100</v>
      </c>
    </row>
    <row r="5545" spans="1:13" x14ac:dyDescent="0.25">
      <c r="A5545" t="s">
        <v>18338</v>
      </c>
      <c r="B5545" t="s">
        <v>18339</v>
      </c>
      <c r="C5545" t="s">
        <v>15</v>
      </c>
      <c r="D5545" t="s">
        <v>18340</v>
      </c>
      <c r="E5545" t="s">
        <v>18335</v>
      </c>
      <c r="F5545" t="s">
        <v>18336</v>
      </c>
      <c r="G5545" t="s">
        <v>18341</v>
      </c>
      <c r="H5545" t="str">
        <f>HYPERLINK("https://baanknet.com/view-property/240432/F4D7DE6E68F5A1ABBA01447756B0ABF40FA7002C629902BB809BB29F20ED1AAB", "https://baanknet.com/view-property/240432/F4D7DE6E68F5A1ABBA01447756B0ABF40FA7002C629902BB809BB29F20ED1AAB")</f>
        <v>https://baanknet.com/view-property/240432/F4D7DE6E68F5A1ABBA01447756B0ABF40FA7002C629902BB809BB29F20ED1AAB</v>
      </c>
      <c r="I5545" t="str">
        <f>HYPERLINK("https://baanknet.com/view-property/240432/F4D7DE6E68F5A1ABBA01447756B0ABF40FA7002C629902BB809BB29F20ED1AAB", "Open")</f>
        <v>Open</v>
      </c>
      <c r="J5545" t="s">
        <v>3803</v>
      </c>
      <c r="L5545">
        <v>1276000</v>
      </c>
      <c r="M5545">
        <v>127600</v>
      </c>
    </row>
    <row r="5546" spans="1:13" x14ac:dyDescent="0.25">
      <c r="A5546" t="s">
        <v>18342</v>
      </c>
      <c r="B5546" t="s">
        <v>18343</v>
      </c>
      <c r="C5546" t="s">
        <v>15</v>
      </c>
      <c r="D5546" t="s">
        <v>2238</v>
      </c>
      <c r="E5546" t="s">
        <v>18335</v>
      </c>
      <c r="F5546" t="s">
        <v>18336</v>
      </c>
      <c r="G5546" t="s">
        <v>18344</v>
      </c>
      <c r="H5546" t="str">
        <f>HYPERLINK("https://baanknet.com/view-property/282728/4F62027F2EE3EEE916A217358BB2B2EBC2F1FAE6D94209310528693BF85F2FE1", "https://baanknet.com/view-property/282728/4F62027F2EE3EEE916A217358BB2B2EBC2F1FAE6D94209310528693BF85F2FE1")</f>
        <v>https://baanknet.com/view-property/282728/4F62027F2EE3EEE916A217358BB2B2EBC2F1FAE6D94209310528693BF85F2FE1</v>
      </c>
      <c r="I5546" t="str">
        <f>HYPERLINK("https://baanknet.com/view-property/282728/4F62027F2EE3EEE916A217358BB2B2EBC2F1FAE6D94209310528693BF85F2FE1", "Open")</f>
        <v>Open</v>
      </c>
      <c r="J5546" t="s">
        <v>3803</v>
      </c>
      <c r="L5546">
        <v>2170000</v>
      </c>
      <c r="M5546">
        <v>217000</v>
      </c>
    </row>
    <row r="5547" spans="1:13" x14ac:dyDescent="0.25">
      <c r="A5547" t="s">
        <v>18345</v>
      </c>
      <c r="B5547" t="s">
        <v>18346</v>
      </c>
      <c r="C5547" t="s">
        <v>15</v>
      </c>
      <c r="D5547" t="s">
        <v>1090</v>
      </c>
      <c r="E5547" t="s">
        <v>18335</v>
      </c>
      <c r="F5547" t="s">
        <v>18336</v>
      </c>
      <c r="G5547" t="s">
        <v>18347</v>
      </c>
      <c r="H5547" t="str">
        <f>HYPERLINK("https://baanknet.com/view-property/240424/9C44BCF0CCCC88BA124A862DDC93CA47C9107D8E74ACF40ED314DB5F5A597502", "https://baanknet.com/view-property/240424/9C44BCF0CCCC88BA124A862DDC93CA47C9107D8E74ACF40ED314DB5F5A597502")</f>
        <v>https://baanknet.com/view-property/240424/9C44BCF0CCCC88BA124A862DDC93CA47C9107D8E74ACF40ED314DB5F5A597502</v>
      </c>
      <c r="I5547" t="str">
        <f>HYPERLINK("https://baanknet.com/view-property/240424/9C44BCF0CCCC88BA124A862DDC93CA47C9107D8E74ACF40ED314DB5F5A597502", "Open")</f>
        <v>Open</v>
      </c>
      <c r="J5547" t="s">
        <v>3803</v>
      </c>
      <c r="L5547">
        <v>2757000</v>
      </c>
      <c r="M5547">
        <v>275700</v>
      </c>
    </row>
    <row r="5548" spans="1:13" x14ac:dyDescent="0.25">
      <c r="A5548" t="s">
        <v>18348</v>
      </c>
      <c r="B5548" t="s">
        <v>18349</v>
      </c>
      <c r="C5548" t="s">
        <v>15</v>
      </c>
      <c r="D5548" t="s">
        <v>13032</v>
      </c>
      <c r="E5548" t="s">
        <v>18335</v>
      </c>
      <c r="F5548" t="s">
        <v>18336</v>
      </c>
      <c r="G5548" t="s">
        <v>18350</v>
      </c>
      <c r="H5548" t="str">
        <f>HYPERLINK("https://baanknet.com/view-property/186211/D932EBC4BDC3B8B2BAFB38D29B7C530810EA7DBD6F4238D4622B3B0D6E41735E", "https://baanknet.com/view-property/186211/D932EBC4BDC3B8B2BAFB38D29B7C530810EA7DBD6F4238D4622B3B0D6E41735E")</f>
        <v>https://baanknet.com/view-property/186211/D932EBC4BDC3B8B2BAFB38D29B7C530810EA7DBD6F4238D4622B3B0D6E41735E</v>
      </c>
      <c r="I5548" t="str">
        <f>HYPERLINK("https://baanknet.com/view-property/186211/D932EBC4BDC3B8B2BAFB38D29B7C530810EA7DBD6F4238D4622B3B0D6E41735E", "Open")</f>
        <v>Open</v>
      </c>
      <c r="J5548" t="s">
        <v>3803</v>
      </c>
      <c r="L5548">
        <v>1702000</v>
      </c>
      <c r="M5548">
        <v>170200</v>
      </c>
    </row>
    <row r="5549" spans="1:13" x14ac:dyDescent="0.25">
      <c r="A5549" t="s">
        <v>18351</v>
      </c>
      <c r="B5549" t="s">
        <v>18352</v>
      </c>
      <c r="C5549" t="s">
        <v>15</v>
      </c>
      <c r="D5549" t="s">
        <v>6235</v>
      </c>
      <c r="E5549" t="s">
        <v>18335</v>
      </c>
      <c r="F5549" t="s">
        <v>18336</v>
      </c>
      <c r="G5549" t="s">
        <v>18353</v>
      </c>
      <c r="H5549" t="str">
        <f>HYPERLINK("https://baanknet.com/view-property/240423/4157AC73FBE350DD4588564D41E2F7BE375361C4013BB40C7500CA0C625E31F1", "https://baanknet.com/view-property/240423/4157AC73FBE350DD4588564D41E2F7BE375361C4013BB40C7500CA0C625E31F1")</f>
        <v>https://baanknet.com/view-property/240423/4157AC73FBE350DD4588564D41E2F7BE375361C4013BB40C7500CA0C625E31F1</v>
      </c>
      <c r="I5549" t="str">
        <f>HYPERLINK("https://baanknet.com/view-property/240423/4157AC73FBE350DD4588564D41E2F7BE375361C4013BB40C7500CA0C625E31F1", "Open")</f>
        <v>Open</v>
      </c>
      <c r="J5549" t="s">
        <v>3803</v>
      </c>
      <c r="L5549">
        <v>3281000</v>
      </c>
      <c r="M5549">
        <v>328100</v>
      </c>
    </row>
    <row r="5550" spans="1:13" x14ac:dyDescent="0.25">
      <c r="A5550" t="s">
        <v>18354</v>
      </c>
      <c r="B5550" t="s">
        <v>18355</v>
      </c>
      <c r="C5550" t="s">
        <v>15</v>
      </c>
      <c r="D5550" t="s">
        <v>11031</v>
      </c>
      <c r="E5550" t="s">
        <v>18335</v>
      </c>
      <c r="F5550" t="s">
        <v>18336</v>
      </c>
      <c r="G5550" t="s">
        <v>18356</v>
      </c>
      <c r="H5550" t="str">
        <f>HYPERLINK("https://baanknet.com/view-property/240628/988978A513C2DB5073740ACEABB19EA2218B6C734E445F6E1980DF8E19F514C7", "https://baanknet.com/view-property/240628/988978A513C2DB5073740ACEABB19EA2218B6C734E445F6E1980DF8E19F514C7")</f>
        <v>https://baanknet.com/view-property/240628/988978A513C2DB5073740ACEABB19EA2218B6C734E445F6E1980DF8E19F514C7</v>
      </c>
      <c r="I5550" t="str">
        <f>HYPERLINK("https://baanknet.com/view-property/240628/988978A513C2DB5073740ACEABB19EA2218B6C734E445F6E1980DF8E19F514C7", "Open")</f>
        <v>Open</v>
      </c>
      <c r="J5550" t="s">
        <v>3803</v>
      </c>
      <c r="L5550">
        <v>900000</v>
      </c>
      <c r="M5550">
        <v>90000</v>
      </c>
    </row>
    <row r="5551" spans="1:13" x14ac:dyDescent="0.25">
      <c r="A5551" t="s">
        <v>18357</v>
      </c>
      <c r="B5551" t="s">
        <v>18358</v>
      </c>
      <c r="C5551" t="s">
        <v>15</v>
      </c>
      <c r="D5551" t="s">
        <v>1090</v>
      </c>
      <c r="E5551" t="s">
        <v>18335</v>
      </c>
      <c r="F5551" t="s">
        <v>18336</v>
      </c>
      <c r="G5551" t="s">
        <v>18359</v>
      </c>
      <c r="H5551" t="str">
        <f>HYPERLINK("https://baanknet.com/view-property/285280/8598E8A280579E25D6E176C53BDA97F5E7284A549543F4CC97B1882BED785356", "https://baanknet.com/view-property/285280/8598E8A280579E25D6E176C53BDA97F5E7284A549543F4CC97B1882BED785356")</f>
        <v>https://baanknet.com/view-property/285280/8598E8A280579E25D6E176C53BDA97F5E7284A549543F4CC97B1882BED785356</v>
      </c>
      <c r="I5551" t="str">
        <f>HYPERLINK("https://baanknet.com/view-property/285280/8598E8A280579E25D6E176C53BDA97F5E7284A549543F4CC97B1882BED785356", "Open")</f>
        <v>Open</v>
      </c>
      <c r="J5551" t="s">
        <v>3803</v>
      </c>
      <c r="L5551">
        <v>5627000</v>
      </c>
      <c r="M5551">
        <v>562700</v>
      </c>
    </row>
    <row r="5552" spans="1:13" x14ac:dyDescent="0.25">
      <c r="A5552" t="s">
        <v>18360</v>
      </c>
      <c r="B5552" t="s">
        <v>18361</v>
      </c>
      <c r="C5552" t="s">
        <v>15</v>
      </c>
      <c r="D5552" t="s">
        <v>18030</v>
      </c>
      <c r="E5552" t="s">
        <v>18335</v>
      </c>
      <c r="F5552" t="s">
        <v>18336</v>
      </c>
      <c r="G5552" t="s">
        <v>18362</v>
      </c>
      <c r="H5552" t="str">
        <f>HYPERLINK("https://baanknet.com/view-property/249603/ADB7F5305F29225C810EA021A7FBCFECCCB82E6DE593F35BFACC546FCE783783", "https://baanknet.com/view-property/249603/ADB7F5305F29225C810EA021A7FBCFECCCB82E6DE593F35BFACC546FCE783783")</f>
        <v>https://baanknet.com/view-property/249603/ADB7F5305F29225C810EA021A7FBCFECCCB82E6DE593F35BFACC546FCE783783</v>
      </c>
      <c r="I5552" t="str">
        <f>HYPERLINK("https://baanknet.com/view-property/249603/ADB7F5305F29225C810EA021A7FBCFECCCB82E6DE593F35BFACC546FCE783783", "Open")</f>
        <v>Open</v>
      </c>
      <c r="J5552" t="s">
        <v>3803</v>
      </c>
      <c r="L5552">
        <v>3400000</v>
      </c>
      <c r="M5552">
        <v>340000</v>
      </c>
    </row>
    <row r="5553" spans="1:13" x14ac:dyDescent="0.25">
      <c r="A5553" t="s">
        <v>18363</v>
      </c>
      <c r="B5553" t="s">
        <v>18364</v>
      </c>
      <c r="C5553" t="s">
        <v>15</v>
      </c>
      <c r="D5553" t="s">
        <v>15828</v>
      </c>
      <c r="E5553" t="s">
        <v>18365</v>
      </c>
      <c r="F5553" t="s">
        <v>18366</v>
      </c>
      <c r="G5553" t="s">
        <v>18367</v>
      </c>
      <c r="H5553" t="str">
        <f>HYPERLINK("https://baanknet.com/view-property/270899/924F44A9222DAA8C7D571803FFBD767CBCD1361AE491725BA5F854F55A626ABB", "https://baanknet.com/view-property/270899/924F44A9222DAA8C7D571803FFBD767CBCD1361AE491725BA5F854F55A626ABB")</f>
        <v>https://baanknet.com/view-property/270899/924F44A9222DAA8C7D571803FFBD767CBCD1361AE491725BA5F854F55A626ABB</v>
      </c>
      <c r="I5553" t="str">
        <f>HYPERLINK("https://baanknet.com/view-property/270899/924F44A9222DAA8C7D571803FFBD767CBCD1361AE491725BA5F854F55A626ABB", "Open")</f>
        <v>Open</v>
      </c>
      <c r="J5553" t="s">
        <v>3803</v>
      </c>
      <c r="L5553">
        <v>1825000</v>
      </c>
      <c r="M5553">
        <v>182500</v>
      </c>
    </row>
    <row r="5554" spans="1:13" x14ac:dyDescent="0.25">
      <c r="A5554" t="s">
        <v>18368</v>
      </c>
      <c r="B5554" t="s">
        <v>18369</v>
      </c>
      <c r="C5554" t="s">
        <v>121</v>
      </c>
      <c r="D5554" t="s">
        <v>9005</v>
      </c>
      <c r="E5554" t="s">
        <v>18365</v>
      </c>
      <c r="F5554" t="s">
        <v>18366</v>
      </c>
      <c r="G5554" t="s">
        <v>18370</v>
      </c>
      <c r="H5554" t="str">
        <f>HYPERLINK("https://baanknet.com/view-property/257509/EF2738F6389C059449F815CC63D739E3B4705EFD8131CC9873C554A1FA603E21", "https://baanknet.com/view-property/257509/EF2738F6389C059449F815CC63D739E3B4705EFD8131CC9873C554A1FA603E21")</f>
        <v>https://baanknet.com/view-property/257509/EF2738F6389C059449F815CC63D739E3B4705EFD8131CC9873C554A1FA603E21</v>
      </c>
      <c r="I5554" t="str">
        <f>HYPERLINK("https://baanknet.com/view-property/257509/EF2738F6389C059449F815CC63D739E3B4705EFD8131CC9873C554A1FA603E21", "Open")</f>
        <v>Open</v>
      </c>
      <c r="J5554" t="s">
        <v>3803</v>
      </c>
      <c r="L5554">
        <v>5003000</v>
      </c>
      <c r="M5554">
        <v>500300</v>
      </c>
    </row>
    <row r="5555" spans="1:13" x14ac:dyDescent="0.25">
      <c r="A5555" t="s">
        <v>18371</v>
      </c>
      <c r="B5555" t="s">
        <v>18372</v>
      </c>
      <c r="C5555" t="s">
        <v>144</v>
      </c>
      <c r="D5555" t="s">
        <v>32</v>
      </c>
      <c r="E5555" t="s">
        <v>18365</v>
      </c>
      <c r="F5555" t="s">
        <v>18336</v>
      </c>
      <c r="G5555" t="s">
        <v>18373</v>
      </c>
      <c r="H5555" t="str">
        <f>HYPERLINK("https://baanknet.com/view-property/283290/C7AE167984B6DCC155B880EB301EAA37888BD9AA869EA5FEB443988000381880", "https://baanknet.com/view-property/283290/C7AE167984B6DCC155B880EB301EAA37888BD9AA869EA5FEB443988000381880")</f>
        <v>https://baanknet.com/view-property/283290/C7AE167984B6DCC155B880EB301EAA37888BD9AA869EA5FEB443988000381880</v>
      </c>
      <c r="I5555" t="str">
        <f>HYPERLINK("https://baanknet.com/view-property/283290/C7AE167984B6DCC155B880EB301EAA37888BD9AA869EA5FEB443988000381880", "Open")</f>
        <v>Open</v>
      </c>
      <c r="J5555" t="s">
        <v>3803</v>
      </c>
      <c r="L5555">
        <v>4480000</v>
      </c>
      <c r="M5555">
        <v>448000</v>
      </c>
    </row>
    <row r="5556" spans="1:13" x14ac:dyDescent="0.25">
      <c r="A5556" t="s">
        <v>18374</v>
      </c>
      <c r="B5556" t="s">
        <v>18375</v>
      </c>
      <c r="C5556" t="s">
        <v>832</v>
      </c>
      <c r="D5556" t="s">
        <v>1520</v>
      </c>
      <c r="E5556" t="s">
        <v>18365</v>
      </c>
      <c r="F5556" t="s">
        <v>18376</v>
      </c>
      <c r="G5556" t="s">
        <v>18377</v>
      </c>
      <c r="H5556" t="str">
        <f>HYPERLINK("https://baanknet.com/view-property/286656/27A54D48F80F89DD5972BE8599F92C4498F7CFE24744A113E486044FD0C9C90A", "https://baanknet.com/view-property/286656/27A54D48F80F89DD5972BE8599F92C4498F7CFE24744A113E486044FD0C9C90A")</f>
        <v>https://baanknet.com/view-property/286656/27A54D48F80F89DD5972BE8599F92C4498F7CFE24744A113E486044FD0C9C90A</v>
      </c>
      <c r="I5556" t="str">
        <f>HYPERLINK("https://baanknet.com/view-property/286656/27A54D48F80F89DD5972BE8599F92C4498F7CFE24744A113E486044FD0C9C90A", "Open")</f>
        <v>Open</v>
      </c>
      <c r="J5556" t="s">
        <v>3803</v>
      </c>
      <c r="L5556">
        <v>3241000</v>
      </c>
      <c r="M5556">
        <v>324100</v>
      </c>
    </row>
    <row r="5557" spans="1:13" x14ac:dyDescent="0.25">
      <c r="A5557" t="s">
        <v>18378</v>
      </c>
      <c r="B5557" t="s">
        <v>18379</v>
      </c>
      <c r="C5557" t="s">
        <v>332</v>
      </c>
      <c r="D5557" t="s">
        <v>3217</v>
      </c>
      <c r="E5557" t="s">
        <v>18365</v>
      </c>
      <c r="F5557" t="s">
        <v>18376</v>
      </c>
      <c r="G5557" t="s">
        <v>18380</v>
      </c>
      <c r="H5557" t="str">
        <f>HYPERLINK("https://baanknet.com/view-property/237250/023C616A3DCFF7D8F49D0348034B5E4D82EF6A24C41F220FE68EDD14B29E1A69", "https://baanknet.com/view-property/237250/023C616A3DCFF7D8F49D0348034B5E4D82EF6A24C41F220FE68EDD14B29E1A69")</f>
        <v>https://baanknet.com/view-property/237250/023C616A3DCFF7D8F49D0348034B5E4D82EF6A24C41F220FE68EDD14B29E1A69</v>
      </c>
      <c r="I5557" t="str">
        <f>HYPERLINK("https://baanknet.com/view-property/237250/023C616A3DCFF7D8F49D0348034B5E4D82EF6A24C41F220FE68EDD14B29E1A69", "Open")</f>
        <v>Open</v>
      </c>
      <c r="J5557" t="s">
        <v>3803</v>
      </c>
      <c r="L5557">
        <v>534000</v>
      </c>
      <c r="M5557">
        <v>53400</v>
      </c>
    </row>
    <row r="5558" spans="1:13" x14ac:dyDescent="0.25">
      <c r="A5558" t="s">
        <v>18381</v>
      </c>
      <c r="B5558" t="s">
        <v>18382</v>
      </c>
      <c r="C5558" t="s">
        <v>144</v>
      </c>
      <c r="D5558" t="s">
        <v>869</v>
      </c>
      <c r="E5558" t="s">
        <v>18365</v>
      </c>
      <c r="F5558" t="s">
        <v>18376</v>
      </c>
      <c r="G5558" t="s">
        <v>18383</v>
      </c>
      <c r="H5558" t="str">
        <f>HYPERLINK("https://baanknet.com/view-property/286011/4C71ADA93BA122908D3648CC76AAFD8E7BBE85C05DED82CAA5A7A68DB9C9E0B2", "https://baanknet.com/view-property/286011/4C71ADA93BA122908D3648CC76AAFD8E7BBE85C05DED82CAA5A7A68DB9C9E0B2")</f>
        <v>https://baanknet.com/view-property/286011/4C71ADA93BA122908D3648CC76AAFD8E7BBE85C05DED82CAA5A7A68DB9C9E0B2</v>
      </c>
      <c r="I5558" t="str">
        <f>HYPERLINK("https://baanknet.com/view-property/286011/4C71ADA93BA122908D3648CC76AAFD8E7BBE85C05DED82CAA5A7A68DB9C9E0B2", "Open")</f>
        <v>Open</v>
      </c>
      <c r="J5558" t="s">
        <v>3803</v>
      </c>
      <c r="L5558">
        <v>2226000</v>
      </c>
      <c r="M5558">
        <v>222600</v>
      </c>
    </row>
    <row r="5559" spans="1:13" x14ac:dyDescent="0.25">
      <c r="A5559" t="s">
        <v>18384</v>
      </c>
      <c r="B5559" t="s">
        <v>18385</v>
      </c>
      <c r="C5559" t="s">
        <v>144</v>
      </c>
      <c r="D5559" t="s">
        <v>869</v>
      </c>
      <c r="E5559" t="s">
        <v>18365</v>
      </c>
      <c r="F5559" t="s">
        <v>18376</v>
      </c>
      <c r="G5559" t="s">
        <v>18386</v>
      </c>
      <c r="H5559" t="str">
        <f>HYPERLINK("https://baanknet.com/view-property/286003/5964CC843DDCCFD7206887B323F2FDCA29EE19E74A49D86229C65FD3134B2A8A", "https://baanknet.com/view-property/286003/5964CC843DDCCFD7206887B323F2FDCA29EE19E74A49D86229C65FD3134B2A8A")</f>
        <v>https://baanknet.com/view-property/286003/5964CC843DDCCFD7206887B323F2FDCA29EE19E74A49D86229C65FD3134B2A8A</v>
      </c>
      <c r="I5559" t="str">
        <f>HYPERLINK("https://baanknet.com/view-property/286003/5964CC843DDCCFD7206887B323F2FDCA29EE19E74A49D86229C65FD3134B2A8A", "Open")</f>
        <v>Open</v>
      </c>
      <c r="J5559" t="s">
        <v>3803</v>
      </c>
      <c r="L5559">
        <v>1664000</v>
      </c>
      <c r="M5559">
        <v>166400</v>
      </c>
    </row>
    <row r="5560" spans="1:13" x14ac:dyDescent="0.25">
      <c r="A5560" t="s">
        <v>18387</v>
      </c>
      <c r="B5560" t="s">
        <v>18388</v>
      </c>
      <c r="C5560" t="s">
        <v>144</v>
      </c>
      <c r="D5560" t="s">
        <v>869</v>
      </c>
      <c r="E5560" t="s">
        <v>18365</v>
      </c>
      <c r="F5560" t="s">
        <v>18376</v>
      </c>
      <c r="G5560" t="s">
        <v>18389</v>
      </c>
      <c r="H5560" t="str">
        <f>HYPERLINK("https://baanknet.com/view-property/286000/B183E72F4F755F5E1260AF32451162829EA3ED8978B6DFE97F63B194377A527D", "https://baanknet.com/view-property/286000/B183E72F4F755F5E1260AF32451162829EA3ED8978B6DFE97F63B194377A527D")</f>
        <v>https://baanknet.com/view-property/286000/B183E72F4F755F5E1260AF32451162829EA3ED8978B6DFE97F63B194377A527D</v>
      </c>
      <c r="I5560" t="str">
        <f>HYPERLINK("https://baanknet.com/view-property/286000/B183E72F4F755F5E1260AF32451162829EA3ED8978B6DFE97F63B194377A527D", "Open")</f>
        <v>Open</v>
      </c>
      <c r="J5560" t="s">
        <v>3803</v>
      </c>
      <c r="L5560">
        <v>1658000</v>
      </c>
      <c r="M5560">
        <v>165800</v>
      </c>
    </row>
    <row r="5561" spans="1:13" x14ac:dyDescent="0.25">
      <c r="A5561" t="s">
        <v>18390</v>
      </c>
      <c r="B5561" t="s">
        <v>18391</v>
      </c>
      <c r="C5561" t="s">
        <v>144</v>
      </c>
      <c r="D5561" t="s">
        <v>869</v>
      </c>
      <c r="E5561" t="s">
        <v>18365</v>
      </c>
      <c r="F5561" t="s">
        <v>18376</v>
      </c>
      <c r="G5561" t="s">
        <v>18392</v>
      </c>
      <c r="H5561" t="str">
        <f>HYPERLINK("https://baanknet.com/view-property/286007/014312B6170892FC19DD1123437DDFA18DE43E57B3E29E26745BA188D997D8A0", "https://baanknet.com/view-property/286007/014312B6170892FC19DD1123437DDFA18DE43E57B3E29E26745BA188D997D8A0")</f>
        <v>https://baanknet.com/view-property/286007/014312B6170892FC19DD1123437DDFA18DE43E57B3E29E26745BA188D997D8A0</v>
      </c>
      <c r="I5561" t="str">
        <f>HYPERLINK("https://baanknet.com/view-property/286007/014312B6170892FC19DD1123437DDFA18DE43E57B3E29E26745BA188D997D8A0", "Open")</f>
        <v>Open</v>
      </c>
      <c r="J5561" t="s">
        <v>3803</v>
      </c>
      <c r="L5561">
        <v>1658000</v>
      </c>
      <c r="M5561">
        <v>165800</v>
      </c>
    </row>
    <row r="5562" spans="1:13" x14ac:dyDescent="0.25">
      <c r="A5562" t="s">
        <v>18393</v>
      </c>
      <c r="B5562" t="s">
        <v>18394</v>
      </c>
      <c r="C5562" t="s">
        <v>144</v>
      </c>
      <c r="D5562" t="s">
        <v>869</v>
      </c>
      <c r="E5562" t="s">
        <v>18365</v>
      </c>
      <c r="F5562" t="s">
        <v>18376</v>
      </c>
      <c r="G5562" t="s">
        <v>18395</v>
      </c>
      <c r="H5562" t="str">
        <f>HYPERLINK("https://baanknet.com/view-property/286005/C50F8C1E6BB79CCF5ED716EC4B60B244D0636B618F0C97FE6A8EFF777226EE81", "https://baanknet.com/view-property/286005/C50F8C1E6BB79CCF5ED716EC4B60B244D0636B618F0C97FE6A8EFF777226EE81")</f>
        <v>https://baanknet.com/view-property/286005/C50F8C1E6BB79CCF5ED716EC4B60B244D0636B618F0C97FE6A8EFF777226EE81</v>
      </c>
      <c r="I5562" t="str">
        <f>HYPERLINK("https://baanknet.com/view-property/286005/C50F8C1E6BB79CCF5ED716EC4B60B244D0636B618F0C97FE6A8EFF777226EE81", "Open")</f>
        <v>Open</v>
      </c>
      <c r="J5562" t="s">
        <v>3803</v>
      </c>
      <c r="L5562">
        <v>1760000</v>
      </c>
      <c r="M5562">
        <v>176000</v>
      </c>
    </row>
    <row r="5563" spans="1:13" x14ac:dyDescent="0.25">
      <c r="A5563" t="s">
        <v>18396</v>
      </c>
      <c r="B5563" t="s">
        <v>18397</v>
      </c>
      <c r="C5563" t="s">
        <v>144</v>
      </c>
      <c r="D5563" t="s">
        <v>5266</v>
      </c>
      <c r="E5563" t="s">
        <v>18365</v>
      </c>
      <c r="F5563" t="s">
        <v>18376</v>
      </c>
      <c r="G5563" t="s">
        <v>18398</v>
      </c>
      <c r="H5563" t="str">
        <f>HYPERLINK("https://baanknet.com/view-property/285976/D15ECAE9D473DCDA3DD691A20E7CA9F2A400DD987D33F07EC295D9C436D61538", "https://baanknet.com/view-property/285976/D15ECAE9D473DCDA3DD691A20E7CA9F2A400DD987D33F07EC295D9C436D61538")</f>
        <v>https://baanknet.com/view-property/285976/D15ECAE9D473DCDA3DD691A20E7CA9F2A400DD987D33F07EC295D9C436D61538</v>
      </c>
      <c r="I5563" t="str">
        <f>HYPERLINK("https://baanknet.com/view-property/285976/D15ECAE9D473DCDA3DD691A20E7CA9F2A400DD987D33F07EC295D9C436D61538", "Open")</f>
        <v>Open</v>
      </c>
      <c r="J5563" t="s">
        <v>3803</v>
      </c>
      <c r="L5563">
        <v>3102000</v>
      </c>
      <c r="M5563">
        <v>310200</v>
      </c>
    </row>
    <row r="5564" spans="1:13" x14ac:dyDescent="0.25">
      <c r="A5564" t="s">
        <v>18399</v>
      </c>
      <c r="B5564" t="s">
        <v>18400</v>
      </c>
      <c r="C5564" t="s">
        <v>332</v>
      </c>
      <c r="D5564" t="s">
        <v>3225</v>
      </c>
      <c r="E5564" t="s">
        <v>18365</v>
      </c>
      <c r="F5564" t="s">
        <v>18401</v>
      </c>
      <c r="G5564" t="s">
        <v>18402</v>
      </c>
      <c r="H5564" t="str">
        <f>HYPERLINK("https://baanknet.com/view-property/241537/8B8EC7AD7883AB2A9A3834C7FD7BE78CC09008A2A8E8D7C920FC856E8B64F704", "https://baanknet.com/view-property/241537/8B8EC7AD7883AB2A9A3834C7FD7BE78CC09008A2A8E8D7C920FC856E8B64F704")</f>
        <v>https://baanknet.com/view-property/241537/8B8EC7AD7883AB2A9A3834C7FD7BE78CC09008A2A8E8D7C920FC856E8B64F704</v>
      </c>
      <c r="I5564" t="str">
        <f>HYPERLINK("https://baanknet.com/view-property/241537/8B8EC7AD7883AB2A9A3834C7FD7BE78CC09008A2A8E8D7C920FC856E8B64F704", "Open")</f>
        <v>Open</v>
      </c>
      <c r="J5564" t="s">
        <v>3803</v>
      </c>
      <c r="L5564">
        <v>3503000</v>
      </c>
      <c r="M5564">
        <v>350300</v>
      </c>
    </row>
    <row r="5565" spans="1:13" x14ac:dyDescent="0.25">
      <c r="A5565" t="s">
        <v>18403</v>
      </c>
      <c r="B5565" t="s">
        <v>18404</v>
      </c>
      <c r="C5565" t="s">
        <v>332</v>
      </c>
      <c r="D5565" t="s">
        <v>18405</v>
      </c>
      <c r="E5565" t="s">
        <v>18365</v>
      </c>
      <c r="F5565" t="s">
        <v>18401</v>
      </c>
      <c r="G5565" t="s">
        <v>18406</v>
      </c>
      <c r="H5565" t="str">
        <f>HYPERLINK("https://baanknet.com/view-property/281697/FA0CF1D5313C62FBA95E9FA6AF5D42BB07E27EE709693F9EE03073DC126DD135", "https://baanknet.com/view-property/281697/FA0CF1D5313C62FBA95E9FA6AF5D42BB07E27EE709693F9EE03073DC126DD135")</f>
        <v>https://baanknet.com/view-property/281697/FA0CF1D5313C62FBA95E9FA6AF5D42BB07E27EE709693F9EE03073DC126DD135</v>
      </c>
      <c r="I5565" t="str">
        <f>HYPERLINK("https://baanknet.com/view-property/281697/FA0CF1D5313C62FBA95E9FA6AF5D42BB07E27EE709693F9EE03073DC126DD135", "Open")</f>
        <v>Open</v>
      </c>
      <c r="J5565" t="s">
        <v>3803</v>
      </c>
      <c r="L5565">
        <v>26000000</v>
      </c>
      <c r="M5565">
        <v>2600000</v>
      </c>
    </row>
    <row r="5566" spans="1:13" x14ac:dyDescent="0.25">
      <c r="A5566" t="s">
        <v>18407</v>
      </c>
      <c r="B5566" t="s">
        <v>18408</v>
      </c>
      <c r="C5566" t="s">
        <v>332</v>
      </c>
      <c r="D5566" t="s">
        <v>3607</v>
      </c>
      <c r="E5566" t="s">
        <v>18365</v>
      </c>
      <c r="F5566" t="s">
        <v>18401</v>
      </c>
      <c r="G5566" t="s">
        <v>18409</v>
      </c>
      <c r="H5566" t="str">
        <f>HYPERLINK("https://baanknet.com/view-property/285892/9BB313271ED767A8A7403210FBD4A865E5D2594FF4E5BC85F1C82B1CF459E06C", "https://baanknet.com/view-property/285892/9BB313271ED767A8A7403210FBD4A865E5D2594FF4E5BC85F1C82B1CF459E06C")</f>
        <v>https://baanknet.com/view-property/285892/9BB313271ED767A8A7403210FBD4A865E5D2594FF4E5BC85F1C82B1CF459E06C</v>
      </c>
      <c r="I5566" t="str">
        <f>HYPERLINK("https://baanknet.com/view-property/285892/9BB313271ED767A8A7403210FBD4A865E5D2594FF4E5BC85F1C82B1CF459E06C", "Open")</f>
        <v>Open</v>
      </c>
      <c r="J5566" t="s">
        <v>3803</v>
      </c>
      <c r="L5566">
        <v>5930000</v>
      </c>
      <c r="M5566">
        <v>593000</v>
      </c>
    </row>
    <row r="5567" spans="1:13" x14ac:dyDescent="0.25">
      <c r="A5567" t="s">
        <v>18410</v>
      </c>
      <c r="B5567" t="s">
        <v>18411</v>
      </c>
      <c r="C5567" t="s">
        <v>15</v>
      </c>
      <c r="D5567" t="s">
        <v>18412</v>
      </c>
      <c r="E5567" t="s">
        <v>18365</v>
      </c>
      <c r="F5567" t="s">
        <v>18401</v>
      </c>
      <c r="G5567" t="s">
        <v>18413</v>
      </c>
      <c r="H5567" t="str">
        <f>HYPERLINK("https://baanknet.com/view-property/239294/ACE08630D723FF424716E3A8CD766A8F116B09E8FD90E8B66523A1ECC3153525", "https://baanknet.com/view-property/239294/ACE08630D723FF424716E3A8CD766A8F116B09E8FD90E8B66523A1ECC3153525")</f>
        <v>https://baanknet.com/view-property/239294/ACE08630D723FF424716E3A8CD766A8F116B09E8FD90E8B66523A1ECC3153525</v>
      </c>
      <c r="I5567" t="str">
        <f>HYPERLINK("https://baanknet.com/view-property/239294/ACE08630D723FF424716E3A8CD766A8F116B09E8FD90E8B66523A1ECC3153525", "Open")</f>
        <v>Open</v>
      </c>
      <c r="J5567" t="s">
        <v>3803</v>
      </c>
      <c r="L5567">
        <v>1310000</v>
      </c>
      <c r="M5567">
        <v>131000</v>
      </c>
    </row>
    <row r="5568" spans="1:13" x14ac:dyDescent="0.25">
      <c r="A5568" t="s">
        <v>18414</v>
      </c>
      <c r="B5568" t="s">
        <v>18415</v>
      </c>
      <c r="C5568" t="s">
        <v>332</v>
      </c>
      <c r="D5568" t="s">
        <v>4876</v>
      </c>
      <c r="E5568" t="s">
        <v>18365</v>
      </c>
      <c r="F5568" t="s">
        <v>18401</v>
      </c>
      <c r="G5568" t="s">
        <v>18416</v>
      </c>
      <c r="H5568" t="str">
        <f>HYPERLINK("https://baanknet.com/view-property/248801/484A21CC55D76E45D1A308B98DAE3FEA190B1B541C89ACA858EB48F2DAFA2B38", "https://baanknet.com/view-property/248801/484A21CC55D76E45D1A308B98DAE3FEA190B1B541C89ACA858EB48F2DAFA2B38")</f>
        <v>https://baanknet.com/view-property/248801/484A21CC55D76E45D1A308B98DAE3FEA190B1B541C89ACA858EB48F2DAFA2B38</v>
      </c>
      <c r="I5568" t="str">
        <f>HYPERLINK("https://baanknet.com/view-property/248801/484A21CC55D76E45D1A308B98DAE3FEA190B1B541C89ACA858EB48F2DAFA2B38", "Open")</f>
        <v>Open</v>
      </c>
      <c r="J5568" t="s">
        <v>3803</v>
      </c>
      <c r="L5568">
        <v>6822000</v>
      </c>
      <c r="M5568">
        <v>682200</v>
      </c>
    </row>
    <row r="5569" spans="1:13" x14ac:dyDescent="0.25">
      <c r="A5569" t="s">
        <v>18417</v>
      </c>
      <c r="B5569" t="s">
        <v>18418</v>
      </c>
      <c r="C5569" t="s">
        <v>332</v>
      </c>
      <c r="D5569" t="s">
        <v>5389</v>
      </c>
      <c r="E5569" t="s">
        <v>18365</v>
      </c>
      <c r="F5569" t="s">
        <v>18419</v>
      </c>
      <c r="G5569" t="s">
        <v>18420</v>
      </c>
      <c r="H5569" t="str">
        <f>HYPERLINK("https://baanknet.com/view-property/281779/5CD954A875E34BDED1ED82E86881FBC6BA1C2BEB1DDE7ED5FCAF48D44B7B6613", "https://baanknet.com/view-property/281779/5CD954A875E34BDED1ED82E86881FBC6BA1C2BEB1DDE7ED5FCAF48D44B7B6613")</f>
        <v>https://baanknet.com/view-property/281779/5CD954A875E34BDED1ED82E86881FBC6BA1C2BEB1DDE7ED5FCAF48D44B7B6613</v>
      </c>
      <c r="I5569" t="str">
        <f>HYPERLINK("https://baanknet.com/view-property/281779/5CD954A875E34BDED1ED82E86881FBC6BA1C2BEB1DDE7ED5FCAF48D44B7B6613", "Open")</f>
        <v>Open</v>
      </c>
      <c r="J5569" t="s">
        <v>3803</v>
      </c>
      <c r="L5569">
        <v>2300000</v>
      </c>
      <c r="M5569">
        <v>230000</v>
      </c>
    </row>
    <row r="5570" spans="1:13" x14ac:dyDescent="0.25">
      <c r="A5570" t="s">
        <v>18421</v>
      </c>
      <c r="B5570" t="s">
        <v>18422</v>
      </c>
      <c r="C5570" t="s">
        <v>15</v>
      </c>
      <c r="D5570" t="s">
        <v>18423</v>
      </c>
      <c r="E5570" t="s">
        <v>18366</v>
      </c>
      <c r="F5570" t="s">
        <v>18424</v>
      </c>
      <c r="G5570" t="s">
        <v>18425</v>
      </c>
      <c r="H5570" t="str">
        <f>HYPERLINK("https://baanknet.com/view-property/170505/8ADF0E08F6D99638EFBBAE83540F6E0E2E8DD120FA1D7CD1AE7BFEEBD3F2F4F2", "https://baanknet.com/view-property/170505/8ADF0E08F6D99638EFBBAE83540F6E0E2E8DD120FA1D7CD1AE7BFEEBD3F2F4F2")</f>
        <v>https://baanknet.com/view-property/170505/8ADF0E08F6D99638EFBBAE83540F6E0E2E8DD120FA1D7CD1AE7BFEEBD3F2F4F2</v>
      </c>
      <c r="I5570" t="str">
        <f>HYPERLINK("https://baanknet.com/view-property/170505/8ADF0E08F6D99638EFBBAE83540F6E0E2E8DD120FA1D7CD1AE7BFEEBD3F2F4F2", "Open")</f>
        <v>Open</v>
      </c>
      <c r="J5570" t="s">
        <v>3803</v>
      </c>
      <c r="L5570">
        <v>850000</v>
      </c>
      <c r="M5570">
        <v>85000</v>
      </c>
    </row>
    <row r="5571" spans="1:13" x14ac:dyDescent="0.25">
      <c r="A5571" t="s">
        <v>18426</v>
      </c>
      <c r="B5571" t="s">
        <v>18427</v>
      </c>
      <c r="C5571" t="s">
        <v>15</v>
      </c>
      <c r="D5571" t="s">
        <v>18423</v>
      </c>
      <c r="E5571" t="s">
        <v>18366</v>
      </c>
      <c r="F5571" t="s">
        <v>18424</v>
      </c>
      <c r="G5571" t="s">
        <v>18428</v>
      </c>
      <c r="H5571" t="str">
        <f>HYPERLINK("https://baanknet.com/view-property/199166/45BF42F76AC36A027A7B945BD5FABC347CF5828F43BFD8F9FD2659EE50373C4B", "https://baanknet.com/view-property/199166/45BF42F76AC36A027A7B945BD5FABC347CF5828F43BFD8F9FD2659EE50373C4B")</f>
        <v>https://baanknet.com/view-property/199166/45BF42F76AC36A027A7B945BD5FABC347CF5828F43BFD8F9FD2659EE50373C4B</v>
      </c>
      <c r="I5571" t="str">
        <f>HYPERLINK("https://baanknet.com/view-property/199166/45BF42F76AC36A027A7B945BD5FABC347CF5828F43BFD8F9FD2659EE50373C4B", "Open")</f>
        <v>Open</v>
      </c>
      <c r="J5571" t="s">
        <v>3803</v>
      </c>
      <c r="L5571">
        <v>805000</v>
      </c>
      <c r="M5571">
        <v>80500</v>
      </c>
    </row>
    <row r="5572" spans="1:13" x14ac:dyDescent="0.25">
      <c r="A5572" t="s">
        <v>18429</v>
      </c>
      <c r="B5572" t="s">
        <v>18430</v>
      </c>
      <c r="C5572" t="s">
        <v>594</v>
      </c>
      <c r="D5572" t="s">
        <v>32</v>
      </c>
      <c r="E5572" t="s">
        <v>18366</v>
      </c>
      <c r="F5572" t="s">
        <v>18419</v>
      </c>
      <c r="G5572" t="s">
        <v>18431</v>
      </c>
      <c r="H5572" t="str">
        <f>HYPERLINK("https://baanknet.com/view-property/286379/C64B799A38285AE88AB672AC66600E2F652C3CB236354A588371E7766B1EAA23", "https://baanknet.com/view-property/286379/C64B799A38285AE88AB672AC66600E2F652C3CB236354A588371E7766B1EAA23")</f>
        <v>https://baanknet.com/view-property/286379/C64B799A38285AE88AB672AC66600E2F652C3CB236354A588371E7766B1EAA23</v>
      </c>
      <c r="I5572" t="str">
        <f>HYPERLINK("https://baanknet.com/view-property/286379/C64B799A38285AE88AB672AC66600E2F652C3CB236354A588371E7766B1EAA23", "Open")</f>
        <v>Open</v>
      </c>
      <c r="J5572" t="s">
        <v>3803</v>
      </c>
      <c r="L5572">
        <v>3750000</v>
      </c>
      <c r="M5572">
        <v>375000</v>
      </c>
    </row>
    <row r="5573" spans="1:13" x14ac:dyDescent="0.25">
      <c r="A5573" t="s">
        <v>18432</v>
      </c>
      <c r="B5573" t="s">
        <v>18433</v>
      </c>
      <c r="C5573" t="s">
        <v>594</v>
      </c>
      <c r="D5573" t="s">
        <v>32</v>
      </c>
      <c r="E5573" t="s">
        <v>18366</v>
      </c>
      <c r="F5573" t="s">
        <v>18419</v>
      </c>
      <c r="G5573" t="s">
        <v>18434</v>
      </c>
      <c r="H5573" t="str">
        <f>HYPERLINK("https://baanknet.com/view-property/286377/A2A7E00149AC54C9AA983D0C638591820E608BCFA82473966E885D3A722AB831", "https://baanknet.com/view-property/286377/A2A7E00149AC54C9AA983D0C638591820E608BCFA82473966E885D3A722AB831")</f>
        <v>https://baanknet.com/view-property/286377/A2A7E00149AC54C9AA983D0C638591820E608BCFA82473966E885D3A722AB831</v>
      </c>
      <c r="I5573" t="str">
        <f>HYPERLINK("https://baanknet.com/view-property/286377/A2A7E00149AC54C9AA983D0C638591820E608BCFA82473966E885D3A722AB831", "Open")</f>
        <v>Open</v>
      </c>
      <c r="J5573" t="s">
        <v>3803</v>
      </c>
      <c r="L5573">
        <v>4250000</v>
      </c>
      <c r="M5573">
        <v>425000</v>
      </c>
    </row>
    <row r="5574" spans="1:13" x14ac:dyDescent="0.25">
      <c r="A5574" t="s">
        <v>18435</v>
      </c>
      <c r="B5574" t="s">
        <v>18436</v>
      </c>
      <c r="C5574" t="s">
        <v>594</v>
      </c>
      <c r="D5574" t="s">
        <v>32</v>
      </c>
      <c r="E5574" t="s">
        <v>18366</v>
      </c>
      <c r="F5574" t="s">
        <v>18419</v>
      </c>
      <c r="G5574" t="s">
        <v>18437</v>
      </c>
      <c r="H5574" t="str">
        <f>HYPERLINK("https://baanknet.com/view-property/51788/A0920F8BC904A05065FE06560F76A8BC5B8D4C79879EAFAF8B1D857BB9B6B6B7", "https://baanknet.com/view-property/51788/A0920F8BC904A05065FE06560F76A8BC5B8D4C79879EAFAF8B1D857BB9B6B6B7")</f>
        <v>https://baanknet.com/view-property/51788/A0920F8BC904A05065FE06560F76A8BC5B8D4C79879EAFAF8B1D857BB9B6B6B7</v>
      </c>
      <c r="I5574" t="str">
        <f>HYPERLINK("https://baanknet.com/view-property/51788/A0920F8BC904A05065FE06560F76A8BC5B8D4C79879EAFAF8B1D857BB9B6B6B7", "Open")</f>
        <v>Open</v>
      </c>
      <c r="J5574" t="s">
        <v>3803</v>
      </c>
      <c r="L5574">
        <v>2850000</v>
      </c>
      <c r="M5574">
        <v>285000</v>
      </c>
    </row>
    <row r="5575" spans="1:13" x14ac:dyDescent="0.25">
      <c r="A5575" t="s">
        <v>18438</v>
      </c>
      <c r="B5575" t="s">
        <v>18439</v>
      </c>
      <c r="C5575" t="s">
        <v>83</v>
      </c>
      <c r="D5575" t="s">
        <v>9903</v>
      </c>
      <c r="E5575" t="s">
        <v>18424</v>
      </c>
      <c r="F5575" t="s">
        <v>18419</v>
      </c>
      <c r="G5575" t="s">
        <v>18440</v>
      </c>
      <c r="H5575" t="str">
        <f>HYPERLINK("https://baanknet.com/view-property/285888/B0185CAFC6381EF16A692E1083042093F3CAE3C8BC5F3385384E008BA4E73250", "https://baanknet.com/view-property/285888/B0185CAFC6381EF16A692E1083042093F3CAE3C8BC5F3385384E008BA4E73250")</f>
        <v>https://baanknet.com/view-property/285888/B0185CAFC6381EF16A692E1083042093F3CAE3C8BC5F3385384E008BA4E73250</v>
      </c>
      <c r="I5575" t="str">
        <f>HYPERLINK("https://baanknet.com/view-property/285888/B0185CAFC6381EF16A692E1083042093F3CAE3C8BC5F3385384E008BA4E73250", "Open")</f>
        <v>Open</v>
      </c>
      <c r="J5575" t="s">
        <v>3803</v>
      </c>
      <c r="L5575">
        <v>1008000</v>
      </c>
      <c r="M5575">
        <v>100800</v>
      </c>
    </row>
    <row r="5576" spans="1:13" x14ac:dyDescent="0.25">
      <c r="A5576" t="s">
        <v>18441</v>
      </c>
      <c r="B5576" t="s">
        <v>18442</v>
      </c>
      <c r="C5576" t="s">
        <v>83</v>
      </c>
      <c r="D5576" t="s">
        <v>9903</v>
      </c>
      <c r="E5576" t="s">
        <v>18424</v>
      </c>
      <c r="F5576" t="s">
        <v>18419</v>
      </c>
      <c r="G5576" t="s">
        <v>18443</v>
      </c>
      <c r="H5576" t="str">
        <f>HYPERLINK("https://baanknet.com/view-property/285887/1BD1CFC233556A3437AB073F2028B377601C4693DE371598174E3CE87AFC8AAF", "https://baanknet.com/view-property/285887/1BD1CFC233556A3437AB073F2028B377601C4693DE371598174E3CE87AFC8AAF")</f>
        <v>https://baanknet.com/view-property/285887/1BD1CFC233556A3437AB073F2028B377601C4693DE371598174E3CE87AFC8AAF</v>
      </c>
      <c r="I5576" t="str">
        <f>HYPERLINK("https://baanknet.com/view-property/285887/1BD1CFC233556A3437AB073F2028B377601C4693DE371598174E3CE87AFC8AAF", "Open")</f>
        <v>Open</v>
      </c>
      <c r="J5576" t="s">
        <v>3803</v>
      </c>
      <c r="L5576">
        <v>1432800</v>
      </c>
      <c r="M5576">
        <v>143280</v>
      </c>
    </row>
    <row r="5577" spans="1:13" x14ac:dyDescent="0.25">
      <c r="A5577" t="s">
        <v>18444</v>
      </c>
      <c r="B5577" t="s">
        <v>18445</v>
      </c>
      <c r="C5577" t="s">
        <v>83</v>
      </c>
      <c r="D5577" t="s">
        <v>4679</v>
      </c>
      <c r="E5577" t="s">
        <v>18424</v>
      </c>
      <c r="F5577" t="s">
        <v>18446</v>
      </c>
      <c r="G5577" t="s">
        <v>18447</v>
      </c>
      <c r="H5577" t="str">
        <f>HYPERLINK("https://baanknet.com/view-property/287841/8F652B2BE0C70824A22A9E4A4F3BF07E4BACA10275923CB6AA01E99B90F9F7C7", "https://baanknet.com/view-property/287841/8F652B2BE0C70824A22A9E4A4F3BF07E4BACA10275923CB6AA01E99B90F9F7C7")</f>
        <v>https://baanknet.com/view-property/287841/8F652B2BE0C70824A22A9E4A4F3BF07E4BACA10275923CB6AA01E99B90F9F7C7</v>
      </c>
      <c r="I5577" t="str">
        <f>HYPERLINK("https://baanknet.com/view-property/287841/8F652B2BE0C70824A22A9E4A4F3BF07E4BACA10275923CB6AA01E99B90F9F7C7", "Open")</f>
        <v>Open</v>
      </c>
      <c r="J5577" t="s">
        <v>3803</v>
      </c>
      <c r="L5577">
        <v>1450000</v>
      </c>
      <c r="M5577">
        <v>145000</v>
      </c>
    </row>
    <row r="5578" spans="1:13" x14ac:dyDescent="0.25">
      <c r="A5578" t="s">
        <v>18448</v>
      </c>
      <c r="B5578" t="s">
        <v>18449</v>
      </c>
      <c r="C5578" t="s">
        <v>83</v>
      </c>
      <c r="D5578" t="s">
        <v>4679</v>
      </c>
      <c r="E5578" t="s">
        <v>18424</v>
      </c>
      <c r="F5578" t="s">
        <v>18446</v>
      </c>
      <c r="G5578" t="s">
        <v>18450</v>
      </c>
      <c r="H5578" t="str">
        <f>HYPERLINK("https://baanknet.com/view-property/287918/2CAAFEAA2C6E0C6518A6947A8E7C473F4635DFD4072C59B42AE4571C913A99B7", "https://baanknet.com/view-property/287918/2CAAFEAA2C6E0C6518A6947A8E7C473F4635DFD4072C59B42AE4571C913A99B7")</f>
        <v>https://baanknet.com/view-property/287918/2CAAFEAA2C6E0C6518A6947A8E7C473F4635DFD4072C59B42AE4571C913A99B7</v>
      </c>
      <c r="I5578" t="str">
        <f>HYPERLINK("https://baanknet.com/view-property/287918/2CAAFEAA2C6E0C6518A6947A8E7C473F4635DFD4072C59B42AE4571C913A99B7", "Open")</f>
        <v>Open</v>
      </c>
      <c r="J5578" t="s">
        <v>3803</v>
      </c>
      <c r="L5578">
        <v>6665000</v>
      </c>
      <c r="M5578">
        <v>666500</v>
      </c>
    </row>
    <row r="5579" spans="1:13" x14ac:dyDescent="0.25">
      <c r="A5579" t="s">
        <v>18451</v>
      </c>
      <c r="B5579" t="s">
        <v>18452</v>
      </c>
      <c r="C5579" t="s">
        <v>332</v>
      </c>
      <c r="D5579" t="s">
        <v>18453</v>
      </c>
      <c r="E5579" t="s">
        <v>18376</v>
      </c>
      <c r="F5579" t="s">
        <v>18401</v>
      </c>
      <c r="G5579" t="s">
        <v>18454</v>
      </c>
      <c r="H5579" t="str">
        <f>HYPERLINK("https://baanknet.com/view-property/286903/76CB89F2BD9E3FEBBC68A0D36EF84A9122DE0778D2A12277DBFD16B0D4938DA6", "https://baanknet.com/view-property/286903/76CB89F2BD9E3FEBBC68A0D36EF84A9122DE0778D2A12277DBFD16B0D4938DA6")</f>
        <v>https://baanknet.com/view-property/286903/76CB89F2BD9E3FEBBC68A0D36EF84A9122DE0778D2A12277DBFD16B0D4938DA6</v>
      </c>
      <c r="I5579" t="str">
        <f>HYPERLINK("https://baanknet.com/view-property/286903/76CB89F2BD9E3FEBBC68A0D36EF84A9122DE0778D2A12277DBFD16B0D4938DA6", "Open")</f>
        <v>Open</v>
      </c>
      <c r="J5579" t="s">
        <v>3803</v>
      </c>
      <c r="L5579">
        <v>1716000</v>
      </c>
      <c r="M5579">
        <v>171600</v>
      </c>
    </row>
    <row r="5580" spans="1:13" x14ac:dyDescent="0.25">
      <c r="A5580" t="s">
        <v>18455</v>
      </c>
      <c r="B5580" t="s">
        <v>18456</v>
      </c>
      <c r="C5580" t="s">
        <v>332</v>
      </c>
      <c r="D5580" t="s">
        <v>7932</v>
      </c>
      <c r="E5580" t="s">
        <v>18457</v>
      </c>
      <c r="F5580" t="s">
        <v>18458</v>
      </c>
      <c r="G5580" t="s">
        <v>18459</v>
      </c>
      <c r="H5580" t="str">
        <f>HYPERLINK("https://baanknet.com/view-property/282174/10F12C2A0559C469DDC8BE503C3A984F745ECCD1B42DFE3878C8FD8784AD6E4C", "https://baanknet.com/view-property/282174/10F12C2A0559C469DDC8BE503C3A984F745ECCD1B42DFE3878C8FD8784AD6E4C")</f>
        <v>https://baanknet.com/view-property/282174/10F12C2A0559C469DDC8BE503C3A984F745ECCD1B42DFE3878C8FD8784AD6E4C</v>
      </c>
      <c r="I5580" t="str">
        <f>HYPERLINK("https://baanknet.com/view-property/282174/10F12C2A0559C469DDC8BE503C3A984F745ECCD1B42DFE3878C8FD8784AD6E4C", "Open")</f>
        <v>Open</v>
      </c>
      <c r="J5580" t="s">
        <v>3803</v>
      </c>
      <c r="L5580">
        <v>4300000</v>
      </c>
      <c r="M5580">
        <v>430000</v>
      </c>
    </row>
    <row r="5581" spans="1:13" x14ac:dyDescent="0.25">
      <c r="A5581" t="s">
        <v>18460</v>
      </c>
      <c r="B5581" t="s">
        <v>18461</v>
      </c>
      <c r="C5581" t="s">
        <v>332</v>
      </c>
      <c r="D5581" t="s">
        <v>18462</v>
      </c>
      <c r="E5581" t="s">
        <v>18457</v>
      </c>
      <c r="F5581" t="s">
        <v>18458</v>
      </c>
      <c r="G5581" t="s">
        <v>18463</v>
      </c>
      <c r="H5581" t="str">
        <f>HYPERLINK("https://baanknet.com/view-property/277380/AF06E62682F10D8E8856D7403C9434F2D2F366AE328021F7E3F3D6E97FAD109E", "https://baanknet.com/view-property/277380/AF06E62682F10D8E8856D7403C9434F2D2F366AE328021F7E3F3D6E97FAD109E")</f>
        <v>https://baanknet.com/view-property/277380/AF06E62682F10D8E8856D7403C9434F2D2F366AE328021F7E3F3D6E97FAD109E</v>
      </c>
      <c r="I5581" t="str">
        <f>HYPERLINK("https://baanknet.com/view-property/277380/AF06E62682F10D8E8856D7403C9434F2D2F366AE328021F7E3F3D6E97FAD109E", "Open")</f>
        <v>Open</v>
      </c>
      <c r="J5581" t="s">
        <v>3803</v>
      </c>
      <c r="L5581">
        <v>5220000</v>
      </c>
      <c r="M5581">
        <v>522000</v>
      </c>
    </row>
    <row r="5582" spans="1:13" x14ac:dyDescent="0.25">
      <c r="A5582" t="s">
        <v>18464</v>
      </c>
      <c r="B5582" t="s">
        <v>18465</v>
      </c>
      <c r="C5582" t="s">
        <v>15</v>
      </c>
      <c r="D5582" t="s">
        <v>18466</v>
      </c>
      <c r="E5582" t="s">
        <v>18467</v>
      </c>
      <c r="F5582" t="s">
        <v>18468</v>
      </c>
      <c r="G5582" t="s">
        <v>18469</v>
      </c>
      <c r="H5582" t="str">
        <f>HYPERLINK("https://baanknet.com/view-property/251337/1E69ED63EA898A34E9BA161D601F04FA000586BF2A32E67A6D67E5CB34A1E5B2", "https://baanknet.com/view-property/251337/1E69ED63EA898A34E9BA161D601F04FA000586BF2A32E67A6D67E5CB34A1E5B2")</f>
        <v>https://baanknet.com/view-property/251337/1E69ED63EA898A34E9BA161D601F04FA000586BF2A32E67A6D67E5CB34A1E5B2</v>
      </c>
      <c r="I5582" t="str">
        <f>HYPERLINK("https://baanknet.com/view-property/251337/1E69ED63EA898A34E9BA161D601F04FA000586BF2A32E67A6D67E5CB34A1E5B2", "Open")</f>
        <v>Open</v>
      </c>
      <c r="J5582" t="s">
        <v>3803</v>
      </c>
      <c r="L5582">
        <v>2025000</v>
      </c>
      <c r="M5582">
        <v>202500</v>
      </c>
    </row>
    <row r="5583" spans="1:13" x14ac:dyDescent="0.25">
      <c r="A5583" t="s">
        <v>18470</v>
      </c>
      <c r="B5583" t="s">
        <v>18471</v>
      </c>
      <c r="C5583" t="s">
        <v>15</v>
      </c>
      <c r="D5583" t="s">
        <v>8212</v>
      </c>
      <c r="E5583" t="s">
        <v>18467</v>
      </c>
      <c r="F5583" t="s">
        <v>18468</v>
      </c>
      <c r="G5583" t="s">
        <v>18472</v>
      </c>
      <c r="H5583" t="str">
        <f>HYPERLINK("https://baanknet.com/view-property/201903/22D2F0F95D7C44359381EEF69EBD6700DEE17CC00409E12266DE16B6096D6A68", "https://baanknet.com/view-property/201903/22D2F0F95D7C44359381EEF69EBD6700DEE17CC00409E12266DE16B6096D6A68")</f>
        <v>https://baanknet.com/view-property/201903/22D2F0F95D7C44359381EEF69EBD6700DEE17CC00409E12266DE16B6096D6A68</v>
      </c>
      <c r="I5583" t="str">
        <f>HYPERLINK("https://baanknet.com/view-property/201903/22D2F0F95D7C44359381EEF69EBD6700DEE17CC00409E12266DE16B6096D6A68", "Open")</f>
        <v>Open</v>
      </c>
      <c r="J5583" t="s">
        <v>3803</v>
      </c>
      <c r="L5583">
        <v>550000</v>
      </c>
      <c r="M5583">
        <v>55000</v>
      </c>
    </row>
    <row r="5584" spans="1:13" x14ac:dyDescent="0.25">
      <c r="A5584" t="s">
        <v>18473</v>
      </c>
      <c r="B5584" t="s">
        <v>18474</v>
      </c>
      <c r="C5584" t="s">
        <v>15</v>
      </c>
      <c r="D5584" t="s">
        <v>1246</v>
      </c>
      <c r="E5584" t="s">
        <v>18475</v>
      </c>
      <c r="F5584" t="s">
        <v>18476</v>
      </c>
      <c r="G5584" t="s">
        <v>18477</v>
      </c>
      <c r="H5584" t="str">
        <f>HYPERLINK("https://baanknet.com/view-property/240311/26C194B9AB43B87073EF0407EEBBA0C6644077EE474AC45E28CFAD9AFCCA4441", "https://baanknet.com/view-property/240311/26C194B9AB43B87073EF0407EEBBA0C6644077EE474AC45E28CFAD9AFCCA4441")</f>
        <v>https://baanknet.com/view-property/240311/26C194B9AB43B87073EF0407EEBBA0C6644077EE474AC45E28CFAD9AFCCA4441</v>
      </c>
      <c r="I5584" t="str">
        <f>HYPERLINK("https://baanknet.com/view-property/240311/26C194B9AB43B87073EF0407EEBBA0C6644077EE474AC45E28CFAD9AFCCA4441", "Open")</f>
        <v>Open</v>
      </c>
      <c r="J5584" t="s">
        <v>3803</v>
      </c>
      <c r="L5584">
        <v>7700000</v>
      </c>
      <c r="M5584">
        <v>770000</v>
      </c>
    </row>
    <row r="5585" spans="1:13" x14ac:dyDescent="0.25">
      <c r="A5585" t="s">
        <v>18478</v>
      </c>
      <c r="B5585" t="s">
        <v>18479</v>
      </c>
      <c r="C5585" t="s">
        <v>332</v>
      </c>
      <c r="D5585" t="s">
        <v>900</v>
      </c>
      <c r="E5585" t="s">
        <v>18475</v>
      </c>
      <c r="F5585" t="s">
        <v>18480</v>
      </c>
      <c r="G5585" t="s">
        <v>18481</v>
      </c>
      <c r="H5585" t="str">
        <f>HYPERLINK("https://baanknet.com/view-property/256426/523118810AC3432E7F2EBFE1912EFAEB8EFFA4356E7AFDC362F72271E2B40EBE", "https://baanknet.com/view-property/256426/523118810AC3432E7F2EBFE1912EFAEB8EFFA4356E7AFDC362F72271E2B40EBE")</f>
        <v>https://baanknet.com/view-property/256426/523118810AC3432E7F2EBFE1912EFAEB8EFFA4356E7AFDC362F72271E2B40EBE</v>
      </c>
      <c r="I5585" t="str">
        <f>HYPERLINK("https://baanknet.com/view-property/256426/523118810AC3432E7F2EBFE1912EFAEB8EFFA4356E7AFDC362F72271E2B40EBE", "Open")</f>
        <v>Open</v>
      </c>
      <c r="J5585" t="s">
        <v>3803</v>
      </c>
      <c r="L5585">
        <v>8600000</v>
      </c>
      <c r="M5585">
        <v>860000</v>
      </c>
    </row>
    <row r="5586" spans="1:13" x14ac:dyDescent="0.25">
      <c r="A5586" t="s">
        <v>18482</v>
      </c>
      <c r="B5586" t="s">
        <v>18483</v>
      </c>
      <c r="C5586" t="s">
        <v>332</v>
      </c>
      <c r="D5586" t="s">
        <v>900</v>
      </c>
      <c r="E5586" t="s">
        <v>18475</v>
      </c>
      <c r="F5586" t="s">
        <v>18480</v>
      </c>
      <c r="G5586" t="s">
        <v>18484</v>
      </c>
      <c r="H5586" t="str">
        <f>HYPERLINK("https://baanknet.com/view-property/256673/4A637041BF614AC53C9FCAE49EBD7B9EAE6D38FB8A4B13133BCB1E5E5458046B", "https://baanknet.com/view-property/256673/4A637041BF614AC53C9FCAE49EBD7B9EAE6D38FB8A4B13133BCB1E5E5458046B")</f>
        <v>https://baanknet.com/view-property/256673/4A637041BF614AC53C9FCAE49EBD7B9EAE6D38FB8A4B13133BCB1E5E5458046B</v>
      </c>
      <c r="I5586" t="str">
        <f>HYPERLINK("https://baanknet.com/view-property/256673/4A637041BF614AC53C9FCAE49EBD7B9EAE6D38FB8A4B13133BCB1E5E5458046B", "Open")</f>
        <v>Open</v>
      </c>
      <c r="J5586" t="s">
        <v>3803</v>
      </c>
      <c r="L5586">
        <v>3100000</v>
      </c>
      <c r="M5586">
        <v>310000</v>
      </c>
    </row>
    <row r="5587" spans="1:13" x14ac:dyDescent="0.25">
      <c r="A5587" t="s">
        <v>18485</v>
      </c>
      <c r="B5587" t="s">
        <v>18486</v>
      </c>
      <c r="C5587" t="s">
        <v>332</v>
      </c>
      <c r="D5587" t="s">
        <v>2425</v>
      </c>
      <c r="E5587" t="s">
        <v>18475</v>
      </c>
      <c r="F5587" t="s">
        <v>18458</v>
      </c>
      <c r="G5587" t="s">
        <v>18487</v>
      </c>
      <c r="H5587" t="str">
        <f>HYPERLINK("https://baanknet.com/view-property/255066/B68B534D08DA740E35244BA96B41A164EB3E10544E897FABE39E8AA7BA280755", "https://baanknet.com/view-property/255066/B68B534D08DA740E35244BA96B41A164EB3E10544E897FABE39E8AA7BA280755")</f>
        <v>https://baanknet.com/view-property/255066/B68B534D08DA740E35244BA96B41A164EB3E10544E897FABE39E8AA7BA280755</v>
      </c>
      <c r="I5587" t="str">
        <f>HYPERLINK("https://baanknet.com/view-property/255066/B68B534D08DA740E35244BA96B41A164EB3E10544E897FABE39E8AA7BA280755", "Open")</f>
        <v>Open</v>
      </c>
      <c r="J5587" t="s">
        <v>3803</v>
      </c>
      <c r="L5587">
        <v>3000000</v>
      </c>
      <c r="M5587">
        <v>300000</v>
      </c>
    </row>
    <row r="5588" spans="1:13" x14ac:dyDescent="0.25">
      <c r="A5588" t="s">
        <v>18488</v>
      </c>
      <c r="B5588" t="s">
        <v>18489</v>
      </c>
      <c r="C5588" t="s">
        <v>15</v>
      </c>
      <c r="D5588" t="s">
        <v>32</v>
      </c>
      <c r="E5588" t="s">
        <v>18468</v>
      </c>
      <c r="F5588" t="s">
        <v>18490</v>
      </c>
      <c r="G5588" t="s">
        <v>18491</v>
      </c>
      <c r="H5588" t="str">
        <f>HYPERLINK("https://baanknet.com/view-property/285969/449710FD451C39C45D907D296C4E3E0598AF476E639DA07621E1CB193EEA71E7", "https://baanknet.com/view-property/285969/449710FD451C39C45D907D296C4E3E0598AF476E639DA07621E1CB193EEA71E7")</f>
        <v>https://baanknet.com/view-property/285969/449710FD451C39C45D907D296C4E3E0598AF476E639DA07621E1CB193EEA71E7</v>
      </c>
      <c r="I5588" t="str">
        <f>HYPERLINK("https://baanknet.com/view-property/285969/449710FD451C39C45D907D296C4E3E0598AF476E639DA07621E1CB193EEA71E7", "Open")</f>
        <v>Open</v>
      </c>
      <c r="J5588" t="s">
        <v>3803</v>
      </c>
      <c r="L5588">
        <v>3171000</v>
      </c>
      <c r="M5588">
        <v>317100</v>
      </c>
    </row>
    <row r="5589" spans="1:13" x14ac:dyDescent="0.25">
      <c r="A5589" t="s">
        <v>18492</v>
      </c>
      <c r="B5589" t="s">
        <v>18493</v>
      </c>
      <c r="C5589" t="s">
        <v>15</v>
      </c>
      <c r="D5589" t="s">
        <v>32</v>
      </c>
      <c r="E5589" t="s">
        <v>18468</v>
      </c>
      <c r="F5589" t="s">
        <v>18490</v>
      </c>
      <c r="G5589" t="s">
        <v>18494</v>
      </c>
      <c r="H5589" t="str">
        <f>HYPERLINK("https://baanknet.com/view-property/285975/F411F7515F386D2329263D6809D388BAC822D8F93A2544F4FA0B735D8C140C99", "https://baanknet.com/view-property/285975/F411F7515F386D2329263D6809D388BAC822D8F93A2544F4FA0B735D8C140C99")</f>
        <v>https://baanknet.com/view-property/285975/F411F7515F386D2329263D6809D388BAC822D8F93A2544F4FA0B735D8C140C99</v>
      </c>
      <c r="I5589" t="str">
        <f>HYPERLINK("https://baanknet.com/view-property/285975/F411F7515F386D2329263D6809D388BAC822D8F93A2544F4FA0B735D8C140C99", "Open")</f>
        <v>Open</v>
      </c>
      <c r="J5589" t="s">
        <v>3803</v>
      </c>
      <c r="L5589">
        <v>3171000</v>
      </c>
      <c r="M5589">
        <v>317100</v>
      </c>
    </row>
    <row r="5590" spans="1:13" x14ac:dyDescent="0.25">
      <c r="A5590" t="s">
        <v>18495</v>
      </c>
      <c r="B5590" t="s">
        <v>18496</v>
      </c>
      <c r="C5590" t="s">
        <v>15</v>
      </c>
      <c r="D5590" t="s">
        <v>32</v>
      </c>
      <c r="E5590" t="s">
        <v>18468</v>
      </c>
      <c r="F5590" t="s">
        <v>18490</v>
      </c>
      <c r="G5590" t="s">
        <v>18497</v>
      </c>
      <c r="H5590" t="str">
        <f>HYPERLINK("https://baanknet.com/view-property/285978/77224FB59723CC26CBCE662298DE71DE412784B24BEFC60D0EE07525B41DAD83", "https://baanknet.com/view-property/285978/77224FB59723CC26CBCE662298DE71DE412784B24BEFC60D0EE07525B41DAD83")</f>
        <v>https://baanknet.com/view-property/285978/77224FB59723CC26CBCE662298DE71DE412784B24BEFC60D0EE07525B41DAD83</v>
      </c>
      <c r="I5590" t="str">
        <f>HYPERLINK("https://baanknet.com/view-property/285978/77224FB59723CC26CBCE662298DE71DE412784B24BEFC60D0EE07525B41DAD83", "Open")</f>
        <v>Open</v>
      </c>
      <c r="J5590" t="s">
        <v>3803</v>
      </c>
      <c r="L5590">
        <v>3171000</v>
      </c>
      <c r="M5590">
        <v>317100</v>
      </c>
    </row>
    <row r="5591" spans="1:13" x14ac:dyDescent="0.25">
      <c r="A5591" t="s">
        <v>18498</v>
      </c>
      <c r="B5591" t="s">
        <v>18499</v>
      </c>
      <c r="C5591" t="s">
        <v>15</v>
      </c>
      <c r="D5591" t="s">
        <v>32</v>
      </c>
      <c r="E5591" t="s">
        <v>18468</v>
      </c>
      <c r="F5591" t="s">
        <v>18490</v>
      </c>
      <c r="G5591" t="s">
        <v>18500</v>
      </c>
      <c r="H5591" t="str">
        <f>HYPERLINK("https://baanknet.com/view-property/265975/66B928F4C66A74C30D76BE28A99ED21B92BD0B39062EA1620F2CEDAE7BFD0AE7", "https://baanknet.com/view-property/265975/66B928F4C66A74C30D76BE28A99ED21B92BD0B39062EA1620F2CEDAE7BFD0AE7")</f>
        <v>https://baanknet.com/view-property/265975/66B928F4C66A74C30D76BE28A99ED21B92BD0B39062EA1620F2CEDAE7BFD0AE7</v>
      </c>
      <c r="I5591" t="str">
        <f>HYPERLINK("https://baanknet.com/view-property/265975/66B928F4C66A74C30D76BE28A99ED21B92BD0B39062EA1620F2CEDAE7BFD0AE7", "Open")</f>
        <v>Open</v>
      </c>
      <c r="J5591" t="s">
        <v>3803</v>
      </c>
      <c r="L5591">
        <v>14000000</v>
      </c>
      <c r="M5591">
        <v>1400000</v>
      </c>
    </row>
    <row r="5592" spans="1:13" x14ac:dyDescent="0.25">
      <c r="A5592" t="s">
        <v>18501</v>
      </c>
      <c r="B5592" t="s">
        <v>18502</v>
      </c>
      <c r="C5592" t="s">
        <v>15</v>
      </c>
      <c r="D5592" t="s">
        <v>12578</v>
      </c>
      <c r="E5592" t="s">
        <v>18468</v>
      </c>
      <c r="F5592" t="s">
        <v>18490</v>
      </c>
      <c r="G5592" t="s">
        <v>18503</v>
      </c>
      <c r="H5592" t="str">
        <f>HYPERLINK("https://baanknet.com/view-property/254219/83E560A7090229F1FE1E9641408CC65A733D5D96B204058490093E1F06E37841", "https://baanknet.com/view-property/254219/83E560A7090229F1FE1E9641408CC65A733D5D96B204058490093E1F06E37841")</f>
        <v>https://baanknet.com/view-property/254219/83E560A7090229F1FE1E9641408CC65A733D5D96B204058490093E1F06E37841</v>
      </c>
      <c r="I5592" t="str">
        <f>HYPERLINK("https://baanknet.com/view-property/254219/83E560A7090229F1FE1E9641408CC65A733D5D96B204058490093E1F06E37841", "Open")</f>
        <v>Open</v>
      </c>
      <c r="J5592" t="s">
        <v>3803</v>
      </c>
      <c r="L5592">
        <v>11135000</v>
      </c>
      <c r="M5592">
        <v>1113500</v>
      </c>
    </row>
    <row r="5593" spans="1:13" x14ac:dyDescent="0.25">
      <c r="A5593" t="s">
        <v>18504</v>
      </c>
      <c r="B5593" t="s">
        <v>18505</v>
      </c>
      <c r="C5593" t="s">
        <v>15</v>
      </c>
      <c r="D5593" t="s">
        <v>18506</v>
      </c>
      <c r="E5593" t="s">
        <v>18468</v>
      </c>
      <c r="F5593" t="s">
        <v>18507</v>
      </c>
      <c r="G5593" t="s">
        <v>18508</v>
      </c>
      <c r="H5593" t="str">
        <f>HYPERLINK("https://baanknet.com/view-property/198519/4816D976469E89FB1CCA37234818CF8CDDEC6FE6D7383724115CA0A160D339DC", "https://baanknet.com/view-property/198519/4816D976469E89FB1CCA37234818CF8CDDEC6FE6D7383724115CA0A160D339DC")</f>
        <v>https://baanknet.com/view-property/198519/4816D976469E89FB1CCA37234818CF8CDDEC6FE6D7383724115CA0A160D339DC</v>
      </c>
      <c r="I5593" t="str">
        <f>HYPERLINK("https://baanknet.com/view-property/198519/4816D976469E89FB1CCA37234818CF8CDDEC6FE6D7383724115CA0A160D339DC", "Open")</f>
        <v>Open</v>
      </c>
      <c r="J5593" t="s">
        <v>3803</v>
      </c>
      <c r="L5593">
        <v>2900000</v>
      </c>
      <c r="M5593">
        <v>290000</v>
      </c>
    </row>
    <row r="5594" spans="1:13" x14ac:dyDescent="0.25">
      <c r="A5594" t="s">
        <v>18509</v>
      </c>
      <c r="B5594" t="s">
        <v>18510</v>
      </c>
      <c r="C5594" t="s">
        <v>15</v>
      </c>
      <c r="D5594" t="s">
        <v>18511</v>
      </c>
      <c r="E5594" t="s">
        <v>18468</v>
      </c>
      <c r="F5594" t="s">
        <v>18507</v>
      </c>
      <c r="G5594" t="s">
        <v>18512</v>
      </c>
      <c r="H5594" t="str">
        <f>HYPERLINK("https://baanknet.com/view-property/245012/08ACA517DE63AFF0FD4C87556661442DC838E753B7C94D58949E9E919FD3CC28", "https://baanknet.com/view-property/245012/08ACA517DE63AFF0FD4C87556661442DC838E753B7C94D58949E9E919FD3CC28")</f>
        <v>https://baanknet.com/view-property/245012/08ACA517DE63AFF0FD4C87556661442DC838E753B7C94D58949E9E919FD3CC28</v>
      </c>
      <c r="I5594" t="str">
        <f>HYPERLINK("https://baanknet.com/view-property/245012/08ACA517DE63AFF0FD4C87556661442DC838E753B7C94D58949E9E919FD3CC28", "Open")</f>
        <v>Open</v>
      </c>
      <c r="J5594" t="s">
        <v>3803</v>
      </c>
      <c r="L5594">
        <v>4470000</v>
      </c>
      <c r="M5594">
        <v>447000</v>
      </c>
    </row>
    <row r="5595" spans="1:13" x14ac:dyDescent="0.25">
      <c r="A5595" t="s">
        <v>18513</v>
      </c>
      <c r="B5595" t="s">
        <v>18514</v>
      </c>
      <c r="C5595" t="s">
        <v>15</v>
      </c>
      <c r="D5595" t="s">
        <v>18515</v>
      </c>
      <c r="E5595" t="s">
        <v>18468</v>
      </c>
      <c r="F5595" t="s">
        <v>18507</v>
      </c>
      <c r="G5595" t="s">
        <v>18516</v>
      </c>
      <c r="H5595" t="str">
        <f>HYPERLINK("https://baanknet.com/view-property/275190/9714055D94F4F9B3F62D5726E84AB53CEF254E5A5A0B9FEE7623F840A2D98275", "https://baanknet.com/view-property/275190/9714055D94F4F9B3F62D5726E84AB53CEF254E5A5A0B9FEE7623F840A2D98275")</f>
        <v>https://baanknet.com/view-property/275190/9714055D94F4F9B3F62D5726E84AB53CEF254E5A5A0B9FEE7623F840A2D98275</v>
      </c>
      <c r="I5595" t="str">
        <f>HYPERLINK("https://baanknet.com/view-property/275190/9714055D94F4F9B3F62D5726E84AB53CEF254E5A5A0B9FEE7623F840A2D98275", "Open")</f>
        <v>Open</v>
      </c>
      <c r="J5595" t="s">
        <v>3803</v>
      </c>
      <c r="L5595">
        <v>2950000</v>
      </c>
      <c r="M5595">
        <v>295000</v>
      </c>
    </row>
    <row r="5596" spans="1:13" x14ac:dyDescent="0.25">
      <c r="A5596" t="s">
        <v>18517</v>
      </c>
      <c r="B5596" t="s">
        <v>18518</v>
      </c>
      <c r="C5596" t="s">
        <v>15</v>
      </c>
      <c r="D5596" t="s">
        <v>187</v>
      </c>
      <c r="E5596" t="s">
        <v>18468</v>
      </c>
      <c r="F5596" t="s">
        <v>18507</v>
      </c>
      <c r="G5596" t="s">
        <v>18519</v>
      </c>
      <c r="H5596" t="str">
        <f>HYPERLINK("https://baanknet.com/view-property/245029/A4462950E6E0166D27ACFC93B87190BC94FE1B9030D794FA33E352214C77D5AE", "https://baanknet.com/view-property/245029/A4462950E6E0166D27ACFC93B87190BC94FE1B9030D794FA33E352214C77D5AE")</f>
        <v>https://baanknet.com/view-property/245029/A4462950E6E0166D27ACFC93B87190BC94FE1B9030D794FA33E352214C77D5AE</v>
      </c>
      <c r="I5596" t="str">
        <f>HYPERLINK("https://baanknet.com/view-property/245029/A4462950E6E0166D27ACFC93B87190BC94FE1B9030D794FA33E352214C77D5AE", "Open")</f>
        <v>Open</v>
      </c>
      <c r="J5596" t="s">
        <v>3803</v>
      </c>
      <c r="L5596">
        <v>3210000</v>
      </c>
      <c r="M5596">
        <v>321000</v>
      </c>
    </row>
    <row r="5597" spans="1:13" x14ac:dyDescent="0.25">
      <c r="A5597" t="s">
        <v>18520</v>
      </c>
      <c r="B5597" t="s">
        <v>18521</v>
      </c>
      <c r="C5597" t="s">
        <v>15</v>
      </c>
      <c r="D5597" t="s">
        <v>157</v>
      </c>
      <c r="E5597" t="s">
        <v>18468</v>
      </c>
      <c r="F5597" t="s">
        <v>18507</v>
      </c>
      <c r="G5597" t="s">
        <v>18522</v>
      </c>
      <c r="H5597" t="str">
        <f>HYPERLINK("https://baanknet.com/view-property/245340/B4C03BD40EFCE596293EB70A567D1E65B809EE19D58899E49870F4595C455FF9", "https://baanknet.com/view-property/245340/B4C03BD40EFCE596293EB70A567D1E65B809EE19D58899E49870F4595C455FF9")</f>
        <v>https://baanknet.com/view-property/245340/B4C03BD40EFCE596293EB70A567D1E65B809EE19D58899E49870F4595C455FF9</v>
      </c>
      <c r="I5597" t="str">
        <f>HYPERLINK("https://baanknet.com/view-property/245340/B4C03BD40EFCE596293EB70A567D1E65B809EE19D58899E49870F4595C455FF9", "Open")</f>
        <v>Open</v>
      </c>
      <c r="J5597" t="s">
        <v>3803</v>
      </c>
      <c r="L5597">
        <v>5440000</v>
      </c>
      <c r="M5597">
        <v>544000</v>
      </c>
    </row>
    <row r="5598" spans="1:13" x14ac:dyDescent="0.25">
      <c r="A5598" t="s">
        <v>18523</v>
      </c>
      <c r="B5598" t="s">
        <v>18524</v>
      </c>
      <c r="C5598" t="s">
        <v>15</v>
      </c>
      <c r="D5598" t="s">
        <v>157</v>
      </c>
      <c r="E5598" t="s">
        <v>18468</v>
      </c>
      <c r="F5598" t="s">
        <v>18507</v>
      </c>
      <c r="G5598" t="s">
        <v>18525</v>
      </c>
      <c r="H5598" t="str">
        <f>HYPERLINK("https://baanknet.com/view-property/264096/B7FCBC4D3D9C76D950DD1BB767F4EF586AB8FA3EFF1D14830D92C3A2A7FC4C1E", "https://baanknet.com/view-property/264096/B7FCBC4D3D9C76D950DD1BB767F4EF586AB8FA3EFF1D14830D92C3A2A7FC4C1E")</f>
        <v>https://baanknet.com/view-property/264096/B7FCBC4D3D9C76D950DD1BB767F4EF586AB8FA3EFF1D14830D92C3A2A7FC4C1E</v>
      </c>
      <c r="I5598" t="str">
        <f>HYPERLINK("https://baanknet.com/view-property/264096/B7FCBC4D3D9C76D950DD1BB767F4EF586AB8FA3EFF1D14830D92C3A2A7FC4C1E", "Open")</f>
        <v>Open</v>
      </c>
      <c r="J5598" t="s">
        <v>3803</v>
      </c>
      <c r="L5598">
        <v>2060000</v>
      </c>
      <c r="M5598">
        <v>206000</v>
      </c>
    </row>
    <row r="5599" spans="1:13" x14ac:dyDescent="0.25">
      <c r="A5599" t="s">
        <v>18526</v>
      </c>
      <c r="B5599" t="s">
        <v>18527</v>
      </c>
      <c r="C5599" t="s">
        <v>15</v>
      </c>
      <c r="D5599" t="s">
        <v>2234</v>
      </c>
      <c r="E5599" t="s">
        <v>18468</v>
      </c>
      <c r="F5599" t="s">
        <v>18507</v>
      </c>
      <c r="G5599" t="s">
        <v>18528</v>
      </c>
      <c r="H5599" t="str">
        <f>HYPERLINK("https://baanknet.com/view-property/255431/5D3D38E2C98234AF4CF439B461E33791CE752DD4DCAC8A8905FBFE09F67A20E8", "https://baanknet.com/view-property/255431/5D3D38E2C98234AF4CF439B461E33791CE752DD4DCAC8A8905FBFE09F67A20E8")</f>
        <v>https://baanknet.com/view-property/255431/5D3D38E2C98234AF4CF439B461E33791CE752DD4DCAC8A8905FBFE09F67A20E8</v>
      </c>
      <c r="I5599" t="str">
        <f>HYPERLINK("https://baanknet.com/view-property/255431/5D3D38E2C98234AF4CF439B461E33791CE752DD4DCAC8A8905FBFE09F67A20E8", "Open")</f>
        <v>Open</v>
      </c>
      <c r="J5599" t="s">
        <v>3803</v>
      </c>
      <c r="L5599">
        <v>2660000</v>
      </c>
      <c r="M5599">
        <v>266000</v>
      </c>
    </row>
    <row r="5600" spans="1:13" x14ac:dyDescent="0.25">
      <c r="A5600" t="s">
        <v>18529</v>
      </c>
      <c r="B5600" t="s">
        <v>18530</v>
      </c>
      <c r="C5600" t="s">
        <v>15</v>
      </c>
      <c r="D5600" t="s">
        <v>2234</v>
      </c>
      <c r="E5600" t="s">
        <v>18468</v>
      </c>
      <c r="F5600" t="s">
        <v>18507</v>
      </c>
      <c r="G5600" t="s">
        <v>18531</v>
      </c>
      <c r="H5600" t="str">
        <f>HYPERLINK("https://baanknet.com/view-property/245344/623E57ACF285F6050AEF54A2F159836FB0754BA40875FA3237A039D2036CF840", "https://baanknet.com/view-property/245344/623E57ACF285F6050AEF54A2F159836FB0754BA40875FA3237A039D2036CF840")</f>
        <v>https://baanknet.com/view-property/245344/623E57ACF285F6050AEF54A2F159836FB0754BA40875FA3237A039D2036CF840</v>
      </c>
      <c r="I5600" t="str">
        <f>HYPERLINK("https://baanknet.com/view-property/245344/623E57ACF285F6050AEF54A2F159836FB0754BA40875FA3237A039D2036CF840", "Open")</f>
        <v>Open</v>
      </c>
      <c r="J5600" t="s">
        <v>3803</v>
      </c>
      <c r="L5600">
        <v>2660000</v>
      </c>
      <c r="M5600">
        <v>266000</v>
      </c>
    </row>
    <row r="5601" spans="1:13" x14ac:dyDescent="0.25">
      <c r="A5601" t="s">
        <v>18532</v>
      </c>
      <c r="B5601" t="s">
        <v>18533</v>
      </c>
      <c r="C5601" t="s">
        <v>15</v>
      </c>
      <c r="D5601" t="s">
        <v>262</v>
      </c>
      <c r="E5601" t="s">
        <v>18468</v>
      </c>
      <c r="F5601" t="s">
        <v>18507</v>
      </c>
      <c r="G5601" t="s">
        <v>18534</v>
      </c>
      <c r="H5601" t="str">
        <f>HYPERLINK("https://baanknet.com/view-property/268286/AAB9CDD6991864A5B2028E33816CBE198BFA6C3F9CF48794F94684322FBB8E4F", "https://baanknet.com/view-property/268286/AAB9CDD6991864A5B2028E33816CBE198BFA6C3F9CF48794F94684322FBB8E4F")</f>
        <v>https://baanknet.com/view-property/268286/AAB9CDD6991864A5B2028E33816CBE198BFA6C3F9CF48794F94684322FBB8E4F</v>
      </c>
      <c r="I5601" t="str">
        <f>HYPERLINK("https://baanknet.com/view-property/268286/AAB9CDD6991864A5B2028E33816CBE198BFA6C3F9CF48794F94684322FBB8E4F", "Open")</f>
        <v>Open</v>
      </c>
      <c r="J5601" t="s">
        <v>3803</v>
      </c>
      <c r="L5601">
        <v>2590000</v>
      </c>
      <c r="M5601">
        <v>259000</v>
      </c>
    </row>
    <row r="5602" spans="1:13" x14ac:dyDescent="0.25">
      <c r="A5602" t="s">
        <v>18535</v>
      </c>
      <c r="B5602" t="s">
        <v>18536</v>
      </c>
      <c r="C5602" t="s">
        <v>15</v>
      </c>
      <c r="D5602" t="s">
        <v>2097</v>
      </c>
      <c r="E5602" t="s">
        <v>18468</v>
      </c>
      <c r="F5602" t="s">
        <v>18507</v>
      </c>
      <c r="G5602" t="s">
        <v>18537</v>
      </c>
      <c r="H5602" t="str">
        <f>HYPERLINK("https://baanknet.com/view-property/245404/2BF2F7A93E97F1D0E93DCC17197C6869331D8ECF74F414AF30F44DBB4FE8A3F5", "https://baanknet.com/view-property/245404/2BF2F7A93E97F1D0E93DCC17197C6869331D8ECF74F414AF30F44DBB4FE8A3F5")</f>
        <v>https://baanknet.com/view-property/245404/2BF2F7A93E97F1D0E93DCC17197C6869331D8ECF74F414AF30F44DBB4FE8A3F5</v>
      </c>
      <c r="I5602" t="str">
        <f>HYPERLINK("https://baanknet.com/view-property/245404/2BF2F7A93E97F1D0E93DCC17197C6869331D8ECF74F414AF30F44DBB4FE8A3F5", "Open")</f>
        <v>Open</v>
      </c>
      <c r="J5602" t="s">
        <v>3803</v>
      </c>
      <c r="L5602">
        <v>2450000</v>
      </c>
      <c r="M5602">
        <v>245000</v>
      </c>
    </row>
    <row r="5603" spans="1:13" x14ac:dyDescent="0.25">
      <c r="A5603" t="s">
        <v>18538</v>
      </c>
      <c r="B5603" t="s">
        <v>18539</v>
      </c>
      <c r="C5603" t="s">
        <v>18540</v>
      </c>
      <c r="D5603" t="s">
        <v>9495</v>
      </c>
      <c r="E5603" t="s">
        <v>18476</v>
      </c>
      <c r="F5603" t="s">
        <v>18541</v>
      </c>
      <c r="G5603" t="s">
        <v>18542</v>
      </c>
      <c r="H5603" t="str">
        <f>HYPERLINK("https://baanknet.com/view-property/285897/DF37958832610C54C94BBE19B02C0E948F7470FEC392C2AAF85BD996494D83F9", "https://baanknet.com/view-property/285897/DF37958832610C54C94BBE19B02C0E948F7470FEC392C2AAF85BD996494D83F9")</f>
        <v>https://baanknet.com/view-property/285897/DF37958832610C54C94BBE19B02C0E948F7470FEC392C2AAF85BD996494D83F9</v>
      </c>
      <c r="I5603" t="str">
        <f>HYPERLINK("https://baanknet.com/view-property/285897/DF37958832610C54C94BBE19B02C0E948F7470FEC392C2AAF85BD996494D83F9", "Open")</f>
        <v>Open</v>
      </c>
      <c r="J5603" t="s">
        <v>3803</v>
      </c>
      <c r="L5603">
        <v>1710000</v>
      </c>
      <c r="M5603">
        <v>171000</v>
      </c>
    </row>
    <row r="5604" spans="1:13" x14ac:dyDescent="0.25">
      <c r="A5604" t="s">
        <v>18543</v>
      </c>
      <c r="B5604" t="s">
        <v>18544</v>
      </c>
      <c r="C5604" t="s">
        <v>525</v>
      </c>
      <c r="D5604" t="s">
        <v>1637</v>
      </c>
      <c r="E5604" t="s">
        <v>18476</v>
      </c>
      <c r="F5604" t="s">
        <v>18545</v>
      </c>
      <c r="G5604" t="s">
        <v>18546</v>
      </c>
      <c r="H5604" t="str">
        <f>HYPERLINK("https://baanknet.com/view-property/113638/208D12818004ED4FC47D21A19AE03C70CFBD46640E07DC6160769F1577326E14", "https://baanknet.com/view-property/113638/208D12818004ED4FC47D21A19AE03C70CFBD46640E07DC6160769F1577326E14")</f>
        <v>https://baanknet.com/view-property/113638/208D12818004ED4FC47D21A19AE03C70CFBD46640E07DC6160769F1577326E14</v>
      </c>
      <c r="I5604" t="str">
        <f>HYPERLINK("https://baanknet.com/view-property/113638/208D12818004ED4FC47D21A19AE03C70CFBD46640E07DC6160769F1577326E14", "Open")</f>
        <v>Open</v>
      </c>
      <c r="J5604" t="s">
        <v>3803</v>
      </c>
      <c r="L5604">
        <v>890000</v>
      </c>
      <c r="M5604">
        <v>89000</v>
      </c>
    </row>
    <row r="5605" spans="1:13" x14ac:dyDescent="0.25">
      <c r="A5605" t="s">
        <v>18547</v>
      </c>
      <c r="B5605" t="s">
        <v>18548</v>
      </c>
      <c r="C5605" t="s">
        <v>525</v>
      </c>
      <c r="D5605" t="s">
        <v>1637</v>
      </c>
      <c r="E5605" t="s">
        <v>18476</v>
      </c>
      <c r="F5605" t="s">
        <v>18458</v>
      </c>
      <c r="G5605" t="s">
        <v>18549</v>
      </c>
      <c r="H5605" t="str">
        <f>HYPERLINK("https://baanknet.com/view-property/35020/9ACF309E2A71C48C7424A56DC402E0309DBEDD8CF723A2BD9D36458C20BE97D5", "https://baanknet.com/view-property/35020/9ACF309E2A71C48C7424A56DC402E0309DBEDD8CF723A2BD9D36458C20BE97D5")</f>
        <v>https://baanknet.com/view-property/35020/9ACF309E2A71C48C7424A56DC402E0309DBEDD8CF723A2BD9D36458C20BE97D5</v>
      </c>
      <c r="I5605" t="str">
        <f>HYPERLINK("https://baanknet.com/view-property/35020/9ACF309E2A71C48C7424A56DC402E0309DBEDD8CF723A2BD9D36458C20BE97D5", "Open")</f>
        <v>Open</v>
      </c>
      <c r="J5605" t="s">
        <v>3803</v>
      </c>
      <c r="L5605">
        <v>1000000</v>
      </c>
      <c r="M5605">
        <v>100000</v>
      </c>
    </row>
    <row r="5606" spans="1:13" x14ac:dyDescent="0.25">
      <c r="A5606" t="s">
        <v>18550</v>
      </c>
      <c r="B5606" t="s">
        <v>18551</v>
      </c>
      <c r="C5606" t="s">
        <v>83</v>
      </c>
      <c r="D5606" t="s">
        <v>1051</v>
      </c>
      <c r="E5606" t="s">
        <v>18552</v>
      </c>
      <c r="F5606" t="s">
        <v>18553</v>
      </c>
      <c r="G5606" t="s">
        <v>18554</v>
      </c>
      <c r="H5606" t="str">
        <f>HYPERLINK("https://baanknet.com/view-property/223616/BA4DB1D45B0C8E516123A87461088F1AD4AAB7AEC1F12EDC4BFCCCE6412DBA99", "https://baanknet.com/view-property/223616/BA4DB1D45B0C8E516123A87461088F1AD4AAB7AEC1F12EDC4BFCCCE6412DBA99")</f>
        <v>https://baanknet.com/view-property/223616/BA4DB1D45B0C8E516123A87461088F1AD4AAB7AEC1F12EDC4BFCCCE6412DBA99</v>
      </c>
      <c r="I5606" t="str">
        <f>HYPERLINK("https://baanknet.com/view-property/223616/BA4DB1D45B0C8E516123A87461088F1AD4AAB7AEC1F12EDC4BFCCCE6412DBA99", "Open")</f>
        <v>Open</v>
      </c>
      <c r="J5606" t="s">
        <v>3803</v>
      </c>
      <c r="L5606">
        <v>8829000</v>
      </c>
      <c r="M5606">
        <v>882900</v>
      </c>
    </row>
    <row r="5607" spans="1:13" x14ac:dyDescent="0.25">
      <c r="A5607" t="s">
        <v>18555</v>
      </c>
      <c r="B5607" t="s">
        <v>18556</v>
      </c>
      <c r="C5607" t="s">
        <v>83</v>
      </c>
      <c r="D5607" t="s">
        <v>12578</v>
      </c>
      <c r="E5607" t="s">
        <v>18557</v>
      </c>
      <c r="F5607" t="s">
        <v>18558</v>
      </c>
      <c r="G5607" t="s">
        <v>18559</v>
      </c>
      <c r="H5607" t="str">
        <f>HYPERLINK("https://baanknet.com/view-property/284138/A99BAFBD0065F5266BC8212ACECA8AFC8B1E00253BCE2CEE86318E65397290A6", "https://baanknet.com/view-property/284138/A99BAFBD0065F5266BC8212ACECA8AFC8B1E00253BCE2CEE86318E65397290A6")</f>
        <v>https://baanknet.com/view-property/284138/A99BAFBD0065F5266BC8212ACECA8AFC8B1E00253BCE2CEE86318E65397290A6</v>
      </c>
      <c r="I5607" t="str">
        <f>HYPERLINK("https://baanknet.com/view-property/284138/A99BAFBD0065F5266BC8212ACECA8AFC8B1E00253BCE2CEE86318E65397290A6", "Open")</f>
        <v>Open</v>
      </c>
      <c r="J5607" t="s">
        <v>3803</v>
      </c>
      <c r="L5607">
        <v>3108600</v>
      </c>
      <c r="M5607">
        <v>310860</v>
      </c>
    </row>
    <row r="5608" spans="1:13" x14ac:dyDescent="0.25">
      <c r="A5608" t="s">
        <v>18560</v>
      </c>
      <c r="B5608" t="s">
        <v>18561</v>
      </c>
      <c r="C5608" t="s">
        <v>332</v>
      </c>
      <c r="D5608" t="s">
        <v>3313</v>
      </c>
      <c r="E5608" t="s">
        <v>18557</v>
      </c>
      <c r="F5608" t="s">
        <v>18558</v>
      </c>
      <c r="G5608" t="s">
        <v>18562</v>
      </c>
      <c r="H5608" t="str">
        <f>HYPERLINK("https://baanknet.com/view-property/278348/74EB5191DBB1A8D564089260409953CF0B754C3E5AFA382A1A54177BBD0C806F", "https://baanknet.com/view-property/278348/74EB5191DBB1A8D564089260409953CF0B754C3E5AFA382A1A54177BBD0C806F")</f>
        <v>https://baanknet.com/view-property/278348/74EB5191DBB1A8D564089260409953CF0B754C3E5AFA382A1A54177BBD0C806F</v>
      </c>
      <c r="I5608" t="str">
        <f>HYPERLINK("https://baanknet.com/view-property/278348/74EB5191DBB1A8D564089260409953CF0B754C3E5AFA382A1A54177BBD0C806F", "Open")</f>
        <v>Open</v>
      </c>
      <c r="J5608" t="s">
        <v>3803</v>
      </c>
      <c r="L5608">
        <v>3400000</v>
      </c>
      <c r="M5608">
        <v>340000</v>
      </c>
    </row>
    <row r="5609" spans="1:13" x14ac:dyDescent="0.25">
      <c r="A5609" t="s">
        <v>18563</v>
      </c>
      <c r="B5609" t="s">
        <v>18564</v>
      </c>
      <c r="C5609" t="s">
        <v>144</v>
      </c>
      <c r="D5609" t="s">
        <v>1246</v>
      </c>
      <c r="E5609" t="s">
        <v>18557</v>
      </c>
      <c r="F5609" t="s">
        <v>18558</v>
      </c>
      <c r="G5609" t="s">
        <v>18565</v>
      </c>
      <c r="H5609" t="str">
        <f>HYPERLINK("https://baanknet.com/view-property/47974/9112930FBD95247510C1AED86DF8E684171AF5842F6BCC934568BFB924BB2E33", "https://baanknet.com/view-property/47974/9112930FBD95247510C1AED86DF8E684171AF5842F6BCC934568BFB924BB2E33")</f>
        <v>https://baanknet.com/view-property/47974/9112930FBD95247510C1AED86DF8E684171AF5842F6BCC934568BFB924BB2E33</v>
      </c>
      <c r="I5609" t="str">
        <f>HYPERLINK("https://baanknet.com/view-property/47974/9112930FBD95247510C1AED86DF8E684171AF5842F6BCC934568BFB924BB2E33", "Open")</f>
        <v>Open</v>
      </c>
      <c r="J5609" t="s">
        <v>3803</v>
      </c>
      <c r="L5609">
        <v>2700000</v>
      </c>
      <c r="M5609">
        <v>270000</v>
      </c>
    </row>
    <row r="5610" spans="1:13" x14ac:dyDescent="0.25">
      <c r="A5610" t="s">
        <v>18566</v>
      </c>
      <c r="B5610" t="s">
        <v>18567</v>
      </c>
      <c r="C5610" t="s">
        <v>83</v>
      </c>
      <c r="D5610" t="s">
        <v>32</v>
      </c>
      <c r="E5610" t="s">
        <v>18557</v>
      </c>
      <c r="F5610" t="s">
        <v>18558</v>
      </c>
      <c r="G5610" t="s">
        <v>18568</v>
      </c>
      <c r="H5610" t="str">
        <f>HYPERLINK("https://baanknet.com/view-property/283170/843694F059AA2E7C18C863B925B017F873F935F2A20B5E2016BCF76AC5698838", "https://baanknet.com/view-property/283170/843694F059AA2E7C18C863B925B017F873F935F2A20B5E2016BCF76AC5698838")</f>
        <v>https://baanknet.com/view-property/283170/843694F059AA2E7C18C863B925B017F873F935F2A20B5E2016BCF76AC5698838</v>
      </c>
      <c r="I5610" t="str">
        <f>HYPERLINK("https://baanknet.com/view-property/283170/843694F059AA2E7C18C863B925B017F873F935F2A20B5E2016BCF76AC5698838", "Open")</f>
        <v>Open</v>
      </c>
      <c r="J5610" t="s">
        <v>3803</v>
      </c>
      <c r="L5610">
        <v>6399000</v>
      </c>
      <c r="M5610">
        <v>639900</v>
      </c>
    </row>
    <row r="5611" spans="1:13" x14ac:dyDescent="0.25">
      <c r="A5611" t="s">
        <v>18569</v>
      </c>
      <c r="B5611" t="s">
        <v>18570</v>
      </c>
      <c r="C5611" t="s">
        <v>15</v>
      </c>
      <c r="D5611" t="s">
        <v>1310</v>
      </c>
      <c r="E5611" t="s">
        <v>18571</v>
      </c>
      <c r="F5611" t="s">
        <v>18572</v>
      </c>
      <c r="G5611" t="s">
        <v>18573</v>
      </c>
      <c r="H5611" t="str">
        <f>HYPERLINK("https://baanknet.com/view-property/286544/56CEFC10FE090654A5EF6603DFA31368B20880EFC49F9F00A265982FF270DB08", "https://baanknet.com/view-property/286544/56CEFC10FE090654A5EF6603DFA31368B20880EFC49F9F00A265982FF270DB08")</f>
        <v>https://baanknet.com/view-property/286544/56CEFC10FE090654A5EF6603DFA31368B20880EFC49F9F00A265982FF270DB08</v>
      </c>
      <c r="I5611" t="str">
        <f>HYPERLINK("https://baanknet.com/view-property/286544/56CEFC10FE090654A5EF6603DFA31368B20880EFC49F9F00A265982FF270DB08", "Open")</f>
        <v>Open</v>
      </c>
      <c r="J5611" t="s">
        <v>3803</v>
      </c>
      <c r="L5611">
        <v>430000000</v>
      </c>
      <c r="M5611">
        <v>43000000</v>
      </c>
    </row>
    <row r="5612" spans="1:13" x14ac:dyDescent="0.25">
      <c r="A5612" t="s">
        <v>18574</v>
      </c>
      <c r="B5612" t="s">
        <v>18575</v>
      </c>
      <c r="C5612" t="s">
        <v>15</v>
      </c>
      <c r="D5612" t="s">
        <v>18576</v>
      </c>
      <c r="E5612" t="s">
        <v>18571</v>
      </c>
      <c r="F5612" t="s">
        <v>18577</v>
      </c>
      <c r="G5612" t="s">
        <v>18578</v>
      </c>
      <c r="H5612" t="str">
        <f>HYPERLINK("https://baanknet.com/view-property/286347/DFF9B105A4F9E3FEE2A41F7574015F19F7676343A54CB6F4D4D515402CAA2012", "https://baanknet.com/view-property/286347/DFF9B105A4F9E3FEE2A41F7574015F19F7676343A54CB6F4D4D515402CAA2012")</f>
        <v>https://baanknet.com/view-property/286347/DFF9B105A4F9E3FEE2A41F7574015F19F7676343A54CB6F4D4D515402CAA2012</v>
      </c>
      <c r="I5612" t="str">
        <f>HYPERLINK("https://baanknet.com/view-property/286347/DFF9B105A4F9E3FEE2A41F7574015F19F7676343A54CB6F4D4D515402CAA2012", "Open")</f>
        <v>Open</v>
      </c>
      <c r="J5612" t="s">
        <v>3803</v>
      </c>
      <c r="L5612">
        <v>4961000</v>
      </c>
      <c r="M5612">
        <v>496100</v>
      </c>
    </row>
    <row r="5613" spans="1:13" x14ac:dyDescent="0.25">
      <c r="A5613" t="s">
        <v>18579</v>
      </c>
      <c r="B5613" t="s">
        <v>18580</v>
      </c>
      <c r="C5613" t="s">
        <v>15</v>
      </c>
      <c r="D5613" t="s">
        <v>7486</v>
      </c>
      <c r="E5613" t="s">
        <v>18571</v>
      </c>
      <c r="F5613" t="s">
        <v>18577</v>
      </c>
      <c r="G5613" t="s">
        <v>18581</v>
      </c>
      <c r="H5613" t="str">
        <f>HYPERLINK("https://baanknet.com/view-property/286342/C57807A4BD7DB6D31A279F4B2DE0B52AACC07DC97EC6B259A0FA112C5DE98823", "https://baanknet.com/view-property/286342/C57807A4BD7DB6D31A279F4B2DE0B52AACC07DC97EC6B259A0FA112C5DE98823")</f>
        <v>https://baanknet.com/view-property/286342/C57807A4BD7DB6D31A279F4B2DE0B52AACC07DC97EC6B259A0FA112C5DE98823</v>
      </c>
      <c r="I5613" t="str">
        <f>HYPERLINK("https://baanknet.com/view-property/286342/C57807A4BD7DB6D31A279F4B2DE0B52AACC07DC97EC6B259A0FA112C5DE98823", "Open")</f>
        <v>Open</v>
      </c>
      <c r="J5613" t="s">
        <v>3803</v>
      </c>
      <c r="L5613">
        <v>5779000</v>
      </c>
      <c r="M5613">
        <v>577900</v>
      </c>
    </row>
    <row r="5614" spans="1:13" x14ac:dyDescent="0.25">
      <c r="A5614" t="s">
        <v>18582</v>
      </c>
      <c r="B5614" t="s">
        <v>18583</v>
      </c>
      <c r="C5614" t="s">
        <v>15</v>
      </c>
      <c r="D5614" t="s">
        <v>4061</v>
      </c>
      <c r="E5614" t="s">
        <v>18571</v>
      </c>
      <c r="F5614" t="s">
        <v>18577</v>
      </c>
      <c r="G5614" t="s">
        <v>18584</v>
      </c>
      <c r="H5614" t="str">
        <f>HYPERLINK("https://baanknet.com/view-property/286280/44DF78D96424D846EF9F7A9C3024D38444DF20F7B617CD916C780CDCBDEA1214", "https://baanknet.com/view-property/286280/44DF78D96424D846EF9F7A9C3024D38444DF20F7B617CD916C780CDCBDEA1214")</f>
        <v>https://baanknet.com/view-property/286280/44DF78D96424D846EF9F7A9C3024D38444DF20F7B617CD916C780CDCBDEA1214</v>
      </c>
      <c r="I5614" t="str">
        <f>HYPERLINK("https://baanknet.com/view-property/286280/44DF78D96424D846EF9F7A9C3024D38444DF20F7B617CD916C780CDCBDEA1214", "Open")</f>
        <v>Open</v>
      </c>
      <c r="J5614" t="s">
        <v>3803</v>
      </c>
      <c r="L5614">
        <v>7167000</v>
      </c>
      <c r="M5614">
        <v>716700</v>
      </c>
    </row>
    <row r="5615" spans="1:13" x14ac:dyDescent="0.25">
      <c r="A5615" t="s">
        <v>18585</v>
      </c>
      <c r="B5615" t="s">
        <v>18586</v>
      </c>
      <c r="C5615" t="s">
        <v>144</v>
      </c>
      <c r="D5615" t="s">
        <v>338</v>
      </c>
      <c r="E5615" t="s">
        <v>18571</v>
      </c>
      <c r="F5615" t="s">
        <v>18587</v>
      </c>
      <c r="G5615" t="s">
        <v>18588</v>
      </c>
      <c r="H5615" t="str">
        <f>HYPERLINK("https://baanknet.com/view-property/286185/D304B7D19805330714B87B459FB5F93CCBD3997D8B478D818B370B431F5F8CF9", "https://baanknet.com/view-property/286185/D304B7D19805330714B87B459FB5F93CCBD3997D8B478D818B370B431F5F8CF9")</f>
        <v>https://baanknet.com/view-property/286185/D304B7D19805330714B87B459FB5F93CCBD3997D8B478D818B370B431F5F8CF9</v>
      </c>
      <c r="I5615" t="str">
        <f>HYPERLINK("https://baanknet.com/view-property/286185/D304B7D19805330714B87B459FB5F93CCBD3997D8B478D818B370B431F5F8CF9", "Open")</f>
        <v>Open</v>
      </c>
      <c r="J5615" t="s">
        <v>3803</v>
      </c>
      <c r="L5615">
        <v>2082400</v>
      </c>
      <c r="M5615">
        <v>208240</v>
      </c>
    </row>
    <row r="5616" spans="1:13" x14ac:dyDescent="0.25">
      <c r="A5616" t="s">
        <v>18589</v>
      </c>
      <c r="B5616" t="s">
        <v>18590</v>
      </c>
      <c r="C5616" t="s">
        <v>332</v>
      </c>
      <c r="D5616" t="s">
        <v>3614</v>
      </c>
      <c r="E5616" t="s">
        <v>18571</v>
      </c>
      <c r="F5616" t="s">
        <v>18591</v>
      </c>
      <c r="G5616" t="s">
        <v>18592</v>
      </c>
      <c r="H5616" t="str">
        <f>HYPERLINK("https://baanknet.com/view-property/54416/7D1597DA4694B6C17EA2F702810580B092AD71BFE7DCB69BDDECAF604C2F58E9", "https://baanknet.com/view-property/54416/7D1597DA4694B6C17EA2F702810580B092AD71BFE7DCB69BDDECAF604C2F58E9")</f>
        <v>https://baanknet.com/view-property/54416/7D1597DA4694B6C17EA2F702810580B092AD71BFE7DCB69BDDECAF604C2F58E9</v>
      </c>
      <c r="I5616" t="str">
        <f>HYPERLINK("https://baanknet.com/view-property/54416/7D1597DA4694B6C17EA2F702810580B092AD71BFE7DCB69BDDECAF604C2F58E9", "Open")</f>
        <v>Open</v>
      </c>
      <c r="J5616" t="s">
        <v>3803</v>
      </c>
      <c r="L5616">
        <v>4500000</v>
      </c>
      <c r="M5616">
        <v>450000</v>
      </c>
    </row>
    <row r="5617" spans="1:13" x14ac:dyDescent="0.25">
      <c r="A5617" t="s">
        <v>18593</v>
      </c>
      <c r="B5617" t="s">
        <v>18594</v>
      </c>
      <c r="C5617" t="s">
        <v>332</v>
      </c>
      <c r="D5617" t="s">
        <v>3614</v>
      </c>
      <c r="E5617" t="s">
        <v>18571</v>
      </c>
      <c r="F5617" t="s">
        <v>18591</v>
      </c>
      <c r="G5617" t="s">
        <v>18595</v>
      </c>
      <c r="H5617" t="str">
        <f>HYPERLINK("https://baanknet.com/view-property/1929/CB8B7F08FCE0D9AAC373AAD3809FC581E21C0631FE9CCA51CCAB5D74BB3AC2C4", "https://baanknet.com/view-property/1929/CB8B7F08FCE0D9AAC373AAD3809FC581E21C0631FE9CCA51CCAB5D74BB3AC2C4")</f>
        <v>https://baanknet.com/view-property/1929/CB8B7F08FCE0D9AAC373AAD3809FC581E21C0631FE9CCA51CCAB5D74BB3AC2C4</v>
      </c>
      <c r="I5617" t="str">
        <f>HYPERLINK("https://baanknet.com/view-property/1929/CB8B7F08FCE0D9AAC373AAD3809FC581E21C0631FE9CCA51CCAB5D74BB3AC2C4", "Open")</f>
        <v>Open</v>
      </c>
      <c r="J5617" t="s">
        <v>3803</v>
      </c>
      <c r="L5617">
        <v>41000000</v>
      </c>
      <c r="M5617">
        <v>4100000</v>
      </c>
    </row>
    <row r="5618" spans="1:13" x14ac:dyDescent="0.25">
      <c r="A5618" t="s">
        <v>18596</v>
      </c>
      <c r="B5618" t="s">
        <v>18597</v>
      </c>
      <c r="C5618" t="s">
        <v>332</v>
      </c>
      <c r="D5618" t="s">
        <v>18598</v>
      </c>
      <c r="E5618" t="s">
        <v>18571</v>
      </c>
      <c r="F5618" t="s">
        <v>18591</v>
      </c>
      <c r="G5618" t="s">
        <v>18599</v>
      </c>
      <c r="H5618" t="str">
        <f>HYPERLINK("https://baanknet.com/view-property/69650/42C04CB3B64A7DFFDAE9A699FE4728D4508123545289DA4B987A95487E0E7EC4", "https://baanknet.com/view-property/69650/42C04CB3B64A7DFFDAE9A699FE4728D4508123545289DA4B987A95487E0E7EC4")</f>
        <v>https://baanknet.com/view-property/69650/42C04CB3B64A7DFFDAE9A699FE4728D4508123545289DA4B987A95487E0E7EC4</v>
      </c>
      <c r="I5618" t="str">
        <f>HYPERLINK("https://baanknet.com/view-property/69650/42C04CB3B64A7DFFDAE9A699FE4728D4508123545289DA4B987A95487E0E7EC4", "Open")</f>
        <v>Open</v>
      </c>
      <c r="J5618" t="s">
        <v>3803</v>
      </c>
      <c r="L5618">
        <v>8800000</v>
      </c>
      <c r="M5618">
        <v>880000</v>
      </c>
    </row>
    <row r="5619" spans="1:13" x14ac:dyDescent="0.25">
      <c r="A5619" t="s">
        <v>18600</v>
      </c>
      <c r="B5619" t="s">
        <v>18601</v>
      </c>
      <c r="C5619" t="s">
        <v>332</v>
      </c>
      <c r="D5619" t="s">
        <v>1520</v>
      </c>
      <c r="E5619" t="s">
        <v>18571</v>
      </c>
      <c r="F5619" t="s">
        <v>18591</v>
      </c>
      <c r="G5619" t="s">
        <v>18602</v>
      </c>
      <c r="H5619" t="str">
        <f>HYPERLINK("https://baanknet.com/view-property/268984/3D71769FC61116732C0164E0ECE4D10B910EC5148DCB6D6B8BD927BB571A7624", "https://baanknet.com/view-property/268984/3D71769FC61116732C0164E0ECE4D10B910EC5148DCB6D6B8BD927BB571A7624")</f>
        <v>https://baanknet.com/view-property/268984/3D71769FC61116732C0164E0ECE4D10B910EC5148DCB6D6B8BD927BB571A7624</v>
      </c>
      <c r="I5619" t="str">
        <f>HYPERLINK("https://baanknet.com/view-property/268984/3D71769FC61116732C0164E0ECE4D10B910EC5148DCB6D6B8BD927BB571A7624", "Open")</f>
        <v>Open</v>
      </c>
      <c r="J5619" t="s">
        <v>3803</v>
      </c>
      <c r="L5619">
        <v>20600000</v>
      </c>
      <c r="M5619">
        <v>2060000</v>
      </c>
    </row>
    <row r="5620" spans="1:13" x14ac:dyDescent="0.25">
      <c r="A5620" t="s">
        <v>18603</v>
      </c>
      <c r="B5620" t="s">
        <v>18604</v>
      </c>
      <c r="C5620" t="s">
        <v>332</v>
      </c>
      <c r="D5620" t="s">
        <v>1916</v>
      </c>
      <c r="E5620" t="s">
        <v>18571</v>
      </c>
      <c r="F5620" t="s">
        <v>18591</v>
      </c>
      <c r="G5620" t="s">
        <v>18605</v>
      </c>
      <c r="H5620" t="str">
        <f>HYPERLINK("https://baanknet.com/view-property/229251/A02B6E383B028E9612DD185A5D7A55BE2322ABA25C989B0355C1510DA9FA8CC3", "https://baanknet.com/view-property/229251/A02B6E383B028E9612DD185A5D7A55BE2322ABA25C989B0355C1510DA9FA8CC3")</f>
        <v>https://baanknet.com/view-property/229251/A02B6E383B028E9612DD185A5D7A55BE2322ABA25C989B0355C1510DA9FA8CC3</v>
      </c>
      <c r="I5620" t="str">
        <f>HYPERLINK("https://baanknet.com/view-property/229251/A02B6E383B028E9612DD185A5D7A55BE2322ABA25C989B0355C1510DA9FA8CC3", "Open")</f>
        <v>Open</v>
      </c>
      <c r="J5620" t="s">
        <v>3803</v>
      </c>
      <c r="L5620">
        <v>29000000</v>
      </c>
      <c r="M5620">
        <v>2900000</v>
      </c>
    </row>
    <row r="5621" spans="1:13" x14ac:dyDescent="0.25">
      <c r="A5621" t="s">
        <v>18606</v>
      </c>
      <c r="B5621" t="s">
        <v>18607</v>
      </c>
      <c r="C5621" t="s">
        <v>332</v>
      </c>
      <c r="D5621" t="s">
        <v>1916</v>
      </c>
      <c r="E5621" t="s">
        <v>18571</v>
      </c>
      <c r="F5621" t="s">
        <v>18591</v>
      </c>
      <c r="G5621" t="s">
        <v>18608</v>
      </c>
      <c r="H5621" t="str">
        <f>HYPERLINK("https://baanknet.com/view-property/229255/520FAFEB313971F2213C2B63CF628B65F914AA51512F330A19BF57570D5DDF1C", "https://baanknet.com/view-property/229255/520FAFEB313971F2213C2B63CF628B65F914AA51512F330A19BF57570D5DDF1C")</f>
        <v>https://baanknet.com/view-property/229255/520FAFEB313971F2213C2B63CF628B65F914AA51512F330A19BF57570D5DDF1C</v>
      </c>
      <c r="I5621" t="str">
        <f>HYPERLINK("https://baanknet.com/view-property/229255/520FAFEB313971F2213C2B63CF628B65F914AA51512F330A19BF57570D5DDF1C", "Open")</f>
        <v>Open</v>
      </c>
      <c r="J5621" t="s">
        <v>3803</v>
      </c>
      <c r="L5621">
        <v>20000000</v>
      </c>
      <c r="M5621">
        <v>2000000</v>
      </c>
    </row>
    <row r="5622" spans="1:13" x14ac:dyDescent="0.25">
      <c r="A5622" t="s">
        <v>18609</v>
      </c>
      <c r="B5622" t="s">
        <v>18610</v>
      </c>
      <c r="C5622" t="s">
        <v>332</v>
      </c>
      <c r="D5622" t="s">
        <v>18611</v>
      </c>
      <c r="E5622" t="s">
        <v>18571</v>
      </c>
      <c r="F5622" t="s">
        <v>18591</v>
      </c>
      <c r="G5622" t="s">
        <v>18612</v>
      </c>
      <c r="H5622" t="str">
        <f>HYPERLINK("https://baanknet.com/view-property/279839/E6FC2161CFBDC17132E5B79FA923335EC700EE59561EA894D2D4E4B7BF4C3DFC", "https://baanknet.com/view-property/279839/E6FC2161CFBDC17132E5B79FA923335EC700EE59561EA894D2D4E4B7BF4C3DFC")</f>
        <v>https://baanknet.com/view-property/279839/E6FC2161CFBDC17132E5B79FA923335EC700EE59561EA894D2D4E4B7BF4C3DFC</v>
      </c>
      <c r="I5622" t="str">
        <f>HYPERLINK("https://baanknet.com/view-property/279839/E6FC2161CFBDC17132E5B79FA923335EC700EE59561EA894D2D4E4B7BF4C3DFC", "Open")</f>
        <v>Open</v>
      </c>
      <c r="J5622" t="s">
        <v>3803</v>
      </c>
      <c r="L5622">
        <v>2900000</v>
      </c>
      <c r="M5622">
        <v>290000</v>
      </c>
    </row>
    <row r="5623" spans="1:13" x14ac:dyDescent="0.25">
      <c r="A5623" t="s">
        <v>18613</v>
      </c>
      <c r="B5623" t="s">
        <v>18614</v>
      </c>
      <c r="C5623" t="s">
        <v>571</v>
      </c>
      <c r="D5623" t="s">
        <v>4649</v>
      </c>
      <c r="E5623" t="s">
        <v>18571</v>
      </c>
      <c r="F5623" t="s">
        <v>18591</v>
      </c>
      <c r="G5623" t="s">
        <v>18615</v>
      </c>
      <c r="H5623" t="str">
        <f>HYPERLINK("https://baanknet.com/view-property/182069/6F4E1E3A82CA78C5469843870BC3672A80A699206E82A96DE8138A0441DE1DE8", "https://baanknet.com/view-property/182069/6F4E1E3A82CA78C5469843870BC3672A80A699206E82A96DE8138A0441DE1DE8")</f>
        <v>https://baanknet.com/view-property/182069/6F4E1E3A82CA78C5469843870BC3672A80A699206E82A96DE8138A0441DE1DE8</v>
      </c>
      <c r="I5623" t="str">
        <f>HYPERLINK("https://baanknet.com/view-property/182069/6F4E1E3A82CA78C5469843870BC3672A80A699206E82A96DE8138A0441DE1DE8", "Open")</f>
        <v>Open</v>
      </c>
      <c r="J5623" t="s">
        <v>3803</v>
      </c>
      <c r="L5623">
        <v>23100000</v>
      </c>
      <c r="M5623">
        <v>2310000</v>
      </c>
    </row>
    <row r="5624" spans="1:13" x14ac:dyDescent="0.25">
      <c r="A5624" t="s">
        <v>18616</v>
      </c>
      <c r="B5624" t="s">
        <v>18617</v>
      </c>
      <c r="C5624" t="s">
        <v>15</v>
      </c>
      <c r="D5624" t="s">
        <v>16926</v>
      </c>
      <c r="E5624" t="s">
        <v>18618</v>
      </c>
      <c r="F5624" t="s">
        <v>18619</v>
      </c>
      <c r="G5624" t="s">
        <v>18620</v>
      </c>
      <c r="H5624" t="str">
        <f>HYPERLINK("https://baanknet.com/view-property/246549/0BE73B8DACB5514A98FFA51A804D77975AC8B7305400C89B2DBFD1EA2E3DF3A8", "https://baanknet.com/view-property/246549/0BE73B8DACB5514A98FFA51A804D77975AC8B7305400C89B2DBFD1EA2E3DF3A8")</f>
        <v>https://baanknet.com/view-property/246549/0BE73B8DACB5514A98FFA51A804D77975AC8B7305400C89B2DBFD1EA2E3DF3A8</v>
      </c>
      <c r="I5624" t="str">
        <f>HYPERLINK("https://baanknet.com/view-property/246549/0BE73B8DACB5514A98FFA51A804D77975AC8B7305400C89B2DBFD1EA2E3DF3A8", "Open")</f>
        <v>Open</v>
      </c>
      <c r="J5624" t="s">
        <v>3803</v>
      </c>
      <c r="L5624">
        <v>8500000</v>
      </c>
      <c r="M5624">
        <v>850000</v>
      </c>
    </row>
    <row r="5625" spans="1:13" x14ac:dyDescent="0.25">
      <c r="A5625" t="s">
        <v>18621</v>
      </c>
      <c r="B5625" t="s">
        <v>18622</v>
      </c>
      <c r="C5625" t="s">
        <v>15</v>
      </c>
      <c r="D5625" t="s">
        <v>6531</v>
      </c>
      <c r="E5625" t="s">
        <v>18619</v>
      </c>
      <c r="F5625" t="s">
        <v>18623</v>
      </c>
      <c r="G5625" t="s">
        <v>18624</v>
      </c>
      <c r="H5625" t="str">
        <f>HYPERLINK("https://baanknet.com/view-property/285942/BCB1217005C3A95DED19A87C24954A30E1C5DEC0E0071AB000CD217C16CA58DC", "https://baanknet.com/view-property/285942/BCB1217005C3A95DED19A87C24954A30E1C5DEC0E0071AB000CD217C16CA58DC")</f>
        <v>https://baanknet.com/view-property/285942/BCB1217005C3A95DED19A87C24954A30E1C5DEC0E0071AB000CD217C16CA58DC</v>
      </c>
      <c r="I5625" t="str">
        <f>HYPERLINK("https://baanknet.com/view-property/285942/BCB1217005C3A95DED19A87C24954A30E1C5DEC0E0071AB000CD217C16CA58DC", "Open")</f>
        <v>Open</v>
      </c>
      <c r="J5625" t="s">
        <v>3803</v>
      </c>
      <c r="L5625">
        <v>801000</v>
      </c>
      <c r="M5625">
        <v>80100</v>
      </c>
    </row>
    <row r="5626" spans="1:13" x14ac:dyDescent="0.25">
      <c r="A5626" t="s">
        <v>18625</v>
      </c>
      <c r="B5626" t="s">
        <v>18626</v>
      </c>
      <c r="C5626" t="s">
        <v>15</v>
      </c>
      <c r="D5626" t="s">
        <v>4471</v>
      </c>
      <c r="E5626" t="s">
        <v>18619</v>
      </c>
      <c r="F5626" t="s">
        <v>18623</v>
      </c>
      <c r="G5626" t="s">
        <v>18627</v>
      </c>
      <c r="H5626" t="str">
        <f>HYPERLINK("https://baanknet.com/view-property/203534/D92710BEF749D99C44A3C3AB844D47E00877959B67F4280D9B43AC0BDC9F5BCB", "https://baanknet.com/view-property/203534/D92710BEF749D99C44A3C3AB844D47E00877959B67F4280D9B43AC0BDC9F5BCB")</f>
        <v>https://baanknet.com/view-property/203534/D92710BEF749D99C44A3C3AB844D47E00877959B67F4280D9B43AC0BDC9F5BCB</v>
      </c>
      <c r="I5626" t="str">
        <f>HYPERLINK("https://baanknet.com/view-property/203534/D92710BEF749D99C44A3C3AB844D47E00877959B67F4280D9B43AC0BDC9F5BCB", "Open")</f>
        <v>Open</v>
      </c>
      <c r="J5626" t="s">
        <v>3803</v>
      </c>
      <c r="L5626">
        <v>1720000</v>
      </c>
      <c r="M5626">
        <v>172000</v>
      </c>
    </row>
    <row r="5627" spans="1:13" x14ac:dyDescent="0.25">
      <c r="A5627" t="s">
        <v>18628</v>
      </c>
      <c r="B5627" t="s">
        <v>18629</v>
      </c>
      <c r="C5627" t="s">
        <v>15</v>
      </c>
      <c r="D5627" t="s">
        <v>5239</v>
      </c>
      <c r="E5627" t="s">
        <v>18619</v>
      </c>
      <c r="F5627" t="s">
        <v>18623</v>
      </c>
      <c r="G5627" t="s">
        <v>18630</v>
      </c>
      <c r="H5627" t="str">
        <f>HYPERLINK("https://baanknet.com/view-property/203989/532412CB6C27A214E9438043E537CF018782D1AD17E88600E98C4C70FE5F0091", "https://baanknet.com/view-property/203989/532412CB6C27A214E9438043E537CF018782D1AD17E88600E98C4C70FE5F0091")</f>
        <v>https://baanknet.com/view-property/203989/532412CB6C27A214E9438043E537CF018782D1AD17E88600E98C4C70FE5F0091</v>
      </c>
      <c r="I5627" t="str">
        <f>HYPERLINK("https://baanknet.com/view-property/203989/532412CB6C27A214E9438043E537CF018782D1AD17E88600E98C4C70FE5F0091", "Open")</f>
        <v>Open</v>
      </c>
      <c r="J5627" t="s">
        <v>3803</v>
      </c>
      <c r="L5627">
        <v>1090000</v>
      </c>
      <c r="M5627">
        <v>109000</v>
      </c>
    </row>
    <row r="5628" spans="1:13" x14ac:dyDescent="0.25">
      <c r="A5628" t="s">
        <v>18631</v>
      </c>
      <c r="B5628" t="s">
        <v>18632</v>
      </c>
      <c r="C5628" t="s">
        <v>15</v>
      </c>
      <c r="D5628" t="s">
        <v>6417</v>
      </c>
      <c r="E5628" t="s">
        <v>18619</v>
      </c>
      <c r="F5628" t="s">
        <v>18623</v>
      </c>
      <c r="G5628" t="s">
        <v>18633</v>
      </c>
      <c r="H5628" t="str">
        <f>HYPERLINK("https://baanknet.com/view-property/250036/2E74D16040F88BE6BB733913C2D43F5A63BDCFF9A856DCA23A1823A268F0FA83", "https://baanknet.com/view-property/250036/2E74D16040F88BE6BB733913C2D43F5A63BDCFF9A856DCA23A1823A268F0FA83")</f>
        <v>https://baanknet.com/view-property/250036/2E74D16040F88BE6BB733913C2D43F5A63BDCFF9A856DCA23A1823A268F0FA83</v>
      </c>
      <c r="I5628" t="str">
        <f>HYPERLINK("https://baanknet.com/view-property/250036/2E74D16040F88BE6BB733913C2D43F5A63BDCFF9A856DCA23A1823A268F0FA83", "Open")</f>
        <v>Open</v>
      </c>
      <c r="J5628" t="s">
        <v>3803</v>
      </c>
      <c r="L5628">
        <v>490000</v>
      </c>
      <c r="M5628">
        <v>49000</v>
      </c>
    </row>
    <row r="5629" spans="1:13" x14ac:dyDescent="0.25">
      <c r="A5629" t="s">
        <v>18634</v>
      </c>
      <c r="B5629" t="s">
        <v>18635</v>
      </c>
      <c r="C5629" t="s">
        <v>15</v>
      </c>
      <c r="D5629" t="s">
        <v>881</v>
      </c>
      <c r="E5629" t="s">
        <v>18619</v>
      </c>
      <c r="F5629" t="s">
        <v>18623</v>
      </c>
      <c r="G5629" t="s">
        <v>18636</v>
      </c>
      <c r="H5629" t="str">
        <f>HYPERLINK("https://baanknet.com/view-property/256113/58C1E997F38C349032A0FF5755DD5C9A42696C71AC2394836EA27BBBDB429F5B", "https://baanknet.com/view-property/256113/58C1E997F38C349032A0FF5755DD5C9A42696C71AC2394836EA27BBBDB429F5B")</f>
        <v>https://baanknet.com/view-property/256113/58C1E997F38C349032A0FF5755DD5C9A42696C71AC2394836EA27BBBDB429F5B</v>
      </c>
      <c r="I5629" t="str">
        <f>HYPERLINK("https://baanknet.com/view-property/256113/58C1E997F38C349032A0FF5755DD5C9A42696C71AC2394836EA27BBBDB429F5B", "Open")</f>
        <v>Open</v>
      </c>
      <c r="J5629" t="s">
        <v>3803</v>
      </c>
      <c r="L5629">
        <v>669000</v>
      </c>
      <c r="M5629">
        <v>66900</v>
      </c>
    </row>
    <row r="5630" spans="1:13" x14ac:dyDescent="0.25">
      <c r="A5630" t="s">
        <v>18637</v>
      </c>
      <c r="B5630" t="s">
        <v>18638</v>
      </c>
      <c r="C5630" t="s">
        <v>15</v>
      </c>
      <c r="D5630" t="s">
        <v>4095</v>
      </c>
      <c r="E5630" t="s">
        <v>18619</v>
      </c>
      <c r="F5630" t="s">
        <v>18623</v>
      </c>
      <c r="G5630" t="s">
        <v>18639</v>
      </c>
      <c r="H5630" t="str">
        <f>HYPERLINK("https://baanknet.com/view-property/243188/2E0765426B4EC2CFEB4239246D67EBC9419D6AAA502BBEBE20754823B4B2FA05", "https://baanknet.com/view-property/243188/2E0765426B4EC2CFEB4239246D67EBC9419D6AAA502BBEBE20754823B4B2FA05")</f>
        <v>https://baanknet.com/view-property/243188/2E0765426B4EC2CFEB4239246D67EBC9419D6AAA502BBEBE20754823B4B2FA05</v>
      </c>
      <c r="I5630" t="str">
        <f>HYPERLINK("https://baanknet.com/view-property/243188/2E0765426B4EC2CFEB4239246D67EBC9419D6AAA502BBEBE20754823B4B2FA05", "Open")</f>
        <v>Open</v>
      </c>
      <c r="J5630" t="s">
        <v>3803</v>
      </c>
      <c r="L5630">
        <v>2210000</v>
      </c>
      <c r="M5630">
        <v>221000</v>
      </c>
    </row>
    <row r="5631" spans="1:13" x14ac:dyDescent="0.25">
      <c r="A5631" t="s">
        <v>18640</v>
      </c>
      <c r="B5631" t="s">
        <v>18641</v>
      </c>
      <c r="C5631" t="s">
        <v>15</v>
      </c>
      <c r="D5631" t="s">
        <v>833</v>
      </c>
      <c r="E5631" t="s">
        <v>18619</v>
      </c>
      <c r="F5631" t="s">
        <v>18623</v>
      </c>
      <c r="G5631" t="s">
        <v>18642</v>
      </c>
      <c r="H5631" t="str">
        <f>HYPERLINK("https://baanknet.com/view-property/237675/7EA21926702F990170F9F859004B936E53B9F0DDE53A1730AFB730C484FDE5AE", "https://baanknet.com/view-property/237675/7EA21926702F990170F9F859004B936E53B9F0DDE53A1730AFB730C484FDE5AE")</f>
        <v>https://baanknet.com/view-property/237675/7EA21926702F990170F9F859004B936E53B9F0DDE53A1730AFB730C484FDE5AE</v>
      </c>
      <c r="I5631" t="str">
        <f>HYPERLINK("https://baanknet.com/view-property/237675/7EA21926702F990170F9F859004B936E53B9F0DDE53A1730AFB730C484FDE5AE", "Open")</f>
        <v>Open</v>
      </c>
      <c r="J5631" t="s">
        <v>3803</v>
      </c>
      <c r="L5631">
        <v>1040000</v>
      </c>
      <c r="M5631">
        <v>104000</v>
      </c>
    </row>
    <row r="5632" spans="1:13" x14ac:dyDescent="0.25">
      <c r="A5632" t="s">
        <v>18643</v>
      </c>
      <c r="B5632" t="s">
        <v>18644</v>
      </c>
      <c r="C5632" t="s">
        <v>15</v>
      </c>
      <c r="D5632" t="s">
        <v>4095</v>
      </c>
      <c r="E5632" t="s">
        <v>18619</v>
      </c>
      <c r="F5632" t="s">
        <v>18623</v>
      </c>
      <c r="G5632" t="s">
        <v>18645</v>
      </c>
      <c r="H5632" t="str">
        <f>HYPERLINK("https://baanknet.com/view-property/247203/7061597FE87CF93E09EE50CD07030D676A2015B9EEE95198DDD12EAF30760930", "https://baanknet.com/view-property/247203/7061597FE87CF93E09EE50CD07030D676A2015B9EEE95198DDD12EAF30760930")</f>
        <v>https://baanknet.com/view-property/247203/7061597FE87CF93E09EE50CD07030D676A2015B9EEE95198DDD12EAF30760930</v>
      </c>
      <c r="I5632" t="str">
        <f>HYPERLINK("https://baanknet.com/view-property/247203/7061597FE87CF93E09EE50CD07030D676A2015B9EEE95198DDD12EAF30760930", "Open")</f>
        <v>Open</v>
      </c>
      <c r="J5632" t="s">
        <v>3803</v>
      </c>
      <c r="L5632">
        <v>1785000</v>
      </c>
      <c r="M5632">
        <v>178500</v>
      </c>
    </row>
    <row r="5633" spans="1:13" x14ac:dyDescent="0.25">
      <c r="A5633" t="s">
        <v>18646</v>
      </c>
      <c r="B5633" t="s">
        <v>18647</v>
      </c>
      <c r="C5633" t="s">
        <v>15</v>
      </c>
      <c r="D5633" t="s">
        <v>4471</v>
      </c>
      <c r="E5633" t="s">
        <v>18619</v>
      </c>
      <c r="F5633" t="s">
        <v>18623</v>
      </c>
      <c r="G5633" t="s">
        <v>18648</v>
      </c>
      <c r="H5633" t="str">
        <f>HYPERLINK("https://baanknet.com/view-property/200691/CBB929111C7780F89FA63B1121C5A5B875810631F97E831D56D70E0B053A58F3", "https://baanknet.com/view-property/200691/CBB929111C7780F89FA63B1121C5A5B875810631F97E831D56D70E0B053A58F3")</f>
        <v>https://baanknet.com/view-property/200691/CBB929111C7780F89FA63B1121C5A5B875810631F97E831D56D70E0B053A58F3</v>
      </c>
      <c r="I5633" t="str">
        <f>HYPERLINK("https://baanknet.com/view-property/200691/CBB929111C7780F89FA63B1121C5A5B875810631F97E831D56D70E0B053A58F3", "Open")</f>
        <v>Open</v>
      </c>
      <c r="J5633" t="s">
        <v>3803</v>
      </c>
      <c r="L5633">
        <v>1403000</v>
      </c>
      <c r="M5633">
        <v>140300</v>
      </c>
    </row>
    <row r="5634" spans="1:13" x14ac:dyDescent="0.25">
      <c r="A5634" t="s">
        <v>18649</v>
      </c>
      <c r="B5634" t="s">
        <v>18650</v>
      </c>
      <c r="C5634" t="s">
        <v>15</v>
      </c>
      <c r="D5634" t="s">
        <v>18651</v>
      </c>
      <c r="E5634" t="s">
        <v>18619</v>
      </c>
      <c r="F5634" t="s">
        <v>18623</v>
      </c>
      <c r="G5634" t="s">
        <v>18652</v>
      </c>
      <c r="H5634" t="str">
        <f>HYPERLINK("https://baanknet.com/view-property/234329/2F7631420BABF82AB148A506E30938A39FF32ECFAA36815D07A7EA0EC9907783", "https://baanknet.com/view-property/234329/2F7631420BABF82AB148A506E30938A39FF32ECFAA36815D07A7EA0EC9907783")</f>
        <v>https://baanknet.com/view-property/234329/2F7631420BABF82AB148A506E30938A39FF32ECFAA36815D07A7EA0EC9907783</v>
      </c>
      <c r="I5634" t="str">
        <f>HYPERLINK("https://baanknet.com/view-property/234329/2F7631420BABF82AB148A506E30938A39FF32ECFAA36815D07A7EA0EC9907783", "Open")</f>
        <v>Open</v>
      </c>
      <c r="J5634" t="s">
        <v>3803</v>
      </c>
      <c r="L5634">
        <v>1255000</v>
      </c>
      <c r="M5634">
        <v>125500</v>
      </c>
    </row>
    <row r="5635" spans="1:13" x14ac:dyDescent="0.25">
      <c r="A5635" t="s">
        <v>18653</v>
      </c>
      <c r="B5635" t="s">
        <v>18654</v>
      </c>
      <c r="C5635" t="s">
        <v>15</v>
      </c>
      <c r="D5635" t="s">
        <v>837</v>
      </c>
      <c r="E5635" t="s">
        <v>18619</v>
      </c>
      <c r="F5635" t="s">
        <v>18623</v>
      </c>
      <c r="G5635" t="s">
        <v>18655</v>
      </c>
      <c r="H5635" t="str">
        <f>HYPERLINK("https://baanknet.com/view-property/204038/D3E3EC2BA2890146C403893ADDD10F86D0D690922E9F2F61DF14FEC2078BA2E2", "https://baanknet.com/view-property/204038/D3E3EC2BA2890146C403893ADDD10F86D0D690922E9F2F61DF14FEC2078BA2E2")</f>
        <v>https://baanknet.com/view-property/204038/D3E3EC2BA2890146C403893ADDD10F86D0D690922E9F2F61DF14FEC2078BA2E2</v>
      </c>
      <c r="I5635" t="str">
        <f>HYPERLINK("https://baanknet.com/view-property/204038/D3E3EC2BA2890146C403893ADDD10F86D0D690922E9F2F61DF14FEC2078BA2E2", "Open")</f>
        <v>Open</v>
      </c>
      <c r="J5635" t="s">
        <v>3803</v>
      </c>
      <c r="L5635">
        <v>509000</v>
      </c>
      <c r="M5635">
        <v>50900</v>
      </c>
    </row>
    <row r="5636" spans="1:13" x14ac:dyDescent="0.25">
      <c r="A5636" t="s">
        <v>18656</v>
      </c>
      <c r="B5636" t="s">
        <v>18657</v>
      </c>
      <c r="C5636" t="s">
        <v>15</v>
      </c>
      <c r="D5636" t="s">
        <v>833</v>
      </c>
      <c r="E5636" t="s">
        <v>18619</v>
      </c>
      <c r="F5636" t="s">
        <v>18623</v>
      </c>
      <c r="G5636" t="s">
        <v>18658</v>
      </c>
      <c r="H5636" t="str">
        <f>HYPERLINK("https://baanknet.com/view-property/247212/ABF3E57D2C1C7337F8DB7554DEED3E5B95B81203D276534B91E65795DEFE3BD1", "https://baanknet.com/view-property/247212/ABF3E57D2C1C7337F8DB7554DEED3E5B95B81203D276534B91E65795DEFE3BD1")</f>
        <v>https://baanknet.com/view-property/247212/ABF3E57D2C1C7337F8DB7554DEED3E5B95B81203D276534B91E65795DEFE3BD1</v>
      </c>
      <c r="I5636" t="str">
        <f>HYPERLINK("https://baanknet.com/view-property/247212/ABF3E57D2C1C7337F8DB7554DEED3E5B95B81203D276534B91E65795DEFE3BD1", "Open")</f>
        <v>Open</v>
      </c>
      <c r="J5636" t="s">
        <v>3803</v>
      </c>
      <c r="L5636">
        <v>450000</v>
      </c>
      <c r="M5636">
        <v>45000</v>
      </c>
    </row>
    <row r="5637" spans="1:13" x14ac:dyDescent="0.25">
      <c r="A5637" t="s">
        <v>18659</v>
      </c>
      <c r="B5637" t="s">
        <v>18660</v>
      </c>
      <c r="C5637" t="s">
        <v>83</v>
      </c>
      <c r="D5637" t="s">
        <v>1520</v>
      </c>
      <c r="E5637" t="s">
        <v>18577</v>
      </c>
      <c r="F5637" t="s">
        <v>18661</v>
      </c>
      <c r="G5637" t="s">
        <v>18662</v>
      </c>
      <c r="H5637" t="str">
        <f>HYPERLINK("https://baanknet.com/view-property/286548/8EE2BB7C6BA4CF5360DEAA5996EF88130F315B1A59A41A2352090D78D71D1B00", "https://baanknet.com/view-property/286548/8EE2BB7C6BA4CF5360DEAA5996EF88130F315B1A59A41A2352090D78D71D1B00")</f>
        <v>https://baanknet.com/view-property/286548/8EE2BB7C6BA4CF5360DEAA5996EF88130F315B1A59A41A2352090D78D71D1B00</v>
      </c>
      <c r="I5637" t="str">
        <f>HYPERLINK("https://baanknet.com/view-property/286548/8EE2BB7C6BA4CF5360DEAA5996EF88130F315B1A59A41A2352090D78D71D1B00", "Open")</f>
        <v>Open</v>
      </c>
      <c r="J5637" t="s">
        <v>3803</v>
      </c>
      <c r="L5637">
        <v>7007000</v>
      </c>
      <c r="M5637">
        <v>700700</v>
      </c>
    </row>
    <row r="5638" spans="1:13" x14ac:dyDescent="0.25">
      <c r="A5638" t="s">
        <v>18663</v>
      </c>
      <c r="B5638" t="s">
        <v>18664</v>
      </c>
      <c r="C5638" t="s">
        <v>15</v>
      </c>
      <c r="D5638" t="s">
        <v>7307</v>
      </c>
      <c r="E5638" t="s">
        <v>18665</v>
      </c>
      <c r="F5638" t="s">
        <v>18666</v>
      </c>
      <c r="G5638" t="s">
        <v>18667</v>
      </c>
      <c r="H5638" t="str">
        <f>HYPERLINK("https://baanknet.com/view-property/263028/0D8361C47D70737D6FF219F21E0BCA258BF693BD986A4E7134B53D1086A457AE", "https://baanknet.com/view-property/263028/0D8361C47D70737D6FF219F21E0BCA258BF693BD986A4E7134B53D1086A457AE")</f>
        <v>https://baanknet.com/view-property/263028/0D8361C47D70737D6FF219F21E0BCA258BF693BD986A4E7134B53D1086A457AE</v>
      </c>
      <c r="I5638" t="str">
        <f>HYPERLINK("https://baanknet.com/view-property/263028/0D8361C47D70737D6FF219F21E0BCA258BF693BD986A4E7134B53D1086A457AE", "Open")</f>
        <v>Open</v>
      </c>
      <c r="J5638" t="s">
        <v>3803</v>
      </c>
      <c r="L5638">
        <v>1020000</v>
      </c>
      <c r="M5638">
        <v>102000</v>
      </c>
    </row>
    <row r="5639" spans="1:13" x14ac:dyDescent="0.25">
      <c r="A5639" t="s">
        <v>18668</v>
      </c>
      <c r="B5639" t="s">
        <v>18669</v>
      </c>
      <c r="C5639" t="s">
        <v>15</v>
      </c>
      <c r="D5639" t="s">
        <v>7307</v>
      </c>
      <c r="E5639" t="s">
        <v>18665</v>
      </c>
      <c r="F5639" t="s">
        <v>18666</v>
      </c>
      <c r="G5639" t="s">
        <v>18670</v>
      </c>
      <c r="H5639" t="str">
        <f>HYPERLINK("https://baanknet.com/view-property/255742/A11B1D8CCC8B27385D946EBC94FC390AF871999F6F5E791CF359710CDA7FE07D", "https://baanknet.com/view-property/255742/A11B1D8CCC8B27385D946EBC94FC390AF871999F6F5E791CF359710CDA7FE07D")</f>
        <v>https://baanknet.com/view-property/255742/A11B1D8CCC8B27385D946EBC94FC390AF871999F6F5E791CF359710CDA7FE07D</v>
      </c>
      <c r="I5639" t="str">
        <f>HYPERLINK("https://baanknet.com/view-property/255742/A11B1D8CCC8B27385D946EBC94FC390AF871999F6F5E791CF359710CDA7FE07D", "Open")</f>
        <v>Open</v>
      </c>
      <c r="J5639" t="s">
        <v>3803</v>
      </c>
      <c r="L5639">
        <v>1040000</v>
      </c>
      <c r="M5639">
        <v>104000</v>
      </c>
    </row>
    <row r="5640" spans="1:13" x14ac:dyDescent="0.25">
      <c r="A5640" t="s">
        <v>18671</v>
      </c>
      <c r="B5640" t="s">
        <v>18672</v>
      </c>
      <c r="C5640" t="s">
        <v>15</v>
      </c>
      <c r="D5640" t="s">
        <v>7466</v>
      </c>
      <c r="E5640" t="s">
        <v>18665</v>
      </c>
      <c r="F5640" t="s">
        <v>18666</v>
      </c>
      <c r="G5640" t="s">
        <v>18673</v>
      </c>
      <c r="H5640" t="str">
        <f>HYPERLINK("https://baanknet.com/view-property/223067/91B615FD083E9FCF854FA093CDF56B326BFB958776CA04D16E612E202E872B8D", "https://baanknet.com/view-property/223067/91B615FD083E9FCF854FA093CDF56B326BFB958776CA04D16E612E202E872B8D")</f>
        <v>https://baanknet.com/view-property/223067/91B615FD083E9FCF854FA093CDF56B326BFB958776CA04D16E612E202E872B8D</v>
      </c>
      <c r="I5640" t="str">
        <f>HYPERLINK("https://baanknet.com/view-property/223067/91B615FD083E9FCF854FA093CDF56B326BFB958776CA04D16E612E202E872B8D", "Open")</f>
        <v>Open</v>
      </c>
      <c r="J5640" t="s">
        <v>3803</v>
      </c>
      <c r="L5640">
        <v>1040000</v>
      </c>
      <c r="M5640">
        <v>104000</v>
      </c>
    </row>
    <row r="5641" spans="1:13" x14ac:dyDescent="0.25">
      <c r="A5641" t="s">
        <v>18674</v>
      </c>
      <c r="B5641" t="s">
        <v>18675</v>
      </c>
      <c r="C5641" t="s">
        <v>15</v>
      </c>
      <c r="D5641" t="s">
        <v>18676</v>
      </c>
      <c r="E5641" t="s">
        <v>18665</v>
      </c>
      <c r="F5641" t="s">
        <v>18666</v>
      </c>
      <c r="G5641" t="s">
        <v>18677</v>
      </c>
      <c r="H5641" t="str">
        <f>HYPERLINK("https://baanknet.com/view-property/223098/13DEBC94C202989E1A0395041FBACF3F7D215C46317A5F4490570FD978D08DAD", "https://baanknet.com/view-property/223098/13DEBC94C202989E1A0395041FBACF3F7D215C46317A5F4490570FD978D08DAD")</f>
        <v>https://baanknet.com/view-property/223098/13DEBC94C202989E1A0395041FBACF3F7D215C46317A5F4490570FD978D08DAD</v>
      </c>
      <c r="I5641" t="str">
        <f>HYPERLINK("https://baanknet.com/view-property/223098/13DEBC94C202989E1A0395041FBACF3F7D215C46317A5F4490570FD978D08DAD", "Open")</f>
        <v>Open</v>
      </c>
      <c r="J5641" t="s">
        <v>3803</v>
      </c>
      <c r="L5641">
        <v>1780000</v>
      </c>
      <c r="M5641">
        <v>178000</v>
      </c>
    </row>
    <row r="5642" spans="1:13" x14ac:dyDescent="0.25">
      <c r="A5642" t="s">
        <v>18678</v>
      </c>
      <c r="B5642" t="s">
        <v>18679</v>
      </c>
      <c r="C5642" t="s">
        <v>571</v>
      </c>
      <c r="D5642" t="s">
        <v>1246</v>
      </c>
      <c r="E5642" t="s">
        <v>18665</v>
      </c>
      <c r="F5642" t="s">
        <v>18680</v>
      </c>
      <c r="G5642" t="s">
        <v>18681</v>
      </c>
      <c r="H5642" t="str">
        <f>HYPERLINK("https://baanknet.com/view-property/286330/12F9F7A5699095B987F99E334770084BF774ABE1705635D10532A0B160B99A82", "https://baanknet.com/view-property/286330/12F9F7A5699095B987F99E334770084BF774ABE1705635D10532A0B160B99A82")</f>
        <v>https://baanknet.com/view-property/286330/12F9F7A5699095B987F99E334770084BF774ABE1705635D10532A0B160B99A82</v>
      </c>
      <c r="I5642" t="str">
        <f>HYPERLINK("https://baanknet.com/view-property/286330/12F9F7A5699095B987F99E334770084BF774ABE1705635D10532A0B160B99A82", "Open")</f>
        <v>Open</v>
      </c>
      <c r="J5642" t="s">
        <v>3803</v>
      </c>
      <c r="L5642">
        <v>5500000</v>
      </c>
      <c r="M5642">
        <v>550000</v>
      </c>
    </row>
    <row r="5643" spans="1:13" x14ac:dyDescent="0.25">
      <c r="A5643" t="s">
        <v>18682</v>
      </c>
      <c r="B5643" t="s">
        <v>18683</v>
      </c>
      <c r="C5643" t="s">
        <v>571</v>
      </c>
      <c r="D5643" t="s">
        <v>18684</v>
      </c>
      <c r="E5643" t="s">
        <v>18665</v>
      </c>
      <c r="F5643" t="s">
        <v>18680</v>
      </c>
      <c r="G5643" t="s">
        <v>18685</v>
      </c>
      <c r="H5643" t="str">
        <f>HYPERLINK("https://baanknet.com/view-property/286147/5AA5C525BC866B6E3E9F40F57299803211E69E00DD9178384283E77DCFADA52D", "https://baanknet.com/view-property/286147/5AA5C525BC866B6E3E9F40F57299803211E69E00DD9178384283E77DCFADA52D")</f>
        <v>https://baanknet.com/view-property/286147/5AA5C525BC866B6E3E9F40F57299803211E69E00DD9178384283E77DCFADA52D</v>
      </c>
      <c r="I5643" t="str">
        <f>HYPERLINK("https://baanknet.com/view-property/286147/5AA5C525BC866B6E3E9F40F57299803211E69E00DD9178384283E77DCFADA52D", "Open")</f>
        <v>Open</v>
      </c>
      <c r="J5643" t="s">
        <v>3803</v>
      </c>
      <c r="L5643">
        <v>4632000</v>
      </c>
      <c r="M5643">
        <v>463200</v>
      </c>
    </row>
    <row r="5644" spans="1:13" x14ac:dyDescent="0.25">
      <c r="A5644" t="s">
        <v>18686</v>
      </c>
      <c r="B5644" t="s">
        <v>18687</v>
      </c>
      <c r="C5644" t="s">
        <v>332</v>
      </c>
      <c r="D5644" t="s">
        <v>18688</v>
      </c>
      <c r="E5644" t="s">
        <v>18665</v>
      </c>
      <c r="F5644" t="s">
        <v>18680</v>
      </c>
      <c r="G5644" t="s">
        <v>18689</v>
      </c>
      <c r="H5644" t="str">
        <f>HYPERLINK("https://baanknet.com/view-property/278180/886B904F016075B5FD50F442FB1461408924E2A323AED83B383E1D77DC3189C5", "https://baanknet.com/view-property/278180/886B904F016075B5FD50F442FB1461408924E2A323AED83B383E1D77DC3189C5")</f>
        <v>https://baanknet.com/view-property/278180/886B904F016075B5FD50F442FB1461408924E2A323AED83B383E1D77DC3189C5</v>
      </c>
      <c r="I5644" t="str">
        <f>HYPERLINK("https://baanknet.com/view-property/278180/886B904F016075B5FD50F442FB1461408924E2A323AED83B383E1D77DC3189C5", "Open")</f>
        <v>Open</v>
      </c>
      <c r="J5644" t="s">
        <v>3803</v>
      </c>
      <c r="L5644">
        <v>10400000</v>
      </c>
      <c r="M5644">
        <v>1040000</v>
      </c>
    </row>
    <row r="5645" spans="1:13" x14ac:dyDescent="0.25">
      <c r="A5645" t="s">
        <v>18690</v>
      </c>
      <c r="B5645" t="s">
        <v>18691</v>
      </c>
      <c r="C5645" t="s">
        <v>121</v>
      </c>
      <c r="D5645" t="s">
        <v>18692</v>
      </c>
      <c r="E5645" t="s">
        <v>18665</v>
      </c>
      <c r="F5645" t="s">
        <v>18680</v>
      </c>
      <c r="G5645" t="s">
        <v>18693</v>
      </c>
      <c r="H5645" t="str">
        <f>HYPERLINK("https://baanknet.com/view-property/262305/428D9BCC17255E242770B68E490D6B67F7F8A931F4266058BE9DD73747D3719F", "https://baanknet.com/view-property/262305/428D9BCC17255E242770B68E490D6B67F7F8A931F4266058BE9DD73747D3719F")</f>
        <v>https://baanknet.com/view-property/262305/428D9BCC17255E242770B68E490D6B67F7F8A931F4266058BE9DD73747D3719F</v>
      </c>
      <c r="I5645" t="str">
        <f>HYPERLINK("https://baanknet.com/view-property/262305/428D9BCC17255E242770B68E490D6B67F7F8A931F4266058BE9DD73747D3719F", "Open")</f>
        <v>Open</v>
      </c>
      <c r="J5645" t="s">
        <v>3803</v>
      </c>
      <c r="L5645">
        <v>15000000</v>
      </c>
      <c r="M5645">
        <v>1500000</v>
      </c>
    </row>
    <row r="5646" spans="1:13" x14ac:dyDescent="0.25">
      <c r="A5646" t="s">
        <v>18694</v>
      </c>
      <c r="B5646" t="s">
        <v>18695</v>
      </c>
      <c r="C5646" t="s">
        <v>121</v>
      </c>
      <c r="D5646" t="s">
        <v>11438</v>
      </c>
      <c r="E5646" t="s">
        <v>18665</v>
      </c>
      <c r="F5646" t="s">
        <v>18680</v>
      </c>
      <c r="G5646" t="s">
        <v>18696</v>
      </c>
      <c r="H5646" t="str">
        <f>HYPERLINK("https://baanknet.com/view-property/286659/634DEF9DA7F78D3CC48B9B6E9503ACB771FCADBFDA69252D9A7CC8F441D6208F", "https://baanknet.com/view-property/286659/634DEF9DA7F78D3CC48B9B6E9503ACB771FCADBFDA69252D9A7CC8F441D6208F")</f>
        <v>https://baanknet.com/view-property/286659/634DEF9DA7F78D3CC48B9B6E9503ACB771FCADBFDA69252D9A7CC8F441D6208F</v>
      </c>
      <c r="I5646" t="str">
        <f>HYPERLINK("https://baanknet.com/view-property/286659/634DEF9DA7F78D3CC48B9B6E9503ACB771FCADBFDA69252D9A7CC8F441D6208F", "Open")</f>
        <v>Open</v>
      </c>
      <c r="J5646" t="s">
        <v>3803</v>
      </c>
      <c r="L5646">
        <v>6120000</v>
      </c>
      <c r="M5646">
        <v>612000</v>
      </c>
    </row>
    <row r="5647" spans="1:13" x14ac:dyDescent="0.25">
      <c r="A5647" t="s">
        <v>18697</v>
      </c>
      <c r="B5647" t="s">
        <v>18698</v>
      </c>
      <c r="C5647" t="s">
        <v>121</v>
      </c>
      <c r="D5647" t="s">
        <v>11438</v>
      </c>
      <c r="E5647" t="s">
        <v>18665</v>
      </c>
      <c r="F5647" t="s">
        <v>18680</v>
      </c>
      <c r="G5647" t="s">
        <v>18699</v>
      </c>
      <c r="H5647" t="str">
        <f>HYPERLINK("https://baanknet.com/view-property/286654/2768DCB6816B96720D832DB5B323D48B45501BBD9AF5874C4102F48F266B7157", "https://baanknet.com/view-property/286654/2768DCB6816B96720D832DB5B323D48B45501BBD9AF5874C4102F48F266B7157")</f>
        <v>https://baanknet.com/view-property/286654/2768DCB6816B96720D832DB5B323D48B45501BBD9AF5874C4102F48F266B7157</v>
      </c>
      <c r="I5647" t="str">
        <f>HYPERLINK("https://baanknet.com/view-property/286654/2768DCB6816B96720D832DB5B323D48B45501BBD9AF5874C4102F48F266B7157", "Open")</f>
        <v>Open</v>
      </c>
      <c r="J5647" t="s">
        <v>3803</v>
      </c>
      <c r="L5647">
        <v>33000000</v>
      </c>
      <c r="M5647">
        <v>3300000</v>
      </c>
    </row>
    <row r="5648" spans="1:13" x14ac:dyDescent="0.25">
      <c r="A5648" t="s">
        <v>18700</v>
      </c>
      <c r="B5648" t="s">
        <v>18701</v>
      </c>
      <c r="C5648" t="s">
        <v>121</v>
      </c>
      <c r="D5648" t="s">
        <v>11438</v>
      </c>
      <c r="E5648" t="s">
        <v>18665</v>
      </c>
      <c r="F5648" t="s">
        <v>18680</v>
      </c>
      <c r="G5648" t="s">
        <v>18702</v>
      </c>
      <c r="H5648" t="str">
        <f>HYPERLINK("https://baanknet.com/view-property/286648/1694ECF8DBE96340BE89D67A77380A3D71BFFC1B3F94281BCA9A48354ABB07D3", "https://baanknet.com/view-property/286648/1694ECF8DBE96340BE89D67A77380A3D71BFFC1B3F94281BCA9A48354ABB07D3")</f>
        <v>https://baanknet.com/view-property/286648/1694ECF8DBE96340BE89D67A77380A3D71BFFC1B3F94281BCA9A48354ABB07D3</v>
      </c>
      <c r="I5648" t="str">
        <f>HYPERLINK("https://baanknet.com/view-property/286648/1694ECF8DBE96340BE89D67A77380A3D71BFFC1B3F94281BCA9A48354ABB07D3", "Open")</f>
        <v>Open</v>
      </c>
      <c r="J5648" t="s">
        <v>3803</v>
      </c>
      <c r="L5648">
        <v>25500000</v>
      </c>
      <c r="M5648">
        <v>2550000</v>
      </c>
    </row>
    <row r="5649" spans="1:13" x14ac:dyDescent="0.25">
      <c r="A5649" t="s">
        <v>18703</v>
      </c>
      <c r="B5649" t="s">
        <v>18704</v>
      </c>
      <c r="C5649" t="s">
        <v>121</v>
      </c>
      <c r="D5649" t="s">
        <v>18705</v>
      </c>
      <c r="E5649" t="s">
        <v>18665</v>
      </c>
      <c r="F5649" t="s">
        <v>18680</v>
      </c>
      <c r="G5649" t="s">
        <v>18706</v>
      </c>
      <c r="H5649" t="str">
        <f>HYPERLINK("https://baanknet.com/view-property/255701/9A3294640B6888A714C74038981D01751D55EC9BE26BBFD3919175CCA048541F", "https://baanknet.com/view-property/255701/9A3294640B6888A714C74038981D01751D55EC9BE26BBFD3919175CCA048541F")</f>
        <v>https://baanknet.com/view-property/255701/9A3294640B6888A714C74038981D01751D55EC9BE26BBFD3919175CCA048541F</v>
      </c>
      <c r="I5649" t="str">
        <f>HYPERLINK("https://baanknet.com/view-property/255701/9A3294640B6888A714C74038981D01751D55EC9BE26BBFD3919175CCA048541F", "Open")</f>
        <v>Open</v>
      </c>
      <c r="J5649" t="s">
        <v>3803</v>
      </c>
      <c r="L5649">
        <v>13100000</v>
      </c>
      <c r="M5649">
        <v>1310000</v>
      </c>
    </row>
    <row r="5650" spans="1:13" x14ac:dyDescent="0.25">
      <c r="A5650" t="s">
        <v>18707</v>
      </c>
      <c r="B5650" t="s">
        <v>18708</v>
      </c>
      <c r="C5650" t="s">
        <v>121</v>
      </c>
      <c r="D5650" t="s">
        <v>3460</v>
      </c>
      <c r="E5650" t="s">
        <v>18665</v>
      </c>
      <c r="F5650" t="s">
        <v>18680</v>
      </c>
      <c r="G5650" t="s">
        <v>18709</v>
      </c>
      <c r="H5650" t="str">
        <f>HYPERLINK("https://baanknet.com/view-property/212610/203FD801AD21ECDFB3F6EB976AC7A06AF65F8822A0019C6CC277E0A60297C834", "https://baanknet.com/view-property/212610/203FD801AD21ECDFB3F6EB976AC7A06AF65F8822A0019C6CC277E0A60297C834")</f>
        <v>https://baanknet.com/view-property/212610/203FD801AD21ECDFB3F6EB976AC7A06AF65F8822A0019C6CC277E0A60297C834</v>
      </c>
      <c r="I5650" t="str">
        <f>HYPERLINK("https://baanknet.com/view-property/212610/203FD801AD21ECDFB3F6EB976AC7A06AF65F8822A0019C6CC277E0A60297C834", "Open")</f>
        <v>Open</v>
      </c>
      <c r="J5650" t="s">
        <v>3803</v>
      </c>
      <c r="L5650">
        <v>2960000</v>
      </c>
      <c r="M5650">
        <v>296000</v>
      </c>
    </row>
    <row r="5651" spans="1:13" x14ac:dyDescent="0.25">
      <c r="A5651" t="s">
        <v>18710</v>
      </c>
      <c r="B5651" t="s">
        <v>18711</v>
      </c>
      <c r="C5651" t="s">
        <v>121</v>
      </c>
      <c r="D5651" t="s">
        <v>10665</v>
      </c>
      <c r="E5651" t="s">
        <v>18665</v>
      </c>
      <c r="F5651" t="s">
        <v>18680</v>
      </c>
      <c r="G5651" t="s">
        <v>18712</v>
      </c>
      <c r="H5651" t="str">
        <f>HYPERLINK("https://baanknet.com/view-property/202892/376B38160D2E99EF5982F37E582EB588A5B122036562A558F800EEFC928B8A8C", "https://baanknet.com/view-property/202892/376B38160D2E99EF5982F37E582EB588A5B122036562A558F800EEFC928B8A8C")</f>
        <v>https://baanknet.com/view-property/202892/376B38160D2E99EF5982F37E582EB588A5B122036562A558F800EEFC928B8A8C</v>
      </c>
      <c r="I5651" t="str">
        <f>HYPERLINK("https://baanknet.com/view-property/202892/376B38160D2E99EF5982F37E582EB588A5B122036562A558F800EEFC928B8A8C", "Open")</f>
        <v>Open</v>
      </c>
      <c r="J5651" t="s">
        <v>3803</v>
      </c>
      <c r="L5651">
        <v>4631000</v>
      </c>
      <c r="M5651">
        <v>463100</v>
      </c>
    </row>
    <row r="5652" spans="1:13" x14ac:dyDescent="0.25">
      <c r="A5652" t="s">
        <v>18713</v>
      </c>
      <c r="B5652" t="s">
        <v>18714</v>
      </c>
      <c r="C5652" t="s">
        <v>121</v>
      </c>
      <c r="D5652" t="s">
        <v>750</v>
      </c>
      <c r="E5652" t="s">
        <v>18665</v>
      </c>
      <c r="F5652" t="s">
        <v>18680</v>
      </c>
      <c r="G5652" t="s">
        <v>18715</v>
      </c>
      <c r="H5652" t="str">
        <f>HYPERLINK("https://baanknet.com/view-property/231926/5B85C8007D6951B13E5C1B6A14D4C9AC3794916A055FFDE756BFD463A312B9E9", "https://baanknet.com/view-property/231926/5B85C8007D6951B13E5C1B6A14D4C9AC3794916A055FFDE756BFD463A312B9E9")</f>
        <v>https://baanknet.com/view-property/231926/5B85C8007D6951B13E5C1B6A14D4C9AC3794916A055FFDE756BFD463A312B9E9</v>
      </c>
      <c r="I5652" t="str">
        <f>HYPERLINK("https://baanknet.com/view-property/231926/5B85C8007D6951B13E5C1B6A14D4C9AC3794916A055FFDE756BFD463A312B9E9", "Open")</f>
        <v>Open</v>
      </c>
      <c r="J5652" t="s">
        <v>3803</v>
      </c>
      <c r="L5652">
        <v>2304000</v>
      </c>
      <c r="M5652">
        <v>230400</v>
      </c>
    </row>
    <row r="5653" spans="1:13" x14ac:dyDescent="0.25">
      <c r="A5653" t="s">
        <v>18716</v>
      </c>
      <c r="B5653" t="s">
        <v>18717</v>
      </c>
      <c r="C5653" t="s">
        <v>121</v>
      </c>
      <c r="D5653" t="s">
        <v>10665</v>
      </c>
      <c r="E5653" t="s">
        <v>18665</v>
      </c>
      <c r="F5653" t="s">
        <v>18680</v>
      </c>
      <c r="G5653" t="s">
        <v>18718</v>
      </c>
      <c r="H5653" t="str">
        <f>HYPERLINK("https://baanknet.com/view-property/278119/413148A02BF2A6C3A48A6F6D70672C32E4210A11A1EF8C6E8842AA42767442AE", "https://baanknet.com/view-property/278119/413148A02BF2A6C3A48A6F6D70672C32E4210A11A1EF8C6E8842AA42767442AE")</f>
        <v>https://baanknet.com/view-property/278119/413148A02BF2A6C3A48A6F6D70672C32E4210A11A1EF8C6E8842AA42767442AE</v>
      </c>
      <c r="I5653" t="str">
        <f>HYPERLINK("https://baanknet.com/view-property/278119/413148A02BF2A6C3A48A6F6D70672C32E4210A11A1EF8C6E8842AA42767442AE", "Open")</f>
        <v>Open</v>
      </c>
      <c r="J5653" t="s">
        <v>3803</v>
      </c>
      <c r="L5653">
        <v>4000000</v>
      </c>
      <c r="M5653">
        <v>400000</v>
      </c>
    </row>
    <row r="5654" spans="1:13" x14ac:dyDescent="0.25">
      <c r="A5654" t="s">
        <v>18719</v>
      </c>
      <c r="B5654" t="s">
        <v>18720</v>
      </c>
      <c r="C5654" t="s">
        <v>121</v>
      </c>
      <c r="D5654" t="s">
        <v>750</v>
      </c>
      <c r="E5654" t="s">
        <v>18665</v>
      </c>
      <c r="F5654" t="s">
        <v>18680</v>
      </c>
      <c r="G5654" t="s">
        <v>18721</v>
      </c>
      <c r="H5654" t="str">
        <f>HYPERLINK("https://baanknet.com/view-property/231943/152B8C61AF4B10EBA170555996BDD669E6A5D7DBB5A743EB3C0C800C0B12B2F3", "https://baanknet.com/view-property/231943/152B8C61AF4B10EBA170555996BDD669E6A5D7DBB5A743EB3C0C800C0B12B2F3")</f>
        <v>https://baanknet.com/view-property/231943/152B8C61AF4B10EBA170555996BDD669E6A5D7DBB5A743EB3C0C800C0B12B2F3</v>
      </c>
      <c r="I5654" t="str">
        <f>HYPERLINK("https://baanknet.com/view-property/231943/152B8C61AF4B10EBA170555996BDD669E6A5D7DBB5A743EB3C0C800C0B12B2F3", "Open")</f>
        <v>Open</v>
      </c>
      <c r="J5654" t="s">
        <v>3803</v>
      </c>
      <c r="L5654">
        <v>2270000</v>
      </c>
      <c r="M5654">
        <v>227000</v>
      </c>
    </row>
    <row r="5655" spans="1:13" x14ac:dyDescent="0.25">
      <c r="A5655" t="s">
        <v>18722</v>
      </c>
      <c r="B5655" t="s">
        <v>18723</v>
      </c>
      <c r="C5655" t="s">
        <v>121</v>
      </c>
      <c r="D5655" t="s">
        <v>750</v>
      </c>
      <c r="E5655" t="s">
        <v>18665</v>
      </c>
      <c r="F5655" t="s">
        <v>18680</v>
      </c>
      <c r="G5655" t="s">
        <v>18724</v>
      </c>
      <c r="H5655" t="str">
        <f>HYPERLINK("https://baanknet.com/view-property/231935/430E5705D0253ABC9B801BF18A5FE74F3C1F662BAD2012999F33BD3334DCE94F", "https://baanknet.com/view-property/231935/430E5705D0253ABC9B801BF18A5FE74F3C1F662BAD2012999F33BD3334DCE94F")</f>
        <v>https://baanknet.com/view-property/231935/430E5705D0253ABC9B801BF18A5FE74F3C1F662BAD2012999F33BD3334DCE94F</v>
      </c>
      <c r="I5655" t="str">
        <f>HYPERLINK("https://baanknet.com/view-property/231935/430E5705D0253ABC9B801BF18A5FE74F3C1F662BAD2012999F33BD3334DCE94F", "Open")</f>
        <v>Open</v>
      </c>
      <c r="J5655" t="s">
        <v>3803</v>
      </c>
      <c r="L5655">
        <v>4500000</v>
      </c>
      <c r="M5655">
        <v>450000</v>
      </c>
    </row>
    <row r="5656" spans="1:13" x14ac:dyDescent="0.25">
      <c r="A5656" t="s">
        <v>18725</v>
      </c>
      <c r="B5656" t="s">
        <v>18726</v>
      </c>
      <c r="C5656" t="s">
        <v>121</v>
      </c>
      <c r="D5656" t="s">
        <v>750</v>
      </c>
      <c r="E5656" t="s">
        <v>18665</v>
      </c>
      <c r="F5656" t="s">
        <v>18680</v>
      </c>
      <c r="G5656" t="s">
        <v>18727</v>
      </c>
      <c r="H5656" t="str">
        <f>HYPERLINK("https://baanknet.com/view-property/231923/E9A6C1D647F855E35BEE208B3A18A16729BEFFF6A89ABB1A09D92BABA18A4BE1", "https://baanknet.com/view-property/231923/E9A6C1D647F855E35BEE208B3A18A16729BEFFF6A89ABB1A09D92BABA18A4BE1")</f>
        <v>https://baanknet.com/view-property/231923/E9A6C1D647F855E35BEE208B3A18A16729BEFFF6A89ABB1A09D92BABA18A4BE1</v>
      </c>
      <c r="I5656" t="str">
        <f>HYPERLINK("https://baanknet.com/view-property/231923/E9A6C1D647F855E35BEE208B3A18A16729BEFFF6A89ABB1A09D92BABA18A4BE1", "Open")</f>
        <v>Open</v>
      </c>
      <c r="J5656" t="s">
        <v>3803</v>
      </c>
      <c r="L5656">
        <v>2000000</v>
      </c>
      <c r="M5656">
        <v>200000</v>
      </c>
    </row>
    <row r="5657" spans="1:13" x14ac:dyDescent="0.25">
      <c r="A5657" t="s">
        <v>18728</v>
      </c>
      <c r="B5657" t="s">
        <v>18729</v>
      </c>
      <c r="C5657" t="s">
        <v>121</v>
      </c>
      <c r="D5657" t="s">
        <v>8815</v>
      </c>
      <c r="E5657" t="s">
        <v>18665</v>
      </c>
      <c r="F5657" t="s">
        <v>18680</v>
      </c>
      <c r="G5657" t="s">
        <v>18730</v>
      </c>
      <c r="H5657" t="str">
        <f>HYPERLINK("https://baanknet.com/view-property/287634/6518AEEAEAE92CE4C580B48DC76554AAF87F1316189BCF8DF23955281DB02F62", "https://baanknet.com/view-property/287634/6518AEEAEAE92CE4C580B48DC76554AAF87F1316189BCF8DF23955281DB02F62")</f>
        <v>https://baanknet.com/view-property/287634/6518AEEAEAE92CE4C580B48DC76554AAF87F1316189BCF8DF23955281DB02F62</v>
      </c>
      <c r="I5657" t="str">
        <f>HYPERLINK("https://baanknet.com/view-property/287634/6518AEEAEAE92CE4C580B48DC76554AAF87F1316189BCF8DF23955281DB02F62", "Open")</f>
        <v>Open</v>
      </c>
      <c r="J5657" t="s">
        <v>3803</v>
      </c>
      <c r="L5657">
        <v>6725000</v>
      </c>
      <c r="M5657">
        <v>672500</v>
      </c>
    </row>
    <row r="5658" spans="1:13" x14ac:dyDescent="0.25">
      <c r="A5658" t="s">
        <v>18731</v>
      </c>
      <c r="B5658" t="s">
        <v>18732</v>
      </c>
      <c r="C5658" t="s">
        <v>121</v>
      </c>
      <c r="D5658" t="s">
        <v>3460</v>
      </c>
      <c r="E5658" t="s">
        <v>18665</v>
      </c>
      <c r="F5658" t="s">
        <v>18680</v>
      </c>
      <c r="G5658" t="s">
        <v>18733</v>
      </c>
      <c r="H5658" t="str">
        <f>HYPERLINK("https://baanknet.com/view-property/262631/31F6E2D3C7061B0E42EB2F024C8BF4C37C6325F9533802FA6BB21F9148C680CA", "https://baanknet.com/view-property/262631/31F6E2D3C7061B0E42EB2F024C8BF4C37C6325F9533802FA6BB21F9148C680CA")</f>
        <v>https://baanknet.com/view-property/262631/31F6E2D3C7061B0E42EB2F024C8BF4C37C6325F9533802FA6BB21F9148C680CA</v>
      </c>
      <c r="I5658" t="str">
        <f>HYPERLINK("https://baanknet.com/view-property/262631/31F6E2D3C7061B0E42EB2F024C8BF4C37C6325F9533802FA6BB21F9148C680CA", "Open")</f>
        <v>Open</v>
      </c>
      <c r="J5658" t="s">
        <v>3803</v>
      </c>
      <c r="L5658">
        <v>4140000</v>
      </c>
      <c r="M5658">
        <v>414000</v>
      </c>
    </row>
    <row r="5659" spans="1:13" x14ac:dyDescent="0.25">
      <c r="A5659" t="s">
        <v>18734</v>
      </c>
      <c r="B5659" t="s">
        <v>18735</v>
      </c>
      <c r="C5659" t="s">
        <v>121</v>
      </c>
      <c r="D5659" t="s">
        <v>3460</v>
      </c>
      <c r="E5659" t="s">
        <v>18665</v>
      </c>
      <c r="F5659" t="s">
        <v>18680</v>
      </c>
      <c r="G5659" t="s">
        <v>18736</v>
      </c>
      <c r="H5659" t="str">
        <f>HYPERLINK("https://baanknet.com/view-property/262632/2867BD28147C4BC03FF2A0F04C60FDA3CDEF30722AEFEC4DC4EB4DBD8AB607C6", "https://baanknet.com/view-property/262632/2867BD28147C4BC03FF2A0F04C60FDA3CDEF30722AEFEC4DC4EB4DBD8AB607C6")</f>
        <v>https://baanknet.com/view-property/262632/2867BD28147C4BC03FF2A0F04C60FDA3CDEF30722AEFEC4DC4EB4DBD8AB607C6</v>
      </c>
      <c r="I5659" t="str">
        <f>HYPERLINK("https://baanknet.com/view-property/262632/2867BD28147C4BC03FF2A0F04C60FDA3CDEF30722AEFEC4DC4EB4DBD8AB607C6", "Open")</f>
        <v>Open</v>
      </c>
      <c r="J5659" t="s">
        <v>3803</v>
      </c>
      <c r="L5659">
        <v>4140000</v>
      </c>
      <c r="M5659">
        <v>414000</v>
      </c>
    </row>
    <row r="5660" spans="1:13" x14ac:dyDescent="0.25">
      <c r="A5660" t="s">
        <v>18737</v>
      </c>
      <c r="B5660" t="s">
        <v>18738</v>
      </c>
      <c r="C5660" t="s">
        <v>121</v>
      </c>
      <c r="D5660" t="s">
        <v>3460</v>
      </c>
      <c r="E5660" t="s">
        <v>18665</v>
      </c>
      <c r="F5660" t="s">
        <v>18680</v>
      </c>
      <c r="G5660" t="s">
        <v>18739</v>
      </c>
      <c r="H5660" t="str">
        <f>HYPERLINK("https://baanknet.com/view-property/262633/DB2973598317A3A834323C329BCE3784043A14F735A1185F54DE6709D22978C8", "https://baanknet.com/view-property/262633/DB2973598317A3A834323C329BCE3784043A14F735A1185F54DE6709D22978C8")</f>
        <v>https://baanknet.com/view-property/262633/DB2973598317A3A834323C329BCE3784043A14F735A1185F54DE6709D22978C8</v>
      </c>
      <c r="I5660" t="str">
        <f>HYPERLINK("https://baanknet.com/view-property/262633/DB2973598317A3A834323C329BCE3784043A14F735A1185F54DE6709D22978C8", "Open")</f>
        <v>Open</v>
      </c>
      <c r="J5660" t="s">
        <v>3803</v>
      </c>
      <c r="L5660">
        <v>4140000</v>
      </c>
      <c r="M5660">
        <v>414000</v>
      </c>
    </row>
    <row r="5661" spans="1:13" x14ac:dyDescent="0.25">
      <c r="A5661" t="s">
        <v>18740</v>
      </c>
      <c r="B5661" t="s">
        <v>18741</v>
      </c>
      <c r="C5661" t="s">
        <v>121</v>
      </c>
      <c r="D5661" t="s">
        <v>3460</v>
      </c>
      <c r="E5661" t="s">
        <v>18665</v>
      </c>
      <c r="F5661" t="s">
        <v>18680</v>
      </c>
      <c r="G5661" t="s">
        <v>18742</v>
      </c>
      <c r="H5661" t="str">
        <f>HYPERLINK("https://baanknet.com/view-property/262634/65BDD1A97E5410F594FC96654CD7425106FE095206A1CCDF6B302270B33846B3", "https://baanknet.com/view-property/262634/65BDD1A97E5410F594FC96654CD7425106FE095206A1CCDF6B302270B33846B3")</f>
        <v>https://baanknet.com/view-property/262634/65BDD1A97E5410F594FC96654CD7425106FE095206A1CCDF6B302270B33846B3</v>
      </c>
      <c r="I5661" t="str">
        <f>HYPERLINK("https://baanknet.com/view-property/262634/65BDD1A97E5410F594FC96654CD7425106FE095206A1CCDF6B302270B33846B3", "Open")</f>
        <v>Open</v>
      </c>
      <c r="J5661" t="s">
        <v>3803</v>
      </c>
      <c r="L5661">
        <v>4140000</v>
      </c>
      <c r="M5661">
        <v>414000</v>
      </c>
    </row>
    <row r="5662" spans="1:13" x14ac:dyDescent="0.25">
      <c r="A5662" t="s">
        <v>18743</v>
      </c>
      <c r="B5662" t="s">
        <v>18744</v>
      </c>
      <c r="C5662" t="s">
        <v>121</v>
      </c>
      <c r="D5662" t="s">
        <v>3496</v>
      </c>
      <c r="E5662" t="s">
        <v>18665</v>
      </c>
      <c r="F5662" t="s">
        <v>18680</v>
      </c>
      <c r="G5662" t="s">
        <v>18745</v>
      </c>
      <c r="H5662" t="str">
        <f>HYPERLINK("https://baanknet.com/view-property/237626/F2F7D94D99B6ABA6B00CCC98E5115B2AB90C1E90CF94483496EDEEBDAC91D819", "https://baanknet.com/view-property/237626/F2F7D94D99B6ABA6B00CCC98E5115B2AB90C1E90CF94483496EDEEBDAC91D819")</f>
        <v>https://baanknet.com/view-property/237626/F2F7D94D99B6ABA6B00CCC98E5115B2AB90C1E90CF94483496EDEEBDAC91D819</v>
      </c>
      <c r="I5662" t="str">
        <f>HYPERLINK("https://baanknet.com/view-property/237626/F2F7D94D99B6ABA6B00CCC98E5115B2AB90C1E90CF94483496EDEEBDAC91D819", "Open")</f>
        <v>Open</v>
      </c>
      <c r="J5662" t="s">
        <v>3803</v>
      </c>
      <c r="L5662">
        <v>4200000</v>
      </c>
      <c r="M5662">
        <v>420000</v>
      </c>
    </row>
    <row r="5663" spans="1:13" x14ac:dyDescent="0.25">
      <c r="A5663" t="s">
        <v>18746</v>
      </c>
      <c r="B5663" t="s">
        <v>18747</v>
      </c>
      <c r="C5663" t="s">
        <v>121</v>
      </c>
      <c r="D5663" t="s">
        <v>3460</v>
      </c>
      <c r="E5663" t="s">
        <v>18665</v>
      </c>
      <c r="F5663" t="s">
        <v>18680</v>
      </c>
      <c r="G5663" t="s">
        <v>18748</v>
      </c>
      <c r="H5663" t="str">
        <f>HYPERLINK("https://baanknet.com/view-property/262635/953E79214A2EAF4850AC5EE57BD06671FFE08877F42B46F3FEF2253F2ED16334", "https://baanknet.com/view-property/262635/953E79214A2EAF4850AC5EE57BD06671FFE08877F42B46F3FEF2253F2ED16334")</f>
        <v>https://baanknet.com/view-property/262635/953E79214A2EAF4850AC5EE57BD06671FFE08877F42B46F3FEF2253F2ED16334</v>
      </c>
      <c r="I5663" t="str">
        <f>HYPERLINK("https://baanknet.com/view-property/262635/953E79214A2EAF4850AC5EE57BD06671FFE08877F42B46F3FEF2253F2ED16334", "Open")</f>
        <v>Open</v>
      </c>
      <c r="J5663" t="s">
        <v>3803</v>
      </c>
      <c r="L5663">
        <v>4050000</v>
      </c>
      <c r="M5663">
        <v>405000</v>
      </c>
    </row>
    <row r="5664" spans="1:13" x14ac:dyDescent="0.25">
      <c r="A5664" t="s">
        <v>18749</v>
      </c>
      <c r="B5664" t="s">
        <v>18750</v>
      </c>
      <c r="C5664" t="s">
        <v>121</v>
      </c>
      <c r="D5664" t="s">
        <v>10678</v>
      </c>
      <c r="E5664" t="s">
        <v>18665</v>
      </c>
      <c r="F5664" t="s">
        <v>18680</v>
      </c>
      <c r="G5664" t="s">
        <v>18751</v>
      </c>
      <c r="H5664" t="str">
        <f>HYPERLINK("https://baanknet.com/view-property/216884/3A940667DEBCB968C91D07EB4002FA1837DCB1FB3B78CE135CFF7CC1C1256C28", "https://baanknet.com/view-property/216884/3A940667DEBCB968C91D07EB4002FA1837DCB1FB3B78CE135CFF7CC1C1256C28")</f>
        <v>https://baanknet.com/view-property/216884/3A940667DEBCB968C91D07EB4002FA1837DCB1FB3B78CE135CFF7CC1C1256C28</v>
      </c>
      <c r="I5664" t="str">
        <f>HYPERLINK("https://baanknet.com/view-property/216884/3A940667DEBCB968C91D07EB4002FA1837DCB1FB3B78CE135CFF7CC1C1256C28", "Open")</f>
        <v>Open</v>
      </c>
      <c r="J5664" t="s">
        <v>3803</v>
      </c>
      <c r="L5664">
        <v>3850000</v>
      </c>
      <c r="M5664">
        <v>385000</v>
      </c>
    </row>
    <row r="5665" spans="1:13" x14ac:dyDescent="0.25">
      <c r="A5665" t="s">
        <v>18752</v>
      </c>
      <c r="B5665" t="s">
        <v>18753</v>
      </c>
      <c r="C5665" t="s">
        <v>121</v>
      </c>
      <c r="D5665" t="s">
        <v>18754</v>
      </c>
      <c r="E5665" t="s">
        <v>18665</v>
      </c>
      <c r="F5665" t="s">
        <v>18680</v>
      </c>
      <c r="G5665" t="s">
        <v>18755</v>
      </c>
      <c r="H5665" t="str">
        <f>HYPERLINK("https://baanknet.com/view-property/179290/537BB4A053CBEA4EAE317F597DF79E6E02DF598670495D7CDA947491CCF52007", "https://baanknet.com/view-property/179290/537BB4A053CBEA4EAE317F597DF79E6E02DF598670495D7CDA947491CCF52007")</f>
        <v>https://baanknet.com/view-property/179290/537BB4A053CBEA4EAE317F597DF79E6E02DF598670495D7CDA947491CCF52007</v>
      </c>
      <c r="I5665" t="str">
        <f>HYPERLINK("https://baanknet.com/view-property/179290/537BB4A053CBEA4EAE317F597DF79E6E02DF598670495D7CDA947491CCF52007", "Open")</f>
        <v>Open</v>
      </c>
      <c r="J5665" t="s">
        <v>3803</v>
      </c>
      <c r="L5665">
        <v>5265000</v>
      </c>
      <c r="M5665">
        <v>526500</v>
      </c>
    </row>
    <row r="5666" spans="1:13" x14ac:dyDescent="0.25">
      <c r="A5666" t="s">
        <v>18756</v>
      </c>
      <c r="B5666" t="s">
        <v>18757</v>
      </c>
      <c r="C5666" t="s">
        <v>121</v>
      </c>
      <c r="D5666" t="s">
        <v>393</v>
      </c>
      <c r="E5666" t="s">
        <v>18665</v>
      </c>
      <c r="F5666" t="s">
        <v>18680</v>
      </c>
      <c r="G5666" t="s">
        <v>18758</v>
      </c>
      <c r="H5666" t="str">
        <f>HYPERLINK("https://baanknet.com/view-property/281500/3FA9FB362542F7529C01B452114F6502E3DB60EE94DD957B091A32B7D70E9567", "https://baanknet.com/view-property/281500/3FA9FB362542F7529C01B452114F6502E3DB60EE94DD957B091A32B7D70E9567")</f>
        <v>https://baanknet.com/view-property/281500/3FA9FB362542F7529C01B452114F6502E3DB60EE94DD957B091A32B7D70E9567</v>
      </c>
      <c r="I5666" t="str">
        <f>HYPERLINK("https://baanknet.com/view-property/281500/3FA9FB362542F7529C01B452114F6502E3DB60EE94DD957B091A32B7D70E9567", "Open")</f>
        <v>Open</v>
      </c>
      <c r="J5666" t="s">
        <v>3803</v>
      </c>
      <c r="L5666">
        <v>3960000</v>
      </c>
      <c r="M5666">
        <v>396000</v>
      </c>
    </row>
    <row r="5667" spans="1:13" x14ac:dyDescent="0.25">
      <c r="A5667" t="s">
        <v>18759</v>
      </c>
      <c r="B5667" t="s">
        <v>18760</v>
      </c>
      <c r="C5667" t="s">
        <v>121</v>
      </c>
      <c r="D5667" t="s">
        <v>861</v>
      </c>
      <c r="E5667" t="s">
        <v>18665</v>
      </c>
      <c r="F5667" t="s">
        <v>18680</v>
      </c>
      <c r="G5667" t="s">
        <v>18761</v>
      </c>
      <c r="H5667" t="str">
        <f>HYPERLINK("https://baanknet.com/view-property/272896/D4EEFD80496BF6EF384D1B338E32BD6CC5C0679535479477DC1A1019D9AF28D1", "https://baanknet.com/view-property/272896/D4EEFD80496BF6EF384D1B338E32BD6CC5C0679535479477DC1A1019D9AF28D1")</f>
        <v>https://baanknet.com/view-property/272896/D4EEFD80496BF6EF384D1B338E32BD6CC5C0679535479477DC1A1019D9AF28D1</v>
      </c>
      <c r="I5667" t="str">
        <f>HYPERLINK("https://baanknet.com/view-property/272896/D4EEFD80496BF6EF384D1B338E32BD6CC5C0679535479477DC1A1019D9AF28D1", "Open")</f>
        <v>Open</v>
      </c>
      <c r="J5667" t="s">
        <v>3803</v>
      </c>
      <c r="L5667">
        <v>4850000</v>
      </c>
      <c r="M5667">
        <v>485000</v>
      </c>
    </row>
    <row r="5668" spans="1:13" x14ac:dyDescent="0.25">
      <c r="A5668" t="s">
        <v>18762</v>
      </c>
      <c r="B5668" t="s">
        <v>18763</v>
      </c>
      <c r="C5668" t="s">
        <v>121</v>
      </c>
      <c r="D5668" t="s">
        <v>861</v>
      </c>
      <c r="E5668" t="s">
        <v>18665</v>
      </c>
      <c r="F5668" t="s">
        <v>18680</v>
      </c>
      <c r="G5668" t="s">
        <v>18764</v>
      </c>
      <c r="H5668" t="str">
        <f>HYPERLINK("https://baanknet.com/view-property/179244/AC1BD797BDBDC743AED540DA0DCF61598240F5563F9D779F925078FD9D77882D", "https://baanknet.com/view-property/179244/AC1BD797BDBDC743AED540DA0DCF61598240F5563F9D779F925078FD9D77882D")</f>
        <v>https://baanknet.com/view-property/179244/AC1BD797BDBDC743AED540DA0DCF61598240F5563F9D779F925078FD9D77882D</v>
      </c>
      <c r="I5668" t="str">
        <f>HYPERLINK("https://baanknet.com/view-property/179244/AC1BD797BDBDC743AED540DA0DCF61598240F5563F9D779F925078FD9D77882D", "Open")</f>
        <v>Open</v>
      </c>
      <c r="J5668" t="s">
        <v>3803</v>
      </c>
      <c r="L5668">
        <v>9304000</v>
      </c>
      <c r="M5668">
        <v>930400</v>
      </c>
    </row>
    <row r="5669" spans="1:13" x14ac:dyDescent="0.25">
      <c r="A5669" t="s">
        <v>18765</v>
      </c>
      <c r="B5669" t="s">
        <v>18766</v>
      </c>
      <c r="C5669" t="s">
        <v>121</v>
      </c>
      <c r="D5669" t="s">
        <v>393</v>
      </c>
      <c r="E5669" t="s">
        <v>18665</v>
      </c>
      <c r="F5669" t="s">
        <v>18680</v>
      </c>
      <c r="G5669" t="s">
        <v>18767</v>
      </c>
      <c r="H5669" t="str">
        <f>HYPERLINK("https://baanknet.com/view-property/180023/4F5758905E620C02D09697EDC0555D04A8E2DF833D6978189191037330335EE7", "https://baanknet.com/view-property/180023/4F5758905E620C02D09697EDC0555D04A8E2DF833D6978189191037330335EE7")</f>
        <v>https://baanknet.com/view-property/180023/4F5758905E620C02D09697EDC0555D04A8E2DF833D6978189191037330335EE7</v>
      </c>
      <c r="I5669" t="str">
        <f>HYPERLINK("https://baanknet.com/view-property/180023/4F5758905E620C02D09697EDC0555D04A8E2DF833D6978189191037330335EE7", "Open")</f>
        <v>Open</v>
      </c>
      <c r="J5669" t="s">
        <v>3803</v>
      </c>
      <c r="L5669">
        <v>6262000</v>
      </c>
      <c r="M5669">
        <v>626200</v>
      </c>
    </row>
    <row r="5670" spans="1:13" x14ac:dyDescent="0.25">
      <c r="A5670" t="s">
        <v>18768</v>
      </c>
      <c r="B5670" t="s">
        <v>18769</v>
      </c>
      <c r="C5670" t="s">
        <v>121</v>
      </c>
      <c r="D5670" t="s">
        <v>5811</v>
      </c>
      <c r="E5670" t="s">
        <v>18665</v>
      </c>
      <c r="F5670" t="s">
        <v>18680</v>
      </c>
      <c r="G5670" t="s">
        <v>18770</v>
      </c>
      <c r="H5670" t="str">
        <f>HYPERLINK("https://baanknet.com/view-property/235885/59A0197EE8AC074AACE8058423E9B1EA21F575FBEB471FD4299701C80CD6237E", "https://baanknet.com/view-property/235885/59A0197EE8AC074AACE8058423E9B1EA21F575FBEB471FD4299701C80CD6237E")</f>
        <v>https://baanknet.com/view-property/235885/59A0197EE8AC074AACE8058423E9B1EA21F575FBEB471FD4299701C80CD6237E</v>
      </c>
      <c r="I5670" t="str">
        <f>HYPERLINK("https://baanknet.com/view-property/235885/59A0197EE8AC074AACE8058423E9B1EA21F575FBEB471FD4299701C80CD6237E", "Open")</f>
        <v>Open</v>
      </c>
      <c r="J5670" t="s">
        <v>3803</v>
      </c>
      <c r="L5670">
        <v>5202000</v>
      </c>
      <c r="M5670">
        <v>520200</v>
      </c>
    </row>
    <row r="5671" spans="1:13" x14ac:dyDescent="0.25">
      <c r="A5671" t="s">
        <v>18771</v>
      </c>
      <c r="B5671" t="s">
        <v>18772</v>
      </c>
      <c r="C5671" t="s">
        <v>121</v>
      </c>
      <c r="D5671" t="s">
        <v>18773</v>
      </c>
      <c r="E5671" t="s">
        <v>18665</v>
      </c>
      <c r="F5671" t="s">
        <v>18680</v>
      </c>
      <c r="G5671" t="s">
        <v>18774</v>
      </c>
      <c r="H5671" t="str">
        <f>HYPERLINK("https://baanknet.com/view-property/235882/F41DE179B04A813AAF0A6E6B88D8AE6449690C107D00D110735146CB47580A83", "https://baanknet.com/view-property/235882/F41DE179B04A813AAF0A6E6B88D8AE6449690C107D00D110735146CB47580A83")</f>
        <v>https://baanknet.com/view-property/235882/F41DE179B04A813AAF0A6E6B88D8AE6449690C107D00D110735146CB47580A83</v>
      </c>
      <c r="I5671" t="str">
        <f>HYPERLINK("https://baanknet.com/view-property/235882/F41DE179B04A813AAF0A6E6B88D8AE6449690C107D00D110735146CB47580A83", "Open")</f>
        <v>Open</v>
      </c>
      <c r="J5671" t="s">
        <v>3803</v>
      </c>
      <c r="L5671">
        <v>1922000</v>
      </c>
      <c r="M5671">
        <v>192200</v>
      </c>
    </row>
    <row r="5672" spans="1:13" x14ac:dyDescent="0.25">
      <c r="A5672" t="s">
        <v>18775</v>
      </c>
      <c r="B5672" t="s">
        <v>18776</v>
      </c>
      <c r="C5672" t="s">
        <v>121</v>
      </c>
      <c r="D5672" t="s">
        <v>9962</v>
      </c>
      <c r="E5672" t="s">
        <v>18665</v>
      </c>
      <c r="F5672" t="s">
        <v>18777</v>
      </c>
      <c r="G5672" t="s">
        <v>18778</v>
      </c>
      <c r="H5672" t="str">
        <f>HYPERLINK("https://baanknet.com/view-property/288079/DB5AFB9EA60F8371BEA8862FD9130051A91170046E027410DED96E835320C933", "https://baanknet.com/view-property/288079/DB5AFB9EA60F8371BEA8862FD9130051A91170046E027410DED96E835320C933")</f>
        <v>https://baanknet.com/view-property/288079/DB5AFB9EA60F8371BEA8862FD9130051A91170046E027410DED96E835320C933</v>
      </c>
      <c r="I5672" t="str">
        <f>HYPERLINK("https://baanknet.com/view-property/288079/DB5AFB9EA60F8371BEA8862FD9130051A91170046E027410DED96E835320C933", "Open")</f>
        <v>Open</v>
      </c>
      <c r="J5672" t="s">
        <v>3803</v>
      </c>
      <c r="L5672">
        <v>3676000</v>
      </c>
      <c r="M5672">
        <v>367600</v>
      </c>
    </row>
    <row r="5673" spans="1:13" x14ac:dyDescent="0.25">
      <c r="A5673" t="s">
        <v>18779</v>
      </c>
      <c r="B5673" t="s">
        <v>18780</v>
      </c>
      <c r="C5673" t="s">
        <v>121</v>
      </c>
      <c r="D5673" t="s">
        <v>18781</v>
      </c>
      <c r="E5673" t="s">
        <v>18665</v>
      </c>
      <c r="F5673" t="s">
        <v>18777</v>
      </c>
      <c r="G5673" t="s">
        <v>18782</v>
      </c>
      <c r="H5673" t="str">
        <f>HYPERLINK("https://baanknet.com/view-property/288167/B6017A8F1829C09F99D976ED26E83A7F16A1BC1A67FC7670A2B202C8B33A5439", "https://baanknet.com/view-property/288167/B6017A8F1829C09F99D976ED26E83A7F16A1BC1A67FC7670A2B202C8B33A5439")</f>
        <v>https://baanknet.com/view-property/288167/B6017A8F1829C09F99D976ED26E83A7F16A1BC1A67FC7670A2B202C8B33A5439</v>
      </c>
      <c r="I5673" t="str">
        <f>HYPERLINK("https://baanknet.com/view-property/288167/B6017A8F1829C09F99D976ED26E83A7F16A1BC1A67FC7670A2B202C8B33A5439", "Open")</f>
        <v>Open</v>
      </c>
      <c r="J5673" t="s">
        <v>3803</v>
      </c>
      <c r="L5673">
        <v>2042000</v>
      </c>
      <c r="M5673">
        <v>204200</v>
      </c>
    </row>
    <row r="5674" spans="1:13" x14ac:dyDescent="0.25">
      <c r="A5674" t="s">
        <v>18783</v>
      </c>
      <c r="B5674" t="s">
        <v>18784</v>
      </c>
      <c r="C5674" t="s">
        <v>15</v>
      </c>
      <c r="D5674" t="s">
        <v>18785</v>
      </c>
      <c r="E5674" t="s">
        <v>18786</v>
      </c>
      <c r="F5674" t="s">
        <v>18787</v>
      </c>
      <c r="G5674" t="s">
        <v>18788</v>
      </c>
      <c r="H5674" t="str">
        <f>HYPERLINK("https://baanknet.com/view-property/286060/3D643C9C940DFDDA329E19A10360B837760D430A245B247EC98955D7211D918F", "https://baanknet.com/view-property/286060/3D643C9C940DFDDA329E19A10360B837760D430A245B247EC98955D7211D918F")</f>
        <v>https://baanknet.com/view-property/286060/3D643C9C940DFDDA329E19A10360B837760D430A245B247EC98955D7211D918F</v>
      </c>
      <c r="I5674" t="str">
        <f>HYPERLINK("https://baanknet.com/view-property/286060/3D643C9C940DFDDA329E19A10360B837760D430A245B247EC98955D7211D918F", "Open")</f>
        <v>Open</v>
      </c>
      <c r="J5674" t="s">
        <v>3803</v>
      </c>
      <c r="L5674">
        <v>4300000</v>
      </c>
      <c r="M5674">
        <v>430000</v>
      </c>
    </row>
    <row r="5675" spans="1:13" x14ac:dyDescent="0.25">
      <c r="A5675" t="s">
        <v>18789</v>
      </c>
      <c r="B5675" t="s">
        <v>18790</v>
      </c>
      <c r="C5675" t="s">
        <v>15</v>
      </c>
      <c r="D5675" t="s">
        <v>18791</v>
      </c>
      <c r="E5675" t="s">
        <v>18786</v>
      </c>
      <c r="F5675" t="s">
        <v>18787</v>
      </c>
      <c r="G5675" t="s">
        <v>18792</v>
      </c>
      <c r="H5675" t="str">
        <f>HYPERLINK("https://baanknet.com/view-property/253901/9827C99132BC9F6471A8C2BA526180A5424E5A785EAA559AD78F6EADCD233F95", "https://baanknet.com/view-property/253901/9827C99132BC9F6471A8C2BA526180A5424E5A785EAA559AD78F6EADCD233F95")</f>
        <v>https://baanknet.com/view-property/253901/9827C99132BC9F6471A8C2BA526180A5424E5A785EAA559AD78F6EADCD233F95</v>
      </c>
      <c r="I5675" t="str">
        <f>HYPERLINK("https://baanknet.com/view-property/253901/9827C99132BC9F6471A8C2BA526180A5424E5A785EAA559AD78F6EADCD233F95", "Open")</f>
        <v>Open</v>
      </c>
      <c r="J5675" t="s">
        <v>3803</v>
      </c>
      <c r="L5675">
        <v>3049000</v>
      </c>
      <c r="M5675">
        <v>304900</v>
      </c>
    </row>
    <row r="5676" spans="1:13" x14ac:dyDescent="0.25">
      <c r="A5676" t="s">
        <v>18793</v>
      </c>
      <c r="B5676" t="s">
        <v>18794</v>
      </c>
      <c r="C5676" t="s">
        <v>15</v>
      </c>
      <c r="D5676" t="s">
        <v>18791</v>
      </c>
      <c r="E5676" t="s">
        <v>18786</v>
      </c>
      <c r="F5676" t="s">
        <v>18787</v>
      </c>
      <c r="G5676" t="s">
        <v>18795</v>
      </c>
      <c r="H5676" t="str">
        <f>HYPERLINK("https://baanknet.com/view-property/253904/58245567946A36A6C4CCE166A1098C1AC7295CFADA8B67E1A17FE8AF04B46DF5", "https://baanknet.com/view-property/253904/58245567946A36A6C4CCE166A1098C1AC7295CFADA8B67E1A17FE8AF04B46DF5")</f>
        <v>https://baanknet.com/view-property/253904/58245567946A36A6C4CCE166A1098C1AC7295CFADA8B67E1A17FE8AF04B46DF5</v>
      </c>
      <c r="I5676" t="str">
        <f>HYPERLINK("https://baanknet.com/view-property/253904/58245567946A36A6C4CCE166A1098C1AC7295CFADA8B67E1A17FE8AF04B46DF5", "Open")</f>
        <v>Open</v>
      </c>
      <c r="J5676" t="s">
        <v>3803</v>
      </c>
      <c r="L5676">
        <v>6621000</v>
      </c>
      <c r="M5676">
        <v>662100</v>
      </c>
    </row>
    <row r="5677" spans="1:13" x14ac:dyDescent="0.25">
      <c r="A5677" t="s">
        <v>18796</v>
      </c>
      <c r="B5677" t="s">
        <v>18797</v>
      </c>
      <c r="C5677" t="s">
        <v>15</v>
      </c>
      <c r="D5677" t="s">
        <v>1246</v>
      </c>
      <c r="E5677" t="s">
        <v>18786</v>
      </c>
      <c r="F5677" t="s">
        <v>18787</v>
      </c>
      <c r="G5677" t="s">
        <v>18798</v>
      </c>
      <c r="H5677" t="str">
        <f>HYPERLINK("https://baanknet.com/view-property/255621/B1477A3F1765B55911024D7DAC6AE1F9DD576FEABA71FF05802092EE58D80643", "https://baanknet.com/view-property/255621/B1477A3F1765B55911024D7DAC6AE1F9DD576FEABA71FF05802092EE58D80643")</f>
        <v>https://baanknet.com/view-property/255621/B1477A3F1765B55911024D7DAC6AE1F9DD576FEABA71FF05802092EE58D80643</v>
      </c>
      <c r="I5677" t="str">
        <f>HYPERLINK("https://baanknet.com/view-property/255621/B1477A3F1765B55911024D7DAC6AE1F9DD576FEABA71FF05802092EE58D80643", "Open")</f>
        <v>Open</v>
      </c>
      <c r="J5677" t="s">
        <v>3803</v>
      </c>
      <c r="L5677">
        <v>6885000</v>
      </c>
      <c r="M5677">
        <v>688500</v>
      </c>
    </row>
    <row r="5678" spans="1:13" x14ac:dyDescent="0.25">
      <c r="A5678" t="s">
        <v>18799</v>
      </c>
      <c r="B5678" t="s">
        <v>18800</v>
      </c>
      <c r="C5678" t="s">
        <v>15</v>
      </c>
      <c r="D5678" t="s">
        <v>1246</v>
      </c>
      <c r="E5678" t="s">
        <v>18786</v>
      </c>
      <c r="F5678" t="s">
        <v>18787</v>
      </c>
      <c r="G5678" t="s">
        <v>18801</v>
      </c>
      <c r="H5678" t="str">
        <f>HYPERLINK("https://baanknet.com/view-property/275986/5C6241B60E9F8B2C189AB4B993DCB073CA6FA64CC3BC354C859793201F30DD5F", "https://baanknet.com/view-property/275986/5C6241B60E9F8B2C189AB4B993DCB073CA6FA64CC3BC354C859793201F30DD5F")</f>
        <v>https://baanknet.com/view-property/275986/5C6241B60E9F8B2C189AB4B993DCB073CA6FA64CC3BC354C859793201F30DD5F</v>
      </c>
      <c r="I5678" t="str">
        <f>HYPERLINK("https://baanknet.com/view-property/275986/5C6241B60E9F8B2C189AB4B993DCB073CA6FA64CC3BC354C859793201F30DD5F", "Open")</f>
        <v>Open</v>
      </c>
      <c r="J5678" t="s">
        <v>3803</v>
      </c>
      <c r="L5678">
        <v>3000000</v>
      </c>
      <c r="M5678">
        <v>300000</v>
      </c>
    </row>
    <row r="5679" spans="1:13" x14ac:dyDescent="0.25">
      <c r="A5679" t="s">
        <v>18802</v>
      </c>
      <c r="B5679" t="s">
        <v>18803</v>
      </c>
      <c r="C5679" t="s">
        <v>15</v>
      </c>
      <c r="D5679" t="s">
        <v>608</v>
      </c>
      <c r="E5679" t="s">
        <v>18786</v>
      </c>
      <c r="F5679" t="s">
        <v>18787</v>
      </c>
      <c r="G5679" t="s">
        <v>18804</v>
      </c>
      <c r="H5679" t="str">
        <f>HYPERLINK("https://baanknet.com/view-property/275717/E949287B2B33AFC408007D48AA08EE56045F53326327ACF267008A6EC043277C", "https://baanknet.com/view-property/275717/E949287B2B33AFC408007D48AA08EE56045F53326327ACF267008A6EC043277C")</f>
        <v>https://baanknet.com/view-property/275717/E949287B2B33AFC408007D48AA08EE56045F53326327ACF267008A6EC043277C</v>
      </c>
      <c r="I5679" t="str">
        <f>HYPERLINK("https://baanknet.com/view-property/275717/E949287B2B33AFC408007D48AA08EE56045F53326327ACF267008A6EC043277C", "Open")</f>
        <v>Open</v>
      </c>
      <c r="J5679" t="s">
        <v>3803</v>
      </c>
      <c r="L5679">
        <v>32700000</v>
      </c>
      <c r="M5679">
        <v>3270000</v>
      </c>
    </row>
    <row r="5680" spans="1:13" x14ac:dyDescent="0.25">
      <c r="A5680" t="s">
        <v>18805</v>
      </c>
      <c r="B5680" t="s">
        <v>18806</v>
      </c>
      <c r="C5680" t="s">
        <v>15</v>
      </c>
      <c r="D5680" t="s">
        <v>11979</v>
      </c>
      <c r="E5680" t="s">
        <v>18786</v>
      </c>
      <c r="F5680" t="s">
        <v>18787</v>
      </c>
      <c r="G5680" t="s">
        <v>18807</v>
      </c>
      <c r="H5680" t="str">
        <f>HYPERLINK("https://baanknet.com/view-property/248004/5FBF71750F7C6FBD4263E43472AB3649FDE468D5B3672DB8DA18110C1F6E375E", "https://baanknet.com/view-property/248004/5FBF71750F7C6FBD4263E43472AB3649FDE468D5B3672DB8DA18110C1F6E375E")</f>
        <v>https://baanknet.com/view-property/248004/5FBF71750F7C6FBD4263E43472AB3649FDE468D5B3672DB8DA18110C1F6E375E</v>
      </c>
      <c r="I5680" t="str">
        <f>HYPERLINK("https://baanknet.com/view-property/248004/5FBF71750F7C6FBD4263E43472AB3649FDE468D5B3672DB8DA18110C1F6E375E", "Open")</f>
        <v>Open</v>
      </c>
      <c r="J5680" t="s">
        <v>3803</v>
      </c>
      <c r="L5680">
        <v>1369000</v>
      </c>
      <c r="M5680">
        <v>136900</v>
      </c>
    </row>
    <row r="5681" spans="1:13" x14ac:dyDescent="0.25">
      <c r="A5681" t="s">
        <v>18808</v>
      </c>
      <c r="B5681" t="s">
        <v>18809</v>
      </c>
      <c r="C5681" t="s">
        <v>15</v>
      </c>
      <c r="D5681" t="s">
        <v>11979</v>
      </c>
      <c r="E5681" t="s">
        <v>18786</v>
      </c>
      <c r="F5681" t="s">
        <v>18787</v>
      </c>
      <c r="G5681" t="s">
        <v>18810</v>
      </c>
      <c r="H5681" t="str">
        <f>HYPERLINK("https://baanknet.com/view-property/248007/A8DC54FC446AD9ABE2F5B4415AB868866F6F25D8ACE73FF323B5FDDB04C1DDE5", "https://baanknet.com/view-property/248007/A8DC54FC446AD9ABE2F5B4415AB868866F6F25D8ACE73FF323B5FDDB04C1DDE5")</f>
        <v>https://baanknet.com/view-property/248007/A8DC54FC446AD9ABE2F5B4415AB868866F6F25D8ACE73FF323B5FDDB04C1DDE5</v>
      </c>
      <c r="I5681" t="str">
        <f>HYPERLINK("https://baanknet.com/view-property/248007/A8DC54FC446AD9ABE2F5B4415AB868866F6F25D8ACE73FF323B5FDDB04C1DDE5", "Open")</f>
        <v>Open</v>
      </c>
      <c r="J5681" t="s">
        <v>3803</v>
      </c>
      <c r="L5681">
        <v>1389000</v>
      </c>
      <c r="M5681">
        <v>138900</v>
      </c>
    </row>
    <row r="5682" spans="1:13" x14ac:dyDescent="0.25">
      <c r="A5682" t="s">
        <v>18811</v>
      </c>
      <c r="B5682" t="s">
        <v>18812</v>
      </c>
      <c r="C5682" t="s">
        <v>15</v>
      </c>
      <c r="D5682" t="s">
        <v>11979</v>
      </c>
      <c r="E5682" t="s">
        <v>18786</v>
      </c>
      <c r="F5682" t="s">
        <v>18787</v>
      </c>
      <c r="G5682" t="s">
        <v>18813</v>
      </c>
      <c r="H5682" t="str">
        <f>HYPERLINK("https://baanknet.com/view-property/248011/979F623741CC901ADD2A83587EDE69241D52E35C583B9CB0492CDFB3498FFB96", "https://baanknet.com/view-property/248011/979F623741CC901ADD2A83587EDE69241D52E35C583B9CB0492CDFB3498FFB96")</f>
        <v>https://baanknet.com/view-property/248011/979F623741CC901ADD2A83587EDE69241D52E35C583B9CB0492CDFB3498FFB96</v>
      </c>
      <c r="I5682" t="str">
        <f>HYPERLINK("https://baanknet.com/view-property/248011/979F623741CC901ADD2A83587EDE69241D52E35C583B9CB0492CDFB3498FFB96", "Open")</f>
        <v>Open</v>
      </c>
      <c r="J5682" t="s">
        <v>3803</v>
      </c>
      <c r="L5682">
        <v>1230000</v>
      </c>
      <c r="M5682">
        <v>123000</v>
      </c>
    </row>
    <row r="5683" spans="1:13" x14ac:dyDescent="0.25">
      <c r="A5683" t="s">
        <v>18814</v>
      </c>
      <c r="B5683" t="s">
        <v>18815</v>
      </c>
      <c r="C5683" t="s">
        <v>15</v>
      </c>
      <c r="D5683" t="s">
        <v>18816</v>
      </c>
      <c r="E5683" t="s">
        <v>18786</v>
      </c>
      <c r="F5683" t="s">
        <v>18787</v>
      </c>
      <c r="G5683" t="s">
        <v>18817</v>
      </c>
      <c r="H5683" t="str">
        <f>HYPERLINK("https://baanknet.com/view-property/239990/C929EABC189AB04535D5079F53B594CD9AC7B018F3E1C9454230021D61046532", "https://baanknet.com/view-property/239990/C929EABC189AB04535D5079F53B594CD9AC7B018F3E1C9454230021D61046532")</f>
        <v>https://baanknet.com/view-property/239990/C929EABC189AB04535D5079F53B594CD9AC7B018F3E1C9454230021D61046532</v>
      </c>
      <c r="I5683" t="str">
        <f>HYPERLINK("https://baanknet.com/view-property/239990/C929EABC189AB04535D5079F53B594CD9AC7B018F3E1C9454230021D61046532", "Open")</f>
        <v>Open</v>
      </c>
      <c r="J5683" t="s">
        <v>3803</v>
      </c>
      <c r="L5683">
        <v>1800000</v>
      </c>
      <c r="M5683">
        <v>180000</v>
      </c>
    </row>
    <row r="5684" spans="1:13" x14ac:dyDescent="0.25">
      <c r="A5684" t="s">
        <v>18818</v>
      </c>
      <c r="B5684" t="s">
        <v>18819</v>
      </c>
      <c r="C5684" t="s">
        <v>15</v>
      </c>
      <c r="D5684" t="s">
        <v>18785</v>
      </c>
      <c r="E5684" t="s">
        <v>18786</v>
      </c>
      <c r="F5684" t="s">
        <v>18787</v>
      </c>
      <c r="G5684" t="s">
        <v>18820</v>
      </c>
      <c r="H5684" t="str">
        <f>HYPERLINK("https://baanknet.com/view-property/282509/EC6BE39C2B3A285C677FE7CA7897903817C3D43EE42A73CD16F29CBC4AE5A503", "https://baanknet.com/view-property/282509/EC6BE39C2B3A285C677FE7CA7897903817C3D43EE42A73CD16F29CBC4AE5A503")</f>
        <v>https://baanknet.com/view-property/282509/EC6BE39C2B3A285C677FE7CA7897903817C3D43EE42A73CD16F29CBC4AE5A503</v>
      </c>
      <c r="I5684" t="str">
        <f>HYPERLINK("https://baanknet.com/view-property/282509/EC6BE39C2B3A285C677FE7CA7897903817C3D43EE42A73CD16F29CBC4AE5A503", "Open")</f>
        <v>Open</v>
      </c>
      <c r="J5684" t="s">
        <v>3803</v>
      </c>
      <c r="L5684">
        <v>4700000</v>
      </c>
      <c r="M5684">
        <v>470000</v>
      </c>
    </row>
    <row r="5685" spans="1:13" x14ac:dyDescent="0.25">
      <c r="A5685" t="s">
        <v>18821</v>
      </c>
      <c r="B5685" t="s">
        <v>18822</v>
      </c>
      <c r="C5685" t="s">
        <v>15</v>
      </c>
      <c r="D5685" t="s">
        <v>7932</v>
      </c>
      <c r="E5685" t="s">
        <v>18823</v>
      </c>
      <c r="F5685" t="s">
        <v>18666</v>
      </c>
      <c r="G5685" t="s">
        <v>18824</v>
      </c>
      <c r="H5685" t="str">
        <f>HYPERLINK("https://baanknet.com/view-property/284019/672185EE0C6BF8F0954096EBA50E1351EFF53A54147A83A3B795A02566B85DB2", "https://baanknet.com/view-property/284019/672185EE0C6BF8F0954096EBA50E1351EFF53A54147A83A3B795A02566B85DB2")</f>
        <v>https://baanknet.com/view-property/284019/672185EE0C6BF8F0954096EBA50E1351EFF53A54147A83A3B795A02566B85DB2</v>
      </c>
      <c r="I5685" t="str">
        <f>HYPERLINK("https://baanknet.com/view-property/284019/672185EE0C6BF8F0954096EBA50E1351EFF53A54147A83A3B795A02566B85DB2", "Open")</f>
        <v>Open</v>
      </c>
      <c r="J5685" t="s">
        <v>3803</v>
      </c>
      <c r="L5685">
        <v>3312000</v>
      </c>
      <c r="M5685">
        <v>331200</v>
      </c>
    </row>
    <row r="5686" spans="1:13" x14ac:dyDescent="0.25">
      <c r="A5686" t="s">
        <v>18825</v>
      </c>
      <c r="B5686" t="s">
        <v>18826</v>
      </c>
      <c r="C5686" t="s">
        <v>15</v>
      </c>
      <c r="D5686" t="s">
        <v>1293</v>
      </c>
      <c r="E5686" t="s">
        <v>18823</v>
      </c>
      <c r="F5686" t="s">
        <v>18666</v>
      </c>
      <c r="G5686" t="s">
        <v>18827</v>
      </c>
      <c r="H5686" t="str">
        <f>HYPERLINK("https://baanknet.com/view-property/258034/1BDB0957A323666D6CA5A3358D9AB64AF2B27DE86DC753383E1AE6D41D92631B", "https://baanknet.com/view-property/258034/1BDB0957A323666D6CA5A3358D9AB64AF2B27DE86DC753383E1AE6D41D92631B")</f>
        <v>https://baanknet.com/view-property/258034/1BDB0957A323666D6CA5A3358D9AB64AF2B27DE86DC753383E1AE6D41D92631B</v>
      </c>
      <c r="I5686" t="str">
        <f>HYPERLINK("https://baanknet.com/view-property/258034/1BDB0957A323666D6CA5A3358D9AB64AF2B27DE86DC753383E1AE6D41D92631B", "Open")</f>
        <v>Open</v>
      </c>
      <c r="J5686" t="s">
        <v>3803</v>
      </c>
      <c r="L5686">
        <v>1000000</v>
      </c>
      <c r="M5686">
        <v>100000</v>
      </c>
    </row>
    <row r="5687" spans="1:13" x14ac:dyDescent="0.25">
      <c r="A5687" t="s">
        <v>18828</v>
      </c>
      <c r="B5687" t="s">
        <v>18829</v>
      </c>
      <c r="C5687" t="s">
        <v>15</v>
      </c>
      <c r="D5687" t="s">
        <v>1310</v>
      </c>
      <c r="E5687" t="s">
        <v>18823</v>
      </c>
      <c r="F5687" t="s">
        <v>18666</v>
      </c>
      <c r="G5687" t="s">
        <v>18830</v>
      </c>
      <c r="H5687" t="str">
        <f>HYPERLINK("https://baanknet.com/view-property/269941/42B87932C1A8C97671A144E90DC8A885699F566718E4A1AC647B7EA5B106916C", "https://baanknet.com/view-property/269941/42B87932C1A8C97671A144E90DC8A885699F566718E4A1AC647B7EA5B106916C")</f>
        <v>https://baanknet.com/view-property/269941/42B87932C1A8C97671A144E90DC8A885699F566718E4A1AC647B7EA5B106916C</v>
      </c>
      <c r="I5687" t="str">
        <f>HYPERLINK("https://baanknet.com/view-property/269941/42B87932C1A8C97671A144E90DC8A885699F566718E4A1AC647B7EA5B106916C", "Open")</f>
        <v>Open</v>
      </c>
      <c r="J5687" t="s">
        <v>3803</v>
      </c>
      <c r="L5687">
        <v>1190000</v>
      </c>
      <c r="M5687">
        <v>119000</v>
      </c>
    </row>
    <row r="5688" spans="1:13" x14ac:dyDescent="0.25">
      <c r="A5688" t="s">
        <v>18831</v>
      </c>
      <c r="B5688" t="s">
        <v>18832</v>
      </c>
      <c r="C5688" t="s">
        <v>144</v>
      </c>
      <c r="D5688" t="s">
        <v>4542</v>
      </c>
      <c r="E5688" t="s">
        <v>18823</v>
      </c>
      <c r="F5688" t="s">
        <v>18833</v>
      </c>
      <c r="G5688" t="s">
        <v>18834</v>
      </c>
      <c r="H5688" t="str">
        <f>HYPERLINK("https://baanknet.com/view-property/276165/340D1421A94EB9D9E44600D0EB8E309DADB66C7046D1A415F96E0B222D22A96D", "https://baanknet.com/view-property/276165/340D1421A94EB9D9E44600D0EB8E309DADB66C7046D1A415F96E0B222D22A96D")</f>
        <v>https://baanknet.com/view-property/276165/340D1421A94EB9D9E44600D0EB8E309DADB66C7046D1A415F96E0B222D22A96D</v>
      </c>
      <c r="I5688" t="str">
        <f>HYPERLINK("https://baanknet.com/view-property/276165/340D1421A94EB9D9E44600D0EB8E309DADB66C7046D1A415F96E0B222D22A96D", "Open")</f>
        <v>Open</v>
      </c>
      <c r="J5688" t="s">
        <v>3803</v>
      </c>
      <c r="L5688">
        <v>7447000</v>
      </c>
      <c r="M5688">
        <v>744700</v>
      </c>
    </row>
    <row r="5689" spans="1:13" x14ac:dyDescent="0.25">
      <c r="A5689" t="s">
        <v>18835</v>
      </c>
      <c r="B5689" t="s">
        <v>18836</v>
      </c>
      <c r="C5689" t="s">
        <v>121</v>
      </c>
      <c r="D5689" t="s">
        <v>2684</v>
      </c>
      <c r="E5689" t="s">
        <v>18823</v>
      </c>
      <c r="F5689" t="s">
        <v>18837</v>
      </c>
      <c r="G5689" t="s">
        <v>18838</v>
      </c>
      <c r="H5689" t="str">
        <f>HYPERLINK("https://baanknet.com/view-property/286530/28D4493D0768F131D4EE62E375C6688C98727D405944903B59B55891BED215C6", "https://baanknet.com/view-property/286530/28D4493D0768F131D4EE62E375C6688C98727D405944903B59B55891BED215C6")</f>
        <v>https://baanknet.com/view-property/286530/28D4493D0768F131D4EE62E375C6688C98727D405944903B59B55891BED215C6</v>
      </c>
      <c r="I5689" t="str">
        <f>HYPERLINK("https://baanknet.com/view-property/286530/28D4493D0768F131D4EE62E375C6688C98727D405944903B59B55891BED215C6", "Open")</f>
        <v>Open</v>
      </c>
      <c r="J5689" t="s">
        <v>3803</v>
      </c>
      <c r="L5689">
        <v>1699000</v>
      </c>
      <c r="M5689">
        <v>169900</v>
      </c>
    </row>
    <row r="5690" spans="1:13" x14ac:dyDescent="0.25">
      <c r="A5690" t="s">
        <v>18839</v>
      </c>
      <c r="B5690" t="s">
        <v>18840</v>
      </c>
      <c r="C5690" t="s">
        <v>332</v>
      </c>
      <c r="D5690" t="s">
        <v>12203</v>
      </c>
      <c r="E5690" t="s">
        <v>18823</v>
      </c>
      <c r="F5690" t="s">
        <v>18680</v>
      </c>
      <c r="G5690" t="s">
        <v>18841</v>
      </c>
      <c r="H5690" t="str">
        <f>HYPERLINK("https://baanknet.com/view-property/183067/8E4A819D9F2FB61B2C51D86086938F6D51A690A0FD95F719FAE9BCBE2F597E1A", "https://baanknet.com/view-property/183067/8E4A819D9F2FB61B2C51D86086938F6D51A690A0FD95F719FAE9BCBE2F597E1A")</f>
        <v>https://baanknet.com/view-property/183067/8E4A819D9F2FB61B2C51D86086938F6D51A690A0FD95F719FAE9BCBE2F597E1A</v>
      </c>
      <c r="I5690" t="str">
        <f>HYPERLINK("https://baanknet.com/view-property/183067/8E4A819D9F2FB61B2C51D86086938F6D51A690A0FD95F719FAE9BCBE2F597E1A", "Open")</f>
        <v>Open</v>
      </c>
      <c r="J5690" t="s">
        <v>3803</v>
      </c>
      <c r="L5690">
        <v>25600000</v>
      </c>
      <c r="M5690">
        <v>2560000</v>
      </c>
    </row>
    <row r="5691" spans="1:13" x14ac:dyDescent="0.25">
      <c r="A5691" t="s">
        <v>18842</v>
      </c>
      <c r="B5691" t="s">
        <v>18843</v>
      </c>
      <c r="C5691" t="s">
        <v>121</v>
      </c>
      <c r="D5691" t="s">
        <v>1581</v>
      </c>
      <c r="E5691" t="s">
        <v>18823</v>
      </c>
      <c r="F5691" t="s">
        <v>18680</v>
      </c>
      <c r="G5691" t="s">
        <v>18844</v>
      </c>
      <c r="H5691" t="str">
        <f>HYPERLINK("https://baanknet.com/view-property/284547/DA657BD7F8BD196EFD66E013DA083DE2E070D48C289FC0056080782FD8F3C81A", "https://baanknet.com/view-property/284547/DA657BD7F8BD196EFD66E013DA083DE2E070D48C289FC0056080782FD8F3C81A")</f>
        <v>https://baanknet.com/view-property/284547/DA657BD7F8BD196EFD66E013DA083DE2E070D48C289FC0056080782FD8F3C81A</v>
      </c>
      <c r="I5691" t="str">
        <f>HYPERLINK("https://baanknet.com/view-property/284547/DA657BD7F8BD196EFD66E013DA083DE2E070D48C289FC0056080782FD8F3C81A", "Open")</f>
        <v>Open</v>
      </c>
      <c r="J5691" t="s">
        <v>3803</v>
      </c>
      <c r="L5691">
        <v>2116000</v>
      </c>
      <c r="M5691">
        <v>211600</v>
      </c>
    </row>
    <row r="5692" spans="1:13" x14ac:dyDescent="0.25">
      <c r="A5692" t="s">
        <v>18845</v>
      </c>
      <c r="B5692" t="s">
        <v>18846</v>
      </c>
      <c r="C5692" t="s">
        <v>121</v>
      </c>
      <c r="D5692" t="s">
        <v>1488</v>
      </c>
      <c r="E5692" t="s">
        <v>18823</v>
      </c>
      <c r="F5692" t="s">
        <v>18680</v>
      </c>
      <c r="G5692" t="s">
        <v>18847</v>
      </c>
      <c r="H5692" t="str">
        <f>HYPERLINK("https://baanknet.com/view-property/285922/855C13FA37F468FDFA1F9DC86B75854351A1AC181E8D4B416DF22BD0189B63CE", "https://baanknet.com/view-property/285922/855C13FA37F468FDFA1F9DC86B75854351A1AC181E8D4B416DF22BD0189B63CE")</f>
        <v>https://baanknet.com/view-property/285922/855C13FA37F468FDFA1F9DC86B75854351A1AC181E8D4B416DF22BD0189B63CE</v>
      </c>
      <c r="I5692" t="str">
        <f>HYPERLINK("https://baanknet.com/view-property/285922/855C13FA37F468FDFA1F9DC86B75854351A1AC181E8D4B416DF22BD0189B63CE", "Open")</f>
        <v>Open</v>
      </c>
      <c r="J5692" t="s">
        <v>3803</v>
      </c>
      <c r="L5692">
        <v>7225000</v>
      </c>
      <c r="M5692">
        <v>722500</v>
      </c>
    </row>
    <row r="5693" spans="1:13" x14ac:dyDescent="0.25">
      <c r="A5693" t="s">
        <v>18848</v>
      </c>
      <c r="B5693" t="s">
        <v>18849</v>
      </c>
      <c r="C5693" t="s">
        <v>332</v>
      </c>
      <c r="D5693" t="s">
        <v>12214</v>
      </c>
      <c r="E5693" t="s">
        <v>18823</v>
      </c>
      <c r="F5693" t="s">
        <v>18680</v>
      </c>
      <c r="G5693" t="s">
        <v>18850</v>
      </c>
      <c r="H5693" t="str">
        <f>HYPERLINK("https://baanknet.com/view-property/278694/0B3949AF4ABCF3988CB659BBD42EC644E4229D49EB4DA6D1B3CF5AEF257DACA4", "https://baanknet.com/view-property/278694/0B3949AF4ABCF3988CB659BBD42EC644E4229D49EB4DA6D1B3CF5AEF257DACA4")</f>
        <v>https://baanknet.com/view-property/278694/0B3949AF4ABCF3988CB659BBD42EC644E4229D49EB4DA6D1B3CF5AEF257DACA4</v>
      </c>
      <c r="I5693" t="str">
        <f>HYPERLINK("https://baanknet.com/view-property/278694/0B3949AF4ABCF3988CB659BBD42EC644E4229D49EB4DA6D1B3CF5AEF257DACA4", "Open")</f>
        <v>Open</v>
      </c>
      <c r="J5693" t="s">
        <v>3803</v>
      </c>
      <c r="L5693">
        <v>2630000</v>
      </c>
      <c r="M5693">
        <v>263000</v>
      </c>
    </row>
    <row r="5694" spans="1:13" x14ac:dyDescent="0.25">
      <c r="A5694" t="s">
        <v>18851</v>
      </c>
      <c r="B5694" t="s">
        <v>18852</v>
      </c>
      <c r="C5694" t="s">
        <v>332</v>
      </c>
      <c r="D5694" t="s">
        <v>3835</v>
      </c>
      <c r="E5694" t="s">
        <v>18823</v>
      </c>
      <c r="F5694" t="s">
        <v>18680</v>
      </c>
      <c r="G5694" t="s">
        <v>18853</v>
      </c>
      <c r="H5694" t="str">
        <f>HYPERLINK("https://baanknet.com/view-property/278708/03B71AE1531A08F295D54B1785B7056B9CF115A3AE655EBC116F0AF2BB83156E", "https://baanknet.com/view-property/278708/03B71AE1531A08F295D54B1785B7056B9CF115A3AE655EBC116F0AF2BB83156E")</f>
        <v>https://baanknet.com/view-property/278708/03B71AE1531A08F295D54B1785B7056B9CF115A3AE655EBC116F0AF2BB83156E</v>
      </c>
      <c r="I5694" t="str">
        <f>HYPERLINK("https://baanknet.com/view-property/278708/03B71AE1531A08F295D54B1785B7056B9CF115A3AE655EBC116F0AF2BB83156E", "Open")</f>
        <v>Open</v>
      </c>
      <c r="J5694" t="s">
        <v>3803</v>
      </c>
      <c r="L5694">
        <v>2750000</v>
      </c>
      <c r="M5694">
        <v>275000</v>
      </c>
    </row>
    <row r="5695" spans="1:13" x14ac:dyDescent="0.25">
      <c r="A5695" t="s">
        <v>18854</v>
      </c>
      <c r="B5695" t="s">
        <v>18855</v>
      </c>
      <c r="C5695" t="s">
        <v>332</v>
      </c>
      <c r="D5695" t="s">
        <v>12214</v>
      </c>
      <c r="E5695" t="s">
        <v>18823</v>
      </c>
      <c r="F5695" t="s">
        <v>18680</v>
      </c>
      <c r="G5695" t="s">
        <v>18856</v>
      </c>
      <c r="H5695" t="str">
        <f>HYPERLINK("https://baanknet.com/view-property/278851/853335310505DBB73E5DF038420BBA9FBCA7CE6DE1046E354F73BDF75D1874A5", "https://baanknet.com/view-property/278851/853335310505DBB73E5DF038420BBA9FBCA7CE6DE1046E354F73BDF75D1874A5")</f>
        <v>https://baanknet.com/view-property/278851/853335310505DBB73E5DF038420BBA9FBCA7CE6DE1046E354F73BDF75D1874A5</v>
      </c>
      <c r="I5695" t="str">
        <f>HYPERLINK("https://baanknet.com/view-property/278851/853335310505DBB73E5DF038420BBA9FBCA7CE6DE1046E354F73BDF75D1874A5", "Open")</f>
        <v>Open</v>
      </c>
      <c r="J5695" t="s">
        <v>3803</v>
      </c>
      <c r="L5695">
        <v>8250000</v>
      </c>
      <c r="M5695">
        <v>825000</v>
      </c>
    </row>
    <row r="5696" spans="1:13" x14ac:dyDescent="0.25">
      <c r="A5696" t="s">
        <v>18857</v>
      </c>
      <c r="B5696" t="s">
        <v>18858</v>
      </c>
      <c r="C5696" t="s">
        <v>121</v>
      </c>
      <c r="D5696" t="s">
        <v>1488</v>
      </c>
      <c r="E5696" t="s">
        <v>18823</v>
      </c>
      <c r="F5696" t="s">
        <v>18680</v>
      </c>
      <c r="G5696" t="s">
        <v>18859</v>
      </c>
      <c r="H5696" t="str">
        <f>HYPERLINK("https://baanknet.com/view-property/285001/FF1E9483A269522CF1BC4A4A8BF70C93365699083202C2A4BD808B7FBAA04F40", "https://baanknet.com/view-property/285001/FF1E9483A269522CF1BC4A4A8BF70C93365699083202C2A4BD808B7FBAA04F40")</f>
        <v>https://baanknet.com/view-property/285001/FF1E9483A269522CF1BC4A4A8BF70C93365699083202C2A4BD808B7FBAA04F40</v>
      </c>
      <c r="I5696" t="str">
        <f>HYPERLINK("https://baanknet.com/view-property/285001/FF1E9483A269522CF1BC4A4A8BF70C93365699083202C2A4BD808B7FBAA04F40", "Open")</f>
        <v>Open</v>
      </c>
      <c r="J5696" t="s">
        <v>3803</v>
      </c>
      <c r="L5696">
        <v>2300000</v>
      </c>
      <c r="M5696">
        <v>230000</v>
      </c>
    </row>
    <row r="5697" spans="1:13" x14ac:dyDescent="0.25">
      <c r="A5697" t="s">
        <v>18860</v>
      </c>
      <c r="B5697" t="s">
        <v>18861</v>
      </c>
      <c r="C5697" t="s">
        <v>121</v>
      </c>
      <c r="D5697" t="s">
        <v>1488</v>
      </c>
      <c r="E5697" t="s">
        <v>18823</v>
      </c>
      <c r="F5697" t="s">
        <v>18680</v>
      </c>
      <c r="G5697" t="s">
        <v>18862</v>
      </c>
      <c r="H5697" t="str">
        <f>HYPERLINK("https://baanknet.com/view-property/284821/87FED1C2B923E4160EF7DD7D104A001952C957D1F3EDF9D992FA3D0292DE3D4A", "https://baanknet.com/view-property/284821/87FED1C2B923E4160EF7DD7D104A001952C957D1F3EDF9D992FA3D0292DE3D4A")</f>
        <v>https://baanknet.com/view-property/284821/87FED1C2B923E4160EF7DD7D104A001952C957D1F3EDF9D992FA3D0292DE3D4A</v>
      </c>
      <c r="I5697" t="str">
        <f>HYPERLINK("https://baanknet.com/view-property/284821/87FED1C2B923E4160EF7DD7D104A001952C957D1F3EDF9D992FA3D0292DE3D4A", "Open")</f>
        <v>Open</v>
      </c>
      <c r="J5697" t="s">
        <v>3803</v>
      </c>
      <c r="L5697">
        <v>2120000</v>
      </c>
      <c r="M5697">
        <v>212000</v>
      </c>
    </row>
    <row r="5698" spans="1:13" x14ac:dyDescent="0.25">
      <c r="A5698" t="s">
        <v>18863</v>
      </c>
      <c r="B5698" t="s">
        <v>18864</v>
      </c>
      <c r="C5698" t="s">
        <v>121</v>
      </c>
      <c r="D5698" t="s">
        <v>1602</v>
      </c>
      <c r="E5698" t="s">
        <v>18823</v>
      </c>
      <c r="F5698" t="s">
        <v>18680</v>
      </c>
      <c r="G5698" t="s">
        <v>18865</v>
      </c>
      <c r="H5698" t="str">
        <f>HYPERLINK("https://baanknet.com/view-property/284830/B08A0ABDFF78A8A1AAC22BB112FFF71E090EF53185286FD098C11DD34FB40B1D", "https://baanknet.com/view-property/284830/B08A0ABDFF78A8A1AAC22BB112FFF71E090EF53185286FD098C11DD34FB40B1D")</f>
        <v>https://baanknet.com/view-property/284830/B08A0ABDFF78A8A1AAC22BB112FFF71E090EF53185286FD098C11DD34FB40B1D</v>
      </c>
      <c r="I5698" t="str">
        <f>HYPERLINK("https://baanknet.com/view-property/284830/B08A0ABDFF78A8A1AAC22BB112FFF71E090EF53185286FD098C11DD34FB40B1D", "Open")</f>
        <v>Open</v>
      </c>
      <c r="J5698" t="s">
        <v>3803</v>
      </c>
      <c r="L5698">
        <v>2455000</v>
      </c>
      <c r="M5698">
        <v>245500</v>
      </c>
    </row>
    <row r="5699" spans="1:13" x14ac:dyDescent="0.25">
      <c r="A5699" t="s">
        <v>18866</v>
      </c>
      <c r="B5699" t="s">
        <v>18867</v>
      </c>
      <c r="C5699" t="s">
        <v>121</v>
      </c>
      <c r="D5699" t="s">
        <v>1602</v>
      </c>
      <c r="E5699" t="s">
        <v>18823</v>
      </c>
      <c r="F5699" t="s">
        <v>18680</v>
      </c>
      <c r="G5699" t="s">
        <v>18868</v>
      </c>
      <c r="H5699" t="str">
        <f>HYPERLINK("https://baanknet.com/view-property/284831/656AD514DB547B2F074DE4B252616B74066922E7E77918AE5E52501AA672D912", "https://baanknet.com/view-property/284831/656AD514DB547B2F074DE4B252616B74066922E7E77918AE5E52501AA672D912")</f>
        <v>https://baanknet.com/view-property/284831/656AD514DB547B2F074DE4B252616B74066922E7E77918AE5E52501AA672D912</v>
      </c>
      <c r="I5699" t="str">
        <f>HYPERLINK("https://baanknet.com/view-property/284831/656AD514DB547B2F074DE4B252616B74066922E7E77918AE5E52501AA672D912", "Open")</f>
        <v>Open</v>
      </c>
      <c r="J5699" t="s">
        <v>3803</v>
      </c>
      <c r="L5699">
        <v>2075000</v>
      </c>
      <c r="M5699">
        <v>207500</v>
      </c>
    </row>
    <row r="5700" spans="1:13" x14ac:dyDescent="0.25">
      <c r="A5700" t="s">
        <v>18869</v>
      </c>
      <c r="B5700" t="s">
        <v>18870</v>
      </c>
      <c r="C5700" t="s">
        <v>121</v>
      </c>
      <c r="D5700" t="s">
        <v>1488</v>
      </c>
      <c r="E5700" t="s">
        <v>18823</v>
      </c>
      <c r="F5700" t="s">
        <v>18680</v>
      </c>
      <c r="G5700" t="s">
        <v>18871</v>
      </c>
      <c r="H5700" t="str">
        <f>HYPERLINK("https://baanknet.com/view-property/284961/6DB423EF8AADDD3AE9EC6DC1A18E1CD5FE095E9668709691DCC5FEAE96C4AE7E", "https://baanknet.com/view-property/284961/6DB423EF8AADDD3AE9EC6DC1A18E1CD5FE095E9668709691DCC5FEAE96C4AE7E")</f>
        <v>https://baanknet.com/view-property/284961/6DB423EF8AADDD3AE9EC6DC1A18E1CD5FE095E9668709691DCC5FEAE96C4AE7E</v>
      </c>
      <c r="I5700" t="str">
        <f>HYPERLINK("https://baanknet.com/view-property/284961/6DB423EF8AADDD3AE9EC6DC1A18E1CD5FE095E9668709691DCC5FEAE96C4AE7E", "Open")</f>
        <v>Open</v>
      </c>
      <c r="J5700" t="s">
        <v>3803</v>
      </c>
      <c r="L5700">
        <v>1870000</v>
      </c>
      <c r="M5700">
        <v>187000</v>
      </c>
    </row>
    <row r="5701" spans="1:13" x14ac:dyDescent="0.25">
      <c r="A5701" t="s">
        <v>18872</v>
      </c>
      <c r="B5701" t="s">
        <v>18873</v>
      </c>
      <c r="C5701" t="s">
        <v>121</v>
      </c>
      <c r="D5701" t="s">
        <v>1488</v>
      </c>
      <c r="E5701" t="s">
        <v>18823</v>
      </c>
      <c r="F5701" t="s">
        <v>18680</v>
      </c>
      <c r="G5701" t="s">
        <v>18874</v>
      </c>
      <c r="H5701" t="str">
        <f>HYPERLINK("https://baanknet.com/view-property/284965/BACFDCC0ED0D34BE2246EE4A710646B4CBC922E7D026FCE80CBEAD2CC2539CD5", "https://baanknet.com/view-property/284965/BACFDCC0ED0D34BE2246EE4A710646B4CBC922E7D026FCE80CBEAD2CC2539CD5")</f>
        <v>https://baanknet.com/view-property/284965/BACFDCC0ED0D34BE2246EE4A710646B4CBC922E7D026FCE80CBEAD2CC2539CD5</v>
      </c>
      <c r="I5701" t="str">
        <f>HYPERLINK("https://baanknet.com/view-property/284965/BACFDCC0ED0D34BE2246EE4A710646B4CBC922E7D026FCE80CBEAD2CC2539CD5", "Open")</f>
        <v>Open</v>
      </c>
      <c r="J5701" t="s">
        <v>3803</v>
      </c>
      <c r="L5701">
        <v>4550000</v>
      </c>
      <c r="M5701">
        <v>455000</v>
      </c>
    </row>
    <row r="5702" spans="1:13" x14ac:dyDescent="0.25">
      <c r="A5702" t="s">
        <v>18875</v>
      </c>
      <c r="B5702" t="s">
        <v>18876</v>
      </c>
      <c r="C5702" t="s">
        <v>121</v>
      </c>
      <c r="D5702" t="s">
        <v>1488</v>
      </c>
      <c r="E5702" t="s">
        <v>18823</v>
      </c>
      <c r="F5702" t="s">
        <v>18680</v>
      </c>
      <c r="G5702" t="s">
        <v>18877</v>
      </c>
      <c r="H5702" t="str">
        <f>HYPERLINK("https://baanknet.com/view-property/284992/FB2A12197D79E74F27650523E3F9E8B5EB3A4A6D4342D9A1453E3E5864CA0243", "https://baanknet.com/view-property/284992/FB2A12197D79E74F27650523E3F9E8B5EB3A4A6D4342D9A1453E3E5864CA0243")</f>
        <v>https://baanknet.com/view-property/284992/FB2A12197D79E74F27650523E3F9E8B5EB3A4A6D4342D9A1453E3E5864CA0243</v>
      </c>
      <c r="I5702" t="str">
        <f>HYPERLINK("https://baanknet.com/view-property/284992/FB2A12197D79E74F27650523E3F9E8B5EB3A4A6D4342D9A1453E3E5864CA0243", "Open")</f>
        <v>Open</v>
      </c>
      <c r="J5702" t="s">
        <v>3803</v>
      </c>
      <c r="L5702">
        <v>3140000</v>
      </c>
      <c r="M5702">
        <v>314000</v>
      </c>
    </row>
    <row r="5703" spans="1:13" x14ac:dyDescent="0.25">
      <c r="A5703" t="s">
        <v>18878</v>
      </c>
      <c r="B5703" t="s">
        <v>18879</v>
      </c>
      <c r="C5703" t="s">
        <v>121</v>
      </c>
      <c r="D5703" t="s">
        <v>1488</v>
      </c>
      <c r="E5703" t="s">
        <v>18823</v>
      </c>
      <c r="F5703" t="s">
        <v>18680</v>
      </c>
      <c r="G5703" t="s">
        <v>18880</v>
      </c>
      <c r="H5703" t="str">
        <f>HYPERLINK("https://baanknet.com/view-property/284997/8FCC830907908BF134B773713D74CDF2C605D83D0587065D9C0141DE12DD1302", "https://baanknet.com/view-property/284997/8FCC830907908BF134B773713D74CDF2C605D83D0587065D9C0141DE12DD1302")</f>
        <v>https://baanknet.com/view-property/284997/8FCC830907908BF134B773713D74CDF2C605D83D0587065D9C0141DE12DD1302</v>
      </c>
      <c r="I5703" t="str">
        <f>HYPERLINK("https://baanknet.com/view-property/284997/8FCC830907908BF134B773713D74CDF2C605D83D0587065D9C0141DE12DD1302", "Open")</f>
        <v>Open</v>
      </c>
      <c r="J5703" t="s">
        <v>3803</v>
      </c>
      <c r="L5703">
        <v>1225000</v>
      </c>
      <c r="M5703">
        <v>122500</v>
      </c>
    </row>
    <row r="5704" spans="1:13" x14ac:dyDescent="0.25">
      <c r="A5704" t="s">
        <v>18881</v>
      </c>
      <c r="B5704" t="s">
        <v>18882</v>
      </c>
      <c r="C5704" t="s">
        <v>332</v>
      </c>
      <c r="D5704" t="s">
        <v>11969</v>
      </c>
      <c r="E5704" t="s">
        <v>18823</v>
      </c>
      <c r="F5704" t="s">
        <v>18680</v>
      </c>
      <c r="G5704" t="s">
        <v>18883</v>
      </c>
      <c r="H5704" t="str">
        <f>HYPERLINK("https://baanknet.com/view-property/76937/3C8E7704E01241748012A054D927BBA345FD5469A552A54F007A7A0D6043F204", "https://baanknet.com/view-property/76937/3C8E7704E01241748012A054D927BBA345FD5469A552A54F007A7A0D6043F204")</f>
        <v>https://baanknet.com/view-property/76937/3C8E7704E01241748012A054D927BBA345FD5469A552A54F007A7A0D6043F204</v>
      </c>
      <c r="I5704" t="str">
        <f>HYPERLINK("https://baanknet.com/view-property/76937/3C8E7704E01241748012A054D927BBA345FD5469A552A54F007A7A0D6043F204", "Open")</f>
        <v>Open</v>
      </c>
      <c r="J5704" t="s">
        <v>3803</v>
      </c>
      <c r="L5704">
        <v>29100000</v>
      </c>
      <c r="M5704">
        <v>2910000</v>
      </c>
    </row>
    <row r="5705" spans="1:13" x14ac:dyDescent="0.25">
      <c r="A5705" t="s">
        <v>18884</v>
      </c>
      <c r="B5705" t="s">
        <v>18885</v>
      </c>
      <c r="C5705" t="s">
        <v>332</v>
      </c>
      <c r="D5705" t="s">
        <v>608</v>
      </c>
      <c r="E5705" t="s">
        <v>18823</v>
      </c>
      <c r="F5705" t="s">
        <v>18680</v>
      </c>
      <c r="G5705" t="s">
        <v>18886</v>
      </c>
      <c r="H5705" t="str">
        <f>HYPERLINK("https://baanknet.com/view-property/285885/0939E836F43BB287B53B835922CF7CCE3C09F727B7003ED5282DFC2770E6CC82", "https://baanknet.com/view-property/285885/0939E836F43BB287B53B835922CF7CCE3C09F727B7003ED5282DFC2770E6CC82")</f>
        <v>https://baanknet.com/view-property/285885/0939E836F43BB287B53B835922CF7CCE3C09F727B7003ED5282DFC2770E6CC82</v>
      </c>
      <c r="I5705" t="str">
        <f>HYPERLINK("https://baanknet.com/view-property/285885/0939E836F43BB287B53B835922CF7CCE3C09F727B7003ED5282DFC2770E6CC82", "Open")</f>
        <v>Open</v>
      </c>
      <c r="J5705" t="s">
        <v>3803</v>
      </c>
      <c r="L5705">
        <v>4800000</v>
      </c>
      <c r="M5705">
        <v>480000</v>
      </c>
    </row>
    <row r="5706" spans="1:13" x14ac:dyDescent="0.25">
      <c r="A5706" t="s">
        <v>18887</v>
      </c>
      <c r="B5706" t="s">
        <v>18888</v>
      </c>
      <c r="C5706" t="s">
        <v>121</v>
      </c>
      <c r="D5706" t="s">
        <v>1051</v>
      </c>
      <c r="E5706" t="s">
        <v>18823</v>
      </c>
      <c r="F5706" t="s">
        <v>18680</v>
      </c>
      <c r="G5706" t="s">
        <v>18889</v>
      </c>
      <c r="H5706" t="str">
        <f>HYPERLINK("https://baanknet.com/view-property/286194/B6A1BDC52C603FA295A7825EC57F2C21153407F0BA0EE6B1841055034533E514", "https://baanknet.com/view-property/286194/B6A1BDC52C603FA295A7825EC57F2C21153407F0BA0EE6B1841055034533E514")</f>
        <v>https://baanknet.com/view-property/286194/B6A1BDC52C603FA295A7825EC57F2C21153407F0BA0EE6B1841055034533E514</v>
      </c>
      <c r="I5706" t="str">
        <f>HYPERLINK("https://baanknet.com/view-property/286194/B6A1BDC52C603FA295A7825EC57F2C21153407F0BA0EE6B1841055034533E514", "Open")</f>
        <v>Open</v>
      </c>
      <c r="J5706" t="s">
        <v>3803</v>
      </c>
      <c r="L5706">
        <v>10432000</v>
      </c>
      <c r="M5706">
        <v>1043200</v>
      </c>
    </row>
    <row r="5707" spans="1:13" x14ac:dyDescent="0.25">
      <c r="A5707" t="s">
        <v>18890</v>
      </c>
      <c r="B5707" t="s">
        <v>18891</v>
      </c>
      <c r="C5707" t="s">
        <v>332</v>
      </c>
      <c r="D5707" t="s">
        <v>5556</v>
      </c>
      <c r="E5707" t="s">
        <v>18823</v>
      </c>
      <c r="F5707" t="s">
        <v>18680</v>
      </c>
      <c r="G5707" t="s">
        <v>18892</v>
      </c>
      <c r="H5707" t="str">
        <f>HYPERLINK("https://baanknet.com/view-property/286466/3BDFE56EC4DA46E8050738BD9C6FE8A41CBD848C64472E0D5CB2851C72DDE86F", "https://baanknet.com/view-property/286466/3BDFE56EC4DA46E8050738BD9C6FE8A41CBD848C64472E0D5CB2851C72DDE86F")</f>
        <v>https://baanknet.com/view-property/286466/3BDFE56EC4DA46E8050738BD9C6FE8A41CBD848C64472E0D5CB2851C72DDE86F</v>
      </c>
      <c r="I5707" t="str">
        <f>HYPERLINK("https://baanknet.com/view-property/286466/3BDFE56EC4DA46E8050738BD9C6FE8A41CBD848C64472E0D5CB2851C72DDE86F", "Open")</f>
        <v>Open</v>
      </c>
      <c r="J5707" t="s">
        <v>3803</v>
      </c>
      <c r="L5707">
        <v>2064000</v>
      </c>
      <c r="M5707">
        <v>206400</v>
      </c>
    </row>
    <row r="5708" spans="1:13" x14ac:dyDescent="0.25">
      <c r="A5708" t="s">
        <v>18893</v>
      </c>
      <c r="B5708" t="s">
        <v>18894</v>
      </c>
      <c r="C5708" t="s">
        <v>332</v>
      </c>
      <c r="D5708" t="s">
        <v>5556</v>
      </c>
      <c r="E5708" t="s">
        <v>18823</v>
      </c>
      <c r="F5708" t="s">
        <v>18680</v>
      </c>
      <c r="G5708" t="s">
        <v>18895</v>
      </c>
      <c r="H5708" t="str">
        <f>HYPERLINK("https://baanknet.com/view-property/286452/B328A830BCEBB2DDA40FE7EC6C007475B24B5C60D08C0C62562BDBE0745447B6", "https://baanknet.com/view-property/286452/B328A830BCEBB2DDA40FE7EC6C007475B24B5C60D08C0C62562BDBE0745447B6")</f>
        <v>https://baanknet.com/view-property/286452/B328A830BCEBB2DDA40FE7EC6C007475B24B5C60D08C0C62562BDBE0745447B6</v>
      </c>
      <c r="I5708" t="str">
        <f>HYPERLINK("https://baanknet.com/view-property/286452/B328A830BCEBB2DDA40FE7EC6C007475B24B5C60D08C0C62562BDBE0745447B6", "Open")</f>
        <v>Open</v>
      </c>
      <c r="J5708" t="s">
        <v>3803</v>
      </c>
      <c r="L5708">
        <v>1211000</v>
      </c>
      <c r="M5708">
        <v>121100</v>
      </c>
    </row>
    <row r="5709" spans="1:13" x14ac:dyDescent="0.25">
      <c r="A5709" t="s">
        <v>18896</v>
      </c>
      <c r="B5709" t="s">
        <v>18897</v>
      </c>
      <c r="C5709" t="s">
        <v>332</v>
      </c>
      <c r="D5709" t="s">
        <v>509</v>
      </c>
      <c r="E5709" t="s">
        <v>18823</v>
      </c>
      <c r="F5709" t="s">
        <v>18680</v>
      </c>
      <c r="G5709" t="s">
        <v>18898</v>
      </c>
      <c r="H5709" t="str">
        <f>HYPERLINK("https://baanknet.com/view-property/286442/8D698AF5C616FA05697806669FD3A8C1BD1F3E22158F4FE1C269538BC72465DF", "https://baanknet.com/view-property/286442/8D698AF5C616FA05697806669FD3A8C1BD1F3E22158F4FE1C269538BC72465DF")</f>
        <v>https://baanknet.com/view-property/286442/8D698AF5C616FA05697806669FD3A8C1BD1F3E22158F4FE1C269538BC72465DF</v>
      </c>
      <c r="I5709" t="str">
        <f>HYPERLINK("https://baanknet.com/view-property/286442/8D698AF5C616FA05697806669FD3A8C1BD1F3E22158F4FE1C269538BC72465DF", "Open")</f>
        <v>Open</v>
      </c>
      <c r="J5709" t="s">
        <v>3803</v>
      </c>
      <c r="L5709">
        <v>1200000</v>
      </c>
      <c r="M5709">
        <v>120000</v>
      </c>
    </row>
    <row r="5710" spans="1:13" x14ac:dyDescent="0.25">
      <c r="A5710" t="s">
        <v>18899</v>
      </c>
      <c r="B5710" t="s">
        <v>18900</v>
      </c>
      <c r="C5710" t="s">
        <v>144</v>
      </c>
      <c r="D5710" t="s">
        <v>533</v>
      </c>
      <c r="E5710" t="s">
        <v>18823</v>
      </c>
      <c r="F5710" t="s">
        <v>18680</v>
      </c>
      <c r="G5710" t="s">
        <v>18901</v>
      </c>
      <c r="H5710" t="str">
        <f>HYPERLINK("https://baanknet.com/view-property/285621/505A3D99B9B3B0DC9CB618417E3A703FAEE0FFEA04DE7B346302B93FC3C3C65E", "https://baanknet.com/view-property/285621/505A3D99B9B3B0DC9CB618417E3A703FAEE0FFEA04DE7B346302B93FC3C3C65E")</f>
        <v>https://baanknet.com/view-property/285621/505A3D99B9B3B0DC9CB618417E3A703FAEE0FFEA04DE7B346302B93FC3C3C65E</v>
      </c>
      <c r="I5710" t="str">
        <f>HYPERLINK("https://baanknet.com/view-property/285621/505A3D99B9B3B0DC9CB618417E3A703FAEE0FFEA04DE7B346302B93FC3C3C65E", "Open")</f>
        <v>Open</v>
      </c>
      <c r="J5710" t="s">
        <v>3803</v>
      </c>
      <c r="L5710">
        <v>2400000</v>
      </c>
      <c r="M5710">
        <v>240000</v>
      </c>
    </row>
    <row r="5711" spans="1:13" x14ac:dyDescent="0.25">
      <c r="A5711" t="s">
        <v>18902</v>
      </c>
      <c r="B5711" t="s">
        <v>18903</v>
      </c>
      <c r="C5711" t="s">
        <v>387</v>
      </c>
      <c r="D5711" t="s">
        <v>18904</v>
      </c>
      <c r="E5711" t="s">
        <v>18823</v>
      </c>
      <c r="F5711" t="s">
        <v>18680</v>
      </c>
      <c r="G5711" t="s">
        <v>18905</v>
      </c>
      <c r="H5711" t="str">
        <f>HYPERLINK("https://baanknet.com/view-property/286809/183AC6B3108215309ED6DD0CAC4F02809BCB34BECCD95ADB64F7BEB5C1F1418D", "https://baanknet.com/view-property/286809/183AC6B3108215309ED6DD0CAC4F02809BCB34BECCD95ADB64F7BEB5C1F1418D")</f>
        <v>https://baanknet.com/view-property/286809/183AC6B3108215309ED6DD0CAC4F02809BCB34BECCD95ADB64F7BEB5C1F1418D</v>
      </c>
      <c r="I5711" t="str">
        <f>HYPERLINK("https://baanknet.com/view-property/286809/183AC6B3108215309ED6DD0CAC4F02809BCB34BECCD95ADB64F7BEB5C1F1418D", "Open")</f>
        <v>Open</v>
      </c>
      <c r="J5711" t="s">
        <v>3803</v>
      </c>
      <c r="L5711">
        <v>2950000</v>
      </c>
      <c r="M5711">
        <v>295000</v>
      </c>
    </row>
    <row r="5712" spans="1:13" x14ac:dyDescent="0.25">
      <c r="A5712" t="s">
        <v>18906</v>
      </c>
      <c r="B5712" t="s">
        <v>18907</v>
      </c>
      <c r="C5712" t="s">
        <v>121</v>
      </c>
      <c r="D5712" t="s">
        <v>1598</v>
      </c>
      <c r="E5712" t="s">
        <v>18823</v>
      </c>
      <c r="F5712" t="s">
        <v>18680</v>
      </c>
      <c r="G5712" t="s">
        <v>18908</v>
      </c>
      <c r="H5712" t="str">
        <f>HYPERLINK("https://baanknet.com/view-property/286871/ADC02D3A52BDB11C859D451640C8E8FAA0216D2153E9A4A6EB669FE1CF404664", "https://baanknet.com/view-property/286871/ADC02D3A52BDB11C859D451640C8E8FAA0216D2153E9A4A6EB669FE1CF404664")</f>
        <v>https://baanknet.com/view-property/286871/ADC02D3A52BDB11C859D451640C8E8FAA0216D2153E9A4A6EB669FE1CF404664</v>
      </c>
      <c r="I5712" t="str">
        <f>HYPERLINK("https://baanknet.com/view-property/286871/ADC02D3A52BDB11C859D451640C8E8FAA0216D2153E9A4A6EB669FE1CF404664", "Open")</f>
        <v>Open</v>
      </c>
      <c r="J5712" t="s">
        <v>3803</v>
      </c>
      <c r="L5712">
        <v>2618000</v>
      </c>
      <c r="M5712">
        <v>261800</v>
      </c>
    </row>
    <row r="5713" spans="1:13" x14ac:dyDescent="0.25">
      <c r="A5713" t="s">
        <v>18909</v>
      </c>
      <c r="B5713" t="s">
        <v>18910</v>
      </c>
      <c r="C5713" t="s">
        <v>121</v>
      </c>
      <c r="D5713" t="s">
        <v>1598</v>
      </c>
      <c r="E5713" t="s">
        <v>18823</v>
      </c>
      <c r="F5713" t="s">
        <v>18680</v>
      </c>
      <c r="G5713" t="s">
        <v>18911</v>
      </c>
      <c r="H5713" t="str">
        <f>HYPERLINK("https://baanknet.com/view-property/286868/DD234621F45EBCD3BE20F8A22FD09DDC4C833C608F4976D7DF9137313AFC6F62", "https://baanknet.com/view-property/286868/DD234621F45EBCD3BE20F8A22FD09DDC4C833C608F4976D7DF9137313AFC6F62")</f>
        <v>https://baanknet.com/view-property/286868/DD234621F45EBCD3BE20F8A22FD09DDC4C833C608F4976D7DF9137313AFC6F62</v>
      </c>
      <c r="I5713" t="str">
        <f>HYPERLINK("https://baanknet.com/view-property/286868/DD234621F45EBCD3BE20F8A22FD09DDC4C833C608F4976D7DF9137313AFC6F62", "Open")</f>
        <v>Open</v>
      </c>
      <c r="J5713" t="s">
        <v>3803</v>
      </c>
      <c r="L5713">
        <v>3491000</v>
      </c>
      <c r="M5713">
        <v>349100</v>
      </c>
    </row>
    <row r="5714" spans="1:13" x14ac:dyDescent="0.25">
      <c r="A5714" t="s">
        <v>18912</v>
      </c>
      <c r="B5714" t="s">
        <v>18913</v>
      </c>
      <c r="C5714" t="s">
        <v>121</v>
      </c>
      <c r="D5714" t="s">
        <v>1598</v>
      </c>
      <c r="E5714" t="s">
        <v>18823</v>
      </c>
      <c r="F5714" t="s">
        <v>18680</v>
      </c>
      <c r="G5714" t="s">
        <v>18914</v>
      </c>
      <c r="H5714" t="str">
        <f>HYPERLINK("https://baanknet.com/view-property/286865/7326E3F5787C3790EDFB6AEB8DA482A3607CF8D82AE0C9F0A63CB8C0F3111E98", "https://baanknet.com/view-property/286865/7326E3F5787C3790EDFB6AEB8DA482A3607CF8D82AE0C9F0A63CB8C0F3111E98")</f>
        <v>https://baanknet.com/view-property/286865/7326E3F5787C3790EDFB6AEB8DA482A3607CF8D82AE0C9F0A63CB8C0F3111E98</v>
      </c>
      <c r="I5714" t="str">
        <f>HYPERLINK("https://baanknet.com/view-property/286865/7326E3F5787C3790EDFB6AEB8DA482A3607CF8D82AE0C9F0A63CB8C0F3111E98", "Open")</f>
        <v>Open</v>
      </c>
      <c r="J5714" t="s">
        <v>3803</v>
      </c>
      <c r="L5714">
        <v>20230000</v>
      </c>
      <c r="M5714">
        <v>2023000</v>
      </c>
    </row>
    <row r="5715" spans="1:13" x14ac:dyDescent="0.25">
      <c r="A5715" t="s">
        <v>18915</v>
      </c>
      <c r="B5715" t="s">
        <v>18916</v>
      </c>
      <c r="C5715" t="s">
        <v>121</v>
      </c>
      <c r="D5715" t="s">
        <v>18917</v>
      </c>
      <c r="E5715" t="s">
        <v>18823</v>
      </c>
      <c r="F5715" t="s">
        <v>18680</v>
      </c>
      <c r="G5715" t="s">
        <v>18918</v>
      </c>
      <c r="H5715" t="str">
        <f>HYPERLINK("https://baanknet.com/view-property/286885/A37AF0963C8D46C1A0B1224160652E4F68D9DDD423BD31A2C2184FB887BC1C4C", "https://baanknet.com/view-property/286885/A37AF0963C8D46C1A0B1224160652E4F68D9DDD423BD31A2C2184FB887BC1C4C")</f>
        <v>https://baanknet.com/view-property/286885/A37AF0963C8D46C1A0B1224160652E4F68D9DDD423BD31A2C2184FB887BC1C4C</v>
      </c>
      <c r="I5715" t="str">
        <f>HYPERLINK("https://baanknet.com/view-property/286885/A37AF0963C8D46C1A0B1224160652E4F68D9DDD423BD31A2C2184FB887BC1C4C", "Open")</f>
        <v>Open</v>
      </c>
      <c r="J5715" t="s">
        <v>3803</v>
      </c>
      <c r="L5715">
        <v>2260150</v>
      </c>
      <c r="M5715">
        <v>226015</v>
      </c>
    </row>
    <row r="5716" spans="1:13" x14ac:dyDescent="0.25">
      <c r="A5716" t="s">
        <v>18919</v>
      </c>
      <c r="B5716" t="s">
        <v>18920</v>
      </c>
      <c r="C5716" t="s">
        <v>121</v>
      </c>
      <c r="D5716" t="s">
        <v>18453</v>
      </c>
      <c r="E5716" t="s">
        <v>18823</v>
      </c>
      <c r="F5716" t="s">
        <v>18680</v>
      </c>
      <c r="G5716" t="s">
        <v>18921</v>
      </c>
      <c r="H5716" t="str">
        <f>HYPERLINK("https://baanknet.com/view-property/286889/54BB91C54477B58938F838D44DF661FFA949C244D3BB329ADF9CDD341FB4C4DE", "https://baanknet.com/view-property/286889/54BB91C54477B58938F838D44DF661FFA949C244D3BB329ADF9CDD341FB4C4DE")</f>
        <v>https://baanknet.com/view-property/286889/54BB91C54477B58938F838D44DF661FFA949C244D3BB329ADF9CDD341FB4C4DE</v>
      </c>
      <c r="I5716" t="str">
        <f>HYPERLINK("https://baanknet.com/view-property/286889/54BB91C54477B58938F838D44DF661FFA949C244D3BB329ADF9CDD341FB4C4DE", "Open")</f>
        <v>Open</v>
      </c>
      <c r="J5716" t="s">
        <v>3803</v>
      </c>
      <c r="L5716">
        <v>2677000</v>
      </c>
      <c r="M5716">
        <v>267700</v>
      </c>
    </row>
    <row r="5717" spans="1:13" x14ac:dyDescent="0.25">
      <c r="A5717" t="s">
        <v>18922</v>
      </c>
      <c r="B5717" t="s">
        <v>18923</v>
      </c>
      <c r="C5717" t="s">
        <v>121</v>
      </c>
      <c r="D5717" t="s">
        <v>758</v>
      </c>
      <c r="E5717" t="s">
        <v>18823</v>
      </c>
      <c r="F5717" t="s">
        <v>18680</v>
      </c>
      <c r="G5717" t="s">
        <v>18924</v>
      </c>
      <c r="H5717" t="str">
        <f>HYPERLINK("https://baanknet.com/view-property/284972/ED5EA0A659E732B9E5254A2CB7BEA0AE96DF5A0FEE5FC7FD7068FEC665E79D2C", "https://baanknet.com/view-property/284972/ED5EA0A659E732B9E5254A2CB7BEA0AE96DF5A0FEE5FC7FD7068FEC665E79D2C")</f>
        <v>https://baanknet.com/view-property/284972/ED5EA0A659E732B9E5254A2CB7BEA0AE96DF5A0FEE5FC7FD7068FEC665E79D2C</v>
      </c>
      <c r="I5717" t="str">
        <f>HYPERLINK("https://baanknet.com/view-property/284972/ED5EA0A659E732B9E5254A2CB7BEA0AE96DF5A0FEE5FC7FD7068FEC665E79D2C", "Open")</f>
        <v>Open</v>
      </c>
      <c r="J5717" t="s">
        <v>3803</v>
      </c>
      <c r="L5717">
        <v>4493000</v>
      </c>
      <c r="M5717">
        <v>449300</v>
      </c>
    </row>
    <row r="5718" spans="1:13" x14ac:dyDescent="0.25">
      <c r="A5718" t="s">
        <v>18925</v>
      </c>
      <c r="B5718" t="s">
        <v>18926</v>
      </c>
      <c r="C5718" t="s">
        <v>121</v>
      </c>
      <c r="D5718" t="s">
        <v>2163</v>
      </c>
      <c r="E5718" t="s">
        <v>18823</v>
      </c>
      <c r="F5718" t="s">
        <v>18680</v>
      </c>
      <c r="G5718" t="s">
        <v>18927</v>
      </c>
      <c r="H5718" t="str">
        <f>HYPERLINK("https://baanknet.com/view-property/253903/B0EE453DBFEE1C30729FEED081E1832FE3B50AD3DD51F4189457ABA8A5BB0C66", "https://baanknet.com/view-property/253903/B0EE453DBFEE1C30729FEED081E1832FE3B50AD3DD51F4189457ABA8A5BB0C66")</f>
        <v>https://baanknet.com/view-property/253903/B0EE453DBFEE1C30729FEED081E1832FE3B50AD3DD51F4189457ABA8A5BB0C66</v>
      </c>
      <c r="I5718" t="str">
        <f>HYPERLINK("https://baanknet.com/view-property/253903/B0EE453DBFEE1C30729FEED081E1832FE3B50AD3DD51F4189457ABA8A5BB0C66", "Open")</f>
        <v>Open</v>
      </c>
      <c r="J5718" t="s">
        <v>3803</v>
      </c>
      <c r="L5718">
        <v>24341000</v>
      </c>
      <c r="M5718">
        <v>2434100</v>
      </c>
    </row>
    <row r="5719" spans="1:13" x14ac:dyDescent="0.25">
      <c r="A5719" t="s">
        <v>18928</v>
      </c>
      <c r="B5719" t="s">
        <v>18929</v>
      </c>
      <c r="C5719" t="s">
        <v>121</v>
      </c>
      <c r="D5719" t="s">
        <v>2163</v>
      </c>
      <c r="E5719" t="s">
        <v>18823</v>
      </c>
      <c r="F5719" t="s">
        <v>18680</v>
      </c>
      <c r="G5719" t="s">
        <v>18930</v>
      </c>
      <c r="H5719" t="str">
        <f>HYPERLINK("https://baanknet.com/view-property/253906/9CAEC0B8B0A41F7B05E6BBD41DE258655731DC4DA06AEFB64E4D0CDA9875B678", "https://baanknet.com/view-property/253906/9CAEC0B8B0A41F7B05E6BBD41DE258655731DC4DA06AEFB64E4D0CDA9875B678")</f>
        <v>https://baanknet.com/view-property/253906/9CAEC0B8B0A41F7B05E6BBD41DE258655731DC4DA06AEFB64E4D0CDA9875B678</v>
      </c>
      <c r="I5719" t="str">
        <f>HYPERLINK("https://baanknet.com/view-property/253906/9CAEC0B8B0A41F7B05E6BBD41DE258655731DC4DA06AEFB64E4D0CDA9875B678", "Open")</f>
        <v>Open</v>
      </c>
      <c r="J5719" t="s">
        <v>3803</v>
      </c>
      <c r="L5719">
        <v>24341000</v>
      </c>
      <c r="M5719">
        <v>2434100</v>
      </c>
    </row>
    <row r="5720" spans="1:13" x14ac:dyDescent="0.25">
      <c r="A5720" t="s">
        <v>18931</v>
      </c>
      <c r="B5720" t="s">
        <v>18932</v>
      </c>
      <c r="C5720" t="s">
        <v>121</v>
      </c>
      <c r="D5720" t="s">
        <v>1310</v>
      </c>
      <c r="E5720" t="s">
        <v>18823</v>
      </c>
      <c r="F5720" t="s">
        <v>18680</v>
      </c>
      <c r="G5720" t="s">
        <v>18933</v>
      </c>
      <c r="H5720" t="str">
        <f>HYPERLINK("https://baanknet.com/view-property/257904/1AD4B4E32817A2BB59C73B2B5ABD2493BF85ABF2460A75E86D550EF1F6B4252F", "https://baanknet.com/view-property/257904/1AD4B4E32817A2BB59C73B2B5ABD2493BF85ABF2460A75E86D550EF1F6B4252F")</f>
        <v>https://baanknet.com/view-property/257904/1AD4B4E32817A2BB59C73B2B5ABD2493BF85ABF2460A75E86D550EF1F6B4252F</v>
      </c>
      <c r="I5720" t="str">
        <f>HYPERLINK("https://baanknet.com/view-property/257904/1AD4B4E32817A2BB59C73B2B5ABD2493BF85ABF2460A75E86D550EF1F6B4252F", "Open")</f>
        <v>Open</v>
      </c>
      <c r="J5720" t="s">
        <v>3803</v>
      </c>
      <c r="L5720">
        <v>23523000</v>
      </c>
      <c r="M5720">
        <v>2352300</v>
      </c>
    </row>
    <row r="5721" spans="1:13" x14ac:dyDescent="0.25">
      <c r="A5721" t="s">
        <v>18934</v>
      </c>
      <c r="B5721" t="s">
        <v>18935</v>
      </c>
      <c r="C5721" t="s">
        <v>121</v>
      </c>
      <c r="D5721" t="s">
        <v>706</v>
      </c>
      <c r="E5721" t="s">
        <v>18823</v>
      </c>
      <c r="F5721" t="s">
        <v>18680</v>
      </c>
      <c r="G5721" t="s">
        <v>18936</v>
      </c>
      <c r="H5721" t="str">
        <f>HYPERLINK("https://baanknet.com/view-property/182718/1984AEE373666DA69E53786AF7B5738FB98026E98CD4FCE7E704AAA7346D3B87", "https://baanknet.com/view-property/182718/1984AEE373666DA69E53786AF7B5738FB98026E98CD4FCE7E704AAA7346D3B87")</f>
        <v>https://baanknet.com/view-property/182718/1984AEE373666DA69E53786AF7B5738FB98026E98CD4FCE7E704AAA7346D3B87</v>
      </c>
      <c r="I5721" t="str">
        <f>HYPERLINK("https://baanknet.com/view-property/182718/1984AEE373666DA69E53786AF7B5738FB98026E98CD4FCE7E704AAA7346D3B87", "Open")</f>
        <v>Open</v>
      </c>
      <c r="J5721" t="s">
        <v>3803</v>
      </c>
      <c r="L5721">
        <v>1778000</v>
      </c>
      <c r="M5721">
        <v>177800</v>
      </c>
    </row>
    <row r="5722" spans="1:13" x14ac:dyDescent="0.25">
      <c r="A5722" t="s">
        <v>18937</v>
      </c>
      <c r="B5722" t="s">
        <v>18938</v>
      </c>
      <c r="C5722" t="s">
        <v>121</v>
      </c>
      <c r="D5722" t="s">
        <v>1300</v>
      </c>
      <c r="E5722" t="s">
        <v>18823</v>
      </c>
      <c r="F5722" t="s">
        <v>18680</v>
      </c>
      <c r="G5722" t="s">
        <v>18939</v>
      </c>
      <c r="H5722" t="str">
        <f>HYPERLINK("https://baanknet.com/view-property/201045/A5DEFED9D3041FE30B151F01F97FC6BD561B17D9B0EA43F3B245578BCB06302F", "https://baanknet.com/view-property/201045/A5DEFED9D3041FE30B151F01F97FC6BD561B17D9B0EA43F3B245578BCB06302F")</f>
        <v>https://baanknet.com/view-property/201045/A5DEFED9D3041FE30B151F01F97FC6BD561B17D9B0EA43F3B245578BCB06302F</v>
      </c>
      <c r="I5722" t="str">
        <f>HYPERLINK("https://baanknet.com/view-property/201045/A5DEFED9D3041FE30B151F01F97FC6BD561B17D9B0EA43F3B245578BCB06302F", "Open")</f>
        <v>Open</v>
      </c>
      <c r="J5722" t="s">
        <v>3803</v>
      </c>
      <c r="L5722">
        <v>1672000</v>
      </c>
      <c r="M5722">
        <v>167200</v>
      </c>
    </row>
    <row r="5723" spans="1:13" x14ac:dyDescent="0.25">
      <c r="A5723" t="s">
        <v>18940</v>
      </c>
      <c r="B5723" t="s">
        <v>18941</v>
      </c>
      <c r="C5723" t="s">
        <v>121</v>
      </c>
      <c r="D5723" t="s">
        <v>8087</v>
      </c>
      <c r="E5723" t="s">
        <v>18823</v>
      </c>
      <c r="F5723" t="s">
        <v>18680</v>
      </c>
      <c r="G5723" t="s">
        <v>18942</v>
      </c>
      <c r="H5723" t="str">
        <f>HYPERLINK("https://baanknet.com/view-property/207281/14EF63501333148A05C7586CDA1CC82E56D3D652B7D2B708230E49A08B3CD9C4", "https://baanknet.com/view-property/207281/14EF63501333148A05C7586CDA1CC82E56D3D652B7D2B708230E49A08B3CD9C4")</f>
        <v>https://baanknet.com/view-property/207281/14EF63501333148A05C7586CDA1CC82E56D3D652B7D2B708230E49A08B3CD9C4</v>
      </c>
      <c r="I5723" t="str">
        <f>HYPERLINK("https://baanknet.com/view-property/207281/14EF63501333148A05C7586CDA1CC82E56D3D652B7D2B708230E49A08B3CD9C4", "Open")</f>
        <v>Open</v>
      </c>
      <c r="J5723" t="s">
        <v>3803</v>
      </c>
      <c r="L5723">
        <v>3421000</v>
      </c>
      <c r="M5723">
        <v>342100</v>
      </c>
    </row>
    <row r="5724" spans="1:13" x14ac:dyDescent="0.25">
      <c r="A5724" t="s">
        <v>18943</v>
      </c>
      <c r="B5724" t="s">
        <v>18944</v>
      </c>
      <c r="C5724" t="s">
        <v>121</v>
      </c>
      <c r="D5724" t="s">
        <v>1141</v>
      </c>
      <c r="E5724" t="s">
        <v>18823</v>
      </c>
      <c r="F5724" t="s">
        <v>18680</v>
      </c>
      <c r="G5724" t="s">
        <v>18945</v>
      </c>
      <c r="H5724" t="str">
        <f>HYPERLINK("https://baanknet.com/view-property/173633/DE254372DC169009F2C7318D8263E9F20552A8E59AF91A996733869A3961C97D", "https://baanknet.com/view-property/173633/DE254372DC169009F2C7318D8263E9F20552A8E59AF91A996733869A3961C97D")</f>
        <v>https://baanknet.com/view-property/173633/DE254372DC169009F2C7318D8263E9F20552A8E59AF91A996733869A3961C97D</v>
      </c>
      <c r="I5724" t="str">
        <f>HYPERLINK("https://baanknet.com/view-property/173633/DE254372DC169009F2C7318D8263E9F20552A8E59AF91A996733869A3961C97D", "Open")</f>
        <v>Open</v>
      </c>
      <c r="J5724" t="s">
        <v>3803</v>
      </c>
      <c r="L5724">
        <v>9775000</v>
      </c>
      <c r="M5724">
        <v>977500</v>
      </c>
    </row>
    <row r="5725" spans="1:13" x14ac:dyDescent="0.25">
      <c r="A5725" t="s">
        <v>18946</v>
      </c>
      <c r="B5725" t="s">
        <v>18947</v>
      </c>
      <c r="C5725" t="s">
        <v>121</v>
      </c>
      <c r="D5725" t="s">
        <v>1481</v>
      </c>
      <c r="E5725" t="s">
        <v>18823</v>
      </c>
      <c r="F5725" t="s">
        <v>18680</v>
      </c>
      <c r="G5725" t="s">
        <v>18948</v>
      </c>
      <c r="H5725" t="str">
        <f>HYPERLINK("https://baanknet.com/view-property/208276/668DC5C1FC7085075814421B88F744CE421566197E97D9BE4717660C1E0FB6F2", "https://baanknet.com/view-property/208276/668DC5C1FC7085075814421B88F744CE421566197E97D9BE4717660C1E0FB6F2")</f>
        <v>https://baanknet.com/view-property/208276/668DC5C1FC7085075814421B88F744CE421566197E97D9BE4717660C1E0FB6F2</v>
      </c>
      <c r="I5725" t="str">
        <f>HYPERLINK("https://baanknet.com/view-property/208276/668DC5C1FC7085075814421B88F744CE421566197E97D9BE4717660C1E0FB6F2", "Open")</f>
        <v>Open</v>
      </c>
      <c r="J5725" t="s">
        <v>3803</v>
      </c>
      <c r="L5725">
        <v>12243000</v>
      </c>
      <c r="M5725">
        <v>1224300</v>
      </c>
    </row>
    <row r="5726" spans="1:13" x14ac:dyDescent="0.25">
      <c r="A5726" t="s">
        <v>18949</v>
      </c>
      <c r="B5726" t="s">
        <v>18950</v>
      </c>
      <c r="C5726" t="s">
        <v>121</v>
      </c>
      <c r="D5726" t="s">
        <v>16748</v>
      </c>
      <c r="E5726" t="s">
        <v>18823</v>
      </c>
      <c r="F5726" t="s">
        <v>18680</v>
      </c>
      <c r="G5726" t="s">
        <v>18951</v>
      </c>
      <c r="H5726" t="str">
        <f>HYPERLINK("https://baanknet.com/view-property/286995/7BCF7A2464C636FDFA3ED43E04F806B6C9C9DBA9A3B0BEAA36EFDDD6EF9E98BE", "https://baanknet.com/view-property/286995/7BCF7A2464C636FDFA3ED43E04F806B6C9C9DBA9A3B0BEAA36EFDDD6EF9E98BE")</f>
        <v>https://baanknet.com/view-property/286995/7BCF7A2464C636FDFA3ED43E04F806B6C9C9DBA9A3B0BEAA36EFDDD6EF9E98BE</v>
      </c>
      <c r="I5726" t="str">
        <f>HYPERLINK("https://baanknet.com/view-property/286995/7BCF7A2464C636FDFA3ED43E04F806B6C9C9DBA9A3B0BEAA36EFDDD6EF9E98BE", "Open")</f>
        <v>Open</v>
      </c>
      <c r="J5726" t="s">
        <v>3803</v>
      </c>
      <c r="L5726">
        <v>11280000</v>
      </c>
      <c r="M5726">
        <v>1128000</v>
      </c>
    </row>
    <row r="5727" spans="1:13" x14ac:dyDescent="0.25">
      <c r="A5727" t="s">
        <v>18952</v>
      </c>
      <c r="B5727" t="s">
        <v>18953</v>
      </c>
      <c r="C5727" t="s">
        <v>121</v>
      </c>
      <c r="D5727" t="s">
        <v>1712</v>
      </c>
      <c r="E5727" t="s">
        <v>18823</v>
      </c>
      <c r="F5727" t="s">
        <v>18680</v>
      </c>
      <c r="G5727" t="s">
        <v>18954</v>
      </c>
      <c r="H5727" t="str">
        <f>HYPERLINK("https://baanknet.com/view-property/286753/C6030E3B788D8A85C98D397D8E3136F361C0842B5982BFFA59108317D46B1426", "https://baanknet.com/view-property/286753/C6030E3B788D8A85C98D397D8E3136F361C0842B5982BFFA59108317D46B1426")</f>
        <v>https://baanknet.com/view-property/286753/C6030E3B788D8A85C98D397D8E3136F361C0842B5982BFFA59108317D46B1426</v>
      </c>
      <c r="I5727" t="str">
        <f>HYPERLINK("https://baanknet.com/view-property/286753/C6030E3B788D8A85C98D397D8E3136F361C0842B5982BFFA59108317D46B1426", "Open")</f>
        <v>Open</v>
      </c>
      <c r="J5727" t="s">
        <v>3803</v>
      </c>
      <c r="L5727">
        <v>2435000</v>
      </c>
      <c r="M5727">
        <v>243500</v>
      </c>
    </row>
    <row r="5728" spans="1:13" x14ac:dyDescent="0.25">
      <c r="A5728" t="s">
        <v>18955</v>
      </c>
      <c r="B5728" t="s">
        <v>18956</v>
      </c>
      <c r="C5728" t="s">
        <v>121</v>
      </c>
      <c r="D5728" t="s">
        <v>497</v>
      </c>
      <c r="E5728" t="s">
        <v>18823</v>
      </c>
      <c r="F5728" t="s">
        <v>18680</v>
      </c>
      <c r="G5728" t="s">
        <v>18957</v>
      </c>
      <c r="H5728" t="str">
        <f>HYPERLINK("https://baanknet.com/view-property/179105/C981CE9C05AF99FB4BA31728202F9A61DAEEFA766E055F1C5FB0AE8B53C608F9", "https://baanknet.com/view-property/179105/C981CE9C05AF99FB4BA31728202F9A61DAEEFA766E055F1C5FB0AE8B53C608F9")</f>
        <v>https://baanknet.com/view-property/179105/C981CE9C05AF99FB4BA31728202F9A61DAEEFA766E055F1C5FB0AE8B53C608F9</v>
      </c>
      <c r="I5728" t="str">
        <f>HYPERLINK("https://baanknet.com/view-property/179105/C981CE9C05AF99FB4BA31728202F9A61DAEEFA766E055F1C5FB0AE8B53C608F9", "Open")</f>
        <v>Open</v>
      </c>
      <c r="J5728" t="s">
        <v>3803</v>
      </c>
      <c r="L5728">
        <v>3825000</v>
      </c>
      <c r="M5728">
        <v>382500</v>
      </c>
    </row>
    <row r="5729" spans="1:13" x14ac:dyDescent="0.25">
      <c r="A5729" t="s">
        <v>18958</v>
      </c>
      <c r="B5729" t="s">
        <v>18959</v>
      </c>
      <c r="C5729" t="s">
        <v>121</v>
      </c>
      <c r="D5729" t="s">
        <v>497</v>
      </c>
      <c r="E5729" t="s">
        <v>18823</v>
      </c>
      <c r="F5729" t="s">
        <v>18680</v>
      </c>
      <c r="G5729" t="s">
        <v>18960</v>
      </c>
      <c r="H5729" t="str">
        <f>HYPERLINK("https://baanknet.com/view-property/185654/B6A16C44DC6DBC6E5CEA64630DE0211CA003A49A7933C2CBD14307EB6BEF2D06", "https://baanknet.com/view-property/185654/B6A16C44DC6DBC6E5CEA64630DE0211CA003A49A7933C2CBD14307EB6BEF2D06")</f>
        <v>https://baanknet.com/view-property/185654/B6A16C44DC6DBC6E5CEA64630DE0211CA003A49A7933C2CBD14307EB6BEF2D06</v>
      </c>
      <c r="I5729" t="str">
        <f>HYPERLINK("https://baanknet.com/view-property/185654/B6A16C44DC6DBC6E5CEA64630DE0211CA003A49A7933C2CBD14307EB6BEF2D06", "Open")</f>
        <v>Open</v>
      </c>
      <c r="J5729" t="s">
        <v>3803</v>
      </c>
      <c r="L5729">
        <v>2050000</v>
      </c>
      <c r="M5729">
        <v>205000</v>
      </c>
    </row>
    <row r="5730" spans="1:13" x14ac:dyDescent="0.25">
      <c r="A5730" t="s">
        <v>18961</v>
      </c>
      <c r="B5730" t="s">
        <v>18962</v>
      </c>
      <c r="C5730" t="s">
        <v>121</v>
      </c>
      <c r="D5730" t="s">
        <v>5564</v>
      </c>
      <c r="E5730" t="s">
        <v>18823</v>
      </c>
      <c r="F5730" t="s">
        <v>18680</v>
      </c>
      <c r="G5730" t="s">
        <v>18963</v>
      </c>
      <c r="H5730" t="str">
        <f>HYPERLINK("https://baanknet.com/view-property/263860/490A186FAC5D2D99C6549BC02ED73D049B5BF80C3B55CE92B89587AE76BAB15A", "https://baanknet.com/view-property/263860/490A186FAC5D2D99C6549BC02ED73D049B5BF80C3B55CE92B89587AE76BAB15A")</f>
        <v>https://baanknet.com/view-property/263860/490A186FAC5D2D99C6549BC02ED73D049B5BF80C3B55CE92B89587AE76BAB15A</v>
      </c>
      <c r="I5730" t="str">
        <f>HYPERLINK("https://baanknet.com/view-property/263860/490A186FAC5D2D99C6549BC02ED73D049B5BF80C3B55CE92B89587AE76BAB15A", "Open")</f>
        <v>Open</v>
      </c>
      <c r="J5730" t="s">
        <v>3803</v>
      </c>
      <c r="L5730">
        <v>4620000</v>
      </c>
      <c r="M5730">
        <v>462000</v>
      </c>
    </row>
    <row r="5731" spans="1:13" x14ac:dyDescent="0.25">
      <c r="A5731" t="s">
        <v>18964</v>
      </c>
      <c r="B5731" t="s">
        <v>18965</v>
      </c>
      <c r="C5731" t="s">
        <v>121</v>
      </c>
      <c r="D5731" t="s">
        <v>3191</v>
      </c>
      <c r="E5731" t="s">
        <v>18823</v>
      </c>
      <c r="F5731" t="s">
        <v>18680</v>
      </c>
      <c r="G5731" t="s">
        <v>18966</v>
      </c>
      <c r="H5731" t="str">
        <f>HYPERLINK("https://baanknet.com/view-property/208596/A187E19C3DB649D47CD90791D952BD9349E112E5AC5C90A621D9712ABC9151D7", "https://baanknet.com/view-property/208596/A187E19C3DB649D47CD90791D952BD9349E112E5AC5C90A621D9712ABC9151D7")</f>
        <v>https://baanknet.com/view-property/208596/A187E19C3DB649D47CD90791D952BD9349E112E5AC5C90A621D9712ABC9151D7</v>
      </c>
      <c r="I5731" t="str">
        <f>HYPERLINK("https://baanknet.com/view-property/208596/A187E19C3DB649D47CD90791D952BD9349E112E5AC5C90A621D9712ABC9151D7", "Open")</f>
        <v>Open</v>
      </c>
      <c r="J5731" t="s">
        <v>3803</v>
      </c>
      <c r="L5731">
        <v>1623000</v>
      </c>
      <c r="M5731">
        <v>162300</v>
      </c>
    </row>
    <row r="5732" spans="1:13" x14ac:dyDescent="0.25">
      <c r="A5732" t="s">
        <v>18967</v>
      </c>
      <c r="B5732" t="s">
        <v>18968</v>
      </c>
      <c r="C5732" t="s">
        <v>121</v>
      </c>
      <c r="D5732" t="s">
        <v>1936</v>
      </c>
      <c r="E5732" t="s">
        <v>18823</v>
      </c>
      <c r="F5732" t="s">
        <v>18680</v>
      </c>
      <c r="G5732" t="s">
        <v>18969</v>
      </c>
      <c r="H5732" t="str">
        <f>HYPERLINK("https://baanknet.com/view-property/287544/2E91F64CAB43382708693E2C4CE576A2E389E0661D1DB7D717CB58DBEE2245B2", "https://baanknet.com/view-property/287544/2E91F64CAB43382708693E2C4CE576A2E389E0661D1DB7D717CB58DBEE2245B2")</f>
        <v>https://baanknet.com/view-property/287544/2E91F64CAB43382708693E2C4CE576A2E389E0661D1DB7D717CB58DBEE2245B2</v>
      </c>
      <c r="I5732" t="str">
        <f>HYPERLINK("https://baanknet.com/view-property/287544/2E91F64CAB43382708693E2C4CE576A2E389E0661D1DB7D717CB58DBEE2245B2", "Open")</f>
        <v>Open</v>
      </c>
      <c r="J5732" t="s">
        <v>3803</v>
      </c>
      <c r="L5732">
        <v>1145000</v>
      </c>
      <c r="M5732">
        <v>114500</v>
      </c>
    </row>
    <row r="5733" spans="1:13" x14ac:dyDescent="0.25">
      <c r="A5733" t="s">
        <v>18970</v>
      </c>
      <c r="B5733" t="s">
        <v>18971</v>
      </c>
      <c r="C5733" t="s">
        <v>121</v>
      </c>
      <c r="D5733" t="s">
        <v>2866</v>
      </c>
      <c r="E5733" t="s">
        <v>18823</v>
      </c>
      <c r="F5733" t="s">
        <v>18680</v>
      </c>
      <c r="G5733" t="s">
        <v>18972</v>
      </c>
      <c r="H5733" t="str">
        <f>HYPERLINK("https://baanknet.com/view-property/287552/3A23357CE4184371E741C0240A8823E474E696B3D909F065298CBBD3FFDA74A8", "https://baanknet.com/view-property/287552/3A23357CE4184371E741C0240A8823E474E696B3D909F065298CBBD3FFDA74A8")</f>
        <v>https://baanknet.com/view-property/287552/3A23357CE4184371E741C0240A8823E474E696B3D909F065298CBBD3FFDA74A8</v>
      </c>
      <c r="I5733" t="str">
        <f>HYPERLINK("https://baanknet.com/view-property/287552/3A23357CE4184371E741C0240A8823E474E696B3D909F065298CBBD3FFDA74A8", "Open")</f>
        <v>Open</v>
      </c>
      <c r="J5733" t="s">
        <v>3803</v>
      </c>
      <c r="L5733">
        <v>220000</v>
      </c>
      <c r="M5733">
        <v>22000</v>
      </c>
    </row>
    <row r="5734" spans="1:13" x14ac:dyDescent="0.25">
      <c r="A5734" t="s">
        <v>18973</v>
      </c>
      <c r="B5734" t="s">
        <v>18974</v>
      </c>
      <c r="C5734" t="s">
        <v>121</v>
      </c>
      <c r="D5734" t="s">
        <v>2887</v>
      </c>
      <c r="E5734" t="s">
        <v>18823</v>
      </c>
      <c r="F5734" t="s">
        <v>18680</v>
      </c>
      <c r="G5734" t="s">
        <v>18975</v>
      </c>
      <c r="H5734" t="str">
        <f>HYPERLINK("https://baanknet.com/view-property/234948/05B9EDD2475162F8C6438ED86BB32EFADAADAC1D5AAB38D6821947187E74EC6D", "https://baanknet.com/view-property/234948/05B9EDD2475162F8C6438ED86BB32EFADAADAC1D5AAB38D6821947187E74EC6D")</f>
        <v>https://baanknet.com/view-property/234948/05B9EDD2475162F8C6438ED86BB32EFADAADAC1D5AAB38D6821947187E74EC6D</v>
      </c>
      <c r="I5734" t="str">
        <f>HYPERLINK("https://baanknet.com/view-property/234948/05B9EDD2475162F8C6438ED86BB32EFADAADAC1D5AAB38D6821947187E74EC6D", "Open")</f>
        <v>Open</v>
      </c>
      <c r="J5734" t="s">
        <v>3803</v>
      </c>
      <c r="L5734">
        <v>1200000</v>
      </c>
      <c r="M5734">
        <v>120000</v>
      </c>
    </row>
    <row r="5735" spans="1:13" x14ac:dyDescent="0.25">
      <c r="A5735" t="s">
        <v>18976</v>
      </c>
      <c r="B5735" t="s">
        <v>18977</v>
      </c>
      <c r="C5735" t="s">
        <v>121</v>
      </c>
      <c r="D5735" t="s">
        <v>1246</v>
      </c>
      <c r="E5735" t="s">
        <v>18823</v>
      </c>
      <c r="F5735" t="s">
        <v>18680</v>
      </c>
      <c r="G5735" t="s">
        <v>18978</v>
      </c>
      <c r="H5735" t="str">
        <f>HYPERLINK("https://baanknet.com/view-property/178817/1D09EEA941D019E821C3BDB548F0A6B0F5652B019B8682E2E5F7E4927785EEC5", "https://baanknet.com/view-property/178817/1D09EEA941D019E821C3BDB548F0A6B0F5652B019B8682E2E5F7E4927785EEC5")</f>
        <v>https://baanknet.com/view-property/178817/1D09EEA941D019E821C3BDB548F0A6B0F5652B019B8682E2E5F7E4927785EEC5</v>
      </c>
      <c r="I5735" t="str">
        <f>HYPERLINK("https://baanknet.com/view-property/178817/1D09EEA941D019E821C3BDB548F0A6B0F5652B019B8682E2E5F7E4927785EEC5", "Open")</f>
        <v>Open</v>
      </c>
      <c r="J5735" t="s">
        <v>3803</v>
      </c>
      <c r="L5735">
        <v>3165000</v>
      </c>
      <c r="M5735">
        <v>316500</v>
      </c>
    </row>
    <row r="5736" spans="1:13" x14ac:dyDescent="0.25">
      <c r="A5736" t="s">
        <v>18979</v>
      </c>
      <c r="B5736" t="s">
        <v>18980</v>
      </c>
      <c r="C5736" t="s">
        <v>121</v>
      </c>
      <c r="D5736" t="s">
        <v>7466</v>
      </c>
      <c r="E5736" t="s">
        <v>18823</v>
      </c>
      <c r="F5736" t="s">
        <v>18680</v>
      </c>
      <c r="G5736" t="s">
        <v>18981</v>
      </c>
      <c r="H5736" t="str">
        <f>HYPERLINK("https://baanknet.com/view-property/276106/45BC3052CCAA4E62EFE9187E7B5A24F33476659B07A6CFC7FB7F6F62B7320339", "https://baanknet.com/view-property/276106/45BC3052CCAA4E62EFE9187E7B5A24F33476659B07A6CFC7FB7F6F62B7320339")</f>
        <v>https://baanknet.com/view-property/276106/45BC3052CCAA4E62EFE9187E7B5A24F33476659B07A6CFC7FB7F6F62B7320339</v>
      </c>
      <c r="I5736" t="str">
        <f>HYPERLINK("https://baanknet.com/view-property/276106/45BC3052CCAA4E62EFE9187E7B5A24F33476659B07A6CFC7FB7F6F62B7320339", "Open")</f>
        <v>Open</v>
      </c>
      <c r="J5736" t="s">
        <v>3803</v>
      </c>
      <c r="L5736">
        <v>7550000</v>
      </c>
      <c r="M5736">
        <v>755000</v>
      </c>
    </row>
    <row r="5737" spans="1:13" x14ac:dyDescent="0.25">
      <c r="A5737" t="s">
        <v>18982</v>
      </c>
      <c r="B5737" t="s">
        <v>18983</v>
      </c>
      <c r="C5737" t="s">
        <v>121</v>
      </c>
      <c r="D5737" t="s">
        <v>1246</v>
      </c>
      <c r="E5737" t="s">
        <v>18823</v>
      </c>
      <c r="F5737" t="s">
        <v>18680</v>
      </c>
      <c r="G5737" t="s">
        <v>18984</v>
      </c>
      <c r="H5737" t="str">
        <f>HYPERLINK("https://baanknet.com/view-property/177469/7B215C474EED8A522E94D6D7B5BD41789869B0265BF43EC422DBF7AE3E6B9FE1", "https://baanknet.com/view-property/177469/7B215C474EED8A522E94D6D7B5BD41789869B0265BF43EC422DBF7AE3E6B9FE1")</f>
        <v>https://baanknet.com/view-property/177469/7B215C474EED8A522E94D6D7B5BD41789869B0265BF43EC422DBF7AE3E6B9FE1</v>
      </c>
      <c r="I5737" t="str">
        <f>HYPERLINK("https://baanknet.com/view-property/177469/7B215C474EED8A522E94D6D7B5BD41789869B0265BF43EC422DBF7AE3E6B9FE1", "Open")</f>
        <v>Open</v>
      </c>
      <c r="J5737" t="s">
        <v>3803</v>
      </c>
      <c r="L5737">
        <v>4167000</v>
      </c>
      <c r="M5737">
        <v>416700</v>
      </c>
    </row>
    <row r="5738" spans="1:13" x14ac:dyDescent="0.25">
      <c r="A5738" t="s">
        <v>18985</v>
      </c>
      <c r="B5738" t="s">
        <v>18986</v>
      </c>
      <c r="C5738" t="s">
        <v>121</v>
      </c>
      <c r="D5738" t="s">
        <v>7932</v>
      </c>
      <c r="E5738" t="s">
        <v>18823</v>
      </c>
      <c r="F5738" t="s">
        <v>18680</v>
      </c>
      <c r="G5738" t="s">
        <v>18987</v>
      </c>
      <c r="H5738" t="str">
        <f>HYPERLINK("https://baanknet.com/view-property/229357/A77F54BCBD74B3CA0A745DF5E98CD7F42AA2FE55B4342CBE98331E1B39DB1564", "https://baanknet.com/view-property/229357/A77F54BCBD74B3CA0A745DF5E98CD7F42AA2FE55B4342CBE98331E1B39DB1564")</f>
        <v>https://baanknet.com/view-property/229357/A77F54BCBD74B3CA0A745DF5E98CD7F42AA2FE55B4342CBE98331E1B39DB1564</v>
      </c>
      <c r="I5738" t="str">
        <f>HYPERLINK("https://baanknet.com/view-property/229357/A77F54BCBD74B3CA0A745DF5E98CD7F42AA2FE55B4342CBE98331E1B39DB1564", "Open")</f>
        <v>Open</v>
      </c>
      <c r="J5738" t="s">
        <v>3803</v>
      </c>
      <c r="L5738">
        <v>6430000</v>
      </c>
      <c r="M5738">
        <v>643000</v>
      </c>
    </row>
    <row r="5739" spans="1:13" x14ac:dyDescent="0.25">
      <c r="A5739" t="s">
        <v>18988</v>
      </c>
      <c r="B5739" t="s">
        <v>18989</v>
      </c>
      <c r="C5739" t="s">
        <v>121</v>
      </c>
      <c r="D5739" t="s">
        <v>1098</v>
      </c>
      <c r="E5739" t="s">
        <v>18823</v>
      </c>
      <c r="F5739" t="s">
        <v>18680</v>
      </c>
      <c r="G5739" t="s">
        <v>18990</v>
      </c>
      <c r="H5739" t="str">
        <f>HYPERLINK("https://baanknet.com/view-property/215196/CF2E077DE1C2172707DA5AA146EA96C01FBC288F68D275C745E59EB42AE499EB", "https://baanknet.com/view-property/215196/CF2E077DE1C2172707DA5AA146EA96C01FBC288F68D275C745E59EB42AE499EB")</f>
        <v>https://baanknet.com/view-property/215196/CF2E077DE1C2172707DA5AA146EA96C01FBC288F68D275C745E59EB42AE499EB</v>
      </c>
      <c r="I5739" t="str">
        <f>HYPERLINK("https://baanknet.com/view-property/215196/CF2E077DE1C2172707DA5AA146EA96C01FBC288F68D275C745E59EB42AE499EB", "Open")</f>
        <v>Open</v>
      </c>
      <c r="J5739" t="s">
        <v>3803</v>
      </c>
      <c r="L5739">
        <v>3157000</v>
      </c>
      <c r="M5739">
        <v>315700</v>
      </c>
    </row>
    <row r="5740" spans="1:13" x14ac:dyDescent="0.25">
      <c r="A5740" t="s">
        <v>18991</v>
      </c>
      <c r="B5740" t="s">
        <v>18992</v>
      </c>
      <c r="C5740" t="s">
        <v>83</v>
      </c>
      <c r="D5740" t="s">
        <v>18993</v>
      </c>
      <c r="E5740" t="s">
        <v>18823</v>
      </c>
      <c r="F5740" t="s">
        <v>18680</v>
      </c>
      <c r="G5740" t="s">
        <v>18994</v>
      </c>
      <c r="H5740" t="str">
        <f>HYPERLINK("https://baanknet.com/view-property/287784/A39722FCA42063451FF5CDC1FF5C2D7FEC37EB4D5A50C2098892494AE16F00E2", "https://baanknet.com/view-property/287784/A39722FCA42063451FF5CDC1FF5C2D7FEC37EB4D5A50C2098892494AE16F00E2")</f>
        <v>https://baanknet.com/view-property/287784/A39722FCA42063451FF5CDC1FF5C2D7FEC37EB4D5A50C2098892494AE16F00E2</v>
      </c>
      <c r="I5740" t="str">
        <f>HYPERLINK("https://baanknet.com/view-property/287784/A39722FCA42063451FF5CDC1FF5C2D7FEC37EB4D5A50C2098892494AE16F00E2", "Open")</f>
        <v>Open</v>
      </c>
      <c r="J5740" t="s">
        <v>3803</v>
      </c>
      <c r="L5740">
        <v>6048000</v>
      </c>
      <c r="M5740">
        <v>604800</v>
      </c>
    </row>
    <row r="5741" spans="1:13" x14ac:dyDescent="0.25">
      <c r="A5741" t="s">
        <v>18995</v>
      </c>
      <c r="B5741" t="s">
        <v>18996</v>
      </c>
      <c r="C5741" t="s">
        <v>121</v>
      </c>
      <c r="D5741" t="s">
        <v>5869</v>
      </c>
      <c r="E5741" t="s">
        <v>18823</v>
      </c>
      <c r="F5741" t="s">
        <v>18680</v>
      </c>
      <c r="G5741" t="s">
        <v>18997</v>
      </c>
      <c r="H5741" t="str">
        <f>HYPERLINK("https://baanknet.com/view-property/287789/421962FBB2B78441030DA29D36C79986F45CF37BC5111F4F129A38C7C86D65F1", "https://baanknet.com/view-property/287789/421962FBB2B78441030DA29D36C79986F45CF37BC5111F4F129A38C7C86D65F1")</f>
        <v>https://baanknet.com/view-property/287789/421962FBB2B78441030DA29D36C79986F45CF37BC5111F4F129A38C7C86D65F1</v>
      </c>
      <c r="I5741" t="str">
        <f>HYPERLINK("https://baanknet.com/view-property/287789/421962FBB2B78441030DA29D36C79986F45CF37BC5111F4F129A38C7C86D65F1", "Open")</f>
        <v>Open</v>
      </c>
      <c r="J5741" t="s">
        <v>3803</v>
      </c>
      <c r="L5741">
        <v>3770000</v>
      </c>
      <c r="M5741">
        <v>377000</v>
      </c>
    </row>
    <row r="5742" spans="1:13" x14ac:dyDescent="0.25">
      <c r="A5742" t="s">
        <v>18998</v>
      </c>
      <c r="B5742" t="s">
        <v>18999</v>
      </c>
      <c r="C5742" t="s">
        <v>332</v>
      </c>
      <c r="D5742" t="s">
        <v>4542</v>
      </c>
      <c r="E5742" t="s">
        <v>18823</v>
      </c>
      <c r="F5742" t="s">
        <v>18680</v>
      </c>
      <c r="G5742" t="s">
        <v>19000</v>
      </c>
      <c r="H5742" t="str">
        <f>HYPERLINK("https://baanknet.com/view-property/282295/9A497BC74B0BF95227E5317F5F17894BC177F7456DB35CFA67A431A0135A3F93", "https://baanknet.com/view-property/282295/9A497BC74B0BF95227E5317F5F17894BC177F7456DB35CFA67A431A0135A3F93")</f>
        <v>https://baanknet.com/view-property/282295/9A497BC74B0BF95227E5317F5F17894BC177F7456DB35CFA67A431A0135A3F93</v>
      </c>
      <c r="I5742" t="str">
        <f>HYPERLINK("https://baanknet.com/view-property/282295/9A497BC74B0BF95227E5317F5F17894BC177F7456DB35CFA67A431A0135A3F93", "Open")</f>
        <v>Open</v>
      </c>
      <c r="J5742" t="s">
        <v>3803</v>
      </c>
      <c r="L5742">
        <v>1600000</v>
      </c>
      <c r="M5742">
        <v>160000</v>
      </c>
    </row>
    <row r="5743" spans="1:13" x14ac:dyDescent="0.25">
      <c r="A5743" t="s">
        <v>19001</v>
      </c>
      <c r="B5743" t="s">
        <v>19002</v>
      </c>
      <c r="C5743" t="s">
        <v>121</v>
      </c>
      <c r="D5743" t="s">
        <v>1740</v>
      </c>
      <c r="E5743" t="s">
        <v>18823</v>
      </c>
      <c r="F5743" t="s">
        <v>18680</v>
      </c>
      <c r="G5743" t="s">
        <v>19003</v>
      </c>
      <c r="H5743" t="str">
        <f>HYPERLINK("https://baanknet.com/view-property/176956/3E56A1DF83B36E07953B39D04D05D284182AE504F1DFAB457D642BB1899641BF", "https://baanknet.com/view-property/176956/3E56A1DF83B36E07953B39D04D05D284182AE504F1DFAB457D642BB1899641BF")</f>
        <v>https://baanknet.com/view-property/176956/3E56A1DF83B36E07953B39D04D05D284182AE504F1DFAB457D642BB1899641BF</v>
      </c>
      <c r="I5743" t="str">
        <f>HYPERLINK("https://baanknet.com/view-property/176956/3E56A1DF83B36E07953B39D04D05D284182AE504F1DFAB457D642BB1899641BF", "Open")</f>
        <v>Open</v>
      </c>
      <c r="J5743" t="s">
        <v>3803</v>
      </c>
      <c r="L5743">
        <v>710000</v>
      </c>
      <c r="M5743">
        <v>71000</v>
      </c>
    </row>
    <row r="5744" spans="1:13" x14ac:dyDescent="0.25">
      <c r="A5744" t="s">
        <v>19004</v>
      </c>
      <c r="B5744" t="s">
        <v>19005</v>
      </c>
      <c r="C5744" t="s">
        <v>332</v>
      </c>
      <c r="D5744" t="s">
        <v>2457</v>
      </c>
      <c r="E5744" t="s">
        <v>18823</v>
      </c>
      <c r="F5744" t="s">
        <v>18680</v>
      </c>
      <c r="G5744" t="s">
        <v>19006</v>
      </c>
      <c r="H5744" t="str">
        <f>HYPERLINK("https://baanknet.com/view-property/286155/9D8B40C22FBE4B35A9D7F294AA681521DFF84EE4D9E3944A13545A7CAB28B59C", "https://baanknet.com/view-property/286155/9D8B40C22FBE4B35A9D7F294AA681521DFF84EE4D9E3944A13545A7CAB28B59C")</f>
        <v>https://baanknet.com/view-property/286155/9D8B40C22FBE4B35A9D7F294AA681521DFF84EE4D9E3944A13545A7CAB28B59C</v>
      </c>
      <c r="I5744" t="str">
        <f>HYPERLINK("https://baanknet.com/view-property/286155/9D8B40C22FBE4B35A9D7F294AA681521DFF84EE4D9E3944A13545A7CAB28B59C", "Open")</f>
        <v>Open</v>
      </c>
      <c r="J5744" t="s">
        <v>3803</v>
      </c>
      <c r="L5744">
        <v>4630000</v>
      </c>
      <c r="M5744">
        <v>463000</v>
      </c>
    </row>
    <row r="5745" spans="1:13" x14ac:dyDescent="0.25">
      <c r="A5745" t="s">
        <v>19007</v>
      </c>
      <c r="B5745" t="s">
        <v>19008</v>
      </c>
      <c r="C5745" t="s">
        <v>121</v>
      </c>
      <c r="D5745" t="s">
        <v>149</v>
      </c>
      <c r="E5745" t="s">
        <v>18823</v>
      </c>
      <c r="F5745" t="s">
        <v>18680</v>
      </c>
      <c r="G5745" t="s">
        <v>19009</v>
      </c>
      <c r="H5745" t="str">
        <f>HYPERLINK("https://baanknet.com/view-property/263770/CE92BABE8FE12267535305C4D0773639777280C00FAB9E4DDDFEE36BD1E41A82", "https://baanknet.com/view-property/263770/CE92BABE8FE12267535305C4D0773639777280C00FAB9E4DDDFEE36BD1E41A82")</f>
        <v>https://baanknet.com/view-property/263770/CE92BABE8FE12267535305C4D0773639777280C00FAB9E4DDDFEE36BD1E41A82</v>
      </c>
      <c r="I5745" t="str">
        <f>HYPERLINK("https://baanknet.com/view-property/263770/CE92BABE8FE12267535305C4D0773639777280C00FAB9E4DDDFEE36BD1E41A82", "Open")</f>
        <v>Open</v>
      </c>
      <c r="J5745" t="s">
        <v>3803</v>
      </c>
      <c r="L5745">
        <v>810000</v>
      </c>
      <c r="M5745">
        <v>81000</v>
      </c>
    </row>
    <row r="5746" spans="1:13" x14ac:dyDescent="0.25">
      <c r="A5746" t="s">
        <v>19010</v>
      </c>
      <c r="B5746" t="s">
        <v>19011</v>
      </c>
      <c r="C5746" t="s">
        <v>121</v>
      </c>
      <c r="D5746" t="s">
        <v>157</v>
      </c>
      <c r="E5746" t="s">
        <v>18823</v>
      </c>
      <c r="F5746" t="s">
        <v>18680</v>
      </c>
      <c r="G5746" t="s">
        <v>19012</v>
      </c>
      <c r="H5746" t="str">
        <f>HYPERLINK("https://baanknet.com/view-property/237467/2BA870A5F9D4E8E1D03021C2E4903256E1FBF6B015A9036AA12F901127E002C7", "https://baanknet.com/view-property/237467/2BA870A5F9D4E8E1D03021C2E4903256E1FBF6B015A9036AA12F901127E002C7")</f>
        <v>https://baanknet.com/view-property/237467/2BA870A5F9D4E8E1D03021C2E4903256E1FBF6B015A9036AA12F901127E002C7</v>
      </c>
      <c r="I5746" t="str">
        <f>HYPERLINK("https://baanknet.com/view-property/237467/2BA870A5F9D4E8E1D03021C2E4903256E1FBF6B015A9036AA12F901127E002C7", "Open")</f>
        <v>Open</v>
      </c>
      <c r="J5746" t="s">
        <v>3803</v>
      </c>
      <c r="L5746">
        <v>1321000</v>
      </c>
      <c r="M5746">
        <v>132100</v>
      </c>
    </row>
    <row r="5747" spans="1:13" x14ac:dyDescent="0.25">
      <c r="A5747" t="s">
        <v>19013</v>
      </c>
      <c r="B5747" t="s">
        <v>19014</v>
      </c>
      <c r="C5747" t="s">
        <v>121</v>
      </c>
      <c r="D5747" t="s">
        <v>157</v>
      </c>
      <c r="E5747" t="s">
        <v>18823</v>
      </c>
      <c r="F5747" t="s">
        <v>18680</v>
      </c>
      <c r="G5747" t="s">
        <v>19015</v>
      </c>
      <c r="H5747" t="str">
        <f>HYPERLINK("https://baanknet.com/view-property/176075/C8D8249FB7801E795870B2C4B6DE5710DED0CF95226875B1F1A3B56FF01AC360", "https://baanknet.com/view-property/176075/C8D8249FB7801E795870B2C4B6DE5710DED0CF95226875B1F1A3B56FF01AC360")</f>
        <v>https://baanknet.com/view-property/176075/C8D8249FB7801E795870B2C4B6DE5710DED0CF95226875B1F1A3B56FF01AC360</v>
      </c>
      <c r="I5747" t="str">
        <f>HYPERLINK("https://baanknet.com/view-property/176075/C8D8249FB7801E795870B2C4B6DE5710DED0CF95226875B1F1A3B56FF01AC360", "Open")</f>
        <v>Open</v>
      </c>
      <c r="J5747" t="s">
        <v>3803</v>
      </c>
      <c r="L5747">
        <v>1818000</v>
      </c>
      <c r="M5747">
        <v>181800</v>
      </c>
    </row>
    <row r="5748" spans="1:13" x14ac:dyDescent="0.25">
      <c r="A5748" t="s">
        <v>19016</v>
      </c>
      <c r="B5748" t="s">
        <v>19017</v>
      </c>
      <c r="C5748" t="s">
        <v>121</v>
      </c>
      <c r="D5748" t="s">
        <v>1712</v>
      </c>
      <c r="E5748" t="s">
        <v>18823</v>
      </c>
      <c r="F5748" t="s">
        <v>18680</v>
      </c>
      <c r="G5748" t="s">
        <v>19018</v>
      </c>
      <c r="H5748" t="str">
        <f>HYPERLINK("https://baanknet.com/view-property/283955/707CCAA3A30E96A52DE6AA939E52AF9544743599CE014602B75B19CE130DE627", "https://baanknet.com/view-property/283955/707CCAA3A30E96A52DE6AA939E52AF9544743599CE014602B75B19CE130DE627")</f>
        <v>https://baanknet.com/view-property/283955/707CCAA3A30E96A52DE6AA939E52AF9544743599CE014602B75B19CE130DE627</v>
      </c>
      <c r="I5748" t="str">
        <f>HYPERLINK("https://baanknet.com/view-property/283955/707CCAA3A30E96A52DE6AA939E52AF9544743599CE014602B75B19CE130DE627", "Open")</f>
        <v>Open</v>
      </c>
      <c r="J5748" t="s">
        <v>3803</v>
      </c>
      <c r="L5748">
        <v>1845000</v>
      </c>
      <c r="M5748">
        <v>184500</v>
      </c>
    </row>
    <row r="5749" spans="1:13" x14ac:dyDescent="0.25">
      <c r="A5749" t="s">
        <v>19019</v>
      </c>
      <c r="B5749" t="s">
        <v>19020</v>
      </c>
      <c r="C5749" t="s">
        <v>121</v>
      </c>
      <c r="D5749" t="s">
        <v>157</v>
      </c>
      <c r="E5749" t="s">
        <v>18823</v>
      </c>
      <c r="F5749" t="s">
        <v>18680</v>
      </c>
      <c r="G5749" t="s">
        <v>19021</v>
      </c>
      <c r="H5749" t="str">
        <f>HYPERLINK("https://baanknet.com/view-property/227562/BD25D40D999541D2542BC38C5FEF6E6CBED78DAA7478DBD03D7C6E7ED2E38723", "https://baanknet.com/view-property/227562/BD25D40D999541D2542BC38C5FEF6E6CBED78DAA7478DBD03D7C6E7ED2E38723")</f>
        <v>https://baanknet.com/view-property/227562/BD25D40D999541D2542BC38C5FEF6E6CBED78DAA7478DBD03D7C6E7ED2E38723</v>
      </c>
      <c r="I5749" t="str">
        <f>HYPERLINK("https://baanknet.com/view-property/227562/BD25D40D999541D2542BC38C5FEF6E6CBED78DAA7478DBD03D7C6E7ED2E38723", "Open")</f>
        <v>Open</v>
      </c>
      <c r="J5749" t="s">
        <v>3803</v>
      </c>
      <c r="L5749">
        <v>1183000</v>
      </c>
      <c r="M5749">
        <v>118300</v>
      </c>
    </row>
    <row r="5750" spans="1:13" x14ac:dyDescent="0.25">
      <c r="A5750" t="s">
        <v>19022</v>
      </c>
      <c r="B5750" t="s">
        <v>19023</v>
      </c>
      <c r="C5750" t="s">
        <v>121</v>
      </c>
      <c r="D5750" t="s">
        <v>157</v>
      </c>
      <c r="E5750" t="s">
        <v>18823</v>
      </c>
      <c r="F5750" t="s">
        <v>18680</v>
      </c>
      <c r="G5750" t="s">
        <v>19024</v>
      </c>
      <c r="H5750" t="str">
        <f>HYPERLINK("https://baanknet.com/view-property/174522/E1E0BFAB6E289481FBFF4E7BAD96C9FF2710B137700A5DCAE3424B1E7537969E", "https://baanknet.com/view-property/174522/E1E0BFAB6E289481FBFF4E7BAD96C9FF2710B137700A5DCAE3424B1E7537969E")</f>
        <v>https://baanknet.com/view-property/174522/E1E0BFAB6E289481FBFF4E7BAD96C9FF2710B137700A5DCAE3424B1E7537969E</v>
      </c>
      <c r="I5750" t="str">
        <f>HYPERLINK("https://baanknet.com/view-property/174522/E1E0BFAB6E289481FBFF4E7BAD96C9FF2710B137700A5DCAE3424B1E7537969E", "Open")</f>
        <v>Open</v>
      </c>
      <c r="J5750" t="s">
        <v>3803</v>
      </c>
      <c r="L5750">
        <v>2587000</v>
      </c>
      <c r="M5750">
        <v>258700</v>
      </c>
    </row>
    <row r="5751" spans="1:13" x14ac:dyDescent="0.25">
      <c r="A5751" t="s">
        <v>19025</v>
      </c>
      <c r="B5751" t="s">
        <v>19026</v>
      </c>
      <c r="C5751" t="s">
        <v>121</v>
      </c>
      <c r="D5751" t="s">
        <v>6711</v>
      </c>
      <c r="E5751" t="s">
        <v>18823</v>
      </c>
      <c r="F5751" t="s">
        <v>18680</v>
      </c>
      <c r="G5751" t="s">
        <v>19027</v>
      </c>
      <c r="H5751" t="str">
        <f>HYPERLINK("https://baanknet.com/view-property/265130/3DBBD009408D795CC369CF457726E6D85A3D55D63FEBF19A5DA4A19ED750D786", "https://baanknet.com/view-property/265130/3DBBD009408D795CC369CF457726E6D85A3D55D63FEBF19A5DA4A19ED750D786")</f>
        <v>https://baanknet.com/view-property/265130/3DBBD009408D795CC369CF457726E6D85A3D55D63FEBF19A5DA4A19ED750D786</v>
      </c>
      <c r="I5751" t="str">
        <f>HYPERLINK("https://baanknet.com/view-property/265130/3DBBD009408D795CC369CF457726E6D85A3D55D63FEBF19A5DA4A19ED750D786", "Open")</f>
        <v>Open</v>
      </c>
      <c r="J5751" t="s">
        <v>3803</v>
      </c>
      <c r="L5751">
        <v>1320000</v>
      </c>
      <c r="M5751">
        <v>132000</v>
      </c>
    </row>
    <row r="5752" spans="1:13" x14ac:dyDescent="0.25">
      <c r="A5752" t="s">
        <v>19028</v>
      </c>
      <c r="B5752" t="s">
        <v>19029</v>
      </c>
      <c r="C5752" t="s">
        <v>121</v>
      </c>
      <c r="D5752" t="s">
        <v>145</v>
      </c>
      <c r="E5752" t="s">
        <v>18823</v>
      </c>
      <c r="F5752" t="s">
        <v>18680</v>
      </c>
      <c r="G5752" t="s">
        <v>19030</v>
      </c>
      <c r="H5752" t="str">
        <f>HYPERLINK("https://baanknet.com/view-property/255019/3DBE6926CBAC0306DF1A1AB2B03A71E9E408FA5A0E9BAACF15AF064E8FF68CC0", "https://baanknet.com/view-property/255019/3DBE6926CBAC0306DF1A1AB2B03A71E9E408FA5A0E9BAACF15AF064E8FF68CC0")</f>
        <v>https://baanknet.com/view-property/255019/3DBE6926CBAC0306DF1A1AB2B03A71E9E408FA5A0E9BAACF15AF064E8FF68CC0</v>
      </c>
      <c r="I5752" t="str">
        <f>HYPERLINK("https://baanknet.com/view-property/255019/3DBE6926CBAC0306DF1A1AB2B03A71E9E408FA5A0E9BAACF15AF064E8FF68CC0", "Open")</f>
        <v>Open</v>
      </c>
      <c r="J5752" t="s">
        <v>3803</v>
      </c>
      <c r="L5752">
        <v>1920000</v>
      </c>
      <c r="M5752">
        <v>192000</v>
      </c>
    </row>
    <row r="5753" spans="1:13" x14ac:dyDescent="0.25">
      <c r="A5753" t="s">
        <v>19031</v>
      </c>
      <c r="B5753" t="s">
        <v>19032</v>
      </c>
      <c r="C5753" t="s">
        <v>121</v>
      </c>
      <c r="D5753" t="s">
        <v>145</v>
      </c>
      <c r="E5753" t="s">
        <v>18823</v>
      </c>
      <c r="F5753" t="s">
        <v>18680</v>
      </c>
      <c r="G5753" t="s">
        <v>19033</v>
      </c>
      <c r="H5753" t="str">
        <f>HYPERLINK("https://baanknet.com/view-property/255018/A97A6BB573AE243B4887706FC97562C9046835F63D292C07915A1D9FBBA3E33E", "https://baanknet.com/view-property/255018/A97A6BB573AE243B4887706FC97562C9046835F63D292C07915A1D9FBBA3E33E")</f>
        <v>https://baanknet.com/view-property/255018/A97A6BB573AE243B4887706FC97562C9046835F63D292C07915A1D9FBBA3E33E</v>
      </c>
      <c r="I5753" t="str">
        <f>HYPERLINK("https://baanknet.com/view-property/255018/A97A6BB573AE243B4887706FC97562C9046835F63D292C07915A1D9FBBA3E33E", "Open")</f>
        <v>Open</v>
      </c>
      <c r="J5753" t="s">
        <v>3803</v>
      </c>
      <c r="L5753">
        <v>2050000</v>
      </c>
      <c r="M5753">
        <v>205000</v>
      </c>
    </row>
    <row r="5754" spans="1:13" x14ac:dyDescent="0.25">
      <c r="A5754" t="s">
        <v>19034</v>
      </c>
      <c r="B5754" t="s">
        <v>19035</v>
      </c>
      <c r="C5754" t="s">
        <v>121</v>
      </c>
      <c r="D5754" t="s">
        <v>19036</v>
      </c>
      <c r="E5754" t="s">
        <v>18823</v>
      </c>
      <c r="F5754" t="s">
        <v>18680</v>
      </c>
      <c r="G5754" t="s">
        <v>19037</v>
      </c>
      <c r="H5754" t="str">
        <f>HYPERLINK("https://baanknet.com/view-property/265164/8A45345913C6D37E24C38530D8AD94B25F4721CA04F82DFECB486D38711655B2", "https://baanknet.com/view-property/265164/8A45345913C6D37E24C38530D8AD94B25F4721CA04F82DFECB486D38711655B2")</f>
        <v>https://baanknet.com/view-property/265164/8A45345913C6D37E24C38530D8AD94B25F4721CA04F82DFECB486D38711655B2</v>
      </c>
      <c r="I5754" t="str">
        <f>HYPERLINK("https://baanknet.com/view-property/265164/8A45345913C6D37E24C38530D8AD94B25F4721CA04F82DFECB486D38711655B2", "Open")</f>
        <v>Open</v>
      </c>
      <c r="J5754" t="s">
        <v>3803</v>
      </c>
      <c r="L5754">
        <v>2565000</v>
      </c>
      <c r="M5754">
        <v>256500</v>
      </c>
    </row>
    <row r="5755" spans="1:13" x14ac:dyDescent="0.25">
      <c r="A5755" t="s">
        <v>19038</v>
      </c>
      <c r="B5755" t="s">
        <v>19039</v>
      </c>
      <c r="C5755" t="s">
        <v>332</v>
      </c>
      <c r="D5755" t="s">
        <v>5873</v>
      </c>
      <c r="E5755" t="s">
        <v>18823</v>
      </c>
      <c r="F5755" t="s">
        <v>18680</v>
      </c>
      <c r="G5755" t="s">
        <v>19040</v>
      </c>
      <c r="H5755" t="str">
        <f>HYPERLINK("https://baanknet.com/view-property/287876/3A3B83A39DA8963608212188330A529F96D6710D779C0CBC0E3BFD750E683425", "https://baanknet.com/view-property/287876/3A3B83A39DA8963608212188330A529F96D6710D779C0CBC0E3BFD750E683425")</f>
        <v>https://baanknet.com/view-property/287876/3A3B83A39DA8963608212188330A529F96D6710D779C0CBC0E3BFD750E683425</v>
      </c>
      <c r="I5755" t="str">
        <f>HYPERLINK("https://baanknet.com/view-property/287876/3A3B83A39DA8963608212188330A529F96D6710D779C0CBC0E3BFD750E683425", "Open")</f>
        <v>Open</v>
      </c>
      <c r="J5755" t="s">
        <v>3803</v>
      </c>
      <c r="L5755">
        <v>1200000</v>
      </c>
      <c r="M5755">
        <v>120000</v>
      </c>
    </row>
    <row r="5756" spans="1:13" x14ac:dyDescent="0.25">
      <c r="A5756" t="s">
        <v>19041</v>
      </c>
      <c r="B5756" t="s">
        <v>19042</v>
      </c>
      <c r="C5756" t="s">
        <v>121</v>
      </c>
      <c r="D5756" t="s">
        <v>19043</v>
      </c>
      <c r="E5756" t="s">
        <v>18823</v>
      </c>
      <c r="F5756" t="s">
        <v>18680</v>
      </c>
      <c r="G5756" t="s">
        <v>19044</v>
      </c>
      <c r="H5756" t="str">
        <f>HYPERLINK("https://baanknet.com/view-property/172113/8F76A1BF62545AD5828329BD28FC9DB0B4C302B3B1218BE424D1B6C1AA690784", "https://baanknet.com/view-property/172113/8F76A1BF62545AD5828329BD28FC9DB0B4C302B3B1218BE424D1B6C1AA690784")</f>
        <v>https://baanknet.com/view-property/172113/8F76A1BF62545AD5828329BD28FC9DB0B4C302B3B1218BE424D1B6C1AA690784</v>
      </c>
      <c r="I5756" t="str">
        <f>HYPERLINK("https://baanknet.com/view-property/172113/8F76A1BF62545AD5828329BD28FC9DB0B4C302B3B1218BE424D1B6C1AA690784", "Open")</f>
        <v>Open</v>
      </c>
      <c r="J5756" t="s">
        <v>3803</v>
      </c>
      <c r="L5756">
        <v>1690000</v>
      </c>
      <c r="M5756">
        <v>169000</v>
      </c>
    </row>
    <row r="5757" spans="1:13" x14ac:dyDescent="0.25">
      <c r="A5757" t="s">
        <v>19045</v>
      </c>
      <c r="B5757" t="s">
        <v>19046</v>
      </c>
      <c r="C5757" t="s">
        <v>121</v>
      </c>
      <c r="D5757" t="s">
        <v>19043</v>
      </c>
      <c r="E5757" t="s">
        <v>18823</v>
      </c>
      <c r="F5757" t="s">
        <v>18680</v>
      </c>
      <c r="G5757" t="s">
        <v>19047</v>
      </c>
      <c r="H5757" t="str">
        <f>HYPERLINK("https://baanknet.com/view-property/272761/4F2EA2B1C61FFD8131CB8A455C2BB0F3F7BF0919020473C53ABAFC5D34E2BCE3", "https://baanknet.com/view-property/272761/4F2EA2B1C61FFD8131CB8A455C2BB0F3F7BF0919020473C53ABAFC5D34E2BCE3")</f>
        <v>https://baanknet.com/view-property/272761/4F2EA2B1C61FFD8131CB8A455C2BB0F3F7BF0919020473C53ABAFC5D34E2BCE3</v>
      </c>
      <c r="I5757" t="str">
        <f>HYPERLINK("https://baanknet.com/view-property/272761/4F2EA2B1C61FFD8131CB8A455C2BB0F3F7BF0919020473C53ABAFC5D34E2BCE3", "Open")</f>
        <v>Open</v>
      </c>
      <c r="J5757" t="s">
        <v>3803</v>
      </c>
      <c r="L5757">
        <v>3020000</v>
      </c>
      <c r="M5757">
        <v>302000</v>
      </c>
    </row>
    <row r="5758" spans="1:13" x14ac:dyDescent="0.25">
      <c r="A5758" t="s">
        <v>19048</v>
      </c>
      <c r="B5758" t="s">
        <v>19049</v>
      </c>
      <c r="C5758" t="s">
        <v>121</v>
      </c>
      <c r="D5758" t="s">
        <v>422</v>
      </c>
      <c r="E5758" t="s">
        <v>18823</v>
      </c>
      <c r="F5758" t="s">
        <v>18680</v>
      </c>
      <c r="G5758" t="s">
        <v>19050</v>
      </c>
      <c r="H5758" t="str">
        <f>HYPERLINK("https://baanknet.com/view-property/271307/F77F21C6728331CC494E0AB7BDCA8F82E1A88A23E0009EBFC5AC9824CD43A642", "https://baanknet.com/view-property/271307/F77F21C6728331CC494E0AB7BDCA8F82E1A88A23E0009EBFC5AC9824CD43A642")</f>
        <v>https://baanknet.com/view-property/271307/F77F21C6728331CC494E0AB7BDCA8F82E1A88A23E0009EBFC5AC9824CD43A642</v>
      </c>
      <c r="I5758" t="str">
        <f>HYPERLINK("https://baanknet.com/view-property/271307/F77F21C6728331CC494E0AB7BDCA8F82E1A88A23E0009EBFC5AC9824CD43A642", "Open")</f>
        <v>Open</v>
      </c>
      <c r="J5758" t="s">
        <v>3803</v>
      </c>
      <c r="L5758">
        <v>44550000</v>
      </c>
      <c r="M5758">
        <v>4455000</v>
      </c>
    </row>
    <row r="5759" spans="1:13" x14ac:dyDescent="0.25">
      <c r="A5759" t="s">
        <v>19051</v>
      </c>
      <c r="B5759" t="s">
        <v>19052</v>
      </c>
      <c r="C5759" t="s">
        <v>121</v>
      </c>
      <c r="D5759" t="s">
        <v>282</v>
      </c>
      <c r="E5759" t="s">
        <v>18823</v>
      </c>
      <c r="F5759" t="s">
        <v>18680</v>
      </c>
      <c r="G5759" t="s">
        <v>19053</v>
      </c>
      <c r="H5759" t="str">
        <f>HYPERLINK("https://baanknet.com/view-property/284483/BCC2B50800B4F26047AAD1EB7DE66476C47DD33B3A5792E715C77B4743DF33B3", "https://baanknet.com/view-property/284483/BCC2B50800B4F26047AAD1EB7DE66476C47DD33B3A5792E715C77B4743DF33B3")</f>
        <v>https://baanknet.com/view-property/284483/BCC2B50800B4F26047AAD1EB7DE66476C47DD33B3A5792E715C77B4743DF33B3</v>
      </c>
      <c r="I5759" t="str">
        <f>HYPERLINK("https://baanknet.com/view-property/284483/BCC2B50800B4F26047AAD1EB7DE66476C47DD33B3A5792E715C77B4743DF33B3", "Open")</f>
        <v>Open</v>
      </c>
      <c r="J5759" t="s">
        <v>3803</v>
      </c>
      <c r="L5759">
        <v>2732000</v>
      </c>
      <c r="M5759">
        <v>273200</v>
      </c>
    </row>
    <row r="5760" spans="1:13" x14ac:dyDescent="0.25">
      <c r="A5760" t="s">
        <v>19054</v>
      </c>
      <c r="B5760" t="s">
        <v>19055</v>
      </c>
      <c r="C5760" t="s">
        <v>332</v>
      </c>
      <c r="D5760" t="s">
        <v>1003</v>
      </c>
      <c r="E5760" t="s">
        <v>18823</v>
      </c>
      <c r="F5760" t="s">
        <v>18680</v>
      </c>
      <c r="G5760" t="s">
        <v>19056</v>
      </c>
      <c r="H5760" t="str">
        <f>HYPERLINK("https://baanknet.com/view-property/269507/802109BBC853AF01758C2A976D238EE2E50B3FFF420A97330DCD7CF188CCDB7D", "https://baanknet.com/view-property/269507/802109BBC853AF01758C2A976D238EE2E50B3FFF420A97330DCD7CF188CCDB7D")</f>
        <v>https://baanknet.com/view-property/269507/802109BBC853AF01758C2A976D238EE2E50B3FFF420A97330DCD7CF188CCDB7D</v>
      </c>
      <c r="I5760" t="str">
        <f>HYPERLINK("https://baanknet.com/view-property/269507/802109BBC853AF01758C2A976D238EE2E50B3FFF420A97330DCD7CF188CCDB7D", "Open")</f>
        <v>Open</v>
      </c>
      <c r="J5760" t="s">
        <v>3803</v>
      </c>
      <c r="L5760">
        <v>2847000</v>
      </c>
      <c r="M5760">
        <v>284700</v>
      </c>
    </row>
    <row r="5761" spans="1:13" x14ac:dyDescent="0.25">
      <c r="A5761" t="s">
        <v>19057</v>
      </c>
      <c r="B5761" t="s">
        <v>19058</v>
      </c>
      <c r="C5761" t="s">
        <v>121</v>
      </c>
      <c r="D5761" t="s">
        <v>1807</v>
      </c>
      <c r="E5761" t="s">
        <v>18823</v>
      </c>
      <c r="F5761" t="s">
        <v>18680</v>
      </c>
      <c r="G5761" t="s">
        <v>19059</v>
      </c>
      <c r="H5761" t="str">
        <f>HYPERLINK("https://baanknet.com/view-property/175516/E6F7644C5FA6DC4F809D66CEA096F12BF0E09C8186E1FDE6AFCA64B44F4761FD", "https://baanknet.com/view-property/175516/E6F7644C5FA6DC4F809D66CEA096F12BF0E09C8186E1FDE6AFCA64B44F4761FD")</f>
        <v>https://baanknet.com/view-property/175516/E6F7644C5FA6DC4F809D66CEA096F12BF0E09C8186E1FDE6AFCA64B44F4761FD</v>
      </c>
      <c r="I5761" t="str">
        <f>HYPERLINK("https://baanknet.com/view-property/175516/E6F7644C5FA6DC4F809D66CEA096F12BF0E09C8186E1FDE6AFCA64B44F4761FD", "Open")</f>
        <v>Open</v>
      </c>
      <c r="J5761" t="s">
        <v>3803</v>
      </c>
      <c r="L5761">
        <v>3225000</v>
      </c>
      <c r="M5761">
        <v>322500</v>
      </c>
    </row>
    <row r="5762" spans="1:13" x14ac:dyDescent="0.25">
      <c r="A5762" t="s">
        <v>19060</v>
      </c>
      <c r="B5762" t="s">
        <v>19061</v>
      </c>
      <c r="C5762" t="s">
        <v>121</v>
      </c>
      <c r="D5762" t="s">
        <v>309</v>
      </c>
      <c r="E5762" t="s">
        <v>18823</v>
      </c>
      <c r="F5762" t="s">
        <v>18777</v>
      </c>
      <c r="G5762" t="s">
        <v>19062</v>
      </c>
      <c r="H5762" t="str">
        <f>HYPERLINK("https://baanknet.com/view-property/189676/80DE864F600763C7C2670CB81778E1A0DD7B1E3F6D7AE8F248312706B6F4F20E", "https://baanknet.com/view-property/189676/80DE864F600763C7C2670CB81778E1A0DD7B1E3F6D7AE8F248312706B6F4F20E")</f>
        <v>https://baanknet.com/view-property/189676/80DE864F600763C7C2670CB81778E1A0DD7B1E3F6D7AE8F248312706B6F4F20E</v>
      </c>
      <c r="I5762" t="str">
        <f>HYPERLINK("https://baanknet.com/view-property/189676/80DE864F600763C7C2670CB81778E1A0DD7B1E3F6D7AE8F248312706B6F4F20E", "Open")</f>
        <v>Open</v>
      </c>
      <c r="J5762" t="s">
        <v>3803</v>
      </c>
      <c r="L5762">
        <v>1165000</v>
      </c>
      <c r="M5762">
        <v>116500</v>
      </c>
    </row>
    <row r="5763" spans="1:13" x14ac:dyDescent="0.25">
      <c r="A5763" t="s">
        <v>19063</v>
      </c>
      <c r="B5763" t="s">
        <v>19064</v>
      </c>
      <c r="C5763" t="s">
        <v>121</v>
      </c>
      <c r="D5763" t="s">
        <v>309</v>
      </c>
      <c r="E5763" t="s">
        <v>18823</v>
      </c>
      <c r="F5763" t="s">
        <v>18777</v>
      </c>
      <c r="G5763" t="s">
        <v>19065</v>
      </c>
      <c r="H5763" t="str">
        <f>HYPERLINK("https://baanknet.com/view-property/202381/5AF59EAE270D2C723544C6E55201FF835BB4AED3EEACFF0FD5D6F56C240FE0FA", "https://baanknet.com/view-property/202381/5AF59EAE270D2C723544C6E55201FF835BB4AED3EEACFF0FD5D6F56C240FE0FA")</f>
        <v>https://baanknet.com/view-property/202381/5AF59EAE270D2C723544C6E55201FF835BB4AED3EEACFF0FD5D6F56C240FE0FA</v>
      </c>
      <c r="I5763" t="str">
        <f>HYPERLINK("https://baanknet.com/view-property/202381/5AF59EAE270D2C723544C6E55201FF835BB4AED3EEACFF0FD5D6F56C240FE0FA", "Open")</f>
        <v>Open</v>
      </c>
      <c r="J5763" t="s">
        <v>3803</v>
      </c>
      <c r="L5763">
        <v>3150000</v>
      </c>
      <c r="M5763">
        <v>315000</v>
      </c>
    </row>
    <row r="5764" spans="1:13" x14ac:dyDescent="0.25">
      <c r="A5764" t="s">
        <v>19066</v>
      </c>
      <c r="B5764" t="s">
        <v>19067</v>
      </c>
      <c r="C5764" t="s">
        <v>121</v>
      </c>
      <c r="D5764" t="s">
        <v>309</v>
      </c>
      <c r="E5764" t="s">
        <v>18823</v>
      </c>
      <c r="F5764" t="s">
        <v>18777</v>
      </c>
      <c r="G5764" t="s">
        <v>19068</v>
      </c>
      <c r="H5764" t="str">
        <f>HYPERLINK("https://baanknet.com/view-property/233314/1811040735659632E45EC9F5FA2C9515A16FDDD3F14F9B1314BE4CBD68B78886", "https://baanknet.com/view-property/233314/1811040735659632E45EC9F5FA2C9515A16FDDD3F14F9B1314BE4CBD68B78886")</f>
        <v>https://baanknet.com/view-property/233314/1811040735659632E45EC9F5FA2C9515A16FDDD3F14F9B1314BE4CBD68B78886</v>
      </c>
      <c r="I5764" t="str">
        <f>HYPERLINK("https://baanknet.com/view-property/233314/1811040735659632E45EC9F5FA2C9515A16FDDD3F14F9B1314BE4CBD68B78886", "Open")</f>
        <v>Open</v>
      </c>
      <c r="J5764" t="s">
        <v>3803</v>
      </c>
      <c r="L5764">
        <v>1750000</v>
      </c>
      <c r="M5764">
        <v>175000</v>
      </c>
    </row>
    <row r="5765" spans="1:13" x14ac:dyDescent="0.25">
      <c r="A5765" t="s">
        <v>19069</v>
      </c>
      <c r="B5765" t="s">
        <v>19070</v>
      </c>
      <c r="C5765" t="s">
        <v>121</v>
      </c>
      <c r="D5765" t="s">
        <v>309</v>
      </c>
      <c r="E5765" t="s">
        <v>18823</v>
      </c>
      <c r="F5765" t="s">
        <v>18777</v>
      </c>
      <c r="G5765" t="s">
        <v>19071</v>
      </c>
      <c r="H5765" t="str">
        <f>HYPERLINK("https://baanknet.com/view-property/272085/14DF906C89CBABA902A3C40CD456330589CA8F95E08AE26184B9913E0AE9A1AF", "https://baanknet.com/view-property/272085/14DF906C89CBABA902A3C40CD456330589CA8F95E08AE26184B9913E0AE9A1AF")</f>
        <v>https://baanknet.com/view-property/272085/14DF906C89CBABA902A3C40CD456330589CA8F95E08AE26184B9913E0AE9A1AF</v>
      </c>
      <c r="I5765" t="str">
        <f>HYPERLINK("https://baanknet.com/view-property/272085/14DF906C89CBABA902A3C40CD456330589CA8F95E08AE26184B9913E0AE9A1AF", "Open")</f>
        <v>Open</v>
      </c>
      <c r="J5765" t="s">
        <v>3803</v>
      </c>
      <c r="L5765">
        <v>6750000</v>
      </c>
      <c r="M5765">
        <v>675000</v>
      </c>
    </row>
    <row r="5766" spans="1:13" x14ac:dyDescent="0.25">
      <c r="A5766" t="s">
        <v>19072</v>
      </c>
      <c r="B5766" t="s">
        <v>19073</v>
      </c>
      <c r="C5766" t="s">
        <v>121</v>
      </c>
      <c r="D5766" t="s">
        <v>309</v>
      </c>
      <c r="E5766" t="s">
        <v>18823</v>
      </c>
      <c r="F5766" t="s">
        <v>18777</v>
      </c>
      <c r="G5766" t="s">
        <v>19074</v>
      </c>
      <c r="H5766" t="str">
        <f>HYPERLINK("https://baanknet.com/view-property/272084/021F6E13AE731B59BDA684C616CE7437366E31FDC7BF5D7563047FD9E91C77E3", "https://baanknet.com/view-property/272084/021F6E13AE731B59BDA684C616CE7437366E31FDC7BF5D7563047FD9E91C77E3")</f>
        <v>https://baanknet.com/view-property/272084/021F6E13AE731B59BDA684C616CE7437366E31FDC7BF5D7563047FD9E91C77E3</v>
      </c>
      <c r="I5766" t="str">
        <f>HYPERLINK("https://baanknet.com/view-property/272084/021F6E13AE731B59BDA684C616CE7437366E31FDC7BF5D7563047FD9E91C77E3", "Open")</f>
        <v>Open</v>
      </c>
      <c r="J5766" t="s">
        <v>3803</v>
      </c>
      <c r="L5766">
        <v>6256000</v>
      </c>
      <c r="M5766">
        <v>625600</v>
      </c>
    </row>
    <row r="5767" spans="1:13" x14ac:dyDescent="0.25">
      <c r="A5767" t="s">
        <v>19075</v>
      </c>
      <c r="B5767" t="s">
        <v>19076</v>
      </c>
      <c r="C5767" t="s">
        <v>121</v>
      </c>
      <c r="D5767" t="s">
        <v>309</v>
      </c>
      <c r="E5767" t="s">
        <v>18823</v>
      </c>
      <c r="F5767" t="s">
        <v>18777</v>
      </c>
      <c r="G5767" t="s">
        <v>19077</v>
      </c>
      <c r="H5767" t="str">
        <f>HYPERLINK("https://baanknet.com/view-property/272010/E507E6DD7FE5F36E9545C75D79CDB91ED90232A4323323459D0E2DF9C77158AF", "https://baanknet.com/view-property/272010/E507E6DD7FE5F36E9545C75D79CDB91ED90232A4323323459D0E2DF9C77158AF")</f>
        <v>https://baanknet.com/view-property/272010/E507E6DD7FE5F36E9545C75D79CDB91ED90232A4323323459D0E2DF9C77158AF</v>
      </c>
      <c r="I5767" t="str">
        <f>HYPERLINK("https://baanknet.com/view-property/272010/E507E6DD7FE5F36E9545C75D79CDB91ED90232A4323323459D0E2DF9C77158AF", "Open")</f>
        <v>Open</v>
      </c>
      <c r="J5767" t="s">
        <v>3803</v>
      </c>
      <c r="L5767">
        <v>6825000</v>
      </c>
      <c r="M5767">
        <v>682500</v>
      </c>
    </row>
    <row r="5768" spans="1:13" x14ac:dyDescent="0.25">
      <c r="A5768" t="s">
        <v>19078</v>
      </c>
      <c r="B5768" t="s">
        <v>19079</v>
      </c>
      <c r="C5768" t="s">
        <v>121</v>
      </c>
      <c r="D5768" t="s">
        <v>19080</v>
      </c>
      <c r="E5768" t="s">
        <v>18823</v>
      </c>
      <c r="F5768" t="s">
        <v>18777</v>
      </c>
      <c r="G5768" t="s">
        <v>19081</v>
      </c>
      <c r="H5768" t="str">
        <f>HYPERLINK("https://baanknet.com/view-property/271960/509681A2813CD98CB8946B55BE18D808C91B0B334DD71E94C038DDA6E198DD34", "https://baanknet.com/view-property/271960/509681A2813CD98CB8946B55BE18D808C91B0B334DD71E94C038DDA6E198DD34")</f>
        <v>https://baanknet.com/view-property/271960/509681A2813CD98CB8946B55BE18D808C91B0B334DD71E94C038DDA6E198DD34</v>
      </c>
      <c r="I5768" t="str">
        <f>HYPERLINK("https://baanknet.com/view-property/271960/509681A2813CD98CB8946B55BE18D808C91B0B334DD71E94C038DDA6E198DD34", "Open")</f>
        <v>Open</v>
      </c>
      <c r="J5768" t="s">
        <v>3803</v>
      </c>
      <c r="L5768">
        <v>5733000</v>
      </c>
      <c r="M5768">
        <v>573300</v>
      </c>
    </row>
    <row r="5769" spans="1:13" x14ac:dyDescent="0.25">
      <c r="A5769" t="s">
        <v>19082</v>
      </c>
      <c r="B5769" t="s">
        <v>19083</v>
      </c>
      <c r="C5769" t="s">
        <v>121</v>
      </c>
      <c r="D5769" t="s">
        <v>19080</v>
      </c>
      <c r="E5769" t="s">
        <v>18823</v>
      </c>
      <c r="F5769" t="s">
        <v>18777</v>
      </c>
      <c r="G5769" t="s">
        <v>19084</v>
      </c>
      <c r="H5769" t="str">
        <f>HYPERLINK("https://baanknet.com/view-property/271956/6C54C8A7B245E5135D184E36F603417923FCAA3D92376831E74B09FA88F986F4", "https://baanknet.com/view-property/271956/6C54C8A7B245E5135D184E36F603417923FCAA3D92376831E74B09FA88F986F4")</f>
        <v>https://baanknet.com/view-property/271956/6C54C8A7B245E5135D184E36F603417923FCAA3D92376831E74B09FA88F986F4</v>
      </c>
      <c r="I5769" t="str">
        <f>HYPERLINK("https://baanknet.com/view-property/271956/6C54C8A7B245E5135D184E36F603417923FCAA3D92376831E74B09FA88F986F4", "Open")</f>
        <v>Open</v>
      </c>
      <c r="J5769" t="s">
        <v>3803</v>
      </c>
      <c r="L5769">
        <v>6499000</v>
      </c>
      <c r="M5769">
        <v>649900</v>
      </c>
    </row>
    <row r="5770" spans="1:13" x14ac:dyDescent="0.25">
      <c r="A5770" t="s">
        <v>19085</v>
      </c>
      <c r="B5770" t="s">
        <v>19086</v>
      </c>
      <c r="C5770" t="s">
        <v>332</v>
      </c>
      <c r="D5770" t="s">
        <v>5873</v>
      </c>
      <c r="E5770" t="s">
        <v>18823</v>
      </c>
      <c r="F5770" t="s">
        <v>18777</v>
      </c>
      <c r="G5770" t="s">
        <v>19087</v>
      </c>
      <c r="H5770" t="str">
        <f>HYPERLINK("https://baanknet.com/view-property/287809/AD671ACBE66C762089CF1D4DD676AC29E91735AD307895B1EFE6A5711BB3B74B", "https://baanknet.com/view-property/287809/AD671ACBE66C762089CF1D4DD676AC29E91735AD307895B1EFE6A5711BB3B74B")</f>
        <v>https://baanknet.com/view-property/287809/AD671ACBE66C762089CF1D4DD676AC29E91735AD307895B1EFE6A5711BB3B74B</v>
      </c>
      <c r="I5770" t="str">
        <f>HYPERLINK("https://baanknet.com/view-property/287809/AD671ACBE66C762089CF1D4DD676AC29E91735AD307895B1EFE6A5711BB3B74B", "Open")</f>
        <v>Open</v>
      </c>
      <c r="J5770" t="s">
        <v>3803</v>
      </c>
      <c r="L5770">
        <v>1520000</v>
      </c>
      <c r="M5770">
        <v>152000</v>
      </c>
    </row>
    <row r="5771" spans="1:13" x14ac:dyDescent="0.25">
      <c r="A5771" t="s">
        <v>19088</v>
      </c>
      <c r="B5771" t="s">
        <v>19089</v>
      </c>
      <c r="C5771" t="s">
        <v>571</v>
      </c>
      <c r="D5771" t="s">
        <v>157</v>
      </c>
      <c r="E5771" t="s">
        <v>18823</v>
      </c>
      <c r="F5771" t="s">
        <v>18777</v>
      </c>
      <c r="G5771" t="s">
        <v>19090</v>
      </c>
      <c r="H5771" t="str">
        <f>HYPERLINK("https://baanknet.com/view-property/288045/9959560647CC3BB8E5600BEC3A7B6A75DB5582DA01E2DD056E0B2A618821DB17", "https://baanknet.com/view-property/288045/9959560647CC3BB8E5600BEC3A7B6A75DB5582DA01E2DD056E0B2A618821DB17")</f>
        <v>https://baanknet.com/view-property/288045/9959560647CC3BB8E5600BEC3A7B6A75DB5582DA01E2DD056E0B2A618821DB17</v>
      </c>
      <c r="I5771" t="str">
        <f>HYPERLINK("https://baanknet.com/view-property/288045/9959560647CC3BB8E5600BEC3A7B6A75DB5582DA01E2DD056E0B2A618821DB17", "Open")</f>
        <v>Open</v>
      </c>
      <c r="J5771" t="s">
        <v>3803</v>
      </c>
      <c r="L5771">
        <v>2045000</v>
      </c>
      <c r="M5771">
        <v>204500</v>
      </c>
    </row>
    <row r="5772" spans="1:13" x14ac:dyDescent="0.25">
      <c r="A5772" t="s">
        <v>19091</v>
      </c>
      <c r="B5772" t="s">
        <v>19092</v>
      </c>
      <c r="C5772" t="s">
        <v>571</v>
      </c>
      <c r="D5772" t="s">
        <v>157</v>
      </c>
      <c r="E5772" t="s">
        <v>18823</v>
      </c>
      <c r="F5772" t="s">
        <v>18777</v>
      </c>
      <c r="G5772" t="s">
        <v>19093</v>
      </c>
      <c r="H5772" t="str">
        <f>HYPERLINK("https://baanknet.com/view-property/288048/0E6FCF7A0B981F443F13072CEE32BF6260EF537228EE588083721053A48B685B", "https://baanknet.com/view-property/288048/0E6FCF7A0B981F443F13072CEE32BF6260EF537228EE588083721053A48B685B")</f>
        <v>https://baanknet.com/view-property/288048/0E6FCF7A0B981F443F13072CEE32BF6260EF537228EE588083721053A48B685B</v>
      </c>
      <c r="I5772" t="str">
        <f>HYPERLINK("https://baanknet.com/view-property/288048/0E6FCF7A0B981F443F13072CEE32BF6260EF537228EE588083721053A48B685B", "Open")</f>
        <v>Open</v>
      </c>
      <c r="J5772" t="s">
        <v>3803</v>
      </c>
      <c r="L5772">
        <v>13349000</v>
      </c>
      <c r="M5772">
        <v>1334900</v>
      </c>
    </row>
    <row r="5773" spans="1:13" x14ac:dyDescent="0.25">
      <c r="A5773" t="s">
        <v>19094</v>
      </c>
      <c r="B5773" t="s">
        <v>19095</v>
      </c>
      <c r="C5773" t="s">
        <v>83</v>
      </c>
      <c r="D5773" t="s">
        <v>11357</v>
      </c>
      <c r="E5773" t="s">
        <v>18823</v>
      </c>
      <c r="F5773" t="s">
        <v>19096</v>
      </c>
      <c r="G5773" t="s">
        <v>19097</v>
      </c>
      <c r="H5773" t="str">
        <f>HYPERLINK("https://baanknet.com/view-property/285379/2FC1D3D13B617DCFFAB932BBABD6B16382D86B61FE99C7B37143C2BED8EB83D4", "https://baanknet.com/view-property/285379/2FC1D3D13B617DCFFAB932BBABD6B16382D86B61FE99C7B37143C2BED8EB83D4")</f>
        <v>https://baanknet.com/view-property/285379/2FC1D3D13B617DCFFAB932BBABD6B16382D86B61FE99C7B37143C2BED8EB83D4</v>
      </c>
      <c r="I5773" t="str">
        <f>HYPERLINK("https://baanknet.com/view-property/285379/2FC1D3D13B617DCFFAB932BBABD6B16382D86B61FE99C7B37143C2BED8EB83D4", "Open")</f>
        <v>Open</v>
      </c>
      <c r="J5773" t="s">
        <v>3803</v>
      </c>
      <c r="L5773">
        <v>1530900</v>
      </c>
      <c r="M5773">
        <v>153090</v>
      </c>
    </row>
    <row r="5774" spans="1:13" x14ac:dyDescent="0.25">
      <c r="A5774" t="s">
        <v>19098</v>
      </c>
      <c r="B5774" t="s">
        <v>19099</v>
      </c>
      <c r="C5774" t="s">
        <v>332</v>
      </c>
      <c r="D5774" t="s">
        <v>15120</v>
      </c>
      <c r="E5774" t="s">
        <v>19100</v>
      </c>
      <c r="F5774" t="s">
        <v>18680</v>
      </c>
      <c r="G5774" t="s">
        <v>19101</v>
      </c>
      <c r="H5774" t="str">
        <f>HYPERLINK("https://baanknet.com/view-property/287890/AC7AB2F9B42889E94504E7EBBB435E8B1F5A7B46586C46C2C1F767FD55CF7E6E", "https://baanknet.com/view-property/287890/AC7AB2F9B42889E94504E7EBBB435E8B1F5A7B46586C46C2C1F767FD55CF7E6E")</f>
        <v>https://baanknet.com/view-property/287890/AC7AB2F9B42889E94504E7EBBB435E8B1F5A7B46586C46C2C1F767FD55CF7E6E</v>
      </c>
      <c r="I5774" t="str">
        <f>HYPERLINK("https://baanknet.com/view-property/287890/AC7AB2F9B42889E94504E7EBBB435E8B1F5A7B46586C46C2C1F767FD55CF7E6E", "Open")</f>
        <v>Open</v>
      </c>
      <c r="J5774" t="s">
        <v>3803</v>
      </c>
      <c r="L5774">
        <v>1600000</v>
      </c>
      <c r="M5774">
        <v>160000</v>
      </c>
    </row>
    <row r="5775" spans="1:13" x14ac:dyDescent="0.25">
      <c r="A5775" t="s">
        <v>19102</v>
      </c>
      <c r="B5775" t="s">
        <v>19103</v>
      </c>
      <c r="C5775" t="s">
        <v>15</v>
      </c>
      <c r="D5775" t="s">
        <v>19104</v>
      </c>
      <c r="E5775" t="s">
        <v>18787</v>
      </c>
      <c r="F5775" t="s">
        <v>18666</v>
      </c>
      <c r="G5775" t="s">
        <v>19105</v>
      </c>
      <c r="H5775" t="str">
        <f>HYPERLINK("https://baanknet.com/view-property/206555/8F63336A2B98E9A49B4A633283B0E0DAEAD68E991915FA86431EBFBB59E43995", "https://baanknet.com/view-property/206555/8F63336A2B98E9A49B4A633283B0E0DAEAD68E991915FA86431EBFBB59E43995")</f>
        <v>https://baanknet.com/view-property/206555/8F63336A2B98E9A49B4A633283B0E0DAEAD68E991915FA86431EBFBB59E43995</v>
      </c>
      <c r="I5775" t="str">
        <f>HYPERLINK("https://baanknet.com/view-property/206555/8F63336A2B98E9A49B4A633283B0E0DAEAD68E991915FA86431EBFBB59E43995", "Open")</f>
        <v>Open</v>
      </c>
      <c r="J5775" t="s">
        <v>3803</v>
      </c>
      <c r="L5775">
        <v>2000000</v>
      </c>
      <c r="M5775">
        <v>200000</v>
      </c>
    </row>
    <row r="5776" spans="1:13" x14ac:dyDescent="0.25">
      <c r="A5776" t="s">
        <v>19106</v>
      </c>
      <c r="B5776" t="s">
        <v>19107</v>
      </c>
      <c r="C5776" t="s">
        <v>15</v>
      </c>
      <c r="D5776" t="s">
        <v>5450</v>
      </c>
      <c r="E5776" t="s">
        <v>18787</v>
      </c>
      <c r="F5776" t="s">
        <v>19108</v>
      </c>
      <c r="G5776" t="s">
        <v>19109</v>
      </c>
      <c r="H5776" t="str">
        <f>HYPERLINK("https://baanknet.com/view-property/286814/3C72D26455E4E8B86303D59EBDCF73FF9E3944F8D5B8BF11983F48824F0D059B", "https://baanknet.com/view-property/286814/3C72D26455E4E8B86303D59EBDCF73FF9E3944F8D5B8BF11983F48824F0D059B")</f>
        <v>https://baanknet.com/view-property/286814/3C72D26455E4E8B86303D59EBDCF73FF9E3944F8D5B8BF11983F48824F0D059B</v>
      </c>
      <c r="I5776" t="str">
        <f>HYPERLINK("https://baanknet.com/view-property/286814/3C72D26455E4E8B86303D59EBDCF73FF9E3944F8D5B8BF11983F48824F0D059B", "Open")</f>
        <v>Open</v>
      </c>
      <c r="J5776" t="s">
        <v>3803</v>
      </c>
      <c r="L5776">
        <v>2890000</v>
      </c>
      <c r="M5776">
        <v>289000</v>
      </c>
    </row>
    <row r="5777" spans="1:13" x14ac:dyDescent="0.25">
      <c r="A5777" t="s">
        <v>19110</v>
      </c>
      <c r="B5777" t="s">
        <v>19111</v>
      </c>
      <c r="C5777" t="s">
        <v>15</v>
      </c>
      <c r="D5777" t="s">
        <v>1909</v>
      </c>
      <c r="E5777" t="s">
        <v>18787</v>
      </c>
      <c r="F5777" t="s">
        <v>19112</v>
      </c>
      <c r="G5777" t="s">
        <v>19113</v>
      </c>
      <c r="H5777" t="str">
        <f>HYPERLINK("https://baanknet.com/view-property/286428/F5DB511574FEBE2F737F33A225909DAAEBDA7BB46A0CFF9E9C7BD13AA108BEF4", "https://baanknet.com/view-property/286428/F5DB511574FEBE2F737F33A225909DAAEBDA7BB46A0CFF9E9C7BD13AA108BEF4")</f>
        <v>https://baanknet.com/view-property/286428/F5DB511574FEBE2F737F33A225909DAAEBDA7BB46A0CFF9E9C7BD13AA108BEF4</v>
      </c>
      <c r="I5777" t="str">
        <f>HYPERLINK("https://baanknet.com/view-property/286428/F5DB511574FEBE2F737F33A225909DAAEBDA7BB46A0CFF9E9C7BD13AA108BEF4", "Open")</f>
        <v>Open</v>
      </c>
      <c r="J5777" t="s">
        <v>3803</v>
      </c>
      <c r="L5777">
        <v>2036565</v>
      </c>
      <c r="M5777">
        <v>203656.5</v>
      </c>
    </row>
    <row r="5778" spans="1:13" x14ac:dyDescent="0.25">
      <c r="A5778" t="s">
        <v>19114</v>
      </c>
      <c r="B5778" t="s">
        <v>19115</v>
      </c>
      <c r="C5778" t="s">
        <v>15</v>
      </c>
      <c r="D5778" t="s">
        <v>2866</v>
      </c>
      <c r="E5778" t="s">
        <v>18787</v>
      </c>
      <c r="F5778" t="s">
        <v>19112</v>
      </c>
      <c r="G5778" t="s">
        <v>19116</v>
      </c>
      <c r="H5778" t="str">
        <f>HYPERLINK("https://baanknet.com/view-property/286635/2F7277AC7224CD7786F53F69F716A5C540695381DE5E3245EC26896094B1440C", "https://baanknet.com/view-property/286635/2F7277AC7224CD7786F53F69F716A5C540695381DE5E3245EC26896094B1440C")</f>
        <v>https://baanknet.com/view-property/286635/2F7277AC7224CD7786F53F69F716A5C540695381DE5E3245EC26896094B1440C</v>
      </c>
      <c r="I5778" t="str">
        <f>HYPERLINK("https://baanknet.com/view-property/286635/2F7277AC7224CD7786F53F69F716A5C540695381DE5E3245EC26896094B1440C", "Open")</f>
        <v>Open</v>
      </c>
      <c r="J5778" t="s">
        <v>3803</v>
      </c>
      <c r="L5778">
        <v>5461000</v>
      </c>
      <c r="M5778">
        <v>546100</v>
      </c>
    </row>
    <row r="5779" spans="1:13" x14ac:dyDescent="0.25">
      <c r="A5779" t="s">
        <v>19117</v>
      </c>
      <c r="B5779" t="s">
        <v>19118</v>
      </c>
      <c r="C5779" t="s">
        <v>15</v>
      </c>
      <c r="D5779" t="s">
        <v>157</v>
      </c>
      <c r="E5779" t="s">
        <v>18787</v>
      </c>
      <c r="F5779" t="s">
        <v>19112</v>
      </c>
      <c r="G5779" t="s">
        <v>19119</v>
      </c>
      <c r="H5779" t="str">
        <f>HYPERLINK("https://baanknet.com/view-property/286639/89EB1449BDB7AD9A68DF6EB38DE3D541829085677E69CB04FD1FFB20E55FC009", "https://baanknet.com/view-property/286639/89EB1449BDB7AD9A68DF6EB38DE3D541829085677E69CB04FD1FFB20E55FC009")</f>
        <v>https://baanknet.com/view-property/286639/89EB1449BDB7AD9A68DF6EB38DE3D541829085677E69CB04FD1FFB20E55FC009</v>
      </c>
      <c r="I5779" t="str">
        <f>HYPERLINK("https://baanknet.com/view-property/286639/89EB1449BDB7AD9A68DF6EB38DE3D541829085677E69CB04FD1FFB20E55FC009", "Open")</f>
        <v>Open</v>
      </c>
      <c r="J5779" t="s">
        <v>3803</v>
      </c>
      <c r="L5779">
        <v>24700000</v>
      </c>
      <c r="M5779">
        <v>2470000</v>
      </c>
    </row>
    <row r="5780" spans="1:13" x14ac:dyDescent="0.25">
      <c r="A5780" t="s">
        <v>19120</v>
      </c>
      <c r="B5780" t="s">
        <v>19121</v>
      </c>
      <c r="C5780" t="s">
        <v>15</v>
      </c>
      <c r="D5780" t="s">
        <v>19122</v>
      </c>
      <c r="E5780" t="s">
        <v>18787</v>
      </c>
      <c r="F5780" t="s">
        <v>19112</v>
      </c>
      <c r="G5780" t="s">
        <v>19123</v>
      </c>
      <c r="H5780" t="str">
        <f>HYPERLINK("https://baanknet.com/view-property/286651/8938FB3AA5DBD7B45B68A226ACCD105A6B744A919D207AE56DC087C88F64FA2B", "https://baanknet.com/view-property/286651/8938FB3AA5DBD7B45B68A226ACCD105A6B744A919D207AE56DC087C88F64FA2B")</f>
        <v>https://baanknet.com/view-property/286651/8938FB3AA5DBD7B45B68A226ACCD105A6B744A919D207AE56DC087C88F64FA2B</v>
      </c>
      <c r="I5780" t="str">
        <f>HYPERLINK("https://baanknet.com/view-property/286651/8938FB3AA5DBD7B45B68A226ACCD105A6B744A919D207AE56DC087C88F64FA2B", "Open")</f>
        <v>Open</v>
      </c>
      <c r="J5780" t="s">
        <v>3803</v>
      </c>
      <c r="L5780">
        <v>1843000</v>
      </c>
      <c r="M5780">
        <v>184300</v>
      </c>
    </row>
    <row r="5781" spans="1:13" x14ac:dyDescent="0.25">
      <c r="A5781" t="s">
        <v>19124</v>
      </c>
      <c r="B5781" t="s">
        <v>19125</v>
      </c>
      <c r="C5781" t="s">
        <v>15</v>
      </c>
      <c r="D5781" t="s">
        <v>19122</v>
      </c>
      <c r="E5781" t="s">
        <v>18787</v>
      </c>
      <c r="F5781" t="s">
        <v>19112</v>
      </c>
      <c r="G5781" t="s">
        <v>19126</v>
      </c>
      <c r="H5781" t="str">
        <f>HYPERLINK("https://baanknet.com/view-property/286655/A3F6FBBBC1B25953FA654599ABEFB777B35DC563D9632C86FA28BCA14D626286", "https://baanknet.com/view-property/286655/A3F6FBBBC1B25953FA654599ABEFB777B35DC563D9632C86FA28BCA14D626286")</f>
        <v>https://baanknet.com/view-property/286655/A3F6FBBBC1B25953FA654599ABEFB777B35DC563D9632C86FA28BCA14D626286</v>
      </c>
      <c r="I5781" t="str">
        <f>HYPERLINK("https://baanknet.com/view-property/286655/A3F6FBBBC1B25953FA654599ABEFB777B35DC563D9632C86FA28BCA14D626286", "Open")</f>
        <v>Open</v>
      </c>
      <c r="J5781" t="s">
        <v>3803</v>
      </c>
      <c r="L5781">
        <v>360000</v>
      </c>
      <c r="M5781">
        <v>36000</v>
      </c>
    </row>
    <row r="5782" spans="1:13" x14ac:dyDescent="0.25">
      <c r="A5782" t="s">
        <v>19127</v>
      </c>
      <c r="B5782" t="s">
        <v>19128</v>
      </c>
      <c r="C5782" t="s">
        <v>15</v>
      </c>
      <c r="D5782" t="s">
        <v>165</v>
      </c>
      <c r="E5782" t="s">
        <v>18787</v>
      </c>
      <c r="F5782" t="s">
        <v>19112</v>
      </c>
      <c r="G5782" t="s">
        <v>19129</v>
      </c>
      <c r="H5782" t="str">
        <f>HYPERLINK("https://baanknet.com/view-property/259185/7E88709C96945FE901A73D1AE15F1D952BDE24A4E9C768B100ACEE51BE682D8A", "https://baanknet.com/view-property/259185/7E88709C96945FE901A73D1AE15F1D952BDE24A4E9C768B100ACEE51BE682D8A")</f>
        <v>https://baanknet.com/view-property/259185/7E88709C96945FE901A73D1AE15F1D952BDE24A4E9C768B100ACEE51BE682D8A</v>
      </c>
      <c r="I5782" t="str">
        <f>HYPERLINK("https://baanknet.com/view-property/259185/7E88709C96945FE901A73D1AE15F1D952BDE24A4E9C768B100ACEE51BE682D8A", "Open")</f>
        <v>Open</v>
      </c>
      <c r="J5782" t="s">
        <v>3803</v>
      </c>
      <c r="L5782">
        <v>6500000</v>
      </c>
      <c r="M5782">
        <v>650000</v>
      </c>
    </row>
    <row r="5783" spans="1:13" x14ac:dyDescent="0.25">
      <c r="A5783" t="s">
        <v>19130</v>
      </c>
      <c r="B5783" t="s">
        <v>19131</v>
      </c>
      <c r="C5783" t="s">
        <v>15</v>
      </c>
      <c r="D5783" t="s">
        <v>179</v>
      </c>
      <c r="E5783" t="s">
        <v>18787</v>
      </c>
      <c r="F5783" t="s">
        <v>19112</v>
      </c>
      <c r="G5783" t="s">
        <v>19132</v>
      </c>
      <c r="H5783" t="str">
        <f>HYPERLINK("https://baanknet.com/view-property/267218/2F8E6E5264CF0C92C822CD8040A2193BD5BA6DF63A067A162232A7F7D31C8155", "https://baanknet.com/view-property/267218/2F8E6E5264CF0C92C822CD8040A2193BD5BA6DF63A067A162232A7F7D31C8155")</f>
        <v>https://baanknet.com/view-property/267218/2F8E6E5264CF0C92C822CD8040A2193BD5BA6DF63A067A162232A7F7D31C8155</v>
      </c>
      <c r="I5783" t="str">
        <f>HYPERLINK("https://baanknet.com/view-property/267218/2F8E6E5264CF0C92C822CD8040A2193BD5BA6DF63A067A162232A7F7D31C8155", "Open")</f>
        <v>Open</v>
      </c>
      <c r="J5783" t="s">
        <v>3803</v>
      </c>
      <c r="L5783">
        <v>1495000</v>
      </c>
      <c r="M5783">
        <v>149500</v>
      </c>
    </row>
    <row r="5784" spans="1:13" x14ac:dyDescent="0.25">
      <c r="A5784" t="s">
        <v>19133</v>
      </c>
      <c r="B5784" t="s">
        <v>19134</v>
      </c>
      <c r="C5784" t="s">
        <v>15</v>
      </c>
      <c r="D5784" t="s">
        <v>19135</v>
      </c>
      <c r="E5784" t="s">
        <v>18787</v>
      </c>
      <c r="F5784" t="s">
        <v>19112</v>
      </c>
      <c r="G5784" t="s">
        <v>19136</v>
      </c>
      <c r="H5784" t="str">
        <f>HYPERLINK("https://baanknet.com/view-property/279790/FAEADF97191E0FACEBFB1BE0982EF01F74D9C84ABB8D0A91898DFCBC50FA40F8", "https://baanknet.com/view-property/279790/FAEADF97191E0FACEBFB1BE0982EF01F74D9C84ABB8D0A91898DFCBC50FA40F8")</f>
        <v>https://baanknet.com/view-property/279790/FAEADF97191E0FACEBFB1BE0982EF01F74D9C84ABB8D0A91898DFCBC50FA40F8</v>
      </c>
      <c r="I5784" t="str">
        <f>HYPERLINK("https://baanknet.com/view-property/279790/FAEADF97191E0FACEBFB1BE0982EF01F74D9C84ABB8D0A91898DFCBC50FA40F8", "Open")</f>
        <v>Open</v>
      </c>
      <c r="J5784" t="s">
        <v>3803</v>
      </c>
      <c r="L5784">
        <v>1110000</v>
      </c>
      <c r="M5784">
        <v>111000</v>
      </c>
    </row>
    <row r="5785" spans="1:13" x14ac:dyDescent="0.25">
      <c r="A5785" t="s">
        <v>19137</v>
      </c>
      <c r="B5785" t="s">
        <v>19138</v>
      </c>
      <c r="C5785" t="s">
        <v>15</v>
      </c>
      <c r="D5785" t="s">
        <v>19139</v>
      </c>
      <c r="E5785" t="s">
        <v>18787</v>
      </c>
      <c r="F5785" t="s">
        <v>19112</v>
      </c>
      <c r="G5785" t="s">
        <v>19140</v>
      </c>
      <c r="H5785" t="str">
        <f>HYPERLINK("https://baanknet.com/view-property/275263/288355C1A29D7A3AF957D6F18598BE0DAB9245E65F535C19724863955F3E82AC", "https://baanknet.com/view-property/275263/288355C1A29D7A3AF957D6F18598BE0DAB9245E65F535C19724863955F3E82AC")</f>
        <v>https://baanknet.com/view-property/275263/288355C1A29D7A3AF957D6F18598BE0DAB9245E65F535C19724863955F3E82AC</v>
      </c>
      <c r="I5785" t="str">
        <f>HYPERLINK("https://baanknet.com/view-property/275263/288355C1A29D7A3AF957D6F18598BE0DAB9245E65F535C19724863955F3E82AC", "Open")</f>
        <v>Open</v>
      </c>
      <c r="J5785" t="s">
        <v>3803</v>
      </c>
      <c r="L5785">
        <v>1860000</v>
      </c>
      <c r="M5785">
        <v>186000</v>
      </c>
    </row>
    <row r="5786" spans="1:13" x14ac:dyDescent="0.25">
      <c r="A5786" t="s">
        <v>19141</v>
      </c>
      <c r="B5786" t="s">
        <v>19142</v>
      </c>
      <c r="C5786" t="s">
        <v>15</v>
      </c>
      <c r="D5786" t="s">
        <v>13901</v>
      </c>
      <c r="E5786" t="s">
        <v>18787</v>
      </c>
      <c r="F5786" t="s">
        <v>19112</v>
      </c>
      <c r="G5786" t="s">
        <v>19143</v>
      </c>
      <c r="H5786" t="str">
        <f>HYPERLINK("https://baanknet.com/view-property/246994/55F2FEE2A08511F1C5B1A9E94CB93C0D2CB1D6144AB84B8AC32EEE05CC186C06", "https://baanknet.com/view-property/246994/55F2FEE2A08511F1C5B1A9E94CB93C0D2CB1D6144AB84B8AC32EEE05CC186C06")</f>
        <v>https://baanknet.com/view-property/246994/55F2FEE2A08511F1C5B1A9E94CB93C0D2CB1D6144AB84B8AC32EEE05CC186C06</v>
      </c>
      <c r="I5786" t="str">
        <f>HYPERLINK("https://baanknet.com/view-property/246994/55F2FEE2A08511F1C5B1A9E94CB93C0D2CB1D6144AB84B8AC32EEE05CC186C06", "Open")</f>
        <v>Open</v>
      </c>
      <c r="J5786" t="s">
        <v>3803</v>
      </c>
      <c r="L5786">
        <v>400000</v>
      </c>
      <c r="M5786">
        <v>40000</v>
      </c>
    </row>
    <row r="5787" spans="1:13" x14ac:dyDescent="0.25">
      <c r="A5787" t="s">
        <v>19144</v>
      </c>
      <c r="B5787" t="s">
        <v>19145</v>
      </c>
      <c r="C5787" t="s">
        <v>15</v>
      </c>
      <c r="D5787" t="s">
        <v>19043</v>
      </c>
      <c r="E5787" t="s">
        <v>18787</v>
      </c>
      <c r="F5787" t="s">
        <v>19112</v>
      </c>
      <c r="G5787" t="s">
        <v>19146</v>
      </c>
      <c r="H5787" t="str">
        <f>HYPERLINK("https://baanknet.com/view-property/265430/9E0B62B9CE9AC37EF103964B7663DBF894329EDF5181EED4A889944B35AD5ADB", "https://baanknet.com/view-property/265430/9E0B62B9CE9AC37EF103964B7663DBF894329EDF5181EED4A889944B35AD5ADB")</f>
        <v>https://baanknet.com/view-property/265430/9E0B62B9CE9AC37EF103964B7663DBF894329EDF5181EED4A889944B35AD5ADB</v>
      </c>
      <c r="I5787" t="str">
        <f>HYPERLINK("https://baanknet.com/view-property/265430/9E0B62B9CE9AC37EF103964B7663DBF894329EDF5181EED4A889944B35AD5ADB", "Open")</f>
        <v>Open</v>
      </c>
      <c r="J5787" t="s">
        <v>3803</v>
      </c>
      <c r="L5787">
        <v>5300000</v>
      </c>
      <c r="M5787">
        <v>530000</v>
      </c>
    </row>
    <row r="5788" spans="1:13" x14ac:dyDescent="0.25">
      <c r="A5788" t="s">
        <v>19147</v>
      </c>
      <c r="B5788" t="s">
        <v>19148</v>
      </c>
      <c r="C5788" t="s">
        <v>15</v>
      </c>
      <c r="D5788" t="s">
        <v>2334</v>
      </c>
      <c r="E5788" t="s">
        <v>18787</v>
      </c>
      <c r="F5788" t="s">
        <v>19112</v>
      </c>
      <c r="G5788" t="s">
        <v>19149</v>
      </c>
      <c r="H5788" t="str">
        <f>HYPERLINK("https://baanknet.com/view-property/245376/DDE3636837610DD0166B7F6C94C62A1373C4456D510D799130770EFEE2884A9C", "https://baanknet.com/view-property/245376/DDE3636837610DD0166B7F6C94C62A1373C4456D510D799130770EFEE2884A9C")</f>
        <v>https://baanknet.com/view-property/245376/DDE3636837610DD0166B7F6C94C62A1373C4456D510D799130770EFEE2884A9C</v>
      </c>
      <c r="I5788" t="str">
        <f>HYPERLINK("https://baanknet.com/view-property/245376/DDE3636837610DD0166B7F6C94C62A1373C4456D510D799130770EFEE2884A9C", "Open")</f>
        <v>Open</v>
      </c>
      <c r="J5788" t="s">
        <v>3803</v>
      </c>
      <c r="L5788">
        <v>3135000</v>
      </c>
      <c r="M5788">
        <v>313500</v>
      </c>
    </row>
    <row r="5789" spans="1:13" x14ac:dyDescent="0.25">
      <c r="A5789" t="s">
        <v>19150</v>
      </c>
      <c r="B5789" t="s">
        <v>19151</v>
      </c>
      <c r="C5789" t="s">
        <v>15</v>
      </c>
      <c r="D5789" t="s">
        <v>179</v>
      </c>
      <c r="E5789" t="s">
        <v>18787</v>
      </c>
      <c r="F5789" t="s">
        <v>19112</v>
      </c>
      <c r="G5789" t="s">
        <v>19152</v>
      </c>
      <c r="H5789" t="str">
        <f>HYPERLINK("https://baanknet.com/view-property/287296/B1585B4F474E7053626F52376DA3A62BA1E113A593DC145A0C521153C3F89D12", "https://baanknet.com/view-property/287296/B1585B4F474E7053626F52376DA3A62BA1E113A593DC145A0C521153C3F89D12")</f>
        <v>https://baanknet.com/view-property/287296/B1585B4F474E7053626F52376DA3A62BA1E113A593DC145A0C521153C3F89D12</v>
      </c>
      <c r="I5789" t="str">
        <f>HYPERLINK("https://baanknet.com/view-property/287296/B1585B4F474E7053626F52376DA3A62BA1E113A593DC145A0C521153C3F89D12", "Open")</f>
        <v>Open</v>
      </c>
      <c r="J5789" t="s">
        <v>3803</v>
      </c>
      <c r="L5789">
        <v>615000</v>
      </c>
      <c r="M5789">
        <v>61500</v>
      </c>
    </row>
    <row r="5790" spans="1:13" x14ac:dyDescent="0.25">
      <c r="A5790" t="s">
        <v>19153</v>
      </c>
      <c r="B5790" t="s">
        <v>19154</v>
      </c>
      <c r="C5790" t="s">
        <v>15</v>
      </c>
      <c r="D5790" t="s">
        <v>13901</v>
      </c>
      <c r="E5790" t="s">
        <v>18787</v>
      </c>
      <c r="F5790" t="s">
        <v>19112</v>
      </c>
      <c r="G5790" t="s">
        <v>19155</v>
      </c>
      <c r="H5790" t="str">
        <f>HYPERLINK("https://baanknet.com/view-property/245015/201232EA873A461E4F34F5BAF7F078E77E0999547B2F8196E02023644E6AAAA2", "https://baanknet.com/view-property/245015/201232EA873A461E4F34F5BAF7F078E77E0999547B2F8196E02023644E6AAAA2")</f>
        <v>https://baanknet.com/view-property/245015/201232EA873A461E4F34F5BAF7F078E77E0999547B2F8196E02023644E6AAAA2</v>
      </c>
      <c r="I5790" t="str">
        <f>HYPERLINK("https://baanknet.com/view-property/245015/201232EA873A461E4F34F5BAF7F078E77E0999547B2F8196E02023644E6AAAA2", "Open")</f>
        <v>Open</v>
      </c>
      <c r="J5790" t="s">
        <v>3803</v>
      </c>
      <c r="L5790">
        <v>1940000</v>
      </c>
      <c r="M5790">
        <v>194000</v>
      </c>
    </row>
    <row r="5791" spans="1:13" x14ac:dyDescent="0.25">
      <c r="A5791" t="s">
        <v>19156</v>
      </c>
      <c r="B5791" t="s">
        <v>19157</v>
      </c>
      <c r="C5791" t="s">
        <v>15</v>
      </c>
      <c r="D5791" t="s">
        <v>157</v>
      </c>
      <c r="E5791" t="s">
        <v>18787</v>
      </c>
      <c r="F5791" t="s">
        <v>19112</v>
      </c>
      <c r="G5791" t="s">
        <v>19158</v>
      </c>
      <c r="H5791" t="str">
        <f>HYPERLINK("https://baanknet.com/view-property/266328/82A11D9ED9DD0BB841C40C3CE8FCE2186AF8E19996BA2DFCE61C33E7B702B4FB", "https://baanknet.com/view-property/266328/82A11D9ED9DD0BB841C40C3CE8FCE2186AF8E19996BA2DFCE61C33E7B702B4FB")</f>
        <v>https://baanknet.com/view-property/266328/82A11D9ED9DD0BB841C40C3CE8FCE2186AF8E19996BA2DFCE61C33E7B702B4FB</v>
      </c>
      <c r="I5791" t="str">
        <f>HYPERLINK("https://baanknet.com/view-property/266328/82A11D9ED9DD0BB841C40C3CE8FCE2186AF8E19996BA2DFCE61C33E7B702B4FB", "Open")</f>
        <v>Open</v>
      </c>
      <c r="J5791" t="s">
        <v>3803</v>
      </c>
      <c r="L5791">
        <v>7640000</v>
      </c>
      <c r="M5791">
        <v>764000</v>
      </c>
    </row>
    <row r="5792" spans="1:13" x14ac:dyDescent="0.25">
      <c r="A5792" t="s">
        <v>19159</v>
      </c>
      <c r="B5792" t="s">
        <v>19160</v>
      </c>
      <c r="C5792" t="s">
        <v>121</v>
      </c>
      <c r="D5792" t="s">
        <v>219</v>
      </c>
      <c r="E5792" t="s">
        <v>18787</v>
      </c>
      <c r="F5792" t="s">
        <v>19161</v>
      </c>
      <c r="G5792" t="s">
        <v>19162</v>
      </c>
      <c r="H5792" t="str">
        <f>HYPERLINK("https://baanknet.com/view-property/286594/6F9E8A11A49EFEA622DC42FFF093152B468C74B23F7796767FF15038C2D78B50", "https://baanknet.com/view-property/286594/6F9E8A11A49EFEA622DC42FFF093152B468C74B23F7796767FF15038C2D78B50")</f>
        <v>https://baanknet.com/view-property/286594/6F9E8A11A49EFEA622DC42FFF093152B468C74B23F7796767FF15038C2D78B50</v>
      </c>
      <c r="I5792" t="str">
        <f>HYPERLINK("https://baanknet.com/view-property/286594/6F9E8A11A49EFEA622DC42FFF093152B468C74B23F7796767FF15038C2D78B50", "Open")</f>
        <v>Open</v>
      </c>
      <c r="J5792" t="s">
        <v>3803</v>
      </c>
      <c r="L5792">
        <v>4697100</v>
      </c>
      <c r="M5792">
        <v>469710</v>
      </c>
    </row>
    <row r="5793" spans="1:13" x14ac:dyDescent="0.25">
      <c r="A5793" t="s">
        <v>19163</v>
      </c>
      <c r="B5793" t="s">
        <v>19164</v>
      </c>
      <c r="C5793" t="s">
        <v>15</v>
      </c>
      <c r="D5793" t="s">
        <v>19165</v>
      </c>
      <c r="E5793" t="s">
        <v>18666</v>
      </c>
      <c r="F5793" t="s">
        <v>18837</v>
      </c>
      <c r="G5793" t="s">
        <v>19166</v>
      </c>
      <c r="H5793" t="str">
        <f>HYPERLINK("https://baanknet.com/view-property/287001/DAC7C999FC7FD77C59D63EB2EF13F29514E715FF6EA832FFE7C6D0EC9C0C22FB", "https://baanknet.com/view-property/287001/DAC7C999FC7FD77C59D63EB2EF13F29514E715FF6EA832FFE7C6D0EC9C0C22FB")</f>
        <v>https://baanknet.com/view-property/287001/DAC7C999FC7FD77C59D63EB2EF13F29514E715FF6EA832FFE7C6D0EC9C0C22FB</v>
      </c>
      <c r="I5793" t="str">
        <f>HYPERLINK("https://baanknet.com/view-property/287001/DAC7C999FC7FD77C59D63EB2EF13F29514E715FF6EA832FFE7C6D0EC9C0C22FB", "Open")</f>
        <v>Open</v>
      </c>
      <c r="J5793" t="s">
        <v>3803</v>
      </c>
      <c r="L5793">
        <v>725000</v>
      </c>
      <c r="M5793">
        <v>72500</v>
      </c>
    </row>
    <row r="5794" spans="1:13" x14ac:dyDescent="0.25">
      <c r="A5794" t="s">
        <v>19167</v>
      </c>
      <c r="B5794" t="s">
        <v>19168</v>
      </c>
      <c r="C5794" t="s">
        <v>121</v>
      </c>
      <c r="D5794" t="s">
        <v>10904</v>
      </c>
      <c r="E5794" t="s">
        <v>18666</v>
      </c>
      <c r="F5794" t="s">
        <v>18680</v>
      </c>
      <c r="G5794" t="s">
        <v>19169</v>
      </c>
      <c r="H5794" t="str">
        <f>HYPERLINK("https://baanknet.com/view-property/286533/0599FBF42F342F473D2747E40F825ACD531F3CAD19EB6A51825B129408D1E37C", "https://baanknet.com/view-property/286533/0599FBF42F342F473D2747E40F825ACD531F3CAD19EB6A51825B129408D1E37C")</f>
        <v>https://baanknet.com/view-property/286533/0599FBF42F342F473D2747E40F825ACD531F3CAD19EB6A51825B129408D1E37C</v>
      </c>
      <c r="I5794" t="str">
        <f>HYPERLINK("https://baanknet.com/view-property/286533/0599FBF42F342F473D2747E40F825ACD531F3CAD19EB6A51825B129408D1E37C", "Open")</f>
        <v>Open</v>
      </c>
      <c r="J5794" t="s">
        <v>3803</v>
      </c>
      <c r="L5794">
        <v>4569000</v>
      </c>
      <c r="M5794">
        <v>456900</v>
      </c>
    </row>
    <row r="5795" spans="1:13" x14ac:dyDescent="0.25">
      <c r="A5795" t="s">
        <v>19170</v>
      </c>
      <c r="B5795" t="s">
        <v>19171</v>
      </c>
      <c r="C5795" t="s">
        <v>121</v>
      </c>
      <c r="D5795" t="s">
        <v>578</v>
      </c>
      <c r="E5795" t="s">
        <v>18666</v>
      </c>
      <c r="F5795" t="s">
        <v>18680</v>
      </c>
      <c r="G5795" t="s">
        <v>19172</v>
      </c>
      <c r="H5795" t="str">
        <f>HYPERLINK("https://baanknet.com/view-property/284682/2939B317BE352FBD7B846556FF83CAB603A8229A6DD24C96279F257B22F99F31", "https://baanknet.com/view-property/284682/2939B317BE352FBD7B846556FF83CAB603A8229A6DD24C96279F257B22F99F31")</f>
        <v>https://baanknet.com/view-property/284682/2939B317BE352FBD7B846556FF83CAB603A8229A6DD24C96279F257B22F99F31</v>
      </c>
      <c r="I5795" t="str">
        <f>HYPERLINK("https://baanknet.com/view-property/284682/2939B317BE352FBD7B846556FF83CAB603A8229A6DD24C96279F257B22F99F31", "Open")</f>
        <v>Open</v>
      </c>
      <c r="J5795" t="s">
        <v>3803</v>
      </c>
      <c r="L5795">
        <v>10200000</v>
      </c>
      <c r="M5795">
        <v>1020000</v>
      </c>
    </row>
    <row r="5796" spans="1:13" x14ac:dyDescent="0.25">
      <c r="A5796" t="s">
        <v>19173</v>
      </c>
      <c r="B5796" t="s">
        <v>19174</v>
      </c>
      <c r="C5796" t="s">
        <v>121</v>
      </c>
      <c r="D5796" t="s">
        <v>12481</v>
      </c>
      <c r="E5796" t="s">
        <v>18666</v>
      </c>
      <c r="F5796" t="s">
        <v>18680</v>
      </c>
      <c r="G5796" t="s">
        <v>19175</v>
      </c>
      <c r="H5796" t="str">
        <f>HYPERLINK("https://baanknet.com/view-property/284842/F1F7397B03A8AB9B7C17CA61BFE92009A808C0ECDA4F661D0072A696D2C132EF", "https://baanknet.com/view-property/284842/F1F7397B03A8AB9B7C17CA61BFE92009A808C0ECDA4F661D0072A696D2C132EF")</f>
        <v>https://baanknet.com/view-property/284842/F1F7397B03A8AB9B7C17CA61BFE92009A808C0ECDA4F661D0072A696D2C132EF</v>
      </c>
      <c r="I5796" t="str">
        <f>HYPERLINK("https://baanknet.com/view-property/284842/F1F7397B03A8AB9B7C17CA61BFE92009A808C0ECDA4F661D0072A696D2C132EF", "Open")</f>
        <v>Open</v>
      </c>
      <c r="J5796" t="s">
        <v>3803</v>
      </c>
      <c r="L5796">
        <v>1436000</v>
      </c>
      <c r="M5796">
        <v>143600</v>
      </c>
    </row>
    <row r="5797" spans="1:13" x14ac:dyDescent="0.25">
      <c r="A5797" t="s">
        <v>19176</v>
      </c>
      <c r="B5797" t="s">
        <v>19177</v>
      </c>
      <c r="C5797" t="s">
        <v>121</v>
      </c>
      <c r="D5797" t="s">
        <v>19178</v>
      </c>
      <c r="E5797" t="s">
        <v>18666</v>
      </c>
      <c r="F5797" t="s">
        <v>18680</v>
      </c>
      <c r="G5797" t="s">
        <v>19179</v>
      </c>
      <c r="H5797" t="str">
        <f>HYPERLINK("https://baanknet.com/view-property/233060/608E249B54417979C11C0E1B061859A57C48BFB5838E2CEFA8B98B52890D1E7E", "https://baanknet.com/view-property/233060/608E249B54417979C11C0E1B061859A57C48BFB5838E2CEFA8B98B52890D1E7E")</f>
        <v>https://baanknet.com/view-property/233060/608E249B54417979C11C0E1B061859A57C48BFB5838E2CEFA8B98B52890D1E7E</v>
      </c>
      <c r="I5797" t="str">
        <f>HYPERLINK("https://baanknet.com/view-property/233060/608E249B54417979C11C0E1B061859A57C48BFB5838E2CEFA8B98B52890D1E7E", "Open")</f>
        <v>Open</v>
      </c>
      <c r="J5797" t="s">
        <v>3803</v>
      </c>
      <c r="L5797">
        <v>1749000</v>
      </c>
      <c r="M5797">
        <v>174900</v>
      </c>
    </row>
    <row r="5798" spans="1:13" x14ac:dyDescent="0.25">
      <c r="A5798" t="s">
        <v>19180</v>
      </c>
      <c r="B5798" t="s">
        <v>19181</v>
      </c>
      <c r="C5798" t="s">
        <v>121</v>
      </c>
      <c r="D5798" t="s">
        <v>346</v>
      </c>
      <c r="E5798" t="s">
        <v>18666</v>
      </c>
      <c r="F5798" t="s">
        <v>18680</v>
      </c>
      <c r="G5798" t="s">
        <v>19182</v>
      </c>
      <c r="H5798" t="str">
        <f>HYPERLINK("https://baanknet.com/view-property/231530/8997CD705F42194950603CFF59813C0646055DA63111F1936F0C7F79257DEF2D", "https://baanknet.com/view-property/231530/8997CD705F42194950603CFF59813C0646055DA63111F1936F0C7F79257DEF2D")</f>
        <v>https://baanknet.com/view-property/231530/8997CD705F42194950603CFF59813C0646055DA63111F1936F0C7F79257DEF2D</v>
      </c>
      <c r="I5798" t="str">
        <f>HYPERLINK("https://baanknet.com/view-property/231530/8997CD705F42194950603CFF59813C0646055DA63111F1936F0C7F79257DEF2D", "Open")</f>
        <v>Open</v>
      </c>
      <c r="J5798" t="s">
        <v>3803</v>
      </c>
      <c r="L5798">
        <v>14313000</v>
      </c>
      <c r="M5798">
        <v>1431300</v>
      </c>
    </row>
    <row r="5799" spans="1:13" x14ac:dyDescent="0.25">
      <c r="A5799" t="s">
        <v>19183</v>
      </c>
      <c r="B5799" t="s">
        <v>19184</v>
      </c>
      <c r="C5799" t="s">
        <v>83</v>
      </c>
      <c r="D5799" t="s">
        <v>2936</v>
      </c>
      <c r="E5799" t="s">
        <v>18666</v>
      </c>
      <c r="F5799" t="s">
        <v>18777</v>
      </c>
      <c r="G5799" t="s">
        <v>19185</v>
      </c>
      <c r="H5799" t="str">
        <f>HYPERLINK("https://baanknet.com/view-property/20220/FD3F4A8559C8F510FE89BFB04E41E85D8E45DCB0FF13ECEC8CC25F4E7B32DA16", "https://baanknet.com/view-property/20220/FD3F4A8559C8F510FE89BFB04E41E85D8E45DCB0FF13ECEC8CC25F4E7B32DA16")</f>
        <v>https://baanknet.com/view-property/20220/FD3F4A8559C8F510FE89BFB04E41E85D8E45DCB0FF13ECEC8CC25F4E7B32DA16</v>
      </c>
      <c r="I5799" t="str">
        <f>HYPERLINK("https://baanknet.com/view-property/20220/FD3F4A8559C8F510FE89BFB04E41E85D8E45DCB0FF13ECEC8CC25F4E7B32DA16", "Open")</f>
        <v>Open</v>
      </c>
      <c r="J5799" t="s">
        <v>3803</v>
      </c>
      <c r="L5799">
        <v>1515000</v>
      </c>
      <c r="M5799">
        <v>151500</v>
      </c>
    </row>
    <row r="5800" spans="1:13" x14ac:dyDescent="0.25">
      <c r="A5800" t="s">
        <v>19186</v>
      </c>
      <c r="B5800" t="s">
        <v>19187</v>
      </c>
      <c r="C5800" t="s">
        <v>15</v>
      </c>
      <c r="D5800" t="s">
        <v>393</v>
      </c>
      <c r="E5800" t="s">
        <v>19108</v>
      </c>
      <c r="F5800" t="s">
        <v>19112</v>
      </c>
      <c r="G5800" t="s">
        <v>19188</v>
      </c>
      <c r="H5800" t="str">
        <f>HYPERLINK("https://baanknet.com/view-property/285870/931437AF3A57AFCEE6DAA90BE524FAE7692ACBE429C69E6DCB49839AA8E83EDC", "https://baanknet.com/view-property/285870/931437AF3A57AFCEE6DAA90BE524FAE7692ACBE429C69E6DCB49839AA8E83EDC")</f>
        <v>https://baanknet.com/view-property/285870/931437AF3A57AFCEE6DAA90BE524FAE7692ACBE429C69E6DCB49839AA8E83EDC</v>
      </c>
      <c r="I5800" t="str">
        <f>HYPERLINK("https://baanknet.com/view-property/285870/931437AF3A57AFCEE6DAA90BE524FAE7692ACBE429C69E6DCB49839AA8E83EDC", "Open")</f>
        <v>Open</v>
      </c>
      <c r="J5800" t="s">
        <v>3803</v>
      </c>
      <c r="L5800">
        <v>3036000</v>
      </c>
      <c r="M5800">
        <v>303600</v>
      </c>
    </row>
    <row r="5801" spans="1:13" x14ac:dyDescent="0.25">
      <c r="A5801" t="s">
        <v>19189</v>
      </c>
      <c r="B5801" t="s">
        <v>19190</v>
      </c>
      <c r="C5801" t="s">
        <v>83</v>
      </c>
      <c r="D5801" t="s">
        <v>2163</v>
      </c>
      <c r="E5801" t="s">
        <v>18837</v>
      </c>
      <c r="F5801" t="s">
        <v>18680</v>
      </c>
      <c r="G5801" t="s">
        <v>19191</v>
      </c>
      <c r="H5801" t="str">
        <f>HYPERLINK("https://baanknet.com/view-property/284635/0C97B0B24A7C2599B330A24E853DE9EA97FB2F06130E7EC985CB1D229B9A9FE7", "https://baanknet.com/view-property/284635/0C97B0B24A7C2599B330A24E853DE9EA97FB2F06130E7EC985CB1D229B9A9FE7")</f>
        <v>https://baanknet.com/view-property/284635/0C97B0B24A7C2599B330A24E853DE9EA97FB2F06130E7EC985CB1D229B9A9FE7</v>
      </c>
      <c r="I5801" t="str">
        <f>HYPERLINK("https://baanknet.com/view-property/284635/0C97B0B24A7C2599B330A24E853DE9EA97FB2F06130E7EC985CB1D229B9A9FE7", "Open")</f>
        <v>Open</v>
      </c>
      <c r="J5801" t="s">
        <v>3803</v>
      </c>
      <c r="L5801">
        <v>4203540</v>
      </c>
      <c r="M5801">
        <v>420354</v>
      </c>
    </row>
    <row r="5802" spans="1:13" x14ac:dyDescent="0.25">
      <c r="A5802" t="s">
        <v>19192</v>
      </c>
      <c r="B5802" t="s">
        <v>19193</v>
      </c>
      <c r="C5802" t="s">
        <v>83</v>
      </c>
      <c r="D5802" t="s">
        <v>1310</v>
      </c>
      <c r="E5802" t="s">
        <v>18837</v>
      </c>
      <c r="F5802" t="s">
        <v>18680</v>
      </c>
      <c r="G5802" t="s">
        <v>19194</v>
      </c>
      <c r="H5802" t="str">
        <f>HYPERLINK("https://baanknet.com/view-property/284632/E146D84074B6FBA35F4377C4A65F4EF234525BCB5791EB4198D29F40EE951FB6", "https://baanknet.com/view-property/284632/E146D84074B6FBA35F4377C4A65F4EF234525BCB5791EB4198D29F40EE951FB6")</f>
        <v>https://baanknet.com/view-property/284632/E146D84074B6FBA35F4377C4A65F4EF234525BCB5791EB4198D29F40EE951FB6</v>
      </c>
      <c r="I5802" t="str">
        <f>HYPERLINK("https://baanknet.com/view-property/284632/E146D84074B6FBA35F4377C4A65F4EF234525BCB5791EB4198D29F40EE951FB6", "Open")</f>
        <v>Open</v>
      </c>
      <c r="J5802" t="s">
        <v>3803</v>
      </c>
      <c r="L5802">
        <v>6012000</v>
      </c>
      <c r="M5802">
        <v>601200</v>
      </c>
    </row>
    <row r="5803" spans="1:13" x14ac:dyDescent="0.25">
      <c r="A5803" t="s">
        <v>19195</v>
      </c>
      <c r="B5803" t="s">
        <v>19196</v>
      </c>
      <c r="C5803" t="s">
        <v>83</v>
      </c>
      <c r="D5803" t="s">
        <v>608</v>
      </c>
      <c r="E5803" t="s">
        <v>18837</v>
      </c>
      <c r="F5803" t="s">
        <v>19096</v>
      </c>
      <c r="G5803" t="s">
        <v>19197</v>
      </c>
      <c r="H5803" t="str">
        <f>HYPERLINK("https://baanknet.com/view-property/285709/53F27F43B34CF65ED04F82F0B33C75FFD845FA56104B55FF23D63CB38DA74EFB", "https://baanknet.com/view-property/285709/53F27F43B34CF65ED04F82F0B33C75FFD845FA56104B55FF23D63CB38DA74EFB")</f>
        <v>https://baanknet.com/view-property/285709/53F27F43B34CF65ED04F82F0B33C75FFD845FA56104B55FF23D63CB38DA74EFB</v>
      </c>
      <c r="I5803" t="str">
        <f>HYPERLINK("https://baanknet.com/view-property/285709/53F27F43B34CF65ED04F82F0B33C75FFD845FA56104B55FF23D63CB38DA74EFB", "Open")</f>
        <v>Open</v>
      </c>
      <c r="J5803" t="s">
        <v>3803</v>
      </c>
      <c r="L5803">
        <v>7287000</v>
      </c>
      <c r="M5803">
        <v>728700</v>
      </c>
    </row>
    <row r="5804" spans="1:13" x14ac:dyDescent="0.25">
      <c r="A5804" t="s">
        <v>19198</v>
      </c>
      <c r="B5804" t="s">
        <v>19199</v>
      </c>
      <c r="C5804" t="s">
        <v>83</v>
      </c>
      <c r="D5804" t="s">
        <v>578</v>
      </c>
      <c r="E5804" t="s">
        <v>18837</v>
      </c>
      <c r="F5804" t="s">
        <v>19096</v>
      </c>
      <c r="G5804" t="s">
        <v>19200</v>
      </c>
      <c r="H5804" t="str">
        <f>HYPERLINK("https://baanknet.com/view-property/285791/9E2AE2849BE398CA46D8BDAB15DDB7E948BE86C6D3D9A0CBA7919E69C8081F80", "https://baanknet.com/view-property/285791/9E2AE2849BE398CA46D8BDAB15DDB7E948BE86C6D3D9A0CBA7919E69C8081F80")</f>
        <v>https://baanknet.com/view-property/285791/9E2AE2849BE398CA46D8BDAB15DDB7E948BE86C6D3D9A0CBA7919E69C8081F80</v>
      </c>
      <c r="I5804" t="str">
        <f>HYPERLINK("https://baanknet.com/view-property/285791/9E2AE2849BE398CA46D8BDAB15DDB7E948BE86C6D3D9A0CBA7919E69C8081F80", "Open")</f>
        <v>Open</v>
      </c>
      <c r="J5804" t="s">
        <v>3803</v>
      </c>
      <c r="L5804">
        <v>20600000</v>
      </c>
      <c r="M5804">
        <v>2060000</v>
      </c>
    </row>
    <row r="5805" spans="1:13" x14ac:dyDescent="0.25">
      <c r="A5805" t="s">
        <v>19201</v>
      </c>
      <c r="B5805" t="s">
        <v>19202</v>
      </c>
      <c r="C5805" t="s">
        <v>83</v>
      </c>
      <c r="D5805" t="s">
        <v>1246</v>
      </c>
      <c r="E5805" t="s">
        <v>18837</v>
      </c>
      <c r="F5805" t="s">
        <v>19096</v>
      </c>
      <c r="G5805" t="s">
        <v>19203</v>
      </c>
      <c r="H5805" t="str">
        <f>HYPERLINK("https://baanknet.com/view-property/285730/2E8B1ABB546C2C74B6FC74DB1A03548802BE7A5BD861985D8F024321E254AC34", "https://baanknet.com/view-property/285730/2E8B1ABB546C2C74B6FC74DB1A03548802BE7A5BD861985D8F024321E254AC34")</f>
        <v>https://baanknet.com/view-property/285730/2E8B1ABB546C2C74B6FC74DB1A03548802BE7A5BD861985D8F024321E254AC34</v>
      </c>
      <c r="I5805" t="str">
        <f>HYPERLINK("https://baanknet.com/view-property/285730/2E8B1ABB546C2C74B6FC74DB1A03548802BE7A5BD861985D8F024321E254AC34", "Open")</f>
        <v>Open</v>
      </c>
      <c r="J5805" t="s">
        <v>3803</v>
      </c>
      <c r="L5805">
        <v>7150000</v>
      </c>
      <c r="M5805">
        <v>715000</v>
      </c>
    </row>
    <row r="5806" spans="1:13" x14ac:dyDescent="0.25">
      <c r="A5806" t="s">
        <v>19204</v>
      </c>
      <c r="B5806" t="s">
        <v>19205</v>
      </c>
      <c r="C5806" t="s">
        <v>83</v>
      </c>
      <c r="D5806" t="s">
        <v>19206</v>
      </c>
      <c r="E5806" t="s">
        <v>18837</v>
      </c>
      <c r="F5806" t="s">
        <v>19096</v>
      </c>
      <c r="G5806" t="s">
        <v>19207</v>
      </c>
      <c r="H5806" t="str">
        <f>HYPERLINK("https://baanknet.com/view-property/285907/0692BE9F7DE138A034EE0891943380DF99F3E291AE04BA67E35BE712C44391A8", "https://baanknet.com/view-property/285907/0692BE9F7DE138A034EE0891943380DF99F3E291AE04BA67E35BE712C44391A8")</f>
        <v>https://baanknet.com/view-property/285907/0692BE9F7DE138A034EE0891943380DF99F3E291AE04BA67E35BE712C44391A8</v>
      </c>
      <c r="I5806" t="str">
        <f>HYPERLINK("https://baanknet.com/view-property/285907/0692BE9F7DE138A034EE0891943380DF99F3E291AE04BA67E35BE712C44391A8", "Open")</f>
        <v>Open</v>
      </c>
      <c r="J5806" t="s">
        <v>3803</v>
      </c>
      <c r="L5806">
        <v>1700000</v>
      </c>
      <c r="M5806">
        <v>170000</v>
      </c>
    </row>
    <row r="5807" spans="1:13" x14ac:dyDescent="0.25">
      <c r="A5807" t="s">
        <v>19208</v>
      </c>
      <c r="B5807" t="s">
        <v>19209</v>
      </c>
      <c r="C5807" t="s">
        <v>83</v>
      </c>
      <c r="D5807" t="s">
        <v>608</v>
      </c>
      <c r="E5807" t="s">
        <v>18837</v>
      </c>
      <c r="F5807" t="s">
        <v>19096</v>
      </c>
      <c r="G5807" t="s">
        <v>19210</v>
      </c>
      <c r="H5807" t="str">
        <f>HYPERLINK("https://baanknet.com/view-property/226803/BD3DCD08AE9E7E42A7D181E91A9C11A7EFEA6A72C97DAA3413EF08A7F842E4D6", "https://baanknet.com/view-property/226803/BD3DCD08AE9E7E42A7D181E91A9C11A7EFEA6A72C97DAA3413EF08A7F842E4D6")</f>
        <v>https://baanknet.com/view-property/226803/BD3DCD08AE9E7E42A7D181E91A9C11A7EFEA6A72C97DAA3413EF08A7F842E4D6</v>
      </c>
      <c r="I5807" t="str">
        <f>HYPERLINK("https://baanknet.com/view-property/226803/BD3DCD08AE9E7E42A7D181E91A9C11A7EFEA6A72C97DAA3413EF08A7F842E4D6", "Open")</f>
        <v>Open</v>
      </c>
      <c r="J5807" t="s">
        <v>3803</v>
      </c>
      <c r="L5807">
        <v>11450000</v>
      </c>
      <c r="M5807">
        <v>1145000</v>
      </c>
    </row>
    <row r="5808" spans="1:13" x14ac:dyDescent="0.25">
      <c r="A5808" t="s">
        <v>19211</v>
      </c>
      <c r="B5808" t="s">
        <v>19212</v>
      </c>
      <c r="C5808" t="s">
        <v>83</v>
      </c>
      <c r="D5808" t="s">
        <v>608</v>
      </c>
      <c r="E5808" t="s">
        <v>18837</v>
      </c>
      <c r="F5808" t="s">
        <v>19096</v>
      </c>
      <c r="G5808" t="s">
        <v>19213</v>
      </c>
      <c r="H5808" t="str">
        <f>HYPERLINK("https://baanknet.com/view-property/285953/0A5DE28C10EBD8CF8D8BCB6B517DFA5D6DE8A5E1513294C6D166ACBFA7DEAC0A", "https://baanknet.com/view-property/285953/0A5DE28C10EBD8CF8D8BCB6B517DFA5D6DE8A5E1513294C6D166ACBFA7DEAC0A")</f>
        <v>https://baanknet.com/view-property/285953/0A5DE28C10EBD8CF8D8BCB6B517DFA5D6DE8A5E1513294C6D166ACBFA7DEAC0A</v>
      </c>
      <c r="I5808" t="str">
        <f>HYPERLINK("https://baanknet.com/view-property/285953/0A5DE28C10EBD8CF8D8BCB6B517DFA5D6DE8A5E1513294C6D166ACBFA7DEAC0A", "Open")</f>
        <v>Open</v>
      </c>
      <c r="J5808" t="s">
        <v>3803</v>
      </c>
      <c r="L5808">
        <v>5450000</v>
      </c>
      <c r="M5808">
        <v>545000</v>
      </c>
    </row>
    <row r="5809" spans="1:13" x14ac:dyDescent="0.25">
      <c r="A5809" t="s">
        <v>19214</v>
      </c>
      <c r="B5809" t="s">
        <v>19215</v>
      </c>
      <c r="C5809" t="s">
        <v>83</v>
      </c>
      <c r="D5809" t="s">
        <v>497</v>
      </c>
      <c r="E5809" t="s">
        <v>18837</v>
      </c>
      <c r="F5809" t="s">
        <v>19096</v>
      </c>
      <c r="G5809" t="s">
        <v>19216</v>
      </c>
      <c r="H5809" t="str">
        <f>HYPERLINK("https://baanknet.com/view-property/286198/44A99F38197495065D9E5BF113FBEE28B85D71E3658B154435BC83469349D07E", "https://baanknet.com/view-property/286198/44A99F38197495065D9E5BF113FBEE28B85D71E3658B154435BC83469349D07E")</f>
        <v>https://baanknet.com/view-property/286198/44A99F38197495065D9E5BF113FBEE28B85D71E3658B154435BC83469349D07E</v>
      </c>
      <c r="I5809" t="str">
        <f>HYPERLINK("https://baanknet.com/view-property/286198/44A99F38197495065D9E5BF113FBEE28B85D71E3658B154435BC83469349D07E", "Open")</f>
        <v>Open</v>
      </c>
      <c r="J5809" t="s">
        <v>3803</v>
      </c>
      <c r="L5809">
        <v>4331000</v>
      </c>
      <c r="M5809">
        <v>433100</v>
      </c>
    </row>
    <row r="5810" spans="1:13" x14ac:dyDescent="0.25">
      <c r="A5810" t="s">
        <v>19217</v>
      </c>
      <c r="B5810" t="s">
        <v>19218</v>
      </c>
      <c r="C5810" t="s">
        <v>83</v>
      </c>
      <c r="D5810" t="s">
        <v>17513</v>
      </c>
      <c r="E5810" t="s">
        <v>18837</v>
      </c>
      <c r="F5810" t="s">
        <v>19096</v>
      </c>
      <c r="G5810" t="s">
        <v>19219</v>
      </c>
      <c r="H5810" t="str">
        <f>HYPERLINK("https://baanknet.com/view-property/286203/62113C389952B8BB593EDE497B131DF0A6B8F6F20DD779A06737AF021229A9FF", "https://baanknet.com/view-property/286203/62113C389952B8BB593EDE497B131DF0A6B8F6F20DD779A06737AF021229A9FF")</f>
        <v>https://baanknet.com/view-property/286203/62113C389952B8BB593EDE497B131DF0A6B8F6F20DD779A06737AF021229A9FF</v>
      </c>
      <c r="I5810" t="str">
        <f>HYPERLINK("https://baanknet.com/view-property/286203/62113C389952B8BB593EDE497B131DF0A6B8F6F20DD779A06737AF021229A9FF", "Open")</f>
        <v>Open</v>
      </c>
      <c r="J5810" t="s">
        <v>3803</v>
      </c>
      <c r="L5810">
        <v>718000</v>
      </c>
      <c r="M5810">
        <v>71800</v>
      </c>
    </row>
    <row r="5811" spans="1:13" x14ac:dyDescent="0.25">
      <c r="A5811" t="s">
        <v>19220</v>
      </c>
      <c r="B5811" t="s">
        <v>19221</v>
      </c>
      <c r="C5811" t="s">
        <v>83</v>
      </c>
      <c r="D5811" t="s">
        <v>10540</v>
      </c>
      <c r="E5811" t="s">
        <v>18837</v>
      </c>
      <c r="F5811" t="s">
        <v>19096</v>
      </c>
      <c r="G5811" t="s">
        <v>19222</v>
      </c>
      <c r="H5811" t="str">
        <f>HYPERLINK("https://baanknet.com/view-property/286399/3B769E3D3C085EB72D85102F573B805B3D33E1AE049974986EFAE751C9AF5B24", "https://baanknet.com/view-property/286399/3B769E3D3C085EB72D85102F573B805B3D33E1AE049974986EFAE751C9AF5B24")</f>
        <v>https://baanknet.com/view-property/286399/3B769E3D3C085EB72D85102F573B805B3D33E1AE049974986EFAE751C9AF5B24</v>
      </c>
      <c r="I5811" t="str">
        <f>HYPERLINK("https://baanknet.com/view-property/286399/3B769E3D3C085EB72D85102F573B805B3D33E1AE049974986EFAE751C9AF5B24", "Open")</f>
        <v>Open</v>
      </c>
      <c r="J5811" t="s">
        <v>3803</v>
      </c>
      <c r="L5811">
        <v>1622000</v>
      </c>
      <c r="M5811">
        <v>162200</v>
      </c>
    </row>
    <row r="5812" spans="1:13" x14ac:dyDescent="0.25">
      <c r="A5812" t="s">
        <v>19223</v>
      </c>
      <c r="B5812" t="s">
        <v>19224</v>
      </c>
      <c r="C5812" t="s">
        <v>83</v>
      </c>
      <c r="D5812" t="s">
        <v>4313</v>
      </c>
      <c r="E5812" t="s">
        <v>18837</v>
      </c>
      <c r="F5812" t="s">
        <v>19096</v>
      </c>
      <c r="G5812" t="s">
        <v>19225</v>
      </c>
      <c r="H5812" t="str">
        <f>HYPERLINK("https://baanknet.com/view-property/286446/0B3B7F811618EB0096CFEFBB83982B1F4F72D977F828DC864BD6C2012EC11396", "https://baanknet.com/view-property/286446/0B3B7F811618EB0096CFEFBB83982B1F4F72D977F828DC864BD6C2012EC11396")</f>
        <v>https://baanknet.com/view-property/286446/0B3B7F811618EB0096CFEFBB83982B1F4F72D977F828DC864BD6C2012EC11396</v>
      </c>
      <c r="I5812" t="str">
        <f>HYPERLINK("https://baanknet.com/view-property/286446/0B3B7F811618EB0096CFEFBB83982B1F4F72D977F828DC864BD6C2012EC11396", "Open")</f>
        <v>Open</v>
      </c>
      <c r="J5812" t="s">
        <v>3803</v>
      </c>
      <c r="L5812">
        <v>5016000</v>
      </c>
      <c r="M5812">
        <v>501600</v>
      </c>
    </row>
    <row r="5813" spans="1:13" x14ac:dyDescent="0.25">
      <c r="A5813" t="s">
        <v>19226</v>
      </c>
      <c r="B5813" t="s">
        <v>19227</v>
      </c>
      <c r="C5813" t="s">
        <v>83</v>
      </c>
      <c r="D5813" t="s">
        <v>4313</v>
      </c>
      <c r="E5813" t="s">
        <v>18837</v>
      </c>
      <c r="F5813" t="s">
        <v>19096</v>
      </c>
      <c r="G5813" t="s">
        <v>19228</v>
      </c>
      <c r="H5813" t="str">
        <f>HYPERLINK("https://baanknet.com/view-property/286441/EB7288230D34A06083DEB3DF1C6588F8973723C781D082F0CBAD6F92F500B87F", "https://baanknet.com/view-property/286441/EB7288230D34A06083DEB3DF1C6588F8973723C781D082F0CBAD6F92F500B87F")</f>
        <v>https://baanknet.com/view-property/286441/EB7288230D34A06083DEB3DF1C6588F8973723C781D082F0CBAD6F92F500B87F</v>
      </c>
      <c r="I5813" t="str">
        <f>HYPERLINK("https://baanknet.com/view-property/286441/EB7288230D34A06083DEB3DF1C6588F8973723C781D082F0CBAD6F92F500B87F", "Open")</f>
        <v>Open</v>
      </c>
      <c r="J5813" t="s">
        <v>3803</v>
      </c>
      <c r="L5813">
        <v>1256040</v>
      </c>
      <c r="M5813">
        <v>125604</v>
      </c>
    </row>
    <row r="5814" spans="1:13" x14ac:dyDescent="0.25">
      <c r="A5814" t="s">
        <v>19229</v>
      </c>
      <c r="B5814" t="s">
        <v>19230</v>
      </c>
      <c r="C5814" t="s">
        <v>83</v>
      </c>
      <c r="D5814" t="s">
        <v>4313</v>
      </c>
      <c r="E5814" t="s">
        <v>18837</v>
      </c>
      <c r="F5814" t="s">
        <v>19096</v>
      </c>
      <c r="G5814" t="s">
        <v>19231</v>
      </c>
      <c r="H5814" t="str">
        <f>HYPERLINK("https://baanknet.com/view-property/286437/966DF53BFE5C1C761D4EBD2E73B427668E4C99F7E4D91233DA612FE35A5870BC", "https://baanknet.com/view-property/286437/966DF53BFE5C1C761D4EBD2E73B427668E4C99F7E4D91233DA612FE35A5870BC")</f>
        <v>https://baanknet.com/view-property/286437/966DF53BFE5C1C761D4EBD2E73B427668E4C99F7E4D91233DA612FE35A5870BC</v>
      </c>
      <c r="I5814" t="str">
        <f>HYPERLINK("https://baanknet.com/view-property/286437/966DF53BFE5C1C761D4EBD2E73B427668E4C99F7E4D91233DA612FE35A5870BC", "Open")</f>
        <v>Open</v>
      </c>
      <c r="J5814" t="s">
        <v>3803</v>
      </c>
      <c r="L5814">
        <v>1123000</v>
      </c>
      <c r="M5814">
        <v>112300</v>
      </c>
    </row>
    <row r="5815" spans="1:13" x14ac:dyDescent="0.25">
      <c r="A5815" t="s">
        <v>19232</v>
      </c>
      <c r="B5815" t="s">
        <v>19233</v>
      </c>
      <c r="C5815" t="s">
        <v>83</v>
      </c>
      <c r="D5815" t="s">
        <v>4313</v>
      </c>
      <c r="E5815" t="s">
        <v>18837</v>
      </c>
      <c r="F5815" t="s">
        <v>19096</v>
      </c>
      <c r="G5815" t="s">
        <v>19234</v>
      </c>
      <c r="H5815" t="str">
        <f>HYPERLINK("https://baanknet.com/view-property/286436/B010E6599DAAB4E684BEE6D700F01CAA5EB0F54B9187A1957303BEBCD134A731", "https://baanknet.com/view-property/286436/B010E6599DAAB4E684BEE6D700F01CAA5EB0F54B9187A1957303BEBCD134A731")</f>
        <v>https://baanknet.com/view-property/286436/B010E6599DAAB4E684BEE6D700F01CAA5EB0F54B9187A1957303BEBCD134A731</v>
      </c>
      <c r="I5815" t="str">
        <f>HYPERLINK("https://baanknet.com/view-property/286436/B010E6599DAAB4E684BEE6D700F01CAA5EB0F54B9187A1957303BEBCD134A731", "Open")</f>
        <v>Open</v>
      </c>
      <c r="J5815" t="s">
        <v>3803</v>
      </c>
      <c r="L5815">
        <v>12545000</v>
      </c>
      <c r="M5815">
        <v>1254500</v>
      </c>
    </row>
    <row r="5816" spans="1:13" x14ac:dyDescent="0.25">
      <c r="A5816" t="s">
        <v>19235</v>
      </c>
      <c r="B5816" t="s">
        <v>19236</v>
      </c>
      <c r="C5816" t="s">
        <v>83</v>
      </c>
      <c r="D5816" t="s">
        <v>19237</v>
      </c>
      <c r="E5816" t="s">
        <v>18837</v>
      </c>
      <c r="F5816" t="s">
        <v>19096</v>
      </c>
      <c r="G5816" t="s">
        <v>19238</v>
      </c>
      <c r="H5816" t="str">
        <f>HYPERLINK("https://baanknet.com/view-property/286113/E357D5B04A5EC81C34AB4E1D960DBE13F1AC66C4AC8ED64B2F9140502E58514F", "https://baanknet.com/view-property/286113/E357D5B04A5EC81C34AB4E1D960DBE13F1AC66C4AC8ED64B2F9140502E58514F")</f>
        <v>https://baanknet.com/view-property/286113/E357D5B04A5EC81C34AB4E1D960DBE13F1AC66C4AC8ED64B2F9140502E58514F</v>
      </c>
      <c r="I5816" t="str">
        <f>HYPERLINK("https://baanknet.com/view-property/286113/E357D5B04A5EC81C34AB4E1D960DBE13F1AC66C4AC8ED64B2F9140502E58514F", "Open")</f>
        <v>Open</v>
      </c>
      <c r="J5816" t="s">
        <v>3803</v>
      </c>
      <c r="L5816">
        <v>3920000</v>
      </c>
      <c r="M5816">
        <v>392000</v>
      </c>
    </row>
    <row r="5817" spans="1:13" x14ac:dyDescent="0.25">
      <c r="A5817" t="s">
        <v>19239</v>
      </c>
      <c r="B5817" t="s">
        <v>19240</v>
      </c>
      <c r="C5817" t="s">
        <v>83</v>
      </c>
      <c r="D5817" t="s">
        <v>19241</v>
      </c>
      <c r="E5817" t="s">
        <v>18837</v>
      </c>
      <c r="F5817" t="s">
        <v>19096</v>
      </c>
      <c r="G5817" t="s">
        <v>19242</v>
      </c>
      <c r="H5817" t="str">
        <f>HYPERLINK("https://baanknet.com/view-property/254844/33DB360A949B5EEC559EACFDCE36DF3E0D71602BF4B3B829C9D36977217CA2A7", "https://baanknet.com/view-property/254844/33DB360A949B5EEC559EACFDCE36DF3E0D71602BF4B3B829C9D36977217CA2A7")</f>
        <v>https://baanknet.com/view-property/254844/33DB360A949B5EEC559EACFDCE36DF3E0D71602BF4B3B829C9D36977217CA2A7</v>
      </c>
      <c r="I5817" t="str">
        <f>HYPERLINK("https://baanknet.com/view-property/254844/33DB360A949B5EEC559EACFDCE36DF3E0D71602BF4B3B829C9D36977217CA2A7", "Open")</f>
        <v>Open</v>
      </c>
      <c r="J5817" t="s">
        <v>3803</v>
      </c>
      <c r="L5817">
        <v>3317000</v>
      </c>
      <c r="M5817">
        <v>331700</v>
      </c>
    </row>
    <row r="5818" spans="1:13" x14ac:dyDescent="0.25">
      <c r="A5818" t="s">
        <v>19243</v>
      </c>
      <c r="B5818" t="s">
        <v>19244</v>
      </c>
      <c r="C5818" t="s">
        <v>83</v>
      </c>
      <c r="D5818" t="s">
        <v>19241</v>
      </c>
      <c r="E5818" t="s">
        <v>18837</v>
      </c>
      <c r="F5818" t="s">
        <v>19096</v>
      </c>
      <c r="G5818" t="s">
        <v>19245</v>
      </c>
      <c r="H5818" t="str">
        <f>HYPERLINK("https://baanknet.com/view-property/254845/FFAFD1C63712D3A508D0037F8524F64451357A8811DE1D52EE23FCDA534192DA", "https://baanknet.com/view-property/254845/FFAFD1C63712D3A508D0037F8524F64451357A8811DE1D52EE23FCDA534192DA")</f>
        <v>https://baanknet.com/view-property/254845/FFAFD1C63712D3A508D0037F8524F64451357A8811DE1D52EE23FCDA534192DA</v>
      </c>
      <c r="I5818" t="str">
        <f>HYPERLINK("https://baanknet.com/view-property/254845/FFAFD1C63712D3A508D0037F8524F64451357A8811DE1D52EE23FCDA534192DA", "Open")</f>
        <v>Open</v>
      </c>
      <c r="J5818" t="s">
        <v>3803</v>
      </c>
      <c r="L5818">
        <v>3502000</v>
      </c>
      <c r="M5818">
        <v>350200</v>
      </c>
    </row>
    <row r="5819" spans="1:13" x14ac:dyDescent="0.25">
      <c r="A5819" t="s">
        <v>19246</v>
      </c>
      <c r="B5819" t="s">
        <v>19247</v>
      </c>
      <c r="C5819" t="s">
        <v>83</v>
      </c>
      <c r="D5819" t="s">
        <v>4313</v>
      </c>
      <c r="E5819" t="s">
        <v>18837</v>
      </c>
      <c r="F5819" t="s">
        <v>19096</v>
      </c>
      <c r="G5819" t="s">
        <v>19248</v>
      </c>
      <c r="H5819" t="str">
        <f>HYPERLINK("https://baanknet.com/view-property/286443/82F1F889C9A88EB5C19C866E636F1DC5EB6351A17E6B9F61C8881295E179BB35", "https://baanknet.com/view-property/286443/82F1F889C9A88EB5C19C866E636F1DC5EB6351A17E6B9F61C8881295E179BB35")</f>
        <v>https://baanknet.com/view-property/286443/82F1F889C9A88EB5C19C866E636F1DC5EB6351A17E6B9F61C8881295E179BB35</v>
      </c>
      <c r="I5819" t="str">
        <f>HYPERLINK("https://baanknet.com/view-property/286443/82F1F889C9A88EB5C19C866E636F1DC5EB6351A17E6B9F61C8881295E179BB35", "Open")</f>
        <v>Open</v>
      </c>
      <c r="J5819" t="s">
        <v>3803</v>
      </c>
      <c r="L5819">
        <v>1301000</v>
      </c>
      <c r="M5819">
        <v>130100</v>
      </c>
    </row>
    <row r="5820" spans="1:13" x14ac:dyDescent="0.25">
      <c r="A5820" t="s">
        <v>19249</v>
      </c>
      <c r="B5820" t="s">
        <v>19250</v>
      </c>
      <c r="C5820" t="s">
        <v>83</v>
      </c>
      <c r="D5820" t="s">
        <v>19251</v>
      </c>
      <c r="E5820" t="s">
        <v>18837</v>
      </c>
      <c r="F5820" t="s">
        <v>19096</v>
      </c>
      <c r="G5820" t="s">
        <v>19252</v>
      </c>
      <c r="H5820" t="str">
        <f>HYPERLINK("https://baanknet.com/view-property/105438/DDA6D72F91EBCFB57C63A359EC8D6F0937FB244BC90AC8D96782A500A75B824B", "https://baanknet.com/view-property/105438/DDA6D72F91EBCFB57C63A359EC8D6F0937FB244BC90AC8D96782A500A75B824B")</f>
        <v>https://baanknet.com/view-property/105438/DDA6D72F91EBCFB57C63A359EC8D6F0937FB244BC90AC8D96782A500A75B824B</v>
      </c>
      <c r="I5820" t="str">
        <f>HYPERLINK("https://baanknet.com/view-property/105438/DDA6D72F91EBCFB57C63A359EC8D6F0937FB244BC90AC8D96782A500A75B824B", "Open")</f>
        <v>Open</v>
      </c>
      <c r="J5820" t="s">
        <v>3803</v>
      </c>
      <c r="L5820">
        <v>1910000</v>
      </c>
      <c r="M5820">
        <v>191000</v>
      </c>
    </row>
    <row r="5821" spans="1:13" x14ac:dyDescent="0.25">
      <c r="A5821" t="s">
        <v>19253</v>
      </c>
      <c r="B5821" t="s">
        <v>19254</v>
      </c>
      <c r="C5821" t="s">
        <v>83</v>
      </c>
      <c r="D5821" t="s">
        <v>17642</v>
      </c>
      <c r="E5821" t="s">
        <v>18837</v>
      </c>
      <c r="F5821" t="s">
        <v>19096</v>
      </c>
      <c r="G5821" t="s">
        <v>19255</v>
      </c>
      <c r="H5821" t="str">
        <f>HYPERLINK("https://baanknet.com/view-property/249702/6FC48F5B4B01440B09DB3F019108F772091E6AA1A123D6884FDD8597587DB369", "https://baanknet.com/view-property/249702/6FC48F5B4B01440B09DB3F019108F772091E6AA1A123D6884FDD8597587DB369")</f>
        <v>https://baanknet.com/view-property/249702/6FC48F5B4B01440B09DB3F019108F772091E6AA1A123D6884FDD8597587DB369</v>
      </c>
      <c r="I5821" t="str">
        <f>HYPERLINK("https://baanknet.com/view-property/249702/6FC48F5B4B01440B09DB3F019108F772091E6AA1A123D6884FDD8597587DB369", "Open")</f>
        <v>Open</v>
      </c>
      <c r="J5821" t="s">
        <v>3803</v>
      </c>
      <c r="L5821">
        <v>2255000</v>
      </c>
      <c r="M5821">
        <v>225500</v>
      </c>
    </row>
    <row r="5822" spans="1:13" x14ac:dyDescent="0.25">
      <c r="A5822" t="s">
        <v>19256</v>
      </c>
      <c r="B5822" t="s">
        <v>19257</v>
      </c>
      <c r="C5822" t="s">
        <v>83</v>
      </c>
      <c r="D5822" t="s">
        <v>19258</v>
      </c>
      <c r="E5822" t="s">
        <v>18837</v>
      </c>
      <c r="F5822" t="s">
        <v>19096</v>
      </c>
      <c r="G5822" t="s">
        <v>19259</v>
      </c>
      <c r="H5822" t="str">
        <f>HYPERLINK("https://baanknet.com/view-property/269260/2EE666E98A51688A3A978CCD4EFCAC923DDD7EC7A6CB79CF5179E87DFA125CFB", "https://baanknet.com/view-property/269260/2EE666E98A51688A3A978CCD4EFCAC923DDD7EC7A6CB79CF5179E87DFA125CFB")</f>
        <v>https://baanknet.com/view-property/269260/2EE666E98A51688A3A978CCD4EFCAC923DDD7EC7A6CB79CF5179E87DFA125CFB</v>
      </c>
      <c r="I5822" t="str">
        <f>HYPERLINK("https://baanknet.com/view-property/269260/2EE666E98A51688A3A978CCD4EFCAC923DDD7EC7A6CB79CF5179E87DFA125CFB", "Open")</f>
        <v>Open</v>
      </c>
      <c r="J5822" t="s">
        <v>3803</v>
      </c>
      <c r="L5822">
        <v>4287000</v>
      </c>
      <c r="M5822">
        <v>428700</v>
      </c>
    </row>
    <row r="5823" spans="1:13" x14ac:dyDescent="0.25">
      <c r="A5823" t="s">
        <v>19260</v>
      </c>
      <c r="B5823" t="s">
        <v>19261</v>
      </c>
      <c r="C5823" t="s">
        <v>83</v>
      </c>
      <c r="D5823" t="s">
        <v>5869</v>
      </c>
      <c r="E5823" t="s">
        <v>18837</v>
      </c>
      <c r="F5823" t="s">
        <v>19096</v>
      </c>
      <c r="G5823" t="s">
        <v>19262</v>
      </c>
      <c r="H5823" t="str">
        <f>HYPERLINK("https://baanknet.com/view-property/287202/E345732DBEB546EFEAB859E3105C7F1DB0BF02565F6E13980171EAD6794E6DE5", "https://baanknet.com/view-property/287202/E345732DBEB546EFEAB859E3105C7F1DB0BF02565F6E13980171EAD6794E6DE5")</f>
        <v>https://baanknet.com/view-property/287202/E345732DBEB546EFEAB859E3105C7F1DB0BF02565F6E13980171EAD6794E6DE5</v>
      </c>
      <c r="I5823" t="str">
        <f>HYPERLINK("https://baanknet.com/view-property/287202/E345732DBEB546EFEAB859E3105C7F1DB0BF02565F6E13980171EAD6794E6DE5", "Open")</f>
        <v>Open</v>
      </c>
      <c r="J5823" t="s">
        <v>3803</v>
      </c>
      <c r="L5823">
        <v>1933000</v>
      </c>
      <c r="M5823">
        <v>193300</v>
      </c>
    </row>
    <row r="5824" spans="1:13" x14ac:dyDescent="0.25">
      <c r="A5824" t="s">
        <v>19263</v>
      </c>
      <c r="B5824" t="s">
        <v>19264</v>
      </c>
      <c r="C5824" t="s">
        <v>83</v>
      </c>
      <c r="D5824" t="s">
        <v>608</v>
      </c>
      <c r="E5824" t="s">
        <v>18837</v>
      </c>
      <c r="F5824" t="s">
        <v>19096</v>
      </c>
      <c r="G5824" t="s">
        <v>19265</v>
      </c>
      <c r="H5824" t="str">
        <f>HYPERLINK("https://baanknet.com/view-property/286716/2A68B63A4F891E0FDE165A9A7282C6E01DB72D6B2C444466EB2CCD781459C544", "https://baanknet.com/view-property/286716/2A68B63A4F891E0FDE165A9A7282C6E01DB72D6B2C444466EB2CCD781459C544")</f>
        <v>https://baanknet.com/view-property/286716/2A68B63A4F891E0FDE165A9A7282C6E01DB72D6B2C444466EB2CCD781459C544</v>
      </c>
      <c r="I5824" t="str">
        <f>HYPERLINK("https://baanknet.com/view-property/286716/2A68B63A4F891E0FDE165A9A7282C6E01DB72D6B2C444466EB2CCD781459C544", "Open")</f>
        <v>Open</v>
      </c>
      <c r="J5824" t="s">
        <v>3803</v>
      </c>
      <c r="L5824">
        <v>4952000</v>
      </c>
      <c r="M5824">
        <v>495200</v>
      </c>
    </row>
    <row r="5825" spans="1:13" x14ac:dyDescent="0.25">
      <c r="A5825" t="s">
        <v>19266</v>
      </c>
      <c r="B5825" t="s">
        <v>19267</v>
      </c>
      <c r="C5825" t="s">
        <v>83</v>
      </c>
      <c r="D5825" t="s">
        <v>415</v>
      </c>
      <c r="E5825" t="s">
        <v>18837</v>
      </c>
      <c r="F5825" t="s">
        <v>19096</v>
      </c>
      <c r="G5825" t="s">
        <v>19268</v>
      </c>
      <c r="H5825" t="str">
        <f>HYPERLINK("https://baanknet.com/view-property/254841/DD115800FED1F5DF08B8BCEC59FF32F849FB57518E531D542E967C04115587AC", "https://baanknet.com/view-property/254841/DD115800FED1F5DF08B8BCEC59FF32F849FB57518E531D542E967C04115587AC")</f>
        <v>https://baanknet.com/view-property/254841/DD115800FED1F5DF08B8BCEC59FF32F849FB57518E531D542E967C04115587AC</v>
      </c>
      <c r="I5825" t="str">
        <f>HYPERLINK("https://baanknet.com/view-property/254841/DD115800FED1F5DF08B8BCEC59FF32F849FB57518E531D542E967C04115587AC", "Open")</f>
        <v>Open</v>
      </c>
      <c r="J5825" t="s">
        <v>3803</v>
      </c>
      <c r="L5825">
        <v>5409900</v>
      </c>
      <c r="M5825">
        <v>540990</v>
      </c>
    </row>
    <row r="5826" spans="1:13" x14ac:dyDescent="0.25">
      <c r="A5826" t="s">
        <v>19269</v>
      </c>
      <c r="B5826" t="s">
        <v>19270</v>
      </c>
      <c r="C5826" t="s">
        <v>83</v>
      </c>
      <c r="D5826" t="s">
        <v>19241</v>
      </c>
      <c r="E5826" t="s">
        <v>18837</v>
      </c>
      <c r="F5826" t="s">
        <v>19096</v>
      </c>
      <c r="G5826" t="s">
        <v>19271</v>
      </c>
      <c r="H5826" t="str">
        <f>HYPERLINK("https://baanknet.com/view-property/254847/FA16A054795851057F4A50589F4C031BAD3C8785DA1728E048ECB8E0D03539A2", "https://baanknet.com/view-property/254847/FA16A054795851057F4A50589F4C031BAD3C8785DA1728E048ECB8E0D03539A2")</f>
        <v>https://baanknet.com/view-property/254847/FA16A054795851057F4A50589F4C031BAD3C8785DA1728E048ECB8E0D03539A2</v>
      </c>
      <c r="I5826" t="str">
        <f>HYPERLINK("https://baanknet.com/view-property/254847/FA16A054795851057F4A50589F4C031BAD3C8785DA1728E048ECB8E0D03539A2", "Open")</f>
        <v>Open</v>
      </c>
      <c r="J5826" t="s">
        <v>3803</v>
      </c>
      <c r="L5826">
        <v>4029300</v>
      </c>
      <c r="M5826">
        <v>402930</v>
      </c>
    </row>
    <row r="5827" spans="1:13" x14ac:dyDescent="0.25">
      <c r="A5827" t="s">
        <v>19272</v>
      </c>
      <c r="B5827" t="s">
        <v>19273</v>
      </c>
      <c r="C5827" t="s">
        <v>83</v>
      </c>
      <c r="D5827" t="s">
        <v>6068</v>
      </c>
      <c r="E5827" t="s">
        <v>18837</v>
      </c>
      <c r="F5827" t="s">
        <v>19096</v>
      </c>
      <c r="G5827" t="s">
        <v>19274</v>
      </c>
      <c r="H5827" t="str">
        <f>HYPERLINK("https://baanknet.com/view-property/282832/2912DA712EC61B6A9CF4FCC19CB62D90ED9B82B92800E914D9D857C38314F9C6", "https://baanknet.com/view-property/282832/2912DA712EC61B6A9CF4FCC19CB62D90ED9B82B92800E914D9D857C38314F9C6")</f>
        <v>https://baanknet.com/view-property/282832/2912DA712EC61B6A9CF4FCC19CB62D90ED9B82B92800E914D9D857C38314F9C6</v>
      </c>
      <c r="I5827" t="str">
        <f>HYPERLINK("https://baanknet.com/view-property/282832/2912DA712EC61B6A9CF4FCC19CB62D90ED9B82B92800E914D9D857C38314F9C6", "Open")</f>
        <v>Open</v>
      </c>
      <c r="J5827" t="s">
        <v>3803</v>
      </c>
      <c r="L5827">
        <v>1815000</v>
      </c>
      <c r="M5827">
        <v>181500</v>
      </c>
    </row>
    <row r="5828" spans="1:13" x14ac:dyDescent="0.25">
      <c r="A5828" t="s">
        <v>19275</v>
      </c>
      <c r="B5828" t="s">
        <v>19276</v>
      </c>
      <c r="C5828" t="s">
        <v>83</v>
      </c>
      <c r="D5828" t="s">
        <v>733</v>
      </c>
      <c r="E5828" t="s">
        <v>18837</v>
      </c>
      <c r="F5828" t="s">
        <v>19096</v>
      </c>
      <c r="G5828" t="s">
        <v>19277</v>
      </c>
      <c r="H5828" t="str">
        <f>HYPERLINK("https://baanknet.com/view-property/282856/9E188C64B2311F2DA3CB409C2C9309C6C88E3A7181136C559973C12057F869E0", "https://baanknet.com/view-property/282856/9E188C64B2311F2DA3CB409C2C9309C6C88E3A7181136C559973C12057F869E0")</f>
        <v>https://baanknet.com/view-property/282856/9E188C64B2311F2DA3CB409C2C9309C6C88E3A7181136C559973C12057F869E0</v>
      </c>
      <c r="I5828" t="str">
        <f>HYPERLINK("https://baanknet.com/view-property/282856/9E188C64B2311F2DA3CB409C2C9309C6C88E3A7181136C559973C12057F869E0", "Open")</f>
        <v>Open</v>
      </c>
      <c r="J5828" t="s">
        <v>3803</v>
      </c>
      <c r="L5828">
        <v>1503000</v>
      </c>
      <c r="M5828">
        <v>150300</v>
      </c>
    </row>
    <row r="5829" spans="1:13" x14ac:dyDescent="0.25">
      <c r="A5829" t="s">
        <v>19278</v>
      </c>
      <c r="B5829" t="s">
        <v>19279</v>
      </c>
      <c r="C5829" t="s">
        <v>83</v>
      </c>
      <c r="D5829" t="s">
        <v>5556</v>
      </c>
      <c r="E5829" t="s">
        <v>18837</v>
      </c>
      <c r="F5829" t="s">
        <v>19096</v>
      </c>
      <c r="G5829" t="s">
        <v>19280</v>
      </c>
      <c r="H5829" t="str">
        <f>HYPERLINK("https://baanknet.com/view-property/202332/5F69B956D88DCE8D22843D990B0BE51DCE6BC90D35DE41F93FBD65EC8FC3E456", "https://baanknet.com/view-property/202332/5F69B956D88DCE8D22843D990B0BE51DCE6BC90D35DE41F93FBD65EC8FC3E456")</f>
        <v>https://baanknet.com/view-property/202332/5F69B956D88DCE8D22843D990B0BE51DCE6BC90D35DE41F93FBD65EC8FC3E456</v>
      </c>
      <c r="I5829" t="str">
        <f>HYPERLINK("https://baanknet.com/view-property/202332/5F69B956D88DCE8D22843D990B0BE51DCE6BC90D35DE41F93FBD65EC8FC3E456", "Open")</f>
        <v>Open</v>
      </c>
      <c r="J5829" t="s">
        <v>3803</v>
      </c>
      <c r="L5829">
        <v>1296000</v>
      </c>
      <c r="M5829">
        <v>129600</v>
      </c>
    </row>
    <row r="5830" spans="1:13" x14ac:dyDescent="0.25">
      <c r="A5830" t="s">
        <v>19281</v>
      </c>
      <c r="B5830" t="s">
        <v>19282</v>
      </c>
      <c r="C5830" t="s">
        <v>83</v>
      </c>
      <c r="D5830" t="s">
        <v>572</v>
      </c>
      <c r="E5830" t="s">
        <v>18837</v>
      </c>
      <c r="F5830" t="s">
        <v>19096</v>
      </c>
      <c r="G5830" t="s">
        <v>19283</v>
      </c>
      <c r="H5830" t="str">
        <f>HYPERLINK("https://baanknet.com/view-property/282820/134AD171776EA3358F92F3D3EDBA81FAA0F4C5E0C7495BBBA63A0E9C7D0DEA11", "https://baanknet.com/view-property/282820/134AD171776EA3358F92F3D3EDBA81FAA0F4C5E0C7495BBBA63A0E9C7D0DEA11")</f>
        <v>https://baanknet.com/view-property/282820/134AD171776EA3358F92F3D3EDBA81FAA0F4C5E0C7495BBBA63A0E9C7D0DEA11</v>
      </c>
      <c r="I5830" t="str">
        <f>HYPERLINK("https://baanknet.com/view-property/282820/134AD171776EA3358F92F3D3EDBA81FAA0F4C5E0C7495BBBA63A0E9C7D0DEA11", "Open")</f>
        <v>Open</v>
      </c>
      <c r="J5830" t="s">
        <v>3803</v>
      </c>
      <c r="L5830">
        <v>742000</v>
      </c>
      <c r="M5830">
        <v>74200</v>
      </c>
    </row>
    <row r="5831" spans="1:13" x14ac:dyDescent="0.25">
      <c r="A5831" t="s">
        <v>19284</v>
      </c>
      <c r="B5831" t="s">
        <v>19285</v>
      </c>
      <c r="C5831" t="s">
        <v>83</v>
      </c>
      <c r="D5831" t="s">
        <v>518</v>
      </c>
      <c r="E5831" t="s">
        <v>18837</v>
      </c>
      <c r="F5831" t="s">
        <v>19096</v>
      </c>
      <c r="G5831" t="s">
        <v>19286</v>
      </c>
      <c r="H5831" t="str">
        <f>HYPERLINK("https://baanknet.com/view-property/282824/CFBAC55E92C3FFFEE366757DFF6E8207E7789A0D3B27F2CCBDAC3CD3AC3FCD16", "https://baanknet.com/view-property/282824/CFBAC55E92C3FFFEE366757DFF6E8207E7789A0D3B27F2CCBDAC3CD3AC3FCD16")</f>
        <v>https://baanknet.com/view-property/282824/CFBAC55E92C3FFFEE366757DFF6E8207E7789A0D3B27F2CCBDAC3CD3AC3FCD16</v>
      </c>
      <c r="I5831" t="str">
        <f>HYPERLINK("https://baanknet.com/view-property/282824/CFBAC55E92C3FFFEE366757DFF6E8207E7789A0D3B27F2CCBDAC3CD3AC3FCD16", "Open")</f>
        <v>Open</v>
      </c>
      <c r="J5831" t="s">
        <v>3803</v>
      </c>
      <c r="L5831">
        <v>1052000</v>
      </c>
      <c r="M5831">
        <v>105200</v>
      </c>
    </row>
    <row r="5832" spans="1:13" x14ac:dyDescent="0.25">
      <c r="A5832" t="s">
        <v>19287</v>
      </c>
      <c r="B5832" t="s">
        <v>19288</v>
      </c>
      <c r="C5832" t="s">
        <v>83</v>
      </c>
      <c r="D5832" t="s">
        <v>19289</v>
      </c>
      <c r="E5832" t="s">
        <v>18837</v>
      </c>
      <c r="F5832" t="s">
        <v>19096</v>
      </c>
      <c r="G5832" t="s">
        <v>19290</v>
      </c>
      <c r="H5832" t="str">
        <f>HYPERLINK("https://baanknet.com/view-property/202329/93D588D0E9AEBEACBFF6204D1571626C135087F34FE804102E33F50F60B42CB2", "https://baanknet.com/view-property/202329/93D588D0E9AEBEACBFF6204D1571626C135087F34FE804102E33F50F60B42CB2")</f>
        <v>https://baanknet.com/view-property/202329/93D588D0E9AEBEACBFF6204D1571626C135087F34FE804102E33F50F60B42CB2</v>
      </c>
      <c r="I5832" t="str">
        <f>HYPERLINK("https://baanknet.com/view-property/202329/93D588D0E9AEBEACBFF6204D1571626C135087F34FE804102E33F50F60B42CB2", "Open")</f>
        <v>Open</v>
      </c>
      <c r="J5832" t="s">
        <v>3803</v>
      </c>
      <c r="L5832">
        <v>3281000</v>
      </c>
      <c r="M5832">
        <v>328100</v>
      </c>
    </row>
    <row r="5833" spans="1:13" x14ac:dyDescent="0.25">
      <c r="A5833" t="s">
        <v>19291</v>
      </c>
      <c r="B5833" t="s">
        <v>19292</v>
      </c>
      <c r="C5833" t="s">
        <v>83</v>
      </c>
      <c r="D5833" t="s">
        <v>608</v>
      </c>
      <c r="E5833" t="s">
        <v>18837</v>
      </c>
      <c r="F5833" t="s">
        <v>19096</v>
      </c>
      <c r="G5833" t="s">
        <v>19293</v>
      </c>
      <c r="H5833" t="str">
        <f>HYPERLINK("https://baanknet.com/view-property/286709/B4EBBD970231D0F8460A3BB8293D07298F5B98547B78619A78E45F38ADE19D0A", "https://baanknet.com/view-property/286709/B4EBBD970231D0F8460A3BB8293D07298F5B98547B78619A78E45F38ADE19D0A")</f>
        <v>https://baanknet.com/view-property/286709/B4EBBD970231D0F8460A3BB8293D07298F5B98547B78619A78E45F38ADE19D0A</v>
      </c>
      <c r="I5833" t="str">
        <f>HYPERLINK("https://baanknet.com/view-property/286709/B4EBBD970231D0F8460A3BB8293D07298F5B98547B78619A78E45F38ADE19D0A", "Open")</f>
        <v>Open</v>
      </c>
      <c r="J5833" t="s">
        <v>3803</v>
      </c>
      <c r="L5833">
        <v>11066220</v>
      </c>
      <c r="M5833">
        <v>1106622</v>
      </c>
    </row>
    <row r="5834" spans="1:13" x14ac:dyDescent="0.25">
      <c r="A5834" t="s">
        <v>19294</v>
      </c>
      <c r="B5834" t="s">
        <v>19295</v>
      </c>
      <c r="C5834" t="s">
        <v>83</v>
      </c>
      <c r="D5834" t="s">
        <v>19289</v>
      </c>
      <c r="E5834" t="s">
        <v>18837</v>
      </c>
      <c r="F5834" t="s">
        <v>19096</v>
      </c>
      <c r="G5834" t="s">
        <v>19296</v>
      </c>
      <c r="H5834" t="str">
        <f>HYPERLINK("https://baanknet.com/view-property/202347/5421BF9E03F5373D5835A58CF781B5326B4911B4F04510C126999A4A9492EBBB", "https://baanknet.com/view-property/202347/5421BF9E03F5373D5835A58CF781B5326B4911B4F04510C126999A4A9492EBBB")</f>
        <v>https://baanknet.com/view-property/202347/5421BF9E03F5373D5835A58CF781B5326B4911B4F04510C126999A4A9492EBBB</v>
      </c>
      <c r="I5834" t="str">
        <f>HYPERLINK("https://baanknet.com/view-property/202347/5421BF9E03F5373D5835A58CF781B5326B4911B4F04510C126999A4A9492EBBB", "Open")</f>
        <v>Open</v>
      </c>
      <c r="J5834" t="s">
        <v>3803</v>
      </c>
      <c r="L5834">
        <v>342000</v>
      </c>
      <c r="M5834">
        <v>34200</v>
      </c>
    </row>
    <row r="5835" spans="1:13" x14ac:dyDescent="0.25">
      <c r="A5835" t="s">
        <v>19297</v>
      </c>
      <c r="B5835" t="s">
        <v>19298</v>
      </c>
      <c r="C5835" t="s">
        <v>83</v>
      </c>
      <c r="D5835" t="s">
        <v>5556</v>
      </c>
      <c r="E5835" t="s">
        <v>18837</v>
      </c>
      <c r="F5835" t="s">
        <v>19096</v>
      </c>
      <c r="G5835" t="s">
        <v>19299</v>
      </c>
      <c r="H5835" t="str">
        <f>HYPERLINK("https://baanknet.com/view-property/217858/13D06E1B1E98BB2ED3C2D566FAA54D62B7C521118BB88544B44CCB3B63822479", "https://baanknet.com/view-property/217858/13D06E1B1E98BB2ED3C2D566FAA54D62B7C521118BB88544B44CCB3B63822479")</f>
        <v>https://baanknet.com/view-property/217858/13D06E1B1E98BB2ED3C2D566FAA54D62B7C521118BB88544B44CCB3B63822479</v>
      </c>
      <c r="I5835" t="str">
        <f>HYPERLINK("https://baanknet.com/view-property/217858/13D06E1B1E98BB2ED3C2D566FAA54D62B7C521118BB88544B44CCB3B63822479", "Open")</f>
        <v>Open</v>
      </c>
      <c r="J5835" t="s">
        <v>3803</v>
      </c>
      <c r="L5835">
        <v>1313000</v>
      </c>
      <c r="M5835">
        <v>131300</v>
      </c>
    </row>
    <row r="5836" spans="1:13" x14ac:dyDescent="0.25">
      <c r="A5836" t="s">
        <v>19300</v>
      </c>
      <c r="B5836" t="s">
        <v>19301</v>
      </c>
      <c r="C5836" t="s">
        <v>83</v>
      </c>
      <c r="D5836" t="s">
        <v>5556</v>
      </c>
      <c r="E5836" t="s">
        <v>18837</v>
      </c>
      <c r="F5836" t="s">
        <v>19096</v>
      </c>
      <c r="G5836" t="s">
        <v>19302</v>
      </c>
      <c r="H5836" t="str">
        <f>HYPERLINK("https://baanknet.com/view-property/202267/FF5F0C2EF3DEFD11DAF1F8C66B85E64EDFFD5A074E95B8658C93A4FCC38B1D62", "https://baanknet.com/view-property/202267/FF5F0C2EF3DEFD11DAF1F8C66B85E64EDFFD5A074E95B8658C93A4FCC38B1D62")</f>
        <v>https://baanknet.com/view-property/202267/FF5F0C2EF3DEFD11DAF1F8C66B85E64EDFFD5A074E95B8658C93A4FCC38B1D62</v>
      </c>
      <c r="I5836" t="str">
        <f>HYPERLINK("https://baanknet.com/view-property/202267/FF5F0C2EF3DEFD11DAF1F8C66B85E64EDFFD5A074E95B8658C93A4FCC38B1D62", "Open")</f>
        <v>Open</v>
      </c>
      <c r="J5836" t="s">
        <v>3803</v>
      </c>
      <c r="L5836">
        <v>697000</v>
      </c>
      <c r="M5836">
        <v>69700</v>
      </c>
    </row>
    <row r="5837" spans="1:13" x14ac:dyDescent="0.25">
      <c r="A5837" t="s">
        <v>19303</v>
      </c>
      <c r="B5837" t="s">
        <v>19304</v>
      </c>
      <c r="C5837" t="s">
        <v>83</v>
      </c>
      <c r="D5837" t="s">
        <v>518</v>
      </c>
      <c r="E5837" t="s">
        <v>18837</v>
      </c>
      <c r="F5837" t="s">
        <v>19096</v>
      </c>
      <c r="G5837" t="s">
        <v>19305</v>
      </c>
      <c r="H5837" t="str">
        <f>HYPERLINK("https://baanknet.com/view-property/282816/F1249960463FD38141ED92C363366382AC6E478360769C2D242EC89603E69843", "https://baanknet.com/view-property/282816/F1249960463FD38141ED92C363366382AC6E478360769C2D242EC89603E69843")</f>
        <v>https://baanknet.com/view-property/282816/F1249960463FD38141ED92C363366382AC6E478360769C2D242EC89603E69843</v>
      </c>
      <c r="I5837" t="str">
        <f>HYPERLINK("https://baanknet.com/view-property/282816/F1249960463FD38141ED92C363366382AC6E478360769C2D242EC89603E69843", "Open")</f>
        <v>Open</v>
      </c>
      <c r="J5837" t="s">
        <v>3803</v>
      </c>
      <c r="L5837">
        <v>4131000</v>
      </c>
      <c r="M5837">
        <v>413100</v>
      </c>
    </row>
    <row r="5838" spans="1:13" x14ac:dyDescent="0.25">
      <c r="A5838" t="s">
        <v>19306</v>
      </c>
      <c r="B5838" t="s">
        <v>19307</v>
      </c>
      <c r="C5838" t="s">
        <v>83</v>
      </c>
      <c r="D5838" t="s">
        <v>733</v>
      </c>
      <c r="E5838" t="s">
        <v>18837</v>
      </c>
      <c r="F5838" t="s">
        <v>19096</v>
      </c>
      <c r="G5838" t="s">
        <v>19308</v>
      </c>
      <c r="H5838" t="str">
        <f>HYPERLINK("https://baanknet.com/view-property/282818/774CD233C90BF01F13791D92C0AECA8432DADAB303AC0A5E1EBB3E4922364542", "https://baanknet.com/view-property/282818/774CD233C90BF01F13791D92C0AECA8432DADAB303AC0A5E1EBB3E4922364542")</f>
        <v>https://baanknet.com/view-property/282818/774CD233C90BF01F13791D92C0AECA8432DADAB303AC0A5E1EBB3E4922364542</v>
      </c>
      <c r="I5838" t="str">
        <f>HYPERLINK("https://baanknet.com/view-property/282818/774CD233C90BF01F13791D92C0AECA8432DADAB303AC0A5E1EBB3E4922364542", "Open")</f>
        <v>Open</v>
      </c>
      <c r="J5838" t="s">
        <v>3803</v>
      </c>
      <c r="L5838">
        <v>883000</v>
      </c>
      <c r="M5838">
        <v>88300</v>
      </c>
    </row>
    <row r="5839" spans="1:13" x14ac:dyDescent="0.25">
      <c r="A5839" t="s">
        <v>19309</v>
      </c>
      <c r="B5839" t="s">
        <v>19310</v>
      </c>
      <c r="C5839" t="s">
        <v>83</v>
      </c>
      <c r="D5839" t="s">
        <v>19311</v>
      </c>
      <c r="E5839" t="s">
        <v>18837</v>
      </c>
      <c r="F5839" t="s">
        <v>19096</v>
      </c>
      <c r="G5839" t="s">
        <v>19312</v>
      </c>
      <c r="H5839" t="str">
        <f>HYPERLINK("https://baanknet.com/view-property/282854/268729D91BA055C13748797A1ADD6BC5950823138A14EFBAE981EF726C6F4BAC", "https://baanknet.com/view-property/282854/268729D91BA055C13748797A1ADD6BC5950823138A14EFBAE981EF726C6F4BAC")</f>
        <v>https://baanknet.com/view-property/282854/268729D91BA055C13748797A1ADD6BC5950823138A14EFBAE981EF726C6F4BAC</v>
      </c>
      <c r="I5839" t="str">
        <f>HYPERLINK("https://baanknet.com/view-property/282854/268729D91BA055C13748797A1ADD6BC5950823138A14EFBAE981EF726C6F4BAC", "Open")</f>
        <v>Open</v>
      </c>
      <c r="J5839" t="s">
        <v>3803</v>
      </c>
      <c r="L5839">
        <v>790000</v>
      </c>
      <c r="M5839">
        <v>79000</v>
      </c>
    </row>
    <row r="5840" spans="1:13" x14ac:dyDescent="0.25">
      <c r="A5840" t="s">
        <v>19313</v>
      </c>
      <c r="B5840" t="s">
        <v>19314</v>
      </c>
      <c r="C5840" t="s">
        <v>83</v>
      </c>
      <c r="D5840" t="s">
        <v>518</v>
      </c>
      <c r="E5840" t="s">
        <v>18837</v>
      </c>
      <c r="F5840" t="s">
        <v>19096</v>
      </c>
      <c r="G5840" t="s">
        <v>19315</v>
      </c>
      <c r="H5840" t="str">
        <f>HYPERLINK("https://baanknet.com/view-property/202328/34D0798FB7D6314A235F3320743DDB4D34B5781CE2628D495E77267BA0950980", "https://baanknet.com/view-property/202328/34D0798FB7D6314A235F3320743DDB4D34B5781CE2628D495E77267BA0950980")</f>
        <v>https://baanknet.com/view-property/202328/34D0798FB7D6314A235F3320743DDB4D34B5781CE2628D495E77267BA0950980</v>
      </c>
      <c r="I5840" t="str">
        <f>HYPERLINK("https://baanknet.com/view-property/202328/34D0798FB7D6314A235F3320743DDB4D34B5781CE2628D495E77267BA0950980", "Open")</f>
        <v>Open</v>
      </c>
      <c r="J5840" t="s">
        <v>3803</v>
      </c>
      <c r="L5840">
        <v>392000</v>
      </c>
      <c r="M5840">
        <v>39200</v>
      </c>
    </row>
    <row r="5841" spans="1:13" x14ac:dyDescent="0.25">
      <c r="A5841" t="s">
        <v>19316</v>
      </c>
      <c r="B5841" t="s">
        <v>19317</v>
      </c>
      <c r="C5841" t="s">
        <v>83</v>
      </c>
      <c r="D5841" t="s">
        <v>19318</v>
      </c>
      <c r="E5841" t="s">
        <v>18837</v>
      </c>
      <c r="F5841" t="s">
        <v>19096</v>
      </c>
      <c r="G5841" t="s">
        <v>19319</v>
      </c>
      <c r="H5841" t="str">
        <f>HYPERLINK("https://baanknet.com/view-property/286914/7F40976676A3007FAC570DDBC7511260B8B0A350C69325A0A8A8E91648EDB231", "https://baanknet.com/view-property/286914/7F40976676A3007FAC570DDBC7511260B8B0A350C69325A0A8A8E91648EDB231")</f>
        <v>https://baanknet.com/view-property/286914/7F40976676A3007FAC570DDBC7511260B8B0A350C69325A0A8A8E91648EDB231</v>
      </c>
      <c r="I5841" t="str">
        <f>HYPERLINK("https://baanknet.com/view-property/286914/7F40976676A3007FAC570DDBC7511260B8B0A350C69325A0A8A8E91648EDB231", "Open")</f>
        <v>Open</v>
      </c>
      <c r="J5841" t="s">
        <v>3803</v>
      </c>
      <c r="L5841">
        <v>4255000</v>
      </c>
      <c r="M5841">
        <v>426000</v>
      </c>
    </row>
    <row r="5842" spans="1:13" x14ac:dyDescent="0.25">
      <c r="A5842" t="s">
        <v>19320</v>
      </c>
      <c r="B5842" t="s">
        <v>19321</v>
      </c>
      <c r="C5842" t="s">
        <v>83</v>
      </c>
      <c r="D5842" t="s">
        <v>19322</v>
      </c>
      <c r="E5842" t="s">
        <v>18837</v>
      </c>
      <c r="F5842" t="s">
        <v>19096</v>
      </c>
      <c r="G5842" t="s">
        <v>19323</v>
      </c>
      <c r="H5842" t="str">
        <f>HYPERLINK("https://baanknet.com/view-property/262143/4F70DB728BE4746396843A7C10C6A4A5504C0FBC8867158FFA8D1E6ECC09DC6F", "https://baanknet.com/view-property/262143/4F70DB728BE4746396843A7C10C6A4A5504C0FBC8867158FFA8D1E6ECC09DC6F")</f>
        <v>https://baanknet.com/view-property/262143/4F70DB728BE4746396843A7C10C6A4A5504C0FBC8867158FFA8D1E6ECC09DC6F</v>
      </c>
      <c r="I5842" t="str">
        <f>HYPERLINK("https://baanknet.com/view-property/262143/4F70DB728BE4746396843A7C10C6A4A5504C0FBC8867158FFA8D1E6ECC09DC6F", "Open")</f>
        <v>Open</v>
      </c>
      <c r="J5842" t="s">
        <v>3803</v>
      </c>
      <c r="L5842">
        <v>5100000</v>
      </c>
      <c r="M5842">
        <v>510000</v>
      </c>
    </row>
    <row r="5843" spans="1:13" x14ac:dyDescent="0.25">
      <c r="A5843" t="s">
        <v>19324</v>
      </c>
      <c r="B5843" t="s">
        <v>19325</v>
      </c>
      <c r="C5843" t="s">
        <v>83</v>
      </c>
      <c r="D5843" t="s">
        <v>19326</v>
      </c>
      <c r="E5843" t="s">
        <v>18837</v>
      </c>
      <c r="F5843" t="s">
        <v>19096</v>
      </c>
      <c r="G5843" t="s">
        <v>19327</v>
      </c>
      <c r="H5843" t="str">
        <f>HYPERLINK("https://baanknet.com/view-property/279288/BC8FB567D2D0B6D95E455ED8DE744A6AFF621E0C27423CB9134E33DF0E6DEDAE", "https://baanknet.com/view-property/279288/BC8FB567D2D0B6D95E455ED8DE744A6AFF621E0C27423CB9134E33DF0E6DEDAE")</f>
        <v>https://baanknet.com/view-property/279288/BC8FB567D2D0B6D95E455ED8DE744A6AFF621E0C27423CB9134E33DF0E6DEDAE</v>
      </c>
      <c r="I5843" t="str">
        <f>HYPERLINK("https://baanknet.com/view-property/279288/BC8FB567D2D0B6D95E455ED8DE744A6AFF621E0C27423CB9134E33DF0E6DEDAE", "Open")</f>
        <v>Open</v>
      </c>
      <c r="J5843" t="s">
        <v>3803</v>
      </c>
      <c r="L5843">
        <v>1461000</v>
      </c>
      <c r="M5843">
        <v>146100</v>
      </c>
    </row>
    <row r="5844" spans="1:13" x14ac:dyDescent="0.25">
      <c r="A5844" t="s">
        <v>19328</v>
      </c>
      <c r="B5844" t="s">
        <v>19329</v>
      </c>
      <c r="C5844" t="s">
        <v>83</v>
      </c>
      <c r="D5844" t="s">
        <v>19330</v>
      </c>
      <c r="E5844" t="s">
        <v>18837</v>
      </c>
      <c r="F5844" t="s">
        <v>19096</v>
      </c>
      <c r="G5844" t="s">
        <v>19331</v>
      </c>
      <c r="H5844" t="str">
        <f>HYPERLINK("https://baanknet.com/view-property/270423/C0C07B5F284B534091E2577B6B8DD468E0D832A2D772E3B557872021031E3FFB", "https://baanknet.com/view-property/270423/C0C07B5F284B534091E2577B6B8DD468E0D832A2D772E3B557872021031E3FFB")</f>
        <v>https://baanknet.com/view-property/270423/C0C07B5F284B534091E2577B6B8DD468E0D832A2D772E3B557872021031E3FFB</v>
      </c>
      <c r="I5844" t="str">
        <f>HYPERLINK("https://baanknet.com/view-property/270423/C0C07B5F284B534091E2577B6B8DD468E0D832A2D772E3B557872021031E3FFB", "Open")</f>
        <v>Open</v>
      </c>
      <c r="J5844" t="s">
        <v>3803</v>
      </c>
      <c r="L5844">
        <v>1180000</v>
      </c>
      <c r="M5844">
        <v>118000</v>
      </c>
    </row>
    <row r="5845" spans="1:13" x14ac:dyDescent="0.25">
      <c r="A5845" t="s">
        <v>19332</v>
      </c>
      <c r="B5845" t="s">
        <v>19333</v>
      </c>
      <c r="C5845" t="s">
        <v>83</v>
      </c>
      <c r="D5845" t="s">
        <v>1246</v>
      </c>
      <c r="E5845" t="s">
        <v>18837</v>
      </c>
      <c r="F5845" t="s">
        <v>19096</v>
      </c>
      <c r="G5845" t="s">
        <v>19334</v>
      </c>
      <c r="H5845" t="str">
        <f>HYPERLINK("https://baanknet.com/view-property/287221/8B04051776F967648277902D5E6C0231DF0071F30347679E4B4B6776EBD93A0A", "https://baanknet.com/view-property/287221/8B04051776F967648277902D5E6C0231DF0071F30347679E4B4B6776EBD93A0A")</f>
        <v>https://baanknet.com/view-property/287221/8B04051776F967648277902D5E6C0231DF0071F30347679E4B4B6776EBD93A0A</v>
      </c>
      <c r="I5845" t="str">
        <f>HYPERLINK("https://baanknet.com/view-property/287221/8B04051776F967648277902D5E6C0231DF0071F30347679E4B4B6776EBD93A0A", "Open")</f>
        <v>Open</v>
      </c>
      <c r="J5845" t="s">
        <v>3803</v>
      </c>
      <c r="L5845">
        <v>3000000</v>
      </c>
      <c r="M5845">
        <v>300000</v>
      </c>
    </row>
    <row r="5846" spans="1:13" x14ac:dyDescent="0.25">
      <c r="A5846" t="s">
        <v>19335</v>
      </c>
      <c r="B5846" t="s">
        <v>19336</v>
      </c>
      <c r="C5846" t="s">
        <v>83</v>
      </c>
      <c r="D5846" t="s">
        <v>19337</v>
      </c>
      <c r="E5846" t="s">
        <v>18837</v>
      </c>
      <c r="F5846" t="s">
        <v>19096</v>
      </c>
      <c r="G5846" t="s">
        <v>19338</v>
      </c>
      <c r="H5846" t="str">
        <f>HYPERLINK("https://baanknet.com/view-property/287075/7C1C3F999AA4E0C28C574590AA0429BF62A0C480CC85EE965D7274D4FC2A251E", "https://baanknet.com/view-property/287075/7C1C3F999AA4E0C28C574590AA0429BF62A0C480CC85EE965D7274D4FC2A251E")</f>
        <v>https://baanknet.com/view-property/287075/7C1C3F999AA4E0C28C574590AA0429BF62A0C480CC85EE965D7274D4FC2A251E</v>
      </c>
      <c r="I5846" t="str">
        <f>HYPERLINK("https://baanknet.com/view-property/287075/7C1C3F999AA4E0C28C574590AA0429BF62A0C480CC85EE965D7274D4FC2A251E", "Open")</f>
        <v>Open</v>
      </c>
      <c r="J5846" t="s">
        <v>3803</v>
      </c>
      <c r="L5846">
        <v>590000</v>
      </c>
      <c r="M5846">
        <v>59000</v>
      </c>
    </row>
    <row r="5847" spans="1:13" x14ac:dyDescent="0.25">
      <c r="A5847" t="s">
        <v>19339</v>
      </c>
      <c r="B5847" t="s">
        <v>19340</v>
      </c>
      <c r="C5847" t="s">
        <v>83</v>
      </c>
      <c r="D5847" t="s">
        <v>608</v>
      </c>
      <c r="E5847" t="s">
        <v>18837</v>
      </c>
      <c r="F5847" t="s">
        <v>19096</v>
      </c>
      <c r="G5847" t="s">
        <v>19341</v>
      </c>
      <c r="H5847" t="str">
        <f>HYPERLINK("https://baanknet.com/view-property/286704/57931E9405FA9CD6A36705CC5D533CCCCC7387781D89C67925D4C287ECD57B96", "https://baanknet.com/view-property/286704/57931E9405FA9CD6A36705CC5D533CCCCC7387781D89C67925D4C287ECD57B96")</f>
        <v>https://baanknet.com/view-property/286704/57931E9405FA9CD6A36705CC5D533CCCCC7387781D89C67925D4C287ECD57B96</v>
      </c>
      <c r="I5847" t="str">
        <f>HYPERLINK("https://baanknet.com/view-property/286704/57931E9405FA9CD6A36705CC5D533CCCCC7387781D89C67925D4C287ECD57B96", "Open")</f>
        <v>Open</v>
      </c>
      <c r="J5847" t="s">
        <v>3803</v>
      </c>
      <c r="L5847">
        <v>13680000</v>
      </c>
      <c r="M5847">
        <v>1368000</v>
      </c>
    </row>
    <row r="5848" spans="1:13" x14ac:dyDescent="0.25">
      <c r="A5848" t="s">
        <v>19342</v>
      </c>
      <c r="B5848" t="s">
        <v>19343</v>
      </c>
      <c r="C5848" t="s">
        <v>83</v>
      </c>
      <c r="D5848" t="s">
        <v>19344</v>
      </c>
      <c r="E5848" t="s">
        <v>18837</v>
      </c>
      <c r="F5848" t="s">
        <v>19096</v>
      </c>
      <c r="G5848" t="s">
        <v>19345</v>
      </c>
      <c r="H5848" t="str">
        <f>HYPERLINK("https://baanknet.com/view-property/237355/A905E09662D9A6D19C5CC5C987749AB9ED4EB8819C0BFCA4523A6E8EE4B6B63D", "https://baanknet.com/view-property/237355/A905E09662D9A6D19C5CC5C987749AB9ED4EB8819C0BFCA4523A6E8EE4B6B63D")</f>
        <v>https://baanknet.com/view-property/237355/A905E09662D9A6D19C5CC5C987749AB9ED4EB8819C0BFCA4523A6E8EE4B6B63D</v>
      </c>
      <c r="I5848" t="str">
        <f>HYPERLINK("https://baanknet.com/view-property/237355/A905E09662D9A6D19C5CC5C987749AB9ED4EB8819C0BFCA4523A6E8EE4B6B63D", "Open")</f>
        <v>Open</v>
      </c>
      <c r="J5848" t="s">
        <v>3803</v>
      </c>
      <c r="L5848">
        <v>3000000</v>
      </c>
      <c r="M5848">
        <v>300000</v>
      </c>
    </row>
    <row r="5849" spans="1:13" x14ac:dyDescent="0.25">
      <c r="A5849" t="s">
        <v>19346</v>
      </c>
      <c r="B5849" t="s">
        <v>19347</v>
      </c>
      <c r="C5849" t="s">
        <v>83</v>
      </c>
      <c r="D5849" t="s">
        <v>19344</v>
      </c>
      <c r="E5849" t="s">
        <v>18837</v>
      </c>
      <c r="F5849" t="s">
        <v>19096</v>
      </c>
      <c r="G5849" t="s">
        <v>19348</v>
      </c>
      <c r="H5849" t="str">
        <f>HYPERLINK("https://baanknet.com/view-property/214091/A6C5DB1756799804CBC0BFC8D1C0A9EF89A7A48F4F791D15DD158C5FEE500679", "https://baanknet.com/view-property/214091/A6C5DB1756799804CBC0BFC8D1C0A9EF89A7A48F4F791D15DD158C5FEE500679")</f>
        <v>https://baanknet.com/view-property/214091/A6C5DB1756799804CBC0BFC8D1C0A9EF89A7A48F4F791D15DD158C5FEE500679</v>
      </c>
      <c r="I5849" t="str">
        <f>HYPERLINK("https://baanknet.com/view-property/214091/A6C5DB1756799804CBC0BFC8D1C0A9EF89A7A48F4F791D15DD158C5FEE500679", "Open")</f>
        <v>Open</v>
      </c>
      <c r="J5849" t="s">
        <v>3803</v>
      </c>
      <c r="L5849">
        <v>1410000</v>
      </c>
      <c r="M5849">
        <v>141000</v>
      </c>
    </row>
    <row r="5850" spans="1:13" x14ac:dyDescent="0.25">
      <c r="A5850" t="s">
        <v>19349</v>
      </c>
      <c r="B5850" t="s">
        <v>19350</v>
      </c>
      <c r="C5850" t="s">
        <v>83</v>
      </c>
      <c r="D5850" t="s">
        <v>282</v>
      </c>
      <c r="E5850" t="s">
        <v>18837</v>
      </c>
      <c r="F5850" t="s">
        <v>19096</v>
      </c>
      <c r="G5850" t="s">
        <v>19351</v>
      </c>
      <c r="H5850" t="str">
        <f>HYPERLINK("https://baanknet.com/view-property/239851/7F1962C54B9BC8DEDDD794C3BE21F816228387DDAAECA97D0FC5F6B382E63A40", "https://baanknet.com/view-property/239851/7F1962C54B9BC8DEDDD794C3BE21F816228387DDAAECA97D0FC5F6B382E63A40")</f>
        <v>https://baanknet.com/view-property/239851/7F1962C54B9BC8DEDDD794C3BE21F816228387DDAAECA97D0FC5F6B382E63A40</v>
      </c>
      <c r="I5850" t="str">
        <f>HYPERLINK("https://baanknet.com/view-property/239851/7F1962C54B9BC8DEDDD794C3BE21F816228387DDAAECA97D0FC5F6B382E63A40", "Open")</f>
        <v>Open</v>
      </c>
      <c r="J5850" t="s">
        <v>3803</v>
      </c>
      <c r="L5850">
        <v>4250000</v>
      </c>
      <c r="M5850">
        <v>425000</v>
      </c>
    </row>
    <row r="5851" spans="1:13" x14ac:dyDescent="0.25">
      <c r="A5851" t="s">
        <v>19352</v>
      </c>
      <c r="B5851" t="s">
        <v>19353</v>
      </c>
      <c r="C5851" t="s">
        <v>83</v>
      </c>
      <c r="D5851" t="s">
        <v>282</v>
      </c>
      <c r="E5851" t="s">
        <v>18837</v>
      </c>
      <c r="F5851" t="s">
        <v>19096</v>
      </c>
      <c r="G5851" t="s">
        <v>19354</v>
      </c>
      <c r="H5851" t="str">
        <f>HYPERLINK("https://baanknet.com/view-property/247511/14145E3548C6B2DC8C25EC3053822FF4FF026374420E8485C3904B123E631909", "https://baanknet.com/view-property/247511/14145E3548C6B2DC8C25EC3053822FF4FF026374420E8485C3904B123E631909")</f>
        <v>https://baanknet.com/view-property/247511/14145E3548C6B2DC8C25EC3053822FF4FF026374420E8485C3904B123E631909</v>
      </c>
      <c r="I5851" t="str">
        <f>HYPERLINK("https://baanknet.com/view-property/247511/14145E3548C6B2DC8C25EC3053822FF4FF026374420E8485C3904B123E631909", "Open")</f>
        <v>Open</v>
      </c>
      <c r="J5851" t="s">
        <v>3803</v>
      </c>
      <c r="L5851">
        <v>2500000</v>
      </c>
      <c r="M5851">
        <v>250000</v>
      </c>
    </row>
    <row r="5852" spans="1:13" x14ac:dyDescent="0.25">
      <c r="A5852" t="s">
        <v>19355</v>
      </c>
      <c r="B5852" t="s">
        <v>19356</v>
      </c>
      <c r="C5852" t="s">
        <v>83</v>
      </c>
      <c r="D5852" t="s">
        <v>282</v>
      </c>
      <c r="E5852" t="s">
        <v>18837</v>
      </c>
      <c r="F5852" t="s">
        <v>19096</v>
      </c>
      <c r="G5852" t="s">
        <v>19357</v>
      </c>
      <c r="H5852" t="str">
        <f>HYPERLINK("https://baanknet.com/view-property/274725/8D97AAEA5C449A1F4085A06D32A0BDCC1BFC69F09FC8359D54B4296B4A104EBA", "https://baanknet.com/view-property/274725/8D97AAEA5C449A1F4085A06D32A0BDCC1BFC69F09FC8359D54B4296B4A104EBA")</f>
        <v>https://baanknet.com/view-property/274725/8D97AAEA5C449A1F4085A06D32A0BDCC1BFC69F09FC8359D54B4296B4A104EBA</v>
      </c>
      <c r="I5852" t="str">
        <f>HYPERLINK("https://baanknet.com/view-property/274725/8D97AAEA5C449A1F4085A06D32A0BDCC1BFC69F09FC8359D54B4296B4A104EBA", "Open")</f>
        <v>Open</v>
      </c>
      <c r="J5852" t="s">
        <v>3803</v>
      </c>
      <c r="L5852">
        <v>2430000</v>
      </c>
      <c r="M5852">
        <v>243000</v>
      </c>
    </row>
    <row r="5853" spans="1:13" x14ac:dyDescent="0.25">
      <c r="A5853" t="s">
        <v>19358</v>
      </c>
      <c r="B5853" t="s">
        <v>19359</v>
      </c>
      <c r="C5853" t="s">
        <v>83</v>
      </c>
      <c r="D5853" t="s">
        <v>282</v>
      </c>
      <c r="E5853" t="s">
        <v>18837</v>
      </c>
      <c r="F5853" t="s">
        <v>19096</v>
      </c>
      <c r="G5853" t="s">
        <v>19360</v>
      </c>
      <c r="H5853" t="str">
        <f>HYPERLINK("https://baanknet.com/view-property/207390/69FADA7CB92540A3DFAD8F6138E5D9331EDA314BD888CE247B35196099438422", "https://baanknet.com/view-property/207390/69FADA7CB92540A3DFAD8F6138E5D9331EDA314BD888CE247B35196099438422")</f>
        <v>https://baanknet.com/view-property/207390/69FADA7CB92540A3DFAD8F6138E5D9331EDA314BD888CE247B35196099438422</v>
      </c>
      <c r="I5853" t="str">
        <f>HYPERLINK("https://baanknet.com/view-property/207390/69FADA7CB92540A3DFAD8F6138E5D9331EDA314BD888CE247B35196099438422", "Open")</f>
        <v>Open</v>
      </c>
      <c r="J5853" t="s">
        <v>3803</v>
      </c>
      <c r="L5853">
        <v>2160000</v>
      </c>
      <c r="M5853">
        <v>216000</v>
      </c>
    </row>
    <row r="5854" spans="1:13" x14ac:dyDescent="0.25">
      <c r="A5854" t="s">
        <v>19361</v>
      </c>
      <c r="B5854" t="s">
        <v>19362</v>
      </c>
      <c r="C5854" t="s">
        <v>83</v>
      </c>
      <c r="D5854" t="s">
        <v>282</v>
      </c>
      <c r="E5854" t="s">
        <v>18837</v>
      </c>
      <c r="F5854" t="s">
        <v>19096</v>
      </c>
      <c r="G5854" t="s">
        <v>19363</v>
      </c>
      <c r="H5854" t="str">
        <f>HYPERLINK("https://baanknet.com/view-property/228726/5736ADC56B4A958B3C3D1D51E189A9D7EA25379EBFD4EFDFB9A3FC0C29361F6A", "https://baanknet.com/view-property/228726/5736ADC56B4A958B3C3D1D51E189A9D7EA25379EBFD4EFDFB9A3FC0C29361F6A")</f>
        <v>https://baanknet.com/view-property/228726/5736ADC56B4A958B3C3D1D51E189A9D7EA25379EBFD4EFDFB9A3FC0C29361F6A</v>
      </c>
      <c r="I5854" t="str">
        <f>HYPERLINK("https://baanknet.com/view-property/228726/5736ADC56B4A958B3C3D1D51E189A9D7EA25379EBFD4EFDFB9A3FC0C29361F6A", "Open")</f>
        <v>Open</v>
      </c>
      <c r="J5854" t="s">
        <v>3803</v>
      </c>
      <c r="L5854">
        <v>1010000</v>
      </c>
      <c r="M5854">
        <v>101000</v>
      </c>
    </row>
    <row r="5855" spans="1:13" x14ac:dyDescent="0.25">
      <c r="A5855" t="s">
        <v>19364</v>
      </c>
      <c r="B5855" t="s">
        <v>19365</v>
      </c>
      <c r="C5855" t="s">
        <v>83</v>
      </c>
      <c r="D5855" t="s">
        <v>282</v>
      </c>
      <c r="E5855" t="s">
        <v>18837</v>
      </c>
      <c r="F5855" t="s">
        <v>19096</v>
      </c>
      <c r="G5855" t="s">
        <v>19366</v>
      </c>
      <c r="H5855" t="str">
        <f>HYPERLINK("https://baanknet.com/view-property/228722/A2E3D5CBD3689C94EC147E3FC9BC82A40105B8CDC2AAB698DED3A342E76511CD", "https://baanknet.com/view-property/228722/A2E3D5CBD3689C94EC147E3FC9BC82A40105B8CDC2AAB698DED3A342E76511CD")</f>
        <v>https://baanknet.com/view-property/228722/A2E3D5CBD3689C94EC147E3FC9BC82A40105B8CDC2AAB698DED3A342E76511CD</v>
      </c>
      <c r="I5855" t="str">
        <f>HYPERLINK("https://baanknet.com/view-property/228722/A2E3D5CBD3689C94EC147E3FC9BC82A40105B8CDC2AAB698DED3A342E76511CD", "Open")</f>
        <v>Open</v>
      </c>
      <c r="J5855" t="s">
        <v>3803</v>
      </c>
      <c r="L5855">
        <v>810000</v>
      </c>
      <c r="M5855">
        <v>81000</v>
      </c>
    </row>
    <row r="5856" spans="1:13" x14ac:dyDescent="0.25">
      <c r="A5856" t="s">
        <v>19367</v>
      </c>
      <c r="B5856" t="s">
        <v>19368</v>
      </c>
      <c r="C5856" t="s">
        <v>83</v>
      </c>
      <c r="D5856" t="s">
        <v>19369</v>
      </c>
      <c r="E5856" t="s">
        <v>18837</v>
      </c>
      <c r="F5856" t="s">
        <v>19096</v>
      </c>
      <c r="G5856" t="s">
        <v>19370</v>
      </c>
      <c r="H5856" t="str">
        <f>HYPERLINK("https://baanknet.com/view-property/232736/0F05BA85D1D229B8E575AB7B4682F2B8BC8E1E53C7867112054FC36EDD1DCFB0", "https://baanknet.com/view-property/232736/0F05BA85D1D229B8E575AB7B4682F2B8BC8E1E53C7867112054FC36EDD1DCFB0")</f>
        <v>https://baanknet.com/view-property/232736/0F05BA85D1D229B8E575AB7B4682F2B8BC8E1E53C7867112054FC36EDD1DCFB0</v>
      </c>
      <c r="I5856" t="str">
        <f>HYPERLINK("https://baanknet.com/view-property/232736/0F05BA85D1D229B8E575AB7B4682F2B8BC8E1E53C7867112054FC36EDD1DCFB0", "Open")</f>
        <v>Open</v>
      </c>
      <c r="J5856" t="s">
        <v>3803</v>
      </c>
      <c r="L5856">
        <v>1195000</v>
      </c>
      <c r="M5856">
        <v>119500</v>
      </c>
    </row>
    <row r="5857" spans="1:13" x14ac:dyDescent="0.25">
      <c r="A5857" t="s">
        <v>19371</v>
      </c>
      <c r="B5857" t="s">
        <v>19372</v>
      </c>
      <c r="C5857" t="s">
        <v>83</v>
      </c>
      <c r="D5857" t="s">
        <v>282</v>
      </c>
      <c r="E5857" t="s">
        <v>18837</v>
      </c>
      <c r="F5857" t="s">
        <v>19096</v>
      </c>
      <c r="G5857" t="s">
        <v>19373</v>
      </c>
      <c r="H5857" t="str">
        <f>HYPERLINK("https://baanknet.com/view-property/214086/6F92DEF6C0AC065794B9C2D1567B420BC108B52E49566F06DFE013639989CFF5", "https://baanknet.com/view-property/214086/6F92DEF6C0AC065794B9C2D1567B420BC108B52E49566F06DFE013639989CFF5")</f>
        <v>https://baanknet.com/view-property/214086/6F92DEF6C0AC065794B9C2D1567B420BC108B52E49566F06DFE013639989CFF5</v>
      </c>
      <c r="I5857" t="str">
        <f>HYPERLINK("https://baanknet.com/view-property/214086/6F92DEF6C0AC065794B9C2D1567B420BC108B52E49566F06DFE013639989CFF5", "Open")</f>
        <v>Open</v>
      </c>
      <c r="J5857" t="s">
        <v>3803</v>
      </c>
      <c r="L5857">
        <v>1850000</v>
      </c>
      <c r="M5857">
        <v>185000</v>
      </c>
    </row>
    <row r="5858" spans="1:13" x14ac:dyDescent="0.25">
      <c r="A5858" t="s">
        <v>19374</v>
      </c>
      <c r="B5858" t="s">
        <v>19375</v>
      </c>
      <c r="C5858" t="s">
        <v>83</v>
      </c>
      <c r="D5858" t="s">
        <v>282</v>
      </c>
      <c r="E5858" t="s">
        <v>18837</v>
      </c>
      <c r="F5858" t="s">
        <v>19096</v>
      </c>
      <c r="G5858" t="s">
        <v>19376</v>
      </c>
      <c r="H5858" t="str">
        <f>HYPERLINK("https://baanknet.com/view-property/274726/E3E15319C3EFC703BC70861E54BB8B5EC9CBB9A05687D08E4B8C74F61FA252B9", "https://baanknet.com/view-property/274726/E3E15319C3EFC703BC70861E54BB8B5EC9CBB9A05687D08E4B8C74F61FA252B9")</f>
        <v>https://baanknet.com/view-property/274726/E3E15319C3EFC703BC70861E54BB8B5EC9CBB9A05687D08E4B8C74F61FA252B9</v>
      </c>
      <c r="I5858" t="str">
        <f>HYPERLINK("https://baanknet.com/view-property/274726/E3E15319C3EFC703BC70861E54BB8B5EC9CBB9A05687D08E4B8C74F61FA252B9", "Open")</f>
        <v>Open</v>
      </c>
      <c r="J5858" t="s">
        <v>3803</v>
      </c>
      <c r="L5858">
        <v>1330000</v>
      </c>
      <c r="M5858">
        <v>133000</v>
      </c>
    </row>
    <row r="5859" spans="1:13" x14ac:dyDescent="0.25">
      <c r="A5859" t="s">
        <v>19377</v>
      </c>
      <c r="B5859" t="s">
        <v>19378</v>
      </c>
      <c r="C5859" t="s">
        <v>83</v>
      </c>
      <c r="D5859" t="s">
        <v>10735</v>
      </c>
      <c r="E5859" t="s">
        <v>18837</v>
      </c>
      <c r="F5859" t="s">
        <v>19096</v>
      </c>
      <c r="G5859" t="s">
        <v>19379</v>
      </c>
      <c r="H5859" t="str">
        <f>HYPERLINK("https://baanknet.com/view-property/221539/8504A04411E678AFB5E01786970E9844508E8E4B8339F7BAFEBDFE9469C13323", "https://baanknet.com/view-property/221539/8504A04411E678AFB5E01786970E9844508E8E4B8339F7BAFEBDFE9469C13323")</f>
        <v>https://baanknet.com/view-property/221539/8504A04411E678AFB5E01786970E9844508E8E4B8339F7BAFEBDFE9469C13323</v>
      </c>
      <c r="I5859" t="str">
        <f>HYPERLINK("https://baanknet.com/view-property/221539/8504A04411E678AFB5E01786970E9844508E8E4B8339F7BAFEBDFE9469C13323", "Open")</f>
        <v>Open</v>
      </c>
      <c r="J5859" t="s">
        <v>3803</v>
      </c>
      <c r="L5859">
        <v>882900</v>
      </c>
      <c r="M5859">
        <v>88290</v>
      </c>
    </row>
    <row r="5860" spans="1:13" x14ac:dyDescent="0.25">
      <c r="A5860" t="s">
        <v>19380</v>
      </c>
      <c r="B5860" t="s">
        <v>19381</v>
      </c>
      <c r="C5860" t="s">
        <v>83</v>
      </c>
      <c r="D5860" t="s">
        <v>6003</v>
      </c>
      <c r="E5860" t="s">
        <v>18837</v>
      </c>
      <c r="F5860" t="s">
        <v>19096</v>
      </c>
      <c r="G5860" t="s">
        <v>19382</v>
      </c>
      <c r="H5860" t="str">
        <f>HYPERLINK("https://baanknet.com/view-property/254003/5A41AD8D412377A67FB4A6FEEC87C58483CFDB01E71081FA3E490D61E1B03451", "https://baanknet.com/view-property/254003/5A41AD8D412377A67FB4A6FEEC87C58483CFDB01E71081FA3E490D61E1B03451")</f>
        <v>https://baanknet.com/view-property/254003/5A41AD8D412377A67FB4A6FEEC87C58483CFDB01E71081FA3E490D61E1B03451</v>
      </c>
      <c r="I5860" t="str">
        <f>HYPERLINK("https://baanknet.com/view-property/254003/5A41AD8D412377A67FB4A6FEEC87C58483CFDB01E71081FA3E490D61E1B03451", "Open")</f>
        <v>Open</v>
      </c>
      <c r="J5860" t="s">
        <v>3803</v>
      </c>
      <c r="L5860">
        <v>2961000</v>
      </c>
      <c r="M5860">
        <v>296100</v>
      </c>
    </row>
    <row r="5861" spans="1:13" x14ac:dyDescent="0.25">
      <c r="A5861" t="s">
        <v>19383</v>
      </c>
      <c r="B5861" t="s">
        <v>19384</v>
      </c>
      <c r="C5861" t="s">
        <v>83</v>
      </c>
      <c r="D5861" t="s">
        <v>612</v>
      </c>
      <c r="E5861" t="s">
        <v>18837</v>
      </c>
      <c r="F5861" t="s">
        <v>19096</v>
      </c>
      <c r="G5861" t="s">
        <v>19385</v>
      </c>
      <c r="H5861" t="str">
        <f>HYPERLINK("https://baanknet.com/view-property/286847/74DC4CEFD3F25FFE9B96488B7343D3A8B9A36D398E214DD996493DC13519F3E9", "https://baanknet.com/view-property/286847/74DC4CEFD3F25FFE9B96488B7343D3A8B9A36D398E214DD996493DC13519F3E9")</f>
        <v>https://baanknet.com/view-property/286847/74DC4CEFD3F25FFE9B96488B7343D3A8B9A36D398E214DD996493DC13519F3E9</v>
      </c>
      <c r="I5861" t="str">
        <f>HYPERLINK("https://baanknet.com/view-property/286847/74DC4CEFD3F25FFE9B96488B7343D3A8B9A36D398E214DD996493DC13519F3E9", "Open")</f>
        <v>Open</v>
      </c>
      <c r="J5861" t="s">
        <v>3803</v>
      </c>
      <c r="L5861">
        <v>2200000</v>
      </c>
      <c r="M5861">
        <v>220000</v>
      </c>
    </row>
    <row r="5862" spans="1:13" x14ac:dyDescent="0.25">
      <c r="A5862" t="s">
        <v>19386</v>
      </c>
      <c r="B5862" t="s">
        <v>19387</v>
      </c>
      <c r="C5862" t="s">
        <v>83</v>
      </c>
      <c r="D5862" t="s">
        <v>608</v>
      </c>
      <c r="E5862" t="s">
        <v>18837</v>
      </c>
      <c r="F5862" t="s">
        <v>19096</v>
      </c>
      <c r="G5862" t="s">
        <v>19388</v>
      </c>
      <c r="H5862" t="str">
        <f>HYPERLINK("https://baanknet.com/view-property/284462/A23923FB859B7E22B775BAE3E18F91F6FE88E17283F2D67741CD94813ABA80C2", "https://baanknet.com/view-property/284462/A23923FB859B7E22B775BAE3E18F91F6FE88E17283F2D67741CD94813ABA80C2")</f>
        <v>https://baanknet.com/view-property/284462/A23923FB859B7E22B775BAE3E18F91F6FE88E17283F2D67741CD94813ABA80C2</v>
      </c>
      <c r="I5862" t="str">
        <f>HYPERLINK("https://baanknet.com/view-property/284462/A23923FB859B7E22B775BAE3E18F91F6FE88E17283F2D67741CD94813ABA80C2", "Open")</f>
        <v>Open</v>
      </c>
      <c r="J5862" t="s">
        <v>3803</v>
      </c>
      <c r="L5862">
        <v>6615000</v>
      </c>
      <c r="M5862">
        <v>661500</v>
      </c>
    </row>
    <row r="5863" spans="1:13" x14ac:dyDescent="0.25">
      <c r="A5863" t="s">
        <v>19389</v>
      </c>
      <c r="B5863" t="s">
        <v>19390</v>
      </c>
      <c r="C5863" t="s">
        <v>83</v>
      </c>
      <c r="D5863" t="s">
        <v>6003</v>
      </c>
      <c r="E5863" t="s">
        <v>18837</v>
      </c>
      <c r="F5863" t="s">
        <v>19096</v>
      </c>
      <c r="G5863" t="s">
        <v>19391</v>
      </c>
      <c r="H5863" t="str">
        <f>HYPERLINK("https://baanknet.com/view-property/269773/F39DE08F18D3662883724CD0B8563391337ED5BD317D1528BDB815F66A5546B2", "https://baanknet.com/view-property/269773/F39DE08F18D3662883724CD0B8563391337ED5BD317D1528BDB815F66A5546B2")</f>
        <v>https://baanknet.com/view-property/269773/F39DE08F18D3662883724CD0B8563391337ED5BD317D1528BDB815F66A5546B2</v>
      </c>
      <c r="I5863" t="str">
        <f>HYPERLINK("https://baanknet.com/view-property/269773/F39DE08F18D3662883724CD0B8563391337ED5BD317D1528BDB815F66A5546B2", "Open")</f>
        <v>Open</v>
      </c>
      <c r="J5863" t="s">
        <v>3803</v>
      </c>
      <c r="L5863">
        <v>4866300</v>
      </c>
      <c r="M5863">
        <v>486630</v>
      </c>
    </row>
    <row r="5864" spans="1:13" x14ac:dyDescent="0.25">
      <c r="A5864" t="s">
        <v>19392</v>
      </c>
      <c r="B5864" t="s">
        <v>19393</v>
      </c>
      <c r="C5864" t="s">
        <v>571</v>
      </c>
      <c r="D5864" t="s">
        <v>4661</v>
      </c>
      <c r="E5864" t="s">
        <v>19394</v>
      </c>
      <c r="F5864" t="s">
        <v>19395</v>
      </c>
      <c r="G5864" t="s">
        <v>19396</v>
      </c>
      <c r="H5864" t="str">
        <f>HYPERLINK("https://baanknet.com/view-property/243951/C44E3617BB69D315FE2EABA5F5E6E6EDBF2099E23974A8F85E309179010F741B", "https://baanknet.com/view-property/243951/C44E3617BB69D315FE2EABA5F5E6E6EDBF2099E23974A8F85E309179010F741B")</f>
        <v>https://baanknet.com/view-property/243951/C44E3617BB69D315FE2EABA5F5E6E6EDBF2099E23974A8F85E309179010F741B</v>
      </c>
      <c r="I5864" t="str">
        <f>HYPERLINK("https://baanknet.com/view-property/243951/C44E3617BB69D315FE2EABA5F5E6E6EDBF2099E23974A8F85E309179010F741B", "Open")</f>
        <v>Open</v>
      </c>
      <c r="J5864" t="s">
        <v>3803</v>
      </c>
      <c r="L5864">
        <v>4022000</v>
      </c>
      <c r="M5864">
        <v>402200</v>
      </c>
    </row>
    <row r="5865" spans="1:13" x14ac:dyDescent="0.25">
      <c r="A5865" t="s">
        <v>19397</v>
      </c>
      <c r="B5865" t="s">
        <v>19398</v>
      </c>
      <c r="C5865" t="s">
        <v>571</v>
      </c>
      <c r="D5865" t="s">
        <v>18202</v>
      </c>
      <c r="E5865" t="s">
        <v>19394</v>
      </c>
      <c r="F5865" t="s">
        <v>19395</v>
      </c>
      <c r="G5865" t="s">
        <v>19399</v>
      </c>
      <c r="H5865" t="str">
        <f>HYPERLINK("https://baanknet.com/view-property/256362/0CEEDB4E0EFD32D26E6014DD12128567167DAEBD7965BF8C67EB09561446B631", "https://baanknet.com/view-property/256362/0CEEDB4E0EFD32D26E6014DD12128567167DAEBD7965BF8C67EB09561446B631")</f>
        <v>https://baanknet.com/view-property/256362/0CEEDB4E0EFD32D26E6014DD12128567167DAEBD7965BF8C67EB09561446B631</v>
      </c>
      <c r="I5865" t="str">
        <f>HYPERLINK("https://baanknet.com/view-property/256362/0CEEDB4E0EFD32D26E6014DD12128567167DAEBD7965BF8C67EB09561446B631", "Open")</f>
        <v>Open</v>
      </c>
      <c r="J5865" t="s">
        <v>3803</v>
      </c>
      <c r="L5865">
        <v>15147000</v>
      </c>
      <c r="M5865">
        <v>1514700</v>
      </c>
    </row>
    <row r="5866" spans="1:13" x14ac:dyDescent="0.25">
      <c r="A5866" t="s">
        <v>19400</v>
      </c>
      <c r="B5866" t="s">
        <v>19401</v>
      </c>
      <c r="C5866" t="s">
        <v>332</v>
      </c>
      <c r="D5866" t="s">
        <v>3285</v>
      </c>
      <c r="E5866" t="s">
        <v>19394</v>
      </c>
      <c r="F5866" t="s">
        <v>19395</v>
      </c>
      <c r="G5866" t="s">
        <v>19402</v>
      </c>
      <c r="H5866" t="str">
        <f>HYPERLINK("https://baanknet.com/view-property/282989/A346106C207CF2528D1753A402885DFA763C3F199D43B0DD8139D63345BE4F1B", "https://baanknet.com/view-property/282989/A346106C207CF2528D1753A402885DFA763C3F199D43B0DD8139D63345BE4F1B")</f>
        <v>https://baanknet.com/view-property/282989/A346106C207CF2528D1753A402885DFA763C3F199D43B0DD8139D63345BE4F1B</v>
      </c>
      <c r="I5866" t="str">
        <f>HYPERLINK("https://baanknet.com/view-property/282989/A346106C207CF2528D1753A402885DFA763C3F199D43B0DD8139D63345BE4F1B", "Open")</f>
        <v>Open</v>
      </c>
      <c r="J5866" t="s">
        <v>3803</v>
      </c>
      <c r="L5866">
        <v>10400000</v>
      </c>
      <c r="M5866">
        <v>1040000</v>
      </c>
    </row>
    <row r="5867" spans="1:13" x14ac:dyDescent="0.25">
      <c r="A5867" t="s">
        <v>19403</v>
      </c>
      <c r="B5867" t="s">
        <v>19404</v>
      </c>
      <c r="C5867" t="s">
        <v>571</v>
      </c>
      <c r="D5867" t="s">
        <v>18202</v>
      </c>
      <c r="E5867" t="s">
        <v>19394</v>
      </c>
      <c r="F5867" t="s">
        <v>19395</v>
      </c>
      <c r="G5867" t="s">
        <v>19405</v>
      </c>
      <c r="H5867" t="str">
        <f>HYPERLINK("https://baanknet.com/view-property/256440/F966C6AA7B81C5045FC89E0BE108975EC7508293732AC8A876064CCB90FA0ACC", "https://baanknet.com/view-property/256440/F966C6AA7B81C5045FC89E0BE108975EC7508293732AC8A876064CCB90FA0ACC")</f>
        <v>https://baanknet.com/view-property/256440/F966C6AA7B81C5045FC89E0BE108975EC7508293732AC8A876064CCB90FA0ACC</v>
      </c>
      <c r="I5867" t="str">
        <f>HYPERLINK("https://baanknet.com/view-property/256440/F966C6AA7B81C5045FC89E0BE108975EC7508293732AC8A876064CCB90FA0ACC", "Open")</f>
        <v>Open</v>
      </c>
      <c r="J5867" t="s">
        <v>3803</v>
      </c>
      <c r="L5867">
        <v>3825000</v>
      </c>
      <c r="M5867">
        <v>382500</v>
      </c>
    </row>
    <row r="5868" spans="1:13" x14ac:dyDescent="0.25">
      <c r="A5868" t="s">
        <v>19406</v>
      </c>
      <c r="B5868" t="s">
        <v>19407</v>
      </c>
      <c r="C5868" t="s">
        <v>571</v>
      </c>
      <c r="D5868" t="s">
        <v>518</v>
      </c>
      <c r="E5868" t="s">
        <v>19394</v>
      </c>
      <c r="F5868" t="s">
        <v>19408</v>
      </c>
      <c r="G5868" t="s">
        <v>19409</v>
      </c>
      <c r="H5868" t="str">
        <f>HYPERLINK("https://baanknet.com/view-property/257078/AC79828E938E03EB961026F9835875AF0D9714F9C44EB5C0F8C30409CCEA32A9", "https://baanknet.com/view-property/257078/AC79828E938E03EB961026F9835875AF0D9714F9C44EB5C0F8C30409CCEA32A9")</f>
        <v>https://baanknet.com/view-property/257078/AC79828E938E03EB961026F9835875AF0D9714F9C44EB5C0F8C30409CCEA32A9</v>
      </c>
      <c r="I5868" t="str">
        <f>HYPERLINK("https://baanknet.com/view-property/257078/AC79828E938E03EB961026F9835875AF0D9714F9C44EB5C0F8C30409CCEA32A9", "Open")</f>
        <v>Open</v>
      </c>
      <c r="J5868" t="s">
        <v>3803</v>
      </c>
      <c r="L5868">
        <v>3763000</v>
      </c>
      <c r="M5868">
        <v>376300</v>
      </c>
    </row>
    <row r="5869" spans="1:13" x14ac:dyDescent="0.25">
      <c r="A5869" t="s">
        <v>19410</v>
      </c>
      <c r="B5869" t="s">
        <v>19411</v>
      </c>
      <c r="C5869" t="s">
        <v>571</v>
      </c>
      <c r="D5869" t="s">
        <v>19412</v>
      </c>
      <c r="E5869" t="s">
        <v>19394</v>
      </c>
      <c r="F5869" t="s">
        <v>19408</v>
      </c>
      <c r="G5869" t="s">
        <v>19413</v>
      </c>
      <c r="H5869" t="str">
        <f>HYPERLINK("https://baanknet.com/view-property/208510/248315F25084E4E94B81DC913A638CE81E2D31EF77D192731F5775A640FC7751", "https://baanknet.com/view-property/208510/248315F25084E4E94B81DC913A638CE81E2D31EF77D192731F5775A640FC7751")</f>
        <v>https://baanknet.com/view-property/208510/248315F25084E4E94B81DC913A638CE81E2D31EF77D192731F5775A640FC7751</v>
      </c>
      <c r="I5869" t="str">
        <f>HYPERLINK("https://baanknet.com/view-property/208510/248315F25084E4E94B81DC913A638CE81E2D31EF77D192731F5775A640FC7751", "Open")</f>
        <v>Open</v>
      </c>
      <c r="J5869" t="s">
        <v>3803</v>
      </c>
      <c r="L5869">
        <v>2100000</v>
      </c>
      <c r="M5869">
        <v>210000</v>
      </c>
    </row>
    <row r="5870" spans="1:13" x14ac:dyDescent="0.25">
      <c r="A5870" t="s">
        <v>19414</v>
      </c>
      <c r="B5870" t="s">
        <v>19415</v>
      </c>
      <c r="C5870" t="s">
        <v>571</v>
      </c>
      <c r="D5870" t="s">
        <v>4542</v>
      </c>
      <c r="E5870" t="s">
        <v>19394</v>
      </c>
      <c r="F5870" t="s">
        <v>19408</v>
      </c>
      <c r="G5870" t="s">
        <v>19416</v>
      </c>
      <c r="H5870" t="str">
        <f>HYPERLINK("https://baanknet.com/view-property/112568/63AF143D6C3A14D27EBE3BEE5AD7E6612B33860B62801C25CA21EAA655C5DCDD", "https://baanknet.com/view-property/112568/63AF143D6C3A14D27EBE3BEE5AD7E6612B33860B62801C25CA21EAA655C5DCDD")</f>
        <v>https://baanknet.com/view-property/112568/63AF143D6C3A14D27EBE3BEE5AD7E6612B33860B62801C25CA21EAA655C5DCDD</v>
      </c>
      <c r="I5870" t="str">
        <f>HYPERLINK("https://baanknet.com/view-property/112568/63AF143D6C3A14D27EBE3BEE5AD7E6612B33860B62801C25CA21EAA655C5DCDD", "Open")</f>
        <v>Open</v>
      </c>
      <c r="J5870" t="s">
        <v>3803</v>
      </c>
      <c r="L5870">
        <v>1800000</v>
      </c>
      <c r="M5870">
        <v>180000</v>
      </c>
    </row>
    <row r="5871" spans="1:13" x14ac:dyDescent="0.25">
      <c r="A5871" t="s">
        <v>19417</v>
      </c>
      <c r="B5871" t="s">
        <v>19418</v>
      </c>
      <c r="C5871" t="s">
        <v>726</v>
      </c>
      <c r="D5871" t="s">
        <v>4391</v>
      </c>
      <c r="E5871" t="s">
        <v>19419</v>
      </c>
      <c r="F5871" t="s">
        <v>19420</v>
      </c>
      <c r="G5871" t="s">
        <v>19421</v>
      </c>
      <c r="H5871" t="str">
        <f>HYPERLINK("https://baanknet.com/view-property/288069/35872AD83C098EF850926FB21F2FE0DC05DD03A98F9673C076C99E7CA513B8C9", "https://baanknet.com/view-property/288069/35872AD83C098EF850926FB21F2FE0DC05DD03A98F9673C076C99E7CA513B8C9")</f>
        <v>https://baanknet.com/view-property/288069/35872AD83C098EF850926FB21F2FE0DC05DD03A98F9673C076C99E7CA513B8C9</v>
      </c>
      <c r="I5871" t="str">
        <f>HYPERLINK("https://baanknet.com/view-property/288069/35872AD83C098EF850926FB21F2FE0DC05DD03A98F9673C076C99E7CA513B8C9", "Open")</f>
        <v>Open</v>
      </c>
      <c r="J5871" t="s">
        <v>3803</v>
      </c>
      <c r="L5871">
        <v>8350000</v>
      </c>
      <c r="M5871">
        <v>835000</v>
      </c>
    </row>
    <row r="5872" spans="1:13" x14ac:dyDescent="0.25">
      <c r="A5872" t="s">
        <v>19422</v>
      </c>
      <c r="B5872" t="s">
        <v>19423</v>
      </c>
      <c r="C5872" t="s">
        <v>121</v>
      </c>
      <c r="D5872" t="s">
        <v>1141</v>
      </c>
      <c r="E5872" t="s">
        <v>19424</v>
      </c>
      <c r="F5872" t="s">
        <v>19425</v>
      </c>
      <c r="G5872" t="s">
        <v>19426</v>
      </c>
      <c r="H5872" t="str">
        <f>HYPERLINK("https://baanknet.com/view-property/173634/12792D6471EE146DB6166D20A1D87E27C75C1B8470CB315737111527105D59C2", "https://baanknet.com/view-property/173634/12792D6471EE146DB6166D20A1D87E27C75C1B8470CB315737111527105D59C2")</f>
        <v>https://baanknet.com/view-property/173634/12792D6471EE146DB6166D20A1D87E27C75C1B8470CB315737111527105D59C2</v>
      </c>
      <c r="I5872" t="str">
        <f>HYPERLINK("https://baanknet.com/view-property/173634/12792D6471EE146DB6166D20A1D87E27C75C1B8470CB315737111527105D59C2", "Open")</f>
        <v>Open</v>
      </c>
      <c r="J5872" t="s">
        <v>3803</v>
      </c>
      <c r="L5872">
        <v>2932500</v>
      </c>
      <c r="M5872">
        <v>293250</v>
      </c>
    </row>
    <row r="5873" spans="1:13" x14ac:dyDescent="0.25">
      <c r="A5873" t="s">
        <v>19427</v>
      </c>
      <c r="B5873" t="s">
        <v>19428</v>
      </c>
      <c r="C5873" t="s">
        <v>144</v>
      </c>
      <c r="D5873" t="s">
        <v>18791</v>
      </c>
      <c r="E5873" t="s">
        <v>19424</v>
      </c>
      <c r="F5873" t="s">
        <v>19429</v>
      </c>
      <c r="G5873" t="s">
        <v>19430</v>
      </c>
      <c r="H5873" t="str">
        <f>HYPERLINK("https://baanknet.com/view-property/286139/3174D6A2D7A2E1BE8AD46E20E324FE8339DD6D4837E27CE4FC4940F9B0A46B66", "https://baanknet.com/view-property/286139/3174D6A2D7A2E1BE8AD46E20E324FE8339DD6D4837E27CE4FC4940F9B0A46B66")</f>
        <v>https://baanknet.com/view-property/286139/3174D6A2D7A2E1BE8AD46E20E324FE8339DD6D4837E27CE4FC4940F9B0A46B66</v>
      </c>
      <c r="I5873" t="str">
        <f>HYPERLINK("https://baanknet.com/view-property/286139/3174D6A2D7A2E1BE8AD46E20E324FE8339DD6D4837E27CE4FC4940F9B0A46B66", "Open")</f>
        <v>Open</v>
      </c>
      <c r="J5873" t="s">
        <v>3803</v>
      </c>
      <c r="L5873">
        <v>8270000</v>
      </c>
      <c r="M5873">
        <v>827000</v>
      </c>
    </row>
    <row r="5874" spans="1:13" x14ac:dyDescent="0.25">
      <c r="A5874" t="s">
        <v>19431</v>
      </c>
      <c r="B5874" t="s">
        <v>19432</v>
      </c>
      <c r="C5874" t="s">
        <v>332</v>
      </c>
      <c r="D5874" t="s">
        <v>8454</v>
      </c>
      <c r="E5874" t="s">
        <v>19424</v>
      </c>
      <c r="F5874" t="s">
        <v>19395</v>
      </c>
      <c r="G5874" t="s">
        <v>19433</v>
      </c>
      <c r="H5874" t="str">
        <f>HYPERLINK("https://baanknet.com/view-property/287057/9F5B33FD81FF533DF5AA77B647794528219CAA1016C4622ED321740C701FF144", "https://baanknet.com/view-property/287057/9F5B33FD81FF533DF5AA77B647794528219CAA1016C4622ED321740C701FF144")</f>
        <v>https://baanknet.com/view-property/287057/9F5B33FD81FF533DF5AA77B647794528219CAA1016C4622ED321740C701FF144</v>
      </c>
      <c r="I5874" t="str">
        <f>HYPERLINK("https://baanknet.com/view-property/287057/9F5B33FD81FF533DF5AA77B647794528219CAA1016C4622ED321740C701FF144", "Open")</f>
        <v>Open</v>
      </c>
      <c r="J5874" t="s">
        <v>3803</v>
      </c>
      <c r="L5874">
        <v>3100000</v>
      </c>
      <c r="M5874">
        <v>310000</v>
      </c>
    </row>
    <row r="5875" spans="1:13" x14ac:dyDescent="0.25">
      <c r="A5875" t="s">
        <v>19434</v>
      </c>
      <c r="B5875" t="s">
        <v>19435</v>
      </c>
      <c r="C5875" t="s">
        <v>571</v>
      </c>
      <c r="D5875" t="s">
        <v>84</v>
      </c>
      <c r="E5875" t="s">
        <v>19424</v>
      </c>
      <c r="F5875" t="s">
        <v>19395</v>
      </c>
      <c r="G5875" t="s">
        <v>19436</v>
      </c>
      <c r="H5875" t="str">
        <f>HYPERLINK("https://baanknet.com/view-property/262503/A25BE3F2BA87AEA91F97B674069BB6425A09D2091BF76138EA314096CCB9B030", "https://baanknet.com/view-property/262503/A25BE3F2BA87AEA91F97B674069BB6425A09D2091BF76138EA314096CCB9B030")</f>
        <v>https://baanknet.com/view-property/262503/A25BE3F2BA87AEA91F97B674069BB6425A09D2091BF76138EA314096CCB9B030</v>
      </c>
      <c r="I5875" t="str">
        <f>HYPERLINK("https://baanknet.com/view-property/262503/A25BE3F2BA87AEA91F97B674069BB6425A09D2091BF76138EA314096CCB9B030", "Open")</f>
        <v>Open</v>
      </c>
      <c r="J5875" t="s">
        <v>3803</v>
      </c>
      <c r="L5875">
        <v>5130000</v>
      </c>
      <c r="M5875">
        <v>513000</v>
      </c>
    </row>
    <row r="5876" spans="1:13" x14ac:dyDescent="0.25">
      <c r="A5876" t="s">
        <v>19437</v>
      </c>
      <c r="B5876" t="s">
        <v>19438</v>
      </c>
      <c r="C5876" t="s">
        <v>571</v>
      </c>
      <c r="D5876" t="s">
        <v>84</v>
      </c>
      <c r="E5876" t="s">
        <v>19424</v>
      </c>
      <c r="F5876" t="s">
        <v>19395</v>
      </c>
      <c r="G5876" t="s">
        <v>19439</v>
      </c>
      <c r="H5876" t="str">
        <f>HYPERLINK("https://baanknet.com/view-property/262506/B61C029E35DFF82D2E4489533CDBF6B42320FAE413E10896CF47887EA9A89BB3", "https://baanknet.com/view-property/262506/B61C029E35DFF82D2E4489533CDBF6B42320FAE413E10896CF47887EA9A89BB3")</f>
        <v>https://baanknet.com/view-property/262506/B61C029E35DFF82D2E4489533CDBF6B42320FAE413E10896CF47887EA9A89BB3</v>
      </c>
      <c r="I5876" t="str">
        <f>HYPERLINK("https://baanknet.com/view-property/262506/B61C029E35DFF82D2E4489533CDBF6B42320FAE413E10896CF47887EA9A89BB3", "Open")</f>
        <v>Open</v>
      </c>
      <c r="J5876" t="s">
        <v>3803</v>
      </c>
      <c r="L5876">
        <v>8000000</v>
      </c>
      <c r="M5876">
        <v>800000</v>
      </c>
    </row>
    <row r="5877" spans="1:13" x14ac:dyDescent="0.25">
      <c r="A5877" t="s">
        <v>19440</v>
      </c>
      <c r="B5877" t="s">
        <v>19441</v>
      </c>
      <c r="C5877" t="s">
        <v>332</v>
      </c>
      <c r="D5877" t="s">
        <v>3213</v>
      </c>
      <c r="E5877" t="s">
        <v>19424</v>
      </c>
      <c r="F5877" t="s">
        <v>19395</v>
      </c>
      <c r="G5877" t="s">
        <v>19442</v>
      </c>
      <c r="H5877" t="str">
        <f>HYPERLINK("https://baanknet.com/view-property/240337/C5D03681818B610AE3AAA0F5AF0FD7F86B85CF1E2B03FAD13DE129908C3FC015", "https://baanknet.com/view-property/240337/C5D03681818B610AE3AAA0F5AF0FD7F86B85CF1E2B03FAD13DE129908C3FC015")</f>
        <v>https://baanknet.com/view-property/240337/C5D03681818B610AE3AAA0F5AF0FD7F86B85CF1E2B03FAD13DE129908C3FC015</v>
      </c>
      <c r="I5877" t="str">
        <f>HYPERLINK("https://baanknet.com/view-property/240337/C5D03681818B610AE3AAA0F5AF0FD7F86B85CF1E2B03FAD13DE129908C3FC015", "Open")</f>
        <v>Open</v>
      </c>
      <c r="J5877" t="s">
        <v>3803</v>
      </c>
      <c r="L5877">
        <v>2459000</v>
      </c>
      <c r="M5877">
        <v>245900</v>
      </c>
    </row>
    <row r="5878" spans="1:13" x14ac:dyDescent="0.25">
      <c r="A5878" t="s">
        <v>19443</v>
      </c>
      <c r="B5878" t="s">
        <v>19444</v>
      </c>
      <c r="C5878" t="s">
        <v>121</v>
      </c>
      <c r="D5878" t="s">
        <v>304</v>
      </c>
      <c r="E5878" t="s">
        <v>19424</v>
      </c>
      <c r="F5878" t="s">
        <v>19395</v>
      </c>
      <c r="G5878" t="s">
        <v>19445</v>
      </c>
      <c r="H5878" t="str">
        <f>HYPERLINK("https://baanknet.com/view-property/271373/35AE62AF96183AC5574810005B8C28E6795B4FCB64C76ED8B7DA1ACA96F4CE67", "https://baanknet.com/view-property/271373/35AE62AF96183AC5574810005B8C28E6795B4FCB64C76ED8B7DA1ACA96F4CE67")</f>
        <v>https://baanknet.com/view-property/271373/35AE62AF96183AC5574810005B8C28E6795B4FCB64C76ED8B7DA1ACA96F4CE67</v>
      </c>
      <c r="I5878" t="str">
        <f>HYPERLINK("https://baanknet.com/view-property/271373/35AE62AF96183AC5574810005B8C28E6795B4FCB64C76ED8B7DA1ACA96F4CE67", "Open")</f>
        <v>Open</v>
      </c>
      <c r="J5878" t="s">
        <v>3803</v>
      </c>
      <c r="L5878">
        <v>17687000</v>
      </c>
      <c r="M5878">
        <v>1768700</v>
      </c>
    </row>
    <row r="5879" spans="1:13" x14ac:dyDescent="0.25">
      <c r="A5879" t="s">
        <v>19446</v>
      </c>
      <c r="B5879" t="s">
        <v>19447</v>
      </c>
      <c r="C5879" t="s">
        <v>571</v>
      </c>
      <c r="D5879" t="s">
        <v>19448</v>
      </c>
      <c r="E5879" t="s">
        <v>19424</v>
      </c>
      <c r="F5879" t="s">
        <v>19395</v>
      </c>
      <c r="G5879" t="s">
        <v>19449</v>
      </c>
      <c r="H5879" t="str">
        <f>HYPERLINK("https://baanknet.com/view-property/283820/1BA7B76D2BD3D5D5F9A9194CA141E1DD4F6E62722319B692F34E3F718DB970DE", "https://baanknet.com/view-property/283820/1BA7B76D2BD3D5D5F9A9194CA141E1DD4F6E62722319B692F34E3F718DB970DE")</f>
        <v>https://baanknet.com/view-property/283820/1BA7B76D2BD3D5D5F9A9194CA141E1DD4F6E62722319B692F34E3F718DB970DE</v>
      </c>
      <c r="I5879" t="str">
        <f>HYPERLINK("https://baanknet.com/view-property/283820/1BA7B76D2BD3D5D5F9A9194CA141E1DD4F6E62722319B692F34E3F718DB970DE", "Open")</f>
        <v>Open</v>
      </c>
      <c r="J5879" t="s">
        <v>3803</v>
      </c>
      <c r="L5879">
        <v>67500000</v>
      </c>
      <c r="M5879">
        <v>6750000</v>
      </c>
    </row>
    <row r="5880" spans="1:13" x14ac:dyDescent="0.25">
      <c r="A5880" t="s">
        <v>19450</v>
      </c>
      <c r="B5880" t="s">
        <v>19451</v>
      </c>
      <c r="C5880" t="s">
        <v>571</v>
      </c>
      <c r="D5880" t="s">
        <v>19448</v>
      </c>
      <c r="E5880" t="s">
        <v>19424</v>
      </c>
      <c r="F5880" t="s">
        <v>19395</v>
      </c>
      <c r="G5880" t="s">
        <v>19452</v>
      </c>
      <c r="H5880" t="str">
        <f>HYPERLINK("https://baanknet.com/view-property/283822/DAA918F6DFB2EF424E47417A766749E04FF47D9A97720F9C0A829B87F055C690", "https://baanknet.com/view-property/283822/DAA918F6DFB2EF424E47417A766749E04FF47D9A97720F9C0A829B87F055C690")</f>
        <v>https://baanknet.com/view-property/283822/DAA918F6DFB2EF424E47417A766749E04FF47D9A97720F9C0A829B87F055C690</v>
      </c>
      <c r="I5880" t="str">
        <f>HYPERLINK("https://baanknet.com/view-property/283822/DAA918F6DFB2EF424E47417A766749E04FF47D9A97720F9C0A829B87F055C690", "Open")</f>
        <v>Open</v>
      </c>
      <c r="J5880" t="s">
        <v>3803</v>
      </c>
      <c r="L5880">
        <v>33300000</v>
      </c>
      <c r="M5880">
        <v>3330000</v>
      </c>
    </row>
    <row r="5881" spans="1:13" x14ac:dyDescent="0.25">
      <c r="A5881" t="s">
        <v>19453</v>
      </c>
      <c r="B5881" t="s">
        <v>19454</v>
      </c>
      <c r="C5881" t="s">
        <v>571</v>
      </c>
      <c r="D5881" t="s">
        <v>13699</v>
      </c>
      <c r="E5881" t="s">
        <v>19424</v>
      </c>
      <c r="F5881" t="s">
        <v>19395</v>
      </c>
      <c r="G5881" t="s">
        <v>19455</v>
      </c>
      <c r="H5881" t="str">
        <f>HYPERLINK("https://baanknet.com/view-property/283824/4E1CE8A3CE9EF4A5975415257CE39EE636EB3655262171188813B75D0DA2DD4E", "https://baanknet.com/view-property/283824/4E1CE8A3CE9EF4A5975415257CE39EE636EB3655262171188813B75D0DA2DD4E")</f>
        <v>https://baanknet.com/view-property/283824/4E1CE8A3CE9EF4A5975415257CE39EE636EB3655262171188813B75D0DA2DD4E</v>
      </c>
      <c r="I5881" t="str">
        <f>HYPERLINK("https://baanknet.com/view-property/283824/4E1CE8A3CE9EF4A5975415257CE39EE636EB3655262171188813B75D0DA2DD4E", "Open")</f>
        <v>Open</v>
      </c>
      <c r="J5881" t="s">
        <v>3803</v>
      </c>
      <c r="L5881">
        <v>6185000</v>
      </c>
      <c r="M5881">
        <v>618500</v>
      </c>
    </row>
    <row r="5882" spans="1:13" x14ac:dyDescent="0.25">
      <c r="A5882" t="s">
        <v>19456</v>
      </c>
      <c r="B5882" t="s">
        <v>19457</v>
      </c>
      <c r="C5882" t="s">
        <v>121</v>
      </c>
      <c r="D5882" t="s">
        <v>304</v>
      </c>
      <c r="E5882" t="s">
        <v>19424</v>
      </c>
      <c r="F5882" t="s">
        <v>19395</v>
      </c>
      <c r="G5882" t="s">
        <v>19458</v>
      </c>
      <c r="H5882" t="str">
        <f>HYPERLINK("https://baanknet.com/view-property/178288/E5928FED2CF19924A182F54C24FF38370C9DC0F9DA7367A719F9234317566DBC", "https://baanknet.com/view-property/178288/E5928FED2CF19924A182F54C24FF38370C9DC0F9DA7367A719F9234317566DBC")</f>
        <v>https://baanknet.com/view-property/178288/E5928FED2CF19924A182F54C24FF38370C9DC0F9DA7367A719F9234317566DBC</v>
      </c>
      <c r="I5882" t="str">
        <f>HYPERLINK("https://baanknet.com/view-property/178288/E5928FED2CF19924A182F54C24FF38370C9DC0F9DA7367A719F9234317566DBC", "Open")</f>
        <v>Open</v>
      </c>
      <c r="J5882" t="s">
        <v>3803</v>
      </c>
      <c r="L5882">
        <v>3054475</v>
      </c>
      <c r="M5882">
        <v>305447.5</v>
      </c>
    </row>
    <row r="5883" spans="1:13" x14ac:dyDescent="0.25">
      <c r="A5883" t="s">
        <v>19459</v>
      </c>
      <c r="B5883" t="s">
        <v>19460</v>
      </c>
      <c r="C5883" t="s">
        <v>332</v>
      </c>
      <c r="D5883" t="s">
        <v>1246</v>
      </c>
      <c r="E5883" t="s">
        <v>19424</v>
      </c>
      <c r="F5883" t="s">
        <v>19395</v>
      </c>
      <c r="G5883" t="s">
        <v>19461</v>
      </c>
      <c r="H5883" t="str">
        <f>HYPERLINK("https://baanknet.com/view-property/85794/9074475B26B8F9F0E950286CD3E20CF448671B1FF399EDA8A59179D4EE793382", "https://baanknet.com/view-property/85794/9074475B26B8F9F0E950286CD3E20CF448671B1FF399EDA8A59179D4EE793382")</f>
        <v>https://baanknet.com/view-property/85794/9074475B26B8F9F0E950286CD3E20CF448671B1FF399EDA8A59179D4EE793382</v>
      </c>
      <c r="I5883" t="str">
        <f>HYPERLINK("https://baanknet.com/view-property/85794/9074475B26B8F9F0E950286CD3E20CF448671B1FF399EDA8A59179D4EE793382", "Open")</f>
        <v>Open</v>
      </c>
      <c r="J5883" t="s">
        <v>3803</v>
      </c>
      <c r="L5883">
        <v>7500000</v>
      </c>
      <c r="M5883">
        <v>750000</v>
      </c>
    </row>
    <row r="5884" spans="1:13" x14ac:dyDescent="0.25">
      <c r="A5884" t="s">
        <v>19462</v>
      </c>
      <c r="B5884" t="s">
        <v>19463</v>
      </c>
      <c r="C5884" t="s">
        <v>332</v>
      </c>
      <c r="D5884" t="s">
        <v>1246</v>
      </c>
      <c r="E5884" t="s">
        <v>19424</v>
      </c>
      <c r="F5884" t="s">
        <v>19395</v>
      </c>
      <c r="G5884" t="s">
        <v>19464</v>
      </c>
      <c r="H5884" t="str">
        <f>HYPERLINK("https://baanknet.com/view-property/279298/2DB101A0D174AAB573BF0EEC7AA9902BD26F182A23B2951506E2FED27BB7E74D", "https://baanknet.com/view-property/279298/2DB101A0D174AAB573BF0EEC7AA9902BD26F182A23B2951506E2FED27BB7E74D")</f>
        <v>https://baanknet.com/view-property/279298/2DB101A0D174AAB573BF0EEC7AA9902BD26F182A23B2951506E2FED27BB7E74D</v>
      </c>
      <c r="I5884" t="str">
        <f>HYPERLINK("https://baanknet.com/view-property/279298/2DB101A0D174AAB573BF0EEC7AA9902BD26F182A23B2951506E2FED27BB7E74D", "Open")</f>
        <v>Open</v>
      </c>
      <c r="J5884" t="s">
        <v>3803</v>
      </c>
      <c r="L5884">
        <v>3825000</v>
      </c>
      <c r="M5884">
        <v>382500</v>
      </c>
    </row>
    <row r="5885" spans="1:13" x14ac:dyDescent="0.25">
      <c r="A5885" t="s">
        <v>19465</v>
      </c>
      <c r="B5885" t="s">
        <v>19466</v>
      </c>
      <c r="C5885" t="s">
        <v>332</v>
      </c>
      <c r="D5885" t="s">
        <v>1323</v>
      </c>
      <c r="E5885" t="s">
        <v>19424</v>
      </c>
      <c r="F5885" t="s">
        <v>19395</v>
      </c>
      <c r="G5885" t="s">
        <v>19467</v>
      </c>
      <c r="H5885" t="str">
        <f>HYPERLINK("https://baanknet.com/view-property/287735/96B8519F94407C35BE1014C65CB32C3C2CF56029CB19415644D036540A4CA41F", "https://baanknet.com/view-property/287735/96B8519F94407C35BE1014C65CB32C3C2CF56029CB19415644D036540A4CA41F")</f>
        <v>https://baanknet.com/view-property/287735/96B8519F94407C35BE1014C65CB32C3C2CF56029CB19415644D036540A4CA41F</v>
      </c>
      <c r="I5885" t="str">
        <f>HYPERLINK("https://baanknet.com/view-property/287735/96B8519F94407C35BE1014C65CB32C3C2CF56029CB19415644D036540A4CA41F", "Open")</f>
        <v>Open</v>
      </c>
      <c r="J5885" t="s">
        <v>3803</v>
      </c>
      <c r="L5885">
        <v>6156000</v>
      </c>
      <c r="M5885">
        <v>615600</v>
      </c>
    </row>
    <row r="5886" spans="1:13" x14ac:dyDescent="0.25">
      <c r="A5886" t="s">
        <v>19468</v>
      </c>
      <c r="B5886" t="s">
        <v>19469</v>
      </c>
      <c r="C5886" t="s">
        <v>571</v>
      </c>
      <c r="D5886" t="s">
        <v>19470</v>
      </c>
      <c r="E5886" t="s">
        <v>19424</v>
      </c>
      <c r="F5886" t="s">
        <v>19408</v>
      </c>
      <c r="G5886" t="s">
        <v>19471</v>
      </c>
      <c r="H5886" t="str">
        <f>HYPERLINK("https://baanknet.com/view-property/285258/E2FEB68685C6018DF50D3A577C818959DE41D97FC44823934DCD17DDB9E98BCE", "https://baanknet.com/view-property/285258/E2FEB68685C6018DF50D3A577C818959DE41D97FC44823934DCD17DDB9E98BCE")</f>
        <v>https://baanknet.com/view-property/285258/E2FEB68685C6018DF50D3A577C818959DE41D97FC44823934DCD17DDB9E98BCE</v>
      </c>
      <c r="I5886" t="str">
        <f>HYPERLINK("https://baanknet.com/view-property/285258/E2FEB68685C6018DF50D3A577C818959DE41D97FC44823934DCD17DDB9E98BCE", "Open")</f>
        <v>Open</v>
      </c>
      <c r="J5886" t="s">
        <v>3803</v>
      </c>
      <c r="L5886">
        <v>1488000</v>
      </c>
      <c r="M5886">
        <v>148800</v>
      </c>
    </row>
    <row r="5887" spans="1:13" x14ac:dyDescent="0.25">
      <c r="A5887" t="s">
        <v>19472</v>
      </c>
      <c r="B5887" t="s">
        <v>19473</v>
      </c>
      <c r="C5887" t="s">
        <v>571</v>
      </c>
      <c r="D5887" t="s">
        <v>19474</v>
      </c>
      <c r="E5887" t="s">
        <v>19424</v>
      </c>
      <c r="F5887" t="s">
        <v>19408</v>
      </c>
      <c r="G5887" t="s">
        <v>19475</v>
      </c>
      <c r="H5887" t="str">
        <f>HYPERLINK("https://baanknet.com/view-property/96385/399A0E57DCCF891C9D13CE2B4EFBA49BB4AEA1B7D8605A7CAB2B5E06508C6B97", "https://baanknet.com/view-property/96385/399A0E57DCCF891C9D13CE2B4EFBA49BB4AEA1B7D8605A7CAB2B5E06508C6B97")</f>
        <v>https://baanknet.com/view-property/96385/399A0E57DCCF891C9D13CE2B4EFBA49BB4AEA1B7D8605A7CAB2B5E06508C6B97</v>
      </c>
      <c r="I5887" t="str">
        <f>HYPERLINK("https://baanknet.com/view-property/96385/399A0E57DCCF891C9D13CE2B4EFBA49BB4AEA1B7D8605A7CAB2B5E06508C6B97", "Open")</f>
        <v>Open</v>
      </c>
      <c r="J5887" t="s">
        <v>3803</v>
      </c>
      <c r="L5887">
        <v>6160000</v>
      </c>
      <c r="M5887">
        <v>616000</v>
      </c>
    </row>
    <row r="5888" spans="1:13" x14ac:dyDescent="0.25">
      <c r="A5888" t="s">
        <v>19476</v>
      </c>
      <c r="B5888" t="s">
        <v>19477</v>
      </c>
      <c r="C5888" t="s">
        <v>571</v>
      </c>
      <c r="D5888" t="s">
        <v>937</v>
      </c>
      <c r="E5888" t="s">
        <v>19424</v>
      </c>
      <c r="F5888" t="s">
        <v>19408</v>
      </c>
      <c r="G5888" t="s">
        <v>19478</v>
      </c>
      <c r="H5888" t="str">
        <f>HYPERLINK("https://baanknet.com/view-property/275333/2E43168327CE88BA38DD43E250650B5A94F514BA9DFEDF2872F5992BBE33A9BF", "https://baanknet.com/view-property/275333/2E43168327CE88BA38DD43E250650B5A94F514BA9DFEDF2872F5992BBE33A9BF")</f>
        <v>https://baanknet.com/view-property/275333/2E43168327CE88BA38DD43E250650B5A94F514BA9DFEDF2872F5992BBE33A9BF</v>
      </c>
      <c r="I5888" t="str">
        <f>HYPERLINK("https://baanknet.com/view-property/275333/2E43168327CE88BA38DD43E250650B5A94F514BA9DFEDF2872F5992BBE33A9BF", "Open")</f>
        <v>Open</v>
      </c>
      <c r="J5888" t="s">
        <v>3803</v>
      </c>
      <c r="L5888">
        <v>1463000</v>
      </c>
      <c r="M5888">
        <v>146300</v>
      </c>
    </row>
    <row r="5889" spans="1:13" x14ac:dyDescent="0.25">
      <c r="A5889" t="s">
        <v>19479</v>
      </c>
      <c r="B5889" t="s">
        <v>19480</v>
      </c>
      <c r="C5889" t="s">
        <v>571</v>
      </c>
      <c r="D5889" t="s">
        <v>950</v>
      </c>
      <c r="E5889" t="s">
        <v>19424</v>
      </c>
      <c r="F5889" t="s">
        <v>19408</v>
      </c>
      <c r="G5889" t="s">
        <v>19481</v>
      </c>
      <c r="H5889" t="str">
        <f>HYPERLINK("https://baanknet.com/view-property/273113/B22304E5CE4973A887452EBC68FFEABB57453707AFF868CED31786FFACF00FEB", "https://baanknet.com/view-property/273113/B22304E5CE4973A887452EBC68FFEABB57453707AFF868CED31786FFACF00FEB")</f>
        <v>https://baanknet.com/view-property/273113/B22304E5CE4973A887452EBC68FFEABB57453707AFF868CED31786FFACF00FEB</v>
      </c>
      <c r="I5889" t="str">
        <f>HYPERLINK("https://baanknet.com/view-property/273113/B22304E5CE4973A887452EBC68FFEABB57453707AFF868CED31786FFACF00FEB", "Open")</f>
        <v>Open</v>
      </c>
      <c r="J5889" t="s">
        <v>3803</v>
      </c>
      <c r="L5889">
        <v>3200000</v>
      </c>
      <c r="M5889">
        <v>320000</v>
      </c>
    </row>
    <row r="5890" spans="1:13" x14ac:dyDescent="0.25">
      <c r="A5890" t="s">
        <v>19482</v>
      </c>
      <c r="B5890" t="s">
        <v>19483</v>
      </c>
      <c r="C5890" t="s">
        <v>571</v>
      </c>
      <c r="D5890" t="s">
        <v>1300</v>
      </c>
      <c r="E5890" t="s">
        <v>19424</v>
      </c>
      <c r="F5890" t="s">
        <v>19408</v>
      </c>
      <c r="G5890" t="s">
        <v>19484</v>
      </c>
      <c r="H5890" t="str">
        <f>HYPERLINK("https://baanknet.com/view-property/284085/C6AF46966FA939DBFCA8A46ED3732C63EB0EED692E03D04C4F331CCFBD41671E", "https://baanknet.com/view-property/284085/C6AF46966FA939DBFCA8A46ED3732C63EB0EED692E03D04C4F331CCFBD41671E")</f>
        <v>https://baanknet.com/view-property/284085/C6AF46966FA939DBFCA8A46ED3732C63EB0EED692E03D04C4F331CCFBD41671E</v>
      </c>
      <c r="I5890" t="str">
        <f>HYPERLINK("https://baanknet.com/view-property/284085/C6AF46966FA939DBFCA8A46ED3732C63EB0EED692E03D04C4F331CCFBD41671E", "Open")</f>
        <v>Open</v>
      </c>
      <c r="J5890" t="s">
        <v>3803</v>
      </c>
      <c r="L5890">
        <v>12582000</v>
      </c>
      <c r="M5890">
        <v>1258200</v>
      </c>
    </row>
    <row r="5891" spans="1:13" x14ac:dyDescent="0.25">
      <c r="A5891" t="s">
        <v>19485</v>
      </c>
      <c r="B5891" t="s">
        <v>19486</v>
      </c>
      <c r="C5891" t="s">
        <v>571</v>
      </c>
      <c r="D5891" t="s">
        <v>3351</v>
      </c>
      <c r="E5891" t="s">
        <v>19424</v>
      </c>
      <c r="F5891" t="s">
        <v>19408</v>
      </c>
      <c r="G5891" t="s">
        <v>19487</v>
      </c>
      <c r="H5891" t="str">
        <f>HYPERLINK("https://baanknet.com/view-property/288041/93AE65F20176AD8D526C91E72CEF0773642A19B7D5E9A019D3F2C36E67C3DA2A", "https://baanknet.com/view-property/288041/93AE65F20176AD8D526C91E72CEF0773642A19B7D5E9A019D3F2C36E67C3DA2A")</f>
        <v>https://baanknet.com/view-property/288041/93AE65F20176AD8D526C91E72CEF0773642A19B7D5E9A019D3F2C36E67C3DA2A</v>
      </c>
      <c r="I5891" t="str">
        <f>HYPERLINK("https://baanknet.com/view-property/288041/93AE65F20176AD8D526C91E72CEF0773642A19B7D5E9A019D3F2C36E67C3DA2A", "Open")</f>
        <v>Open</v>
      </c>
      <c r="J5891" t="s">
        <v>3803</v>
      </c>
      <c r="L5891">
        <v>5828000</v>
      </c>
      <c r="M5891">
        <v>582800</v>
      </c>
    </row>
    <row r="5892" spans="1:13" x14ac:dyDescent="0.25">
      <c r="A5892" t="s">
        <v>19488</v>
      </c>
      <c r="B5892" t="s">
        <v>19489</v>
      </c>
      <c r="C5892" t="s">
        <v>571</v>
      </c>
      <c r="D5892" t="s">
        <v>149</v>
      </c>
      <c r="E5892" t="s">
        <v>19424</v>
      </c>
      <c r="F5892" t="s">
        <v>19408</v>
      </c>
      <c r="G5892" t="s">
        <v>19490</v>
      </c>
      <c r="H5892" t="str">
        <f>HYPERLINK("https://baanknet.com/view-property/288054/775D5E87E81F4CA6D4AE652DB8A0F1F398F86E521BF3C2ECC458CD6C1A0694F6", "https://baanknet.com/view-property/288054/775D5E87E81F4CA6D4AE652DB8A0F1F398F86E521BF3C2ECC458CD6C1A0694F6")</f>
        <v>https://baanknet.com/view-property/288054/775D5E87E81F4CA6D4AE652DB8A0F1F398F86E521BF3C2ECC458CD6C1A0694F6</v>
      </c>
      <c r="I5892" t="str">
        <f>HYPERLINK("https://baanknet.com/view-property/288054/775D5E87E81F4CA6D4AE652DB8A0F1F398F86E521BF3C2ECC458CD6C1A0694F6", "Open")</f>
        <v>Open</v>
      </c>
      <c r="J5892" t="s">
        <v>3803</v>
      </c>
      <c r="L5892">
        <v>9450000</v>
      </c>
      <c r="M5892">
        <v>945000</v>
      </c>
    </row>
    <row r="5893" spans="1:13" x14ac:dyDescent="0.25">
      <c r="A5893" t="s">
        <v>19491</v>
      </c>
      <c r="B5893" t="s">
        <v>19492</v>
      </c>
      <c r="C5893" t="s">
        <v>15</v>
      </c>
      <c r="D5893" t="s">
        <v>1246</v>
      </c>
      <c r="E5893" t="s">
        <v>19420</v>
      </c>
      <c r="F5893" t="s">
        <v>19493</v>
      </c>
      <c r="G5893" t="s">
        <v>19494</v>
      </c>
      <c r="H5893" t="str">
        <f>HYPERLINK("https://baanknet.com/view-property/273899/C53AADA5C053123A5E84A1540DDC047AEA8DBEE4F2822BEA1BE4406B9CC4837F", "https://baanknet.com/view-property/273899/C53AADA5C053123A5E84A1540DDC047AEA8DBEE4F2822BEA1BE4406B9CC4837F")</f>
        <v>https://baanknet.com/view-property/273899/C53AADA5C053123A5E84A1540DDC047AEA8DBEE4F2822BEA1BE4406B9CC4837F</v>
      </c>
      <c r="I5893" t="str">
        <f>HYPERLINK("https://baanknet.com/view-property/273899/C53AADA5C053123A5E84A1540DDC047AEA8DBEE4F2822BEA1BE4406B9CC4837F", "Open")</f>
        <v>Open</v>
      </c>
      <c r="J5893" t="s">
        <v>3803</v>
      </c>
      <c r="L5893">
        <v>56200000</v>
      </c>
      <c r="M5893">
        <v>5620000</v>
      </c>
    </row>
    <row r="5894" spans="1:13" x14ac:dyDescent="0.25">
      <c r="A5894" t="s">
        <v>19495</v>
      </c>
      <c r="B5894" t="s">
        <v>19496</v>
      </c>
      <c r="C5894" t="s">
        <v>15</v>
      </c>
      <c r="D5894" t="s">
        <v>19497</v>
      </c>
      <c r="E5894" t="s">
        <v>19420</v>
      </c>
      <c r="F5894" t="s">
        <v>19493</v>
      </c>
      <c r="G5894" t="s">
        <v>19498</v>
      </c>
      <c r="H5894" t="str">
        <f>HYPERLINK("https://baanknet.com/view-property/275757/A1348DF2971386D5DA49D33885E10DF56F92224BECBAABF4776008FDE14274CB", "https://baanknet.com/view-property/275757/A1348DF2971386D5DA49D33885E10DF56F92224BECBAABF4776008FDE14274CB")</f>
        <v>https://baanknet.com/view-property/275757/A1348DF2971386D5DA49D33885E10DF56F92224BECBAABF4776008FDE14274CB</v>
      </c>
      <c r="I5894" t="str">
        <f>HYPERLINK("https://baanknet.com/view-property/275757/A1348DF2971386D5DA49D33885E10DF56F92224BECBAABF4776008FDE14274CB", "Open")</f>
        <v>Open</v>
      </c>
      <c r="J5894" t="s">
        <v>3803</v>
      </c>
      <c r="L5894">
        <v>735000</v>
      </c>
      <c r="M5894">
        <v>73500</v>
      </c>
    </row>
    <row r="5895" spans="1:13" x14ac:dyDescent="0.25">
      <c r="A5895" t="s">
        <v>19499</v>
      </c>
      <c r="B5895" t="s">
        <v>19500</v>
      </c>
      <c r="C5895" t="s">
        <v>15</v>
      </c>
      <c r="D5895" t="s">
        <v>19497</v>
      </c>
      <c r="E5895" t="s">
        <v>19420</v>
      </c>
      <c r="F5895" t="s">
        <v>19493</v>
      </c>
      <c r="G5895" t="s">
        <v>19501</v>
      </c>
      <c r="H5895" t="str">
        <f>HYPERLINK("https://baanknet.com/view-property/275758/5BCBBD6397C5C776507EE81692278BCD4FFE50C536D09B8847D49D0F715F092A", "https://baanknet.com/view-property/275758/5BCBBD6397C5C776507EE81692278BCD4FFE50C536D09B8847D49D0F715F092A")</f>
        <v>https://baanknet.com/view-property/275758/5BCBBD6397C5C776507EE81692278BCD4FFE50C536D09B8847D49D0F715F092A</v>
      </c>
      <c r="I5895" t="str">
        <f>HYPERLINK("https://baanknet.com/view-property/275758/5BCBBD6397C5C776507EE81692278BCD4FFE50C536D09B8847D49D0F715F092A", "Open")</f>
        <v>Open</v>
      </c>
      <c r="J5895" t="s">
        <v>3803</v>
      </c>
      <c r="L5895">
        <v>2233000</v>
      </c>
      <c r="M5895">
        <v>223300</v>
      </c>
    </row>
    <row r="5896" spans="1:13" x14ac:dyDescent="0.25">
      <c r="A5896" t="s">
        <v>19502</v>
      </c>
      <c r="B5896" t="s">
        <v>19503</v>
      </c>
      <c r="C5896" t="s">
        <v>83</v>
      </c>
      <c r="D5896" t="s">
        <v>4714</v>
      </c>
      <c r="E5896" t="s">
        <v>19425</v>
      </c>
      <c r="F5896" t="s">
        <v>19429</v>
      </c>
      <c r="G5896" t="s">
        <v>19504</v>
      </c>
      <c r="H5896" t="str">
        <f>HYPERLINK("https://baanknet.com/view-property/250224/621F2035E3CFC39C13602533F2A5DAA6E169FB51C7462D417332CA926C28DF42", "https://baanknet.com/view-property/250224/621F2035E3CFC39C13602533F2A5DAA6E169FB51C7462D417332CA926C28DF42")</f>
        <v>https://baanknet.com/view-property/250224/621F2035E3CFC39C13602533F2A5DAA6E169FB51C7462D417332CA926C28DF42</v>
      </c>
      <c r="I5896" t="str">
        <f>HYPERLINK("https://baanknet.com/view-property/250224/621F2035E3CFC39C13602533F2A5DAA6E169FB51C7462D417332CA926C28DF42", "Open")</f>
        <v>Open</v>
      </c>
      <c r="J5896" t="s">
        <v>3803</v>
      </c>
      <c r="L5896">
        <v>1350000</v>
      </c>
      <c r="M5896">
        <v>135000</v>
      </c>
    </row>
    <row r="5897" spans="1:13" x14ac:dyDescent="0.25">
      <c r="A5897" t="s">
        <v>19505</v>
      </c>
      <c r="B5897" t="s">
        <v>19506</v>
      </c>
      <c r="C5897" t="s">
        <v>15</v>
      </c>
      <c r="D5897" t="s">
        <v>1083</v>
      </c>
      <c r="E5897" t="s">
        <v>19429</v>
      </c>
      <c r="F5897" t="s">
        <v>19507</v>
      </c>
      <c r="G5897" t="s">
        <v>19508</v>
      </c>
      <c r="H5897" t="str">
        <f>HYPERLINK("https://baanknet.com/view-property/241669/FCD94A99F30CC6122DD4A2D31F0C72574941E2AE55467B6E16DB35EA22C7F0DC", "https://baanknet.com/view-property/241669/FCD94A99F30CC6122DD4A2D31F0C72574941E2AE55467B6E16DB35EA22C7F0DC")</f>
        <v>https://baanknet.com/view-property/241669/FCD94A99F30CC6122DD4A2D31F0C72574941E2AE55467B6E16DB35EA22C7F0DC</v>
      </c>
      <c r="I5897" t="str">
        <f>HYPERLINK("https://baanknet.com/view-property/241669/FCD94A99F30CC6122DD4A2D31F0C72574941E2AE55467B6E16DB35EA22C7F0DC", "Open")</f>
        <v>Open</v>
      </c>
      <c r="J5897" t="s">
        <v>3803</v>
      </c>
      <c r="L5897">
        <v>330000</v>
      </c>
      <c r="M5897">
        <v>33000</v>
      </c>
    </row>
    <row r="5898" spans="1:13" x14ac:dyDescent="0.25">
      <c r="A5898" t="s">
        <v>19509</v>
      </c>
      <c r="B5898" t="s">
        <v>19510</v>
      </c>
      <c r="C5898" t="s">
        <v>15</v>
      </c>
      <c r="D5898" t="s">
        <v>17915</v>
      </c>
      <c r="E5898" t="s">
        <v>19429</v>
      </c>
      <c r="F5898" t="s">
        <v>19507</v>
      </c>
      <c r="G5898" t="s">
        <v>19511</v>
      </c>
      <c r="H5898" t="str">
        <f>HYPERLINK("https://baanknet.com/view-property/219963/CD71690709BC798C02E10681720C071EB2BCC223515D1F0B962ABB55D9BDDB23", "https://baanknet.com/view-property/219963/CD71690709BC798C02E10681720C071EB2BCC223515D1F0B962ABB55D9BDDB23")</f>
        <v>https://baanknet.com/view-property/219963/CD71690709BC798C02E10681720C071EB2BCC223515D1F0B962ABB55D9BDDB23</v>
      </c>
      <c r="I5898" t="str">
        <f>HYPERLINK("https://baanknet.com/view-property/219963/CD71690709BC798C02E10681720C071EB2BCC223515D1F0B962ABB55D9BDDB23", "Open")</f>
        <v>Open</v>
      </c>
      <c r="J5898" t="s">
        <v>3803</v>
      </c>
      <c r="L5898">
        <v>3315000</v>
      </c>
      <c r="M5898">
        <v>331500</v>
      </c>
    </row>
    <row r="5899" spans="1:13" x14ac:dyDescent="0.25">
      <c r="A5899" t="s">
        <v>19512</v>
      </c>
      <c r="B5899" t="s">
        <v>19513</v>
      </c>
      <c r="C5899" t="s">
        <v>15</v>
      </c>
      <c r="D5899" t="s">
        <v>9101</v>
      </c>
      <c r="E5899" t="s">
        <v>19429</v>
      </c>
      <c r="F5899" t="s">
        <v>19507</v>
      </c>
      <c r="G5899" t="s">
        <v>19514</v>
      </c>
      <c r="H5899" t="str">
        <f>HYPERLINK("https://baanknet.com/view-property/273955/212C9ABC3958EE5A4DF5738D19463702E6445E830ADC4AA240D56291A51532BD", "https://baanknet.com/view-property/273955/212C9ABC3958EE5A4DF5738D19463702E6445E830ADC4AA240D56291A51532BD")</f>
        <v>https://baanknet.com/view-property/273955/212C9ABC3958EE5A4DF5738D19463702E6445E830ADC4AA240D56291A51532BD</v>
      </c>
      <c r="I5899" t="str">
        <f>HYPERLINK("https://baanknet.com/view-property/273955/212C9ABC3958EE5A4DF5738D19463702E6445E830ADC4AA240D56291A51532BD", "Open")</f>
        <v>Open</v>
      </c>
      <c r="J5899" t="s">
        <v>3803</v>
      </c>
      <c r="L5899">
        <v>1550000</v>
      </c>
      <c r="M5899">
        <v>155000</v>
      </c>
    </row>
    <row r="5900" spans="1:13" x14ac:dyDescent="0.25">
      <c r="A5900" t="s">
        <v>19515</v>
      </c>
      <c r="B5900" t="s">
        <v>19516</v>
      </c>
      <c r="C5900" t="s">
        <v>15</v>
      </c>
      <c r="D5900" t="s">
        <v>9101</v>
      </c>
      <c r="E5900" t="s">
        <v>19429</v>
      </c>
      <c r="F5900" t="s">
        <v>19507</v>
      </c>
      <c r="G5900" t="s">
        <v>19517</v>
      </c>
      <c r="H5900" t="str">
        <f>HYPERLINK("https://baanknet.com/view-property/273960/DF25F4219AD96D7C2507E376C621EE5828D84F2472A2FEAE004B581AC5725529", "https://baanknet.com/view-property/273960/DF25F4219AD96D7C2507E376C621EE5828D84F2472A2FEAE004B581AC5725529")</f>
        <v>https://baanknet.com/view-property/273960/DF25F4219AD96D7C2507E376C621EE5828D84F2472A2FEAE004B581AC5725529</v>
      </c>
      <c r="I5900" t="str">
        <f>HYPERLINK("https://baanknet.com/view-property/273960/DF25F4219AD96D7C2507E376C621EE5828D84F2472A2FEAE004B581AC5725529", "Open")</f>
        <v>Open</v>
      </c>
      <c r="J5900" t="s">
        <v>3803</v>
      </c>
      <c r="L5900">
        <v>450000</v>
      </c>
      <c r="M5900">
        <v>45000</v>
      </c>
    </row>
    <row r="5901" spans="1:13" x14ac:dyDescent="0.25">
      <c r="A5901" t="s">
        <v>19518</v>
      </c>
      <c r="B5901" t="s">
        <v>19519</v>
      </c>
      <c r="C5901" t="s">
        <v>15</v>
      </c>
      <c r="D5901" t="s">
        <v>518</v>
      </c>
      <c r="E5901" t="s">
        <v>19429</v>
      </c>
      <c r="F5901" t="s">
        <v>19507</v>
      </c>
      <c r="G5901" t="s">
        <v>19520</v>
      </c>
      <c r="H5901" t="str">
        <f>HYPERLINK("https://baanknet.com/view-property/274482/2B461966FD399A4039F219A8ED7EBEEA402953E4F42C10C40DCF1BD873C8CC8F", "https://baanknet.com/view-property/274482/2B461966FD399A4039F219A8ED7EBEEA402953E4F42C10C40DCF1BD873C8CC8F")</f>
        <v>https://baanknet.com/view-property/274482/2B461966FD399A4039F219A8ED7EBEEA402953E4F42C10C40DCF1BD873C8CC8F</v>
      </c>
      <c r="I5901" t="str">
        <f>HYPERLINK("https://baanknet.com/view-property/274482/2B461966FD399A4039F219A8ED7EBEEA402953E4F42C10C40DCF1BD873C8CC8F", "Open")</f>
        <v>Open</v>
      </c>
      <c r="J5901" t="s">
        <v>3803</v>
      </c>
      <c r="L5901">
        <v>11340000</v>
      </c>
      <c r="M5901">
        <v>1134000</v>
      </c>
    </row>
    <row r="5902" spans="1:13" x14ac:dyDescent="0.25">
      <c r="A5902" t="s">
        <v>19521</v>
      </c>
      <c r="B5902" t="s">
        <v>19522</v>
      </c>
      <c r="C5902" t="s">
        <v>15</v>
      </c>
      <c r="D5902" t="s">
        <v>10533</v>
      </c>
      <c r="E5902" t="s">
        <v>19429</v>
      </c>
      <c r="F5902" t="s">
        <v>19507</v>
      </c>
      <c r="G5902" t="s">
        <v>19523</v>
      </c>
      <c r="H5902" t="str">
        <f>HYPERLINK("https://baanknet.com/view-property/269596/D47F7C4E093F55A42C869BA850BFCDE06E6E10068B40CA959B6B42370E6EBF12", "https://baanknet.com/view-property/269596/D47F7C4E093F55A42C869BA850BFCDE06E6E10068B40CA959B6B42370E6EBF12")</f>
        <v>https://baanknet.com/view-property/269596/D47F7C4E093F55A42C869BA850BFCDE06E6E10068B40CA959B6B42370E6EBF12</v>
      </c>
      <c r="I5902" t="str">
        <f>HYPERLINK("https://baanknet.com/view-property/269596/D47F7C4E093F55A42C869BA850BFCDE06E6E10068B40CA959B6B42370E6EBF12", "Open")</f>
        <v>Open</v>
      </c>
      <c r="J5902" t="s">
        <v>3803</v>
      </c>
      <c r="L5902">
        <v>2650000</v>
      </c>
      <c r="M5902">
        <v>265000</v>
      </c>
    </row>
    <row r="5903" spans="1:13" x14ac:dyDescent="0.25">
      <c r="A5903" t="s">
        <v>19524</v>
      </c>
      <c r="B5903" t="s">
        <v>19525</v>
      </c>
      <c r="C5903" t="s">
        <v>83</v>
      </c>
      <c r="D5903" t="s">
        <v>1520</v>
      </c>
      <c r="E5903" t="s">
        <v>19526</v>
      </c>
      <c r="F5903" t="s">
        <v>19527</v>
      </c>
      <c r="G5903" t="s">
        <v>19528</v>
      </c>
      <c r="H5903" t="str">
        <f>HYPERLINK("https://baanknet.com/view-property/282056/FC51429A07CE5F7FE11DE12A3345264AD071CB139AC40467670ACA9F87EB5D7B", "https://baanknet.com/view-property/282056/FC51429A07CE5F7FE11DE12A3345264AD071CB139AC40467670ACA9F87EB5D7B")</f>
        <v>https://baanknet.com/view-property/282056/FC51429A07CE5F7FE11DE12A3345264AD071CB139AC40467670ACA9F87EB5D7B</v>
      </c>
      <c r="I5903" t="str">
        <f>HYPERLINK("https://baanknet.com/view-property/282056/FC51429A07CE5F7FE11DE12A3345264AD071CB139AC40467670ACA9F87EB5D7B", "Open")</f>
        <v>Open</v>
      </c>
      <c r="J5903" t="s">
        <v>3803</v>
      </c>
      <c r="L5903">
        <v>802000</v>
      </c>
      <c r="M5903">
        <v>80200</v>
      </c>
    </row>
    <row r="5904" spans="1:13" x14ac:dyDescent="0.25">
      <c r="A5904" t="s">
        <v>19529</v>
      </c>
      <c r="B5904" t="s">
        <v>19530</v>
      </c>
      <c r="C5904" t="s">
        <v>83</v>
      </c>
      <c r="D5904" t="s">
        <v>557</v>
      </c>
      <c r="E5904" t="s">
        <v>19526</v>
      </c>
      <c r="F5904" t="s">
        <v>19527</v>
      </c>
      <c r="G5904" t="s">
        <v>19531</v>
      </c>
      <c r="H5904" t="str">
        <f>HYPERLINK("https://baanknet.com/view-property/287192/27C9D449852DB31B6F755B14192E3C8FF6B081F30B3F3FC07451B5677443C83F", "https://baanknet.com/view-property/287192/27C9D449852DB31B6F755B14192E3C8FF6B081F30B3F3FC07451B5677443C83F")</f>
        <v>https://baanknet.com/view-property/287192/27C9D449852DB31B6F755B14192E3C8FF6B081F30B3F3FC07451B5677443C83F</v>
      </c>
      <c r="I5904" t="str">
        <f>HYPERLINK("https://baanknet.com/view-property/287192/27C9D449852DB31B6F755B14192E3C8FF6B081F30B3F3FC07451B5677443C83F", "Open")</f>
        <v>Open</v>
      </c>
      <c r="J5904" t="s">
        <v>3803</v>
      </c>
      <c r="L5904">
        <v>1150000</v>
      </c>
      <c r="M5904">
        <v>115000</v>
      </c>
    </row>
    <row r="5905" spans="1:13" x14ac:dyDescent="0.25">
      <c r="A5905" t="s">
        <v>19532</v>
      </c>
      <c r="B5905" t="s">
        <v>19533</v>
      </c>
      <c r="C5905" t="s">
        <v>15</v>
      </c>
      <c r="D5905" t="s">
        <v>19534</v>
      </c>
      <c r="E5905" t="s">
        <v>19507</v>
      </c>
      <c r="F5905" t="s">
        <v>19395</v>
      </c>
      <c r="G5905" t="s">
        <v>19535</v>
      </c>
      <c r="H5905" t="str">
        <f>HYPERLINK("https://baanknet.com/view-property/244864/E1883780DFC2AD891672F0D0B68141074A472AE6815B4F5846053F6439C0CB49", "https://baanknet.com/view-property/244864/E1883780DFC2AD891672F0D0B68141074A472AE6815B4F5846053F6439C0CB49")</f>
        <v>https://baanknet.com/view-property/244864/E1883780DFC2AD891672F0D0B68141074A472AE6815B4F5846053F6439C0CB49</v>
      </c>
      <c r="I5905" t="str">
        <f>HYPERLINK("https://baanknet.com/view-property/244864/E1883780DFC2AD891672F0D0B68141074A472AE6815B4F5846053F6439C0CB49", "Open")</f>
        <v>Open</v>
      </c>
      <c r="J5905" t="s">
        <v>3803</v>
      </c>
      <c r="L5905">
        <v>848000</v>
      </c>
      <c r="M5905">
        <v>84800</v>
      </c>
    </row>
    <row r="5906" spans="1:13" x14ac:dyDescent="0.25">
      <c r="A5906" t="s">
        <v>19536</v>
      </c>
      <c r="B5906" t="s">
        <v>19537</v>
      </c>
      <c r="C5906" t="s">
        <v>15</v>
      </c>
      <c r="D5906" t="s">
        <v>706</v>
      </c>
      <c r="E5906" t="s">
        <v>19538</v>
      </c>
      <c r="F5906" t="s">
        <v>19539</v>
      </c>
      <c r="G5906" t="s">
        <v>19540</v>
      </c>
      <c r="H5906" t="str">
        <f>HYPERLINK("https://baanknet.com/view-property/286242/2C65A684FFDEC3E2A5959F5843B8A6C2C44A4E90FD2134403E6EB90BA7EE1D0F", "https://baanknet.com/view-property/286242/2C65A684FFDEC3E2A5959F5843B8A6C2C44A4E90FD2134403E6EB90BA7EE1D0F")</f>
        <v>https://baanknet.com/view-property/286242/2C65A684FFDEC3E2A5959F5843B8A6C2C44A4E90FD2134403E6EB90BA7EE1D0F</v>
      </c>
      <c r="I5906" t="str">
        <f>HYPERLINK("https://baanknet.com/view-property/286242/2C65A684FFDEC3E2A5959F5843B8A6C2C44A4E90FD2134403E6EB90BA7EE1D0F", "Open")</f>
        <v>Open</v>
      </c>
      <c r="J5906" t="s">
        <v>3803</v>
      </c>
      <c r="L5906">
        <v>1770000</v>
      </c>
      <c r="M5906">
        <v>177000</v>
      </c>
    </row>
    <row r="5907" spans="1:13" x14ac:dyDescent="0.25">
      <c r="A5907" t="s">
        <v>19541</v>
      </c>
      <c r="B5907" t="s">
        <v>19542</v>
      </c>
      <c r="C5907" t="s">
        <v>589</v>
      </c>
      <c r="D5907" t="s">
        <v>937</v>
      </c>
      <c r="E5907" t="s">
        <v>19543</v>
      </c>
      <c r="F5907" t="s">
        <v>19544</v>
      </c>
      <c r="G5907" t="s">
        <v>19545</v>
      </c>
      <c r="H5907" t="str">
        <f>HYPERLINK("https://baanknet.com/view-property/219076/95FDD8052A913FC6858904D72983BD6A6E18AF29B8B75BEEC3C2CAD58079340B", "https://baanknet.com/view-property/219076/95FDD8052A913FC6858904D72983BD6A6E18AF29B8B75BEEC3C2CAD58079340B")</f>
        <v>https://baanknet.com/view-property/219076/95FDD8052A913FC6858904D72983BD6A6E18AF29B8B75BEEC3C2CAD58079340B</v>
      </c>
      <c r="I5907" t="str">
        <f>HYPERLINK("https://baanknet.com/view-property/219076/95FDD8052A913FC6858904D72983BD6A6E18AF29B8B75BEEC3C2CAD58079340B", "Open")</f>
        <v>Open</v>
      </c>
      <c r="J5907" t="s">
        <v>3803</v>
      </c>
      <c r="L5907">
        <v>3208000</v>
      </c>
      <c r="M5907">
        <v>320800</v>
      </c>
    </row>
    <row r="5908" spans="1:13" x14ac:dyDescent="0.25">
      <c r="A5908" t="s">
        <v>19546</v>
      </c>
      <c r="B5908" t="s">
        <v>19547</v>
      </c>
      <c r="C5908" t="s">
        <v>589</v>
      </c>
      <c r="D5908" t="s">
        <v>19548</v>
      </c>
      <c r="E5908" t="s">
        <v>19543</v>
      </c>
      <c r="F5908" t="s">
        <v>19549</v>
      </c>
      <c r="G5908" t="s">
        <v>19550</v>
      </c>
      <c r="H5908" t="str">
        <f>HYPERLINK("https://baanknet.com/view-property/223595/D2FE06996D6861E448CC590A5558AFDBB1153C8AC3C6CCF67E25A2EDC1C9D308", "https://baanknet.com/view-property/223595/D2FE06996D6861E448CC590A5558AFDBB1153C8AC3C6CCF67E25A2EDC1C9D308")</f>
        <v>https://baanknet.com/view-property/223595/D2FE06996D6861E448CC590A5558AFDBB1153C8AC3C6CCF67E25A2EDC1C9D308</v>
      </c>
      <c r="I5908" t="str">
        <f>HYPERLINK("https://baanknet.com/view-property/223595/D2FE06996D6861E448CC590A5558AFDBB1153C8AC3C6CCF67E25A2EDC1C9D308", "Open")</f>
        <v>Open</v>
      </c>
      <c r="J5908" t="s">
        <v>3803</v>
      </c>
      <c r="L5908">
        <v>11767000</v>
      </c>
      <c r="M5908">
        <v>1176700</v>
      </c>
    </row>
    <row r="5909" spans="1:13" x14ac:dyDescent="0.25">
      <c r="A5909" t="s">
        <v>19551</v>
      </c>
      <c r="B5909" t="s">
        <v>19552</v>
      </c>
      <c r="C5909" t="s">
        <v>589</v>
      </c>
      <c r="D5909" t="s">
        <v>7632</v>
      </c>
      <c r="E5909" t="s">
        <v>19543</v>
      </c>
      <c r="F5909" t="s">
        <v>19553</v>
      </c>
      <c r="G5909" t="s">
        <v>19554</v>
      </c>
      <c r="H5909" t="str">
        <f>HYPERLINK("https://baanknet.com/view-property/286048/FECDE64B09EC84A42C057D489B73C4FDD24A5BA9955661CA2232C93E09E808F1", "https://baanknet.com/view-property/286048/FECDE64B09EC84A42C057D489B73C4FDD24A5BA9955661CA2232C93E09E808F1")</f>
        <v>https://baanknet.com/view-property/286048/FECDE64B09EC84A42C057D489B73C4FDD24A5BA9955661CA2232C93E09E808F1</v>
      </c>
      <c r="I5909" t="str">
        <f>HYPERLINK("https://baanknet.com/view-property/286048/FECDE64B09EC84A42C057D489B73C4FDD24A5BA9955661CA2232C93E09E808F1", "Open")</f>
        <v>Open</v>
      </c>
      <c r="J5909" t="s">
        <v>3803</v>
      </c>
      <c r="L5909">
        <v>2134000</v>
      </c>
      <c r="M5909">
        <v>213400</v>
      </c>
    </row>
    <row r="5910" spans="1:13" x14ac:dyDescent="0.25">
      <c r="A5910" t="s">
        <v>19555</v>
      </c>
      <c r="B5910" t="s">
        <v>19556</v>
      </c>
      <c r="C5910" t="s">
        <v>589</v>
      </c>
      <c r="D5910" t="s">
        <v>1520</v>
      </c>
      <c r="E5910" t="s">
        <v>19543</v>
      </c>
      <c r="F5910" t="s">
        <v>19553</v>
      </c>
      <c r="G5910" t="s">
        <v>19557</v>
      </c>
      <c r="H5910" t="str">
        <f>HYPERLINK("https://baanknet.com/view-property/287266/7BD9DE3E15897162A17AEEBCAF4059FD9C0CDD18258AC2FC76329CCE3B44CDC3", "https://baanknet.com/view-property/287266/7BD9DE3E15897162A17AEEBCAF4059FD9C0CDD18258AC2FC76329CCE3B44CDC3")</f>
        <v>https://baanknet.com/view-property/287266/7BD9DE3E15897162A17AEEBCAF4059FD9C0CDD18258AC2FC76329CCE3B44CDC3</v>
      </c>
      <c r="I5910" t="str">
        <f>HYPERLINK("https://baanknet.com/view-property/287266/7BD9DE3E15897162A17AEEBCAF4059FD9C0CDD18258AC2FC76329CCE3B44CDC3", "Open")</f>
        <v>Open</v>
      </c>
      <c r="J5910" t="s">
        <v>3803</v>
      </c>
      <c r="L5910">
        <v>9302000</v>
      </c>
      <c r="M5910">
        <v>930200</v>
      </c>
    </row>
    <row r="5911" spans="1:13" x14ac:dyDescent="0.25">
      <c r="A5911" t="s">
        <v>19558</v>
      </c>
      <c r="B5911" t="s">
        <v>19559</v>
      </c>
      <c r="C5911" t="s">
        <v>332</v>
      </c>
      <c r="D5911" t="s">
        <v>1520</v>
      </c>
      <c r="E5911" t="s">
        <v>19543</v>
      </c>
      <c r="F5911" t="s">
        <v>19553</v>
      </c>
      <c r="G5911" t="s">
        <v>19560</v>
      </c>
      <c r="H5911" t="str">
        <f>HYPERLINK("https://baanknet.com/view-property/127788/0720BA4B349E0888ADB8E30855994A1987EA84E891118ABEC99CED6DE5ACF3DD", "https://baanknet.com/view-property/127788/0720BA4B349E0888ADB8E30855994A1987EA84E891118ABEC99CED6DE5ACF3DD")</f>
        <v>https://baanknet.com/view-property/127788/0720BA4B349E0888ADB8E30855994A1987EA84E891118ABEC99CED6DE5ACF3DD</v>
      </c>
      <c r="I5911" t="str">
        <f>HYPERLINK("https://baanknet.com/view-property/127788/0720BA4B349E0888ADB8E30855994A1987EA84E891118ABEC99CED6DE5ACF3DD", "Open")</f>
        <v>Open</v>
      </c>
      <c r="J5911" t="s">
        <v>3803</v>
      </c>
      <c r="L5911">
        <v>2600000</v>
      </c>
      <c r="M5911">
        <v>260000</v>
      </c>
    </row>
    <row r="5912" spans="1:13" x14ac:dyDescent="0.25">
      <c r="A5912" t="s">
        <v>19561</v>
      </c>
      <c r="B5912" t="s">
        <v>19562</v>
      </c>
      <c r="C5912" t="s">
        <v>332</v>
      </c>
      <c r="D5912" t="s">
        <v>14811</v>
      </c>
      <c r="E5912" t="s">
        <v>19543</v>
      </c>
      <c r="F5912" t="s">
        <v>19553</v>
      </c>
      <c r="G5912" t="s">
        <v>19563</v>
      </c>
      <c r="H5912" t="str">
        <f>HYPERLINK("https://baanknet.com/view-property/217034/7C8FB169F65C2E351D535A9A33E7DB8BBD2EBD080E7EFC195016AA5C7A9FFBD9", "https://baanknet.com/view-property/217034/7C8FB169F65C2E351D535A9A33E7DB8BBD2EBD080E7EFC195016AA5C7A9FFBD9")</f>
        <v>https://baanknet.com/view-property/217034/7C8FB169F65C2E351D535A9A33E7DB8BBD2EBD080E7EFC195016AA5C7A9FFBD9</v>
      </c>
      <c r="I5912" t="str">
        <f>HYPERLINK("https://baanknet.com/view-property/217034/7C8FB169F65C2E351D535A9A33E7DB8BBD2EBD080E7EFC195016AA5C7A9FFBD9", "Open")</f>
        <v>Open</v>
      </c>
      <c r="J5912" t="s">
        <v>3803</v>
      </c>
      <c r="L5912">
        <v>2415000</v>
      </c>
      <c r="M5912">
        <v>241500</v>
      </c>
    </row>
    <row r="5913" spans="1:13" x14ac:dyDescent="0.25">
      <c r="A5913" t="s">
        <v>19564</v>
      </c>
      <c r="B5913" t="s">
        <v>19565</v>
      </c>
      <c r="C5913" t="s">
        <v>332</v>
      </c>
      <c r="D5913" t="s">
        <v>14811</v>
      </c>
      <c r="E5913" t="s">
        <v>19543</v>
      </c>
      <c r="F5913" t="s">
        <v>19553</v>
      </c>
      <c r="G5913" t="s">
        <v>19566</v>
      </c>
      <c r="H5913" t="str">
        <f>HYPERLINK("https://baanknet.com/view-property/217036/C7D592418D492090ED75FA55011B6F959C80A0FA955E71791EE06B3C3AA184B2", "https://baanknet.com/view-property/217036/C7D592418D492090ED75FA55011B6F959C80A0FA955E71791EE06B3C3AA184B2")</f>
        <v>https://baanknet.com/view-property/217036/C7D592418D492090ED75FA55011B6F959C80A0FA955E71791EE06B3C3AA184B2</v>
      </c>
      <c r="I5913" t="str">
        <f>HYPERLINK("https://baanknet.com/view-property/217036/C7D592418D492090ED75FA55011B6F959C80A0FA955E71791EE06B3C3AA184B2", "Open")</f>
        <v>Open</v>
      </c>
      <c r="J5913" t="s">
        <v>3803</v>
      </c>
      <c r="L5913">
        <v>2781000</v>
      </c>
      <c r="M5913">
        <v>278100</v>
      </c>
    </row>
    <row r="5914" spans="1:13" x14ac:dyDescent="0.25">
      <c r="A5914" t="s">
        <v>19567</v>
      </c>
      <c r="B5914" t="s">
        <v>19568</v>
      </c>
      <c r="C5914" t="s">
        <v>589</v>
      </c>
      <c r="D5914" t="s">
        <v>9867</v>
      </c>
      <c r="E5914" t="s">
        <v>19543</v>
      </c>
      <c r="F5914" t="s">
        <v>19553</v>
      </c>
      <c r="G5914" t="s">
        <v>19569</v>
      </c>
      <c r="H5914" t="str">
        <f>HYPERLINK("https://baanknet.com/view-property/223713/BE7D5E7AFA36679BAA12AB964A736961667069965B614092815201A5D4BD6239", "https://baanknet.com/view-property/223713/BE7D5E7AFA36679BAA12AB964A736961667069965B614092815201A5D4BD6239")</f>
        <v>https://baanknet.com/view-property/223713/BE7D5E7AFA36679BAA12AB964A736961667069965B614092815201A5D4BD6239</v>
      </c>
      <c r="I5914" t="str">
        <f>HYPERLINK("https://baanknet.com/view-property/223713/BE7D5E7AFA36679BAA12AB964A736961667069965B614092815201A5D4BD6239", "Open")</f>
        <v>Open</v>
      </c>
      <c r="J5914" t="s">
        <v>3803</v>
      </c>
      <c r="L5914">
        <v>1110000</v>
      </c>
      <c r="M5914">
        <v>111000</v>
      </c>
    </row>
    <row r="5915" spans="1:13" x14ac:dyDescent="0.25">
      <c r="A5915" t="s">
        <v>19570</v>
      </c>
      <c r="B5915" t="s">
        <v>19571</v>
      </c>
      <c r="C5915" t="s">
        <v>589</v>
      </c>
      <c r="D5915" t="s">
        <v>19548</v>
      </c>
      <c r="E5915" t="s">
        <v>19543</v>
      </c>
      <c r="F5915" t="s">
        <v>19553</v>
      </c>
      <c r="G5915" t="s">
        <v>19572</v>
      </c>
      <c r="H5915" t="str">
        <f>HYPERLINK("https://baanknet.com/view-property/223721/D400F9367562B38D7D7776ED72EF59D627E572ECD1FBC7A746086AF126F521E3", "https://baanknet.com/view-property/223721/D400F9367562B38D7D7776ED72EF59D627E572ECD1FBC7A746086AF126F521E3")</f>
        <v>https://baanknet.com/view-property/223721/D400F9367562B38D7D7776ED72EF59D627E572ECD1FBC7A746086AF126F521E3</v>
      </c>
      <c r="I5915" t="str">
        <f>HYPERLINK("https://baanknet.com/view-property/223721/D400F9367562B38D7D7776ED72EF59D627E572ECD1FBC7A746086AF126F521E3", "Open")</f>
        <v>Open</v>
      </c>
      <c r="J5915" t="s">
        <v>3803</v>
      </c>
      <c r="L5915">
        <v>1607000</v>
      </c>
      <c r="M5915">
        <v>160700</v>
      </c>
    </row>
    <row r="5916" spans="1:13" x14ac:dyDescent="0.25">
      <c r="A5916" t="s">
        <v>19573</v>
      </c>
      <c r="B5916" t="s">
        <v>19574</v>
      </c>
      <c r="C5916" t="s">
        <v>589</v>
      </c>
      <c r="D5916" t="s">
        <v>19548</v>
      </c>
      <c r="E5916" t="s">
        <v>19543</v>
      </c>
      <c r="F5916" t="s">
        <v>19553</v>
      </c>
      <c r="G5916" t="s">
        <v>19575</v>
      </c>
      <c r="H5916" t="str">
        <f>HYPERLINK("https://baanknet.com/view-property/93255/2DBD635FB7387DEFB5D2E35A6D3DC40FB990125365A6CCB6D052668C2A7E4C82", "https://baanknet.com/view-property/93255/2DBD635FB7387DEFB5D2E35A6D3DC40FB990125365A6CCB6D052668C2A7E4C82")</f>
        <v>https://baanknet.com/view-property/93255/2DBD635FB7387DEFB5D2E35A6D3DC40FB990125365A6CCB6D052668C2A7E4C82</v>
      </c>
      <c r="I5916" t="str">
        <f>HYPERLINK("https://baanknet.com/view-property/93255/2DBD635FB7387DEFB5D2E35A6D3DC40FB990125365A6CCB6D052668C2A7E4C82", "Open")</f>
        <v>Open</v>
      </c>
      <c r="J5916" t="s">
        <v>3803</v>
      </c>
      <c r="L5916">
        <v>803000</v>
      </c>
      <c r="M5916">
        <v>80300</v>
      </c>
    </row>
    <row r="5917" spans="1:13" x14ac:dyDescent="0.25">
      <c r="A5917" t="s">
        <v>19576</v>
      </c>
      <c r="B5917" t="s">
        <v>19577</v>
      </c>
      <c r="C5917" t="s">
        <v>589</v>
      </c>
      <c r="D5917" t="s">
        <v>19578</v>
      </c>
      <c r="E5917" t="s">
        <v>19543</v>
      </c>
      <c r="F5917" t="s">
        <v>19553</v>
      </c>
      <c r="G5917" t="s">
        <v>19579</v>
      </c>
      <c r="H5917" t="str">
        <f>HYPERLINK("https://baanknet.com/view-property/252521/AAEE63E5420678162A1E2FBDE46428B2AECA8666C678F8A799BED15BED7E04E5", "https://baanknet.com/view-property/252521/AAEE63E5420678162A1E2FBDE46428B2AECA8666C678F8A799BED15BED7E04E5")</f>
        <v>https://baanknet.com/view-property/252521/AAEE63E5420678162A1E2FBDE46428B2AECA8666C678F8A799BED15BED7E04E5</v>
      </c>
      <c r="I5917" t="str">
        <f>HYPERLINK("https://baanknet.com/view-property/252521/AAEE63E5420678162A1E2FBDE46428B2AECA8666C678F8A799BED15BED7E04E5", "Open")</f>
        <v>Open</v>
      </c>
      <c r="J5917" t="s">
        <v>3803</v>
      </c>
      <c r="L5917">
        <v>1718000</v>
      </c>
      <c r="M5917">
        <v>171800</v>
      </c>
    </row>
    <row r="5918" spans="1:13" x14ac:dyDescent="0.25">
      <c r="A5918" t="s">
        <v>19580</v>
      </c>
      <c r="B5918" t="s">
        <v>19581</v>
      </c>
      <c r="C5918" t="s">
        <v>589</v>
      </c>
      <c r="D5918" t="s">
        <v>1993</v>
      </c>
      <c r="E5918" t="s">
        <v>19543</v>
      </c>
      <c r="F5918" t="s">
        <v>19553</v>
      </c>
      <c r="G5918" t="s">
        <v>19582</v>
      </c>
      <c r="H5918" t="str">
        <f>HYPERLINK("https://baanknet.com/view-property/223742/1194F629F583363EDEA39075B5471123B80E8302233C08794C3E589C1463A503", "https://baanknet.com/view-property/223742/1194F629F583363EDEA39075B5471123B80E8302233C08794C3E589C1463A503")</f>
        <v>https://baanknet.com/view-property/223742/1194F629F583363EDEA39075B5471123B80E8302233C08794C3E589C1463A503</v>
      </c>
      <c r="I5918" t="str">
        <f>HYPERLINK("https://baanknet.com/view-property/223742/1194F629F583363EDEA39075B5471123B80E8302233C08794C3E589C1463A503", "Open")</f>
        <v>Open</v>
      </c>
      <c r="J5918" t="s">
        <v>3803</v>
      </c>
      <c r="L5918">
        <v>1916000</v>
      </c>
      <c r="M5918">
        <v>191600</v>
      </c>
    </row>
    <row r="5919" spans="1:13" x14ac:dyDescent="0.25">
      <c r="A5919" t="s">
        <v>19583</v>
      </c>
      <c r="B5919" t="s">
        <v>19584</v>
      </c>
      <c r="C5919" t="s">
        <v>589</v>
      </c>
      <c r="D5919" t="s">
        <v>19585</v>
      </c>
      <c r="E5919" t="s">
        <v>19543</v>
      </c>
      <c r="F5919" t="s">
        <v>19553</v>
      </c>
      <c r="G5919" t="s">
        <v>19586</v>
      </c>
      <c r="H5919" t="str">
        <f>HYPERLINK("https://baanknet.com/view-property/260516/07F2FC69B11C2A0D1286A790DF6E2F3EF792B32F43E472FFABB3D3FCD4FAF8FD", "https://baanknet.com/view-property/260516/07F2FC69B11C2A0D1286A790DF6E2F3EF792B32F43E472FFABB3D3FCD4FAF8FD")</f>
        <v>https://baanknet.com/view-property/260516/07F2FC69B11C2A0D1286A790DF6E2F3EF792B32F43E472FFABB3D3FCD4FAF8FD</v>
      </c>
      <c r="I5919" t="str">
        <f>HYPERLINK("https://baanknet.com/view-property/260516/07F2FC69B11C2A0D1286A790DF6E2F3EF792B32F43E472FFABB3D3FCD4FAF8FD", "Open")</f>
        <v>Open</v>
      </c>
      <c r="J5919" t="s">
        <v>3803</v>
      </c>
      <c r="L5919">
        <v>1567000</v>
      </c>
      <c r="M5919">
        <v>156700</v>
      </c>
    </row>
    <row r="5920" spans="1:13" x14ac:dyDescent="0.25">
      <c r="A5920" t="s">
        <v>19587</v>
      </c>
      <c r="B5920" t="s">
        <v>19588</v>
      </c>
      <c r="C5920" t="s">
        <v>589</v>
      </c>
      <c r="D5920" t="s">
        <v>1182</v>
      </c>
      <c r="E5920" t="s">
        <v>19543</v>
      </c>
      <c r="F5920" t="s">
        <v>19553</v>
      </c>
      <c r="G5920" t="s">
        <v>19589</v>
      </c>
      <c r="H5920" t="str">
        <f>HYPERLINK("https://baanknet.com/view-property/285023/1553D5DDCED9266C73723A708D82B039C0373C73477D289FEEDDE73135E0F3FD", "https://baanknet.com/view-property/285023/1553D5DDCED9266C73723A708D82B039C0373C73477D289FEEDDE73135E0F3FD")</f>
        <v>https://baanknet.com/view-property/285023/1553D5DDCED9266C73723A708D82B039C0373C73477D289FEEDDE73135E0F3FD</v>
      </c>
      <c r="I5920" t="str">
        <f>HYPERLINK("https://baanknet.com/view-property/285023/1553D5DDCED9266C73723A708D82B039C0373C73477D289FEEDDE73135E0F3FD", "Open")</f>
        <v>Open</v>
      </c>
      <c r="J5920" t="s">
        <v>3803</v>
      </c>
      <c r="L5920">
        <v>2240000</v>
      </c>
      <c r="M5920">
        <v>224000</v>
      </c>
    </row>
    <row r="5921" spans="1:13" x14ac:dyDescent="0.25">
      <c r="A5921" t="s">
        <v>19590</v>
      </c>
      <c r="B5921" t="s">
        <v>19591</v>
      </c>
      <c r="C5921" t="s">
        <v>589</v>
      </c>
      <c r="D5921" t="s">
        <v>1182</v>
      </c>
      <c r="E5921" t="s">
        <v>19543</v>
      </c>
      <c r="F5921" t="s">
        <v>19553</v>
      </c>
      <c r="G5921" t="s">
        <v>19592</v>
      </c>
      <c r="H5921" t="str">
        <f>HYPERLINK("https://baanknet.com/view-property/205947/CB5CA9B943C9ADC2D5DD417BD3FB5474CA790AFB2C632F6C505E59ED9CC74695", "https://baanknet.com/view-property/205947/CB5CA9B943C9ADC2D5DD417BD3FB5474CA790AFB2C632F6C505E59ED9CC74695")</f>
        <v>https://baanknet.com/view-property/205947/CB5CA9B943C9ADC2D5DD417BD3FB5474CA790AFB2C632F6C505E59ED9CC74695</v>
      </c>
      <c r="I5921" t="str">
        <f>HYPERLINK("https://baanknet.com/view-property/205947/CB5CA9B943C9ADC2D5DD417BD3FB5474CA790AFB2C632F6C505E59ED9CC74695", "Open")</f>
        <v>Open</v>
      </c>
      <c r="J5921" t="s">
        <v>3803</v>
      </c>
      <c r="L5921">
        <v>1435000</v>
      </c>
      <c r="M5921">
        <v>143500</v>
      </c>
    </row>
    <row r="5922" spans="1:13" x14ac:dyDescent="0.25">
      <c r="A5922" t="s">
        <v>19593</v>
      </c>
      <c r="B5922" t="s">
        <v>19594</v>
      </c>
      <c r="C5922" t="s">
        <v>589</v>
      </c>
      <c r="D5922" t="s">
        <v>4481</v>
      </c>
      <c r="E5922" t="s">
        <v>19543</v>
      </c>
      <c r="F5922" t="s">
        <v>19553</v>
      </c>
      <c r="G5922" t="s">
        <v>19595</v>
      </c>
      <c r="H5922" t="str">
        <f>HYPERLINK("https://baanknet.com/view-property/285030/69EA13220E3499909C24EA8715A17E978487D22E27118FF7535B48CEDED0B210", "https://baanknet.com/view-property/285030/69EA13220E3499909C24EA8715A17E978487D22E27118FF7535B48CEDED0B210")</f>
        <v>https://baanknet.com/view-property/285030/69EA13220E3499909C24EA8715A17E978487D22E27118FF7535B48CEDED0B210</v>
      </c>
      <c r="I5922" t="str">
        <f>HYPERLINK("https://baanknet.com/view-property/285030/69EA13220E3499909C24EA8715A17E978487D22E27118FF7535B48CEDED0B210", "Open")</f>
        <v>Open</v>
      </c>
      <c r="J5922" t="s">
        <v>3803</v>
      </c>
      <c r="L5922">
        <v>1601000</v>
      </c>
      <c r="M5922">
        <v>160100</v>
      </c>
    </row>
    <row r="5923" spans="1:13" x14ac:dyDescent="0.25">
      <c r="A5923" t="s">
        <v>19596</v>
      </c>
      <c r="B5923" t="s">
        <v>19597</v>
      </c>
      <c r="C5923" t="s">
        <v>589</v>
      </c>
      <c r="D5923" t="s">
        <v>4481</v>
      </c>
      <c r="E5923" t="s">
        <v>19543</v>
      </c>
      <c r="F5923" t="s">
        <v>19553</v>
      </c>
      <c r="G5923" t="s">
        <v>19598</v>
      </c>
      <c r="H5923" t="str">
        <f>HYPERLINK("https://baanknet.com/view-property/223613/EC59ABBD445D4E18F81E19C9C4954B96CA3B813BCA8DDF96B82E4B4880669707", "https://baanknet.com/view-property/223613/EC59ABBD445D4E18F81E19C9C4954B96CA3B813BCA8DDF96B82E4B4880669707")</f>
        <v>https://baanknet.com/view-property/223613/EC59ABBD445D4E18F81E19C9C4954B96CA3B813BCA8DDF96B82E4B4880669707</v>
      </c>
      <c r="I5923" t="str">
        <f>HYPERLINK("https://baanknet.com/view-property/223613/EC59ABBD445D4E18F81E19C9C4954B96CA3B813BCA8DDF96B82E4B4880669707", "Open")</f>
        <v>Open</v>
      </c>
      <c r="J5923" t="s">
        <v>3803</v>
      </c>
      <c r="L5923">
        <v>1576000</v>
      </c>
      <c r="M5923">
        <v>157600</v>
      </c>
    </row>
    <row r="5924" spans="1:13" x14ac:dyDescent="0.25">
      <c r="A5924" t="s">
        <v>19599</v>
      </c>
      <c r="B5924" t="s">
        <v>19600</v>
      </c>
      <c r="C5924" t="s">
        <v>589</v>
      </c>
      <c r="D5924" t="s">
        <v>4481</v>
      </c>
      <c r="E5924" t="s">
        <v>19543</v>
      </c>
      <c r="F5924" t="s">
        <v>19553</v>
      </c>
      <c r="G5924" t="s">
        <v>19601</v>
      </c>
      <c r="H5924" t="str">
        <f>HYPERLINK("https://baanknet.com/view-property/223074/05C1ACA16E2BE6F72458C14715563154C0EED82111B969CE3AEF9CB53D7F8ADA", "https://baanknet.com/view-property/223074/05C1ACA16E2BE6F72458C14715563154C0EED82111B969CE3AEF9CB53D7F8ADA")</f>
        <v>https://baanknet.com/view-property/223074/05C1ACA16E2BE6F72458C14715563154C0EED82111B969CE3AEF9CB53D7F8ADA</v>
      </c>
      <c r="I5924" t="str">
        <f>HYPERLINK("https://baanknet.com/view-property/223074/05C1ACA16E2BE6F72458C14715563154C0EED82111B969CE3AEF9CB53D7F8ADA", "Open")</f>
        <v>Open</v>
      </c>
      <c r="J5924" t="s">
        <v>3803</v>
      </c>
      <c r="L5924">
        <v>1560000</v>
      </c>
      <c r="M5924">
        <v>156000</v>
      </c>
    </row>
    <row r="5925" spans="1:13" x14ac:dyDescent="0.25">
      <c r="A5925" t="s">
        <v>19602</v>
      </c>
      <c r="B5925" t="s">
        <v>19603</v>
      </c>
      <c r="C5925" t="s">
        <v>589</v>
      </c>
      <c r="D5925" t="s">
        <v>19585</v>
      </c>
      <c r="E5925" t="s">
        <v>19543</v>
      </c>
      <c r="F5925" t="s">
        <v>19553</v>
      </c>
      <c r="G5925" t="s">
        <v>19604</v>
      </c>
      <c r="H5925" t="str">
        <f>HYPERLINK("https://baanknet.com/view-property/216590/BF790814DCAD7F607FFC28A5CDAF83A9EE8A456BE65C9809437C164D4EDD0C8E", "https://baanknet.com/view-property/216590/BF790814DCAD7F607FFC28A5CDAF83A9EE8A456BE65C9809437C164D4EDD0C8E")</f>
        <v>https://baanknet.com/view-property/216590/BF790814DCAD7F607FFC28A5CDAF83A9EE8A456BE65C9809437C164D4EDD0C8E</v>
      </c>
      <c r="I5925" t="str">
        <f>HYPERLINK("https://baanknet.com/view-property/216590/BF790814DCAD7F607FFC28A5CDAF83A9EE8A456BE65C9809437C164D4EDD0C8E", "Open")</f>
        <v>Open</v>
      </c>
      <c r="J5925" t="s">
        <v>3803</v>
      </c>
      <c r="L5925">
        <v>2144000</v>
      </c>
      <c r="M5925">
        <v>214400</v>
      </c>
    </row>
    <row r="5926" spans="1:13" x14ac:dyDescent="0.25">
      <c r="A5926" t="s">
        <v>19605</v>
      </c>
      <c r="B5926" t="s">
        <v>19606</v>
      </c>
      <c r="C5926" t="s">
        <v>589</v>
      </c>
      <c r="D5926" t="s">
        <v>19585</v>
      </c>
      <c r="E5926" t="s">
        <v>19543</v>
      </c>
      <c r="F5926" t="s">
        <v>19553</v>
      </c>
      <c r="G5926" t="s">
        <v>19607</v>
      </c>
      <c r="H5926" t="str">
        <f>HYPERLINK("https://baanknet.com/view-property/252399/FB2C98EE3107570989D84C74537D0ED0C4106492F0BD6CA6B53CF388BA2E1203", "https://baanknet.com/view-property/252399/FB2C98EE3107570989D84C74537D0ED0C4106492F0BD6CA6B53CF388BA2E1203")</f>
        <v>https://baanknet.com/view-property/252399/FB2C98EE3107570989D84C74537D0ED0C4106492F0BD6CA6B53CF388BA2E1203</v>
      </c>
      <c r="I5926" t="str">
        <f>HYPERLINK("https://baanknet.com/view-property/252399/FB2C98EE3107570989D84C74537D0ED0C4106492F0BD6CA6B53CF388BA2E1203", "Open")</f>
        <v>Open</v>
      </c>
      <c r="J5926" t="s">
        <v>3803</v>
      </c>
      <c r="L5926">
        <v>2140000</v>
      </c>
      <c r="M5926">
        <v>214000</v>
      </c>
    </row>
    <row r="5927" spans="1:13" x14ac:dyDescent="0.25">
      <c r="A5927" t="s">
        <v>19608</v>
      </c>
      <c r="B5927" t="s">
        <v>19609</v>
      </c>
      <c r="C5927" t="s">
        <v>589</v>
      </c>
      <c r="D5927" t="s">
        <v>19548</v>
      </c>
      <c r="E5927" t="s">
        <v>19543</v>
      </c>
      <c r="F5927" t="s">
        <v>19553</v>
      </c>
      <c r="G5927" t="s">
        <v>19610</v>
      </c>
      <c r="H5927" t="str">
        <f>HYPERLINK("https://baanknet.com/view-property/252666/869CCF8EDF9131A5BC948E0B70F6DADCAE1CB994C7721F509B4AF57FCF304087", "https://baanknet.com/view-property/252666/869CCF8EDF9131A5BC948E0B70F6DADCAE1CB994C7721F509B4AF57FCF304087")</f>
        <v>https://baanknet.com/view-property/252666/869CCF8EDF9131A5BC948E0B70F6DADCAE1CB994C7721F509B4AF57FCF304087</v>
      </c>
      <c r="I5927" t="str">
        <f>HYPERLINK("https://baanknet.com/view-property/252666/869CCF8EDF9131A5BC948E0B70F6DADCAE1CB994C7721F509B4AF57FCF304087", "Open")</f>
        <v>Open</v>
      </c>
      <c r="J5927" t="s">
        <v>3803</v>
      </c>
      <c r="L5927">
        <v>1632000</v>
      </c>
      <c r="M5927">
        <v>163200</v>
      </c>
    </row>
    <row r="5928" spans="1:13" x14ac:dyDescent="0.25">
      <c r="A5928" t="s">
        <v>19611</v>
      </c>
      <c r="B5928" t="s">
        <v>19612</v>
      </c>
      <c r="C5928" t="s">
        <v>589</v>
      </c>
      <c r="D5928" t="s">
        <v>4481</v>
      </c>
      <c r="E5928" t="s">
        <v>19543</v>
      </c>
      <c r="F5928" t="s">
        <v>19553</v>
      </c>
      <c r="G5928" t="s">
        <v>19613</v>
      </c>
      <c r="H5928" t="str">
        <f>HYPERLINK("https://baanknet.com/view-property/252662/C80B24B56B79AF9AC506A9F49C791E1B07BA3E4BAB0257D4557C49CF34FFD2C9", "https://baanknet.com/view-property/252662/C80B24B56B79AF9AC506A9F49C791E1B07BA3E4BAB0257D4557C49CF34FFD2C9")</f>
        <v>https://baanknet.com/view-property/252662/C80B24B56B79AF9AC506A9F49C791E1B07BA3E4BAB0257D4557C49CF34FFD2C9</v>
      </c>
      <c r="I5928" t="str">
        <f>HYPERLINK("https://baanknet.com/view-property/252662/C80B24B56B79AF9AC506A9F49C791E1B07BA3E4BAB0257D4557C49CF34FFD2C9", "Open")</f>
        <v>Open</v>
      </c>
      <c r="J5928" t="s">
        <v>3803</v>
      </c>
      <c r="L5928">
        <v>2145000</v>
      </c>
      <c r="M5928">
        <v>214500</v>
      </c>
    </row>
    <row r="5929" spans="1:13" x14ac:dyDescent="0.25">
      <c r="A5929" t="s">
        <v>19614</v>
      </c>
      <c r="B5929" t="s">
        <v>19615</v>
      </c>
      <c r="C5929" t="s">
        <v>589</v>
      </c>
      <c r="D5929" t="s">
        <v>19616</v>
      </c>
      <c r="E5929" t="s">
        <v>19543</v>
      </c>
      <c r="F5929" t="s">
        <v>19553</v>
      </c>
      <c r="G5929" t="s">
        <v>19617</v>
      </c>
      <c r="H5929" t="str">
        <f>HYPERLINK("https://baanknet.com/view-property/252672/2D7556CB587D96A354E505BDE75816BBD7BD495755CE1D407ABDBAE97C21A538", "https://baanknet.com/view-property/252672/2D7556CB587D96A354E505BDE75816BBD7BD495755CE1D407ABDBAE97C21A538")</f>
        <v>https://baanknet.com/view-property/252672/2D7556CB587D96A354E505BDE75816BBD7BD495755CE1D407ABDBAE97C21A538</v>
      </c>
      <c r="I5929" t="str">
        <f>HYPERLINK("https://baanknet.com/view-property/252672/2D7556CB587D96A354E505BDE75816BBD7BD495755CE1D407ABDBAE97C21A538", "Open")</f>
        <v>Open</v>
      </c>
      <c r="J5929" t="s">
        <v>3803</v>
      </c>
      <c r="L5929">
        <v>1185000</v>
      </c>
      <c r="M5929">
        <v>118500</v>
      </c>
    </row>
    <row r="5930" spans="1:13" x14ac:dyDescent="0.25">
      <c r="A5930" t="s">
        <v>19618</v>
      </c>
      <c r="B5930" t="s">
        <v>19619</v>
      </c>
      <c r="C5930" t="s">
        <v>589</v>
      </c>
      <c r="D5930" t="s">
        <v>1182</v>
      </c>
      <c r="E5930" t="s">
        <v>19543</v>
      </c>
      <c r="F5930" t="s">
        <v>19553</v>
      </c>
      <c r="G5930" t="s">
        <v>19620</v>
      </c>
      <c r="H5930" t="str">
        <f>HYPERLINK("https://baanknet.com/view-property/223043/1C7292B2F932E77112451CE011A28992B2416862BB5819436A3ED5E1D856D1B3", "https://baanknet.com/view-property/223043/1C7292B2F932E77112451CE011A28992B2416862BB5819436A3ED5E1D856D1B3")</f>
        <v>https://baanknet.com/view-property/223043/1C7292B2F932E77112451CE011A28992B2416862BB5819436A3ED5E1D856D1B3</v>
      </c>
      <c r="I5930" t="str">
        <f>HYPERLINK("https://baanknet.com/view-property/223043/1C7292B2F932E77112451CE011A28992B2416862BB5819436A3ED5E1D856D1B3", "Open")</f>
        <v>Open</v>
      </c>
      <c r="J5930" t="s">
        <v>3803</v>
      </c>
      <c r="L5930">
        <v>1175000</v>
      </c>
      <c r="M5930">
        <v>117500</v>
      </c>
    </row>
    <row r="5931" spans="1:13" x14ac:dyDescent="0.25">
      <c r="A5931" t="s">
        <v>19621</v>
      </c>
      <c r="B5931" t="s">
        <v>19622</v>
      </c>
      <c r="C5931" t="s">
        <v>589</v>
      </c>
      <c r="D5931" t="s">
        <v>19623</v>
      </c>
      <c r="E5931" t="s">
        <v>19543</v>
      </c>
      <c r="F5931" t="s">
        <v>19553</v>
      </c>
      <c r="G5931" t="s">
        <v>19624</v>
      </c>
      <c r="H5931" t="str">
        <f>HYPERLINK("https://baanknet.com/view-property/285071/B7F68DB928B6295B8736082B9B968BBEFE34F733D4A890FC5843C512559C1651", "https://baanknet.com/view-property/285071/B7F68DB928B6295B8736082B9B968BBEFE34F733D4A890FC5843C512559C1651")</f>
        <v>https://baanknet.com/view-property/285071/B7F68DB928B6295B8736082B9B968BBEFE34F733D4A890FC5843C512559C1651</v>
      </c>
      <c r="I5931" t="str">
        <f>HYPERLINK("https://baanknet.com/view-property/285071/B7F68DB928B6295B8736082B9B968BBEFE34F733D4A890FC5843C512559C1651", "Open")</f>
        <v>Open</v>
      </c>
      <c r="J5931" t="s">
        <v>3803</v>
      </c>
      <c r="L5931">
        <v>3244000</v>
      </c>
      <c r="M5931">
        <v>324400</v>
      </c>
    </row>
    <row r="5932" spans="1:13" x14ac:dyDescent="0.25">
      <c r="A5932" t="s">
        <v>19625</v>
      </c>
      <c r="B5932" t="s">
        <v>19626</v>
      </c>
      <c r="C5932" t="s">
        <v>589</v>
      </c>
      <c r="D5932" t="s">
        <v>15143</v>
      </c>
      <c r="E5932" t="s">
        <v>19543</v>
      </c>
      <c r="F5932" t="s">
        <v>19553</v>
      </c>
      <c r="G5932" t="s">
        <v>19627</v>
      </c>
      <c r="H5932" t="str">
        <f>HYPERLINK("https://baanknet.com/view-property/252443/3DCF3DCFDB79C72F07C376F9121510A514FE548393FBEFB4374F338A87D927FE", "https://baanknet.com/view-property/252443/3DCF3DCFDB79C72F07C376F9121510A514FE548393FBEFB4374F338A87D927FE")</f>
        <v>https://baanknet.com/view-property/252443/3DCF3DCFDB79C72F07C376F9121510A514FE548393FBEFB4374F338A87D927FE</v>
      </c>
      <c r="I5932" t="str">
        <f>HYPERLINK("https://baanknet.com/view-property/252443/3DCF3DCFDB79C72F07C376F9121510A514FE548393FBEFB4374F338A87D927FE", "Open")</f>
        <v>Open</v>
      </c>
      <c r="J5932" t="s">
        <v>3803</v>
      </c>
      <c r="L5932">
        <v>4305000</v>
      </c>
      <c r="M5932">
        <v>430500</v>
      </c>
    </row>
    <row r="5933" spans="1:13" x14ac:dyDescent="0.25">
      <c r="A5933" t="s">
        <v>19628</v>
      </c>
      <c r="B5933" t="s">
        <v>19629</v>
      </c>
      <c r="C5933" t="s">
        <v>589</v>
      </c>
      <c r="D5933" t="s">
        <v>4481</v>
      </c>
      <c r="E5933" t="s">
        <v>19543</v>
      </c>
      <c r="F5933" t="s">
        <v>19553</v>
      </c>
      <c r="G5933" t="s">
        <v>19630</v>
      </c>
      <c r="H5933" t="str">
        <f>HYPERLINK("https://baanknet.com/view-property/252583/E54A14246DFF7DEA1AB826A4A9D2E70127456E2DF1A65A443C707BF5D4EBC0F4", "https://baanknet.com/view-property/252583/E54A14246DFF7DEA1AB826A4A9D2E70127456E2DF1A65A443C707BF5D4EBC0F4")</f>
        <v>https://baanknet.com/view-property/252583/E54A14246DFF7DEA1AB826A4A9D2E70127456E2DF1A65A443C707BF5D4EBC0F4</v>
      </c>
      <c r="I5933" t="str">
        <f>HYPERLINK("https://baanknet.com/view-property/252583/E54A14246DFF7DEA1AB826A4A9D2E70127456E2DF1A65A443C707BF5D4EBC0F4", "Open")</f>
        <v>Open</v>
      </c>
      <c r="J5933" t="s">
        <v>3803</v>
      </c>
      <c r="L5933">
        <v>1394000</v>
      </c>
      <c r="M5933">
        <v>139400</v>
      </c>
    </row>
    <row r="5934" spans="1:13" x14ac:dyDescent="0.25">
      <c r="A5934" t="s">
        <v>19631</v>
      </c>
      <c r="B5934" t="s">
        <v>19632</v>
      </c>
      <c r="C5934" t="s">
        <v>589</v>
      </c>
      <c r="D5934" t="s">
        <v>1993</v>
      </c>
      <c r="E5934" t="s">
        <v>19543</v>
      </c>
      <c r="F5934" t="s">
        <v>19553</v>
      </c>
      <c r="G5934" t="s">
        <v>19633</v>
      </c>
      <c r="H5934" t="str">
        <f>HYPERLINK("https://baanknet.com/view-property/230234/2189F32BB03A1F49AE586956A958A421A800BCC6CDF6463DB7A6FAA3D891B958", "https://baanknet.com/view-property/230234/2189F32BB03A1F49AE586956A958A421A800BCC6CDF6463DB7A6FAA3D891B958")</f>
        <v>https://baanknet.com/view-property/230234/2189F32BB03A1F49AE586956A958A421A800BCC6CDF6463DB7A6FAA3D891B958</v>
      </c>
      <c r="I5934" t="str">
        <f>HYPERLINK("https://baanknet.com/view-property/230234/2189F32BB03A1F49AE586956A958A421A800BCC6CDF6463DB7A6FAA3D891B958", "Open")</f>
        <v>Open</v>
      </c>
      <c r="J5934" t="s">
        <v>3803</v>
      </c>
      <c r="L5934">
        <v>2010000</v>
      </c>
      <c r="M5934">
        <v>201000</v>
      </c>
    </row>
    <row r="5935" spans="1:13" x14ac:dyDescent="0.25">
      <c r="A5935" t="s">
        <v>19634</v>
      </c>
      <c r="B5935" t="s">
        <v>19635</v>
      </c>
      <c r="C5935" t="s">
        <v>589</v>
      </c>
      <c r="D5935" t="s">
        <v>19548</v>
      </c>
      <c r="E5935" t="s">
        <v>19543</v>
      </c>
      <c r="F5935" t="s">
        <v>19553</v>
      </c>
      <c r="G5935" t="s">
        <v>19636</v>
      </c>
      <c r="H5935" t="str">
        <f>HYPERLINK("https://baanknet.com/view-property/219704/3193ABF6E0580CD5D8149C7FCF754303064181496CC5625E6B2EE886EEBF4A35", "https://baanknet.com/view-property/219704/3193ABF6E0580CD5D8149C7FCF754303064181496CC5625E6B2EE886EEBF4A35")</f>
        <v>https://baanknet.com/view-property/219704/3193ABF6E0580CD5D8149C7FCF754303064181496CC5625E6B2EE886EEBF4A35</v>
      </c>
      <c r="I5935" t="str">
        <f>HYPERLINK("https://baanknet.com/view-property/219704/3193ABF6E0580CD5D8149C7FCF754303064181496CC5625E6B2EE886EEBF4A35", "Open")</f>
        <v>Open</v>
      </c>
      <c r="J5935" t="s">
        <v>3803</v>
      </c>
      <c r="L5935">
        <v>3676000</v>
      </c>
      <c r="M5935">
        <v>367600</v>
      </c>
    </row>
    <row r="5936" spans="1:13" x14ac:dyDescent="0.25">
      <c r="A5936" t="s">
        <v>19637</v>
      </c>
      <c r="B5936" t="s">
        <v>19638</v>
      </c>
      <c r="C5936" t="s">
        <v>589</v>
      </c>
      <c r="D5936" t="s">
        <v>4481</v>
      </c>
      <c r="E5936" t="s">
        <v>19543</v>
      </c>
      <c r="F5936" t="s">
        <v>19553</v>
      </c>
      <c r="G5936" t="s">
        <v>19639</v>
      </c>
      <c r="H5936" t="str">
        <f>HYPERLINK("https://baanknet.com/view-property/207749/801962A2F0B40FC9B5C7CD4C56D1F933B1A2066F87A8986B04FCFECAF9FA3530", "https://baanknet.com/view-property/207749/801962A2F0B40FC9B5C7CD4C56D1F933B1A2066F87A8986B04FCFECAF9FA3530")</f>
        <v>https://baanknet.com/view-property/207749/801962A2F0B40FC9B5C7CD4C56D1F933B1A2066F87A8986B04FCFECAF9FA3530</v>
      </c>
      <c r="I5936" t="str">
        <f>HYPERLINK("https://baanknet.com/view-property/207749/801962A2F0B40FC9B5C7CD4C56D1F933B1A2066F87A8986B04FCFECAF9FA3530", "Open")</f>
        <v>Open</v>
      </c>
      <c r="J5936" t="s">
        <v>3803</v>
      </c>
      <c r="L5936">
        <v>1566000</v>
      </c>
      <c r="M5936">
        <v>156600</v>
      </c>
    </row>
    <row r="5937" spans="1:13" x14ac:dyDescent="0.25">
      <c r="A5937" t="s">
        <v>19640</v>
      </c>
      <c r="B5937" t="s">
        <v>19641</v>
      </c>
      <c r="C5937" t="s">
        <v>589</v>
      </c>
      <c r="D5937" t="s">
        <v>4481</v>
      </c>
      <c r="E5937" t="s">
        <v>19543</v>
      </c>
      <c r="F5937" t="s">
        <v>19553</v>
      </c>
      <c r="G5937" t="s">
        <v>19642</v>
      </c>
      <c r="H5937" t="str">
        <f>HYPERLINK("https://baanknet.com/view-property/223582/F542F9CF888B642FF5ED9C165ACB07649A6752BBA7F4B75042F2040D9F4A5819", "https://baanknet.com/view-property/223582/F542F9CF888B642FF5ED9C165ACB07649A6752BBA7F4B75042F2040D9F4A5819")</f>
        <v>https://baanknet.com/view-property/223582/F542F9CF888B642FF5ED9C165ACB07649A6752BBA7F4B75042F2040D9F4A5819</v>
      </c>
      <c r="I5937" t="str">
        <f>HYPERLINK("https://baanknet.com/view-property/223582/F542F9CF888B642FF5ED9C165ACB07649A6752BBA7F4B75042F2040D9F4A5819", "Open")</f>
        <v>Open</v>
      </c>
      <c r="J5937" t="s">
        <v>3803</v>
      </c>
      <c r="L5937">
        <v>1823000</v>
      </c>
      <c r="M5937">
        <v>182300</v>
      </c>
    </row>
    <row r="5938" spans="1:13" x14ac:dyDescent="0.25">
      <c r="A5938" t="s">
        <v>19643</v>
      </c>
      <c r="B5938" t="s">
        <v>19644</v>
      </c>
      <c r="C5938" t="s">
        <v>589</v>
      </c>
      <c r="D5938" t="s">
        <v>1182</v>
      </c>
      <c r="E5938" t="s">
        <v>19543</v>
      </c>
      <c r="F5938" t="s">
        <v>19553</v>
      </c>
      <c r="G5938" t="s">
        <v>19645</v>
      </c>
      <c r="H5938" t="str">
        <f>HYPERLINK("https://baanknet.com/view-property/243956/003C6E656C4A5DD4C7A82CC17B9A4BBB7DF2BFBC6A851D00797B98D91AE11B66", "https://baanknet.com/view-property/243956/003C6E656C4A5DD4C7A82CC17B9A4BBB7DF2BFBC6A851D00797B98D91AE11B66")</f>
        <v>https://baanknet.com/view-property/243956/003C6E656C4A5DD4C7A82CC17B9A4BBB7DF2BFBC6A851D00797B98D91AE11B66</v>
      </c>
      <c r="I5938" t="str">
        <f>HYPERLINK("https://baanknet.com/view-property/243956/003C6E656C4A5DD4C7A82CC17B9A4BBB7DF2BFBC6A851D00797B98D91AE11B66", "Open")</f>
        <v>Open</v>
      </c>
      <c r="J5938" t="s">
        <v>3803</v>
      </c>
      <c r="L5938">
        <v>1485000</v>
      </c>
      <c r="M5938">
        <v>148500</v>
      </c>
    </row>
    <row r="5939" spans="1:13" x14ac:dyDescent="0.25">
      <c r="A5939" t="s">
        <v>19646</v>
      </c>
      <c r="B5939" t="s">
        <v>19647</v>
      </c>
      <c r="C5939" t="s">
        <v>589</v>
      </c>
      <c r="D5939" t="s">
        <v>19648</v>
      </c>
      <c r="E5939" t="s">
        <v>19543</v>
      </c>
      <c r="F5939" t="s">
        <v>19553</v>
      </c>
      <c r="G5939" t="s">
        <v>19649</v>
      </c>
      <c r="H5939" t="str">
        <f>HYPERLINK("https://baanknet.com/view-property/252545/E5B432B2FC8AB4D73E050135DD0C579E978694D2AABEE5CE311EB933F5F54FD4", "https://baanknet.com/view-property/252545/E5B432B2FC8AB4D73E050135DD0C579E978694D2AABEE5CE311EB933F5F54FD4")</f>
        <v>https://baanknet.com/view-property/252545/E5B432B2FC8AB4D73E050135DD0C579E978694D2AABEE5CE311EB933F5F54FD4</v>
      </c>
      <c r="I5939" t="str">
        <f>HYPERLINK("https://baanknet.com/view-property/252545/E5B432B2FC8AB4D73E050135DD0C579E978694D2AABEE5CE311EB933F5F54FD4", "Open")</f>
        <v>Open</v>
      </c>
      <c r="J5939" t="s">
        <v>3803</v>
      </c>
      <c r="L5939">
        <v>3948000</v>
      </c>
      <c r="M5939">
        <v>394800</v>
      </c>
    </row>
    <row r="5940" spans="1:13" x14ac:dyDescent="0.25">
      <c r="A5940" t="s">
        <v>19650</v>
      </c>
      <c r="B5940" t="s">
        <v>19651</v>
      </c>
      <c r="C5940" t="s">
        <v>589</v>
      </c>
      <c r="D5940" t="s">
        <v>4481</v>
      </c>
      <c r="E5940" t="s">
        <v>19543</v>
      </c>
      <c r="F5940" t="s">
        <v>19553</v>
      </c>
      <c r="G5940" t="s">
        <v>19652</v>
      </c>
      <c r="H5940" t="str">
        <f>HYPERLINK("https://baanknet.com/view-property/278437/0CB9C0C943D710027B41B5D487F0E750483B302BF76A68750237A830FED6C2AE", "https://baanknet.com/view-property/278437/0CB9C0C943D710027B41B5D487F0E750483B302BF76A68750237A830FED6C2AE")</f>
        <v>https://baanknet.com/view-property/278437/0CB9C0C943D710027B41B5D487F0E750483B302BF76A68750237A830FED6C2AE</v>
      </c>
      <c r="I5940" t="str">
        <f>HYPERLINK("https://baanknet.com/view-property/278437/0CB9C0C943D710027B41B5D487F0E750483B302BF76A68750237A830FED6C2AE", "Open")</f>
        <v>Open</v>
      </c>
      <c r="J5940" t="s">
        <v>3803</v>
      </c>
      <c r="L5940">
        <v>3574000</v>
      </c>
      <c r="M5940">
        <v>357400</v>
      </c>
    </row>
    <row r="5941" spans="1:13" x14ac:dyDescent="0.25">
      <c r="A5941" t="s">
        <v>19653</v>
      </c>
      <c r="B5941" t="s">
        <v>19654</v>
      </c>
      <c r="C5941" t="s">
        <v>589</v>
      </c>
      <c r="D5941" t="s">
        <v>1993</v>
      </c>
      <c r="E5941" t="s">
        <v>19543</v>
      </c>
      <c r="F5941" t="s">
        <v>19553</v>
      </c>
      <c r="G5941" t="s">
        <v>19655</v>
      </c>
      <c r="H5941" t="str">
        <f>HYPERLINK("https://baanknet.com/view-property/252519/D8578AA6D2EC62871469F31824D14C40397D0C5E88BB92D29521CF53397AE8E2", "https://baanknet.com/view-property/252519/D8578AA6D2EC62871469F31824D14C40397D0C5E88BB92D29521CF53397AE8E2")</f>
        <v>https://baanknet.com/view-property/252519/D8578AA6D2EC62871469F31824D14C40397D0C5E88BB92D29521CF53397AE8E2</v>
      </c>
      <c r="I5941" t="str">
        <f>HYPERLINK("https://baanknet.com/view-property/252519/D8578AA6D2EC62871469F31824D14C40397D0C5E88BB92D29521CF53397AE8E2", "Open")</f>
        <v>Open</v>
      </c>
      <c r="J5941" t="s">
        <v>3803</v>
      </c>
      <c r="L5941">
        <v>6249000</v>
      </c>
      <c r="M5941">
        <v>624900</v>
      </c>
    </row>
    <row r="5942" spans="1:13" x14ac:dyDescent="0.25">
      <c r="A5942" t="s">
        <v>19656</v>
      </c>
      <c r="B5942" t="s">
        <v>19657</v>
      </c>
      <c r="C5942" t="s">
        <v>589</v>
      </c>
      <c r="D5942" t="s">
        <v>19658</v>
      </c>
      <c r="E5942" t="s">
        <v>19543</v>
      </c>
      <c r="F5942" t="s">
        <v>19553</v>
      </c>
      <c r="G5942" t="s">
        <v>19659</v>
      </c>
      <c r="H5942" t="str">
        <f>HYPERLINK("https://baanknet.com/view-property/207884/58AF602C4230224CA7297BD48CF0161B88FEF4AD3411E395CF5A9C22513AB8CE", "https://baanknet.com/view-property/207884/58AF602C4230224CA7297BD48CF0161B88FEF4AD3411E395CF5A9C22513AB8CE")</f>
        <v>https://baanknet.com/view-property/207884/58AF602C4230224CA7297BD48CF0161B88FEF4AD3411E395CF5A9C22513AB8CE</v>
      </c>
      <c r="I5942" t="str">
        <f>HYPERLINK("https://baanknet.com/view-property/207884/58AF602C4230224CA7297BD48CF0161B88FEF4AD3411E395CF5A9C22513AB8CE", "Open")</f>
        <v>Open</v>
      </c>
      <c r="J5942" t="s">
        <v>3803</v>
      </c>
      <c r="L5942">
        <v>1872000</v>
      </c>
      <c r="M5942">
        <v>187200</v>
      </c>
    </row>
    <row r="5943" spans="1:13" x14ac:dyDescent="0.25">
      <c r="A5943" t="s">
        <v>19660</v>
      </c>
      <c r="B5943" t="s">
        <v>19661</v>
      </c>
      <c r="C5943" t="s">
        <v>589</v>
      </c>
      <c r="D5943" t="s">
        <v>19548</v>
      </c>
      <c r="E5943" t="s">
        <v>19543</v>
      </c>
      <c r="F5943" t="s">
        <v>19553</v>
      </c>
      <c r="G5943" t="s">
        <v>19662</v>
      </c>
      <c r="H5943" t="str">
        <f>HYPERLINK("https://baanknet.com/view-property/279069/D68EAB256582E55F573922701A08ABC3FA8D05C18A3C94913FF7E616277D749B", "https://baanknet.com/view-property/279069/D68EAB256582E55F573922701A08ABC3FA8D05C18A3C94913FF7E616277D749B")</f>
        <v>https://baanknet.com/view-property/279069/D68EAB256582E55F573922701A08ABC3FA8D05C18A3C94913FF7E616277D749B</v>
      </c>
      <c r="I5943" t="str">
        <f>HYPERLINK("https://baanknet.com/view-property/279069/D68EAB256582E55F573922701A08ABC3FA8D05C18A3C94913FF7E616277D749B", "Open")</f>
        <v>Open</v>
      </c>
      <c r="J5943" t="s">
        <v>3803</v>
      </c>
      <c r="L5943">
        <v>10725000</v>
      </c>
      <c r="M5943">
        <v>1072500</v>
      </c>
    </row>
    <row r="5944" spans="1:13" x14ac:dyDescent="0.25">
      <c r="A5944" t="s">
        <v>19663</v>
      </c>
      <c r="B5944" t="s">
        <v>19664</v>
      </c>
      <c r="C5944" t="s">
        <v>589</v>
      </c>
      <c r="D5944" t="s">
        <v>1993</v>
      </c>
      <c r="E5944" t="s">
        <v>19543</v>
      </c>
      <c r="F5944" t="s">
        <v>19553</v>
      </c>
      <c r="G5944" t="s">
        <v>19665</v>
      </c>
      <c r="H5944" t="str">
        <f>HYPERLINK("https://baanknet.com/view-property/252538/11BEBF045EC94E887EF66F12773FF4E79A0EA1E05F72F2E296476EE8D35B1797", "https://baanknet.com/view-property/252538/11BEBF045EC94E887EF66F12773FF4E79A0EA1E05F72F2E296476EE8D35B1797")</f>
        <v>https://baanknet.com/view-property/252538/11BEBF045EC94E887EF66F12773FF4E79A0EA1E05F72F2E296476EE8D35B1797</v>
      </c>
      <c r="I5944" t="str">
        <f>HYPERLINK("https://baanknet.com/view-property/252538/11BEBF045EC94E887EF66F12773FF4E79A0EA1E05F72F2E296476EE8D35B1797", "Open")</f>
        <v>Open</v>
      </c>
      <c r="J5944" t="s">
        <v>3803</v>
      </c>
      <c r="L5944">
        <v>3367000</v>
      </c>
      <c r="M5944">
        <v>336700</v>
      </c>
    </row>
    <row r="5945" spans="1:13" x14ac:dyDescent="0.25">
      <c r="A5945" t="s">
        <v>19666</v>
      </c>
      <c r="B5945" t="s">
        <v>19667</v>
      </c>
      <c r="C5945" t="s">
        <v>589</v>
      </c>
      <c r="D5945" t="s">
        <v>1182</v>
      </c>
      <c r="E5945" t="s">
        <v>19543</v>
      </c>
      <c r="F5945" t="s">
        <v>19553</v>
      </c>
      <c r="G5945" t="s">
        <v>19668</v>
      </c>
      <c r="H5945" t="str">
        <f>HYPERLINK("https://baanknet.com/view-property/223130/1A06A20598514D66DE7DA78CB7C7CC13BE686102AF78204F156FAD0AD950DBE5", "https://baanknet.com/view-property/223130/1A06A20598514D66DE7DA78CB7C7CC13BE686102AF78204F156FAD0AD950DBE5")</f>
        <v>https://baanknet.com/view-property/223130/1A06A20598514D66DE7DA78CB7C7CC13BE686102AF78204F156FAD0AD950DBE5</v>
      </c>
      <c r="I5945" t="str">
        <f>HYPERLINK("https://baanknet.com/view-property/223130/1A06A20598514D66DE7DA78CB7C7CC13BE686102AF78204F156FAD0AD950DBE5", "Open")</f>
        <v>Open</v>
      </c>
      <c r="J5945" t="s">
        <v>3803</v>
      </c>
      <c r="L5945">
        <v>1377000</v>
      </c>
      <c r="M5945">
        <v>137700</v>
      </c>
    </row>
    <row r="5946" spans="1:13" x14ac:dyDescent="0.25">
      <c r="A5946" t="s">
        <v>19669</v>
      </c>
      <c r="B5946" t="s">
        <v>19670</v>
      </c>
      <c r="C5946" t="s">
        <v>589</v>
      </c>
      <c r="D5946" t="s">
        <v>4481</v>
      </c>
      <c r="E5946" t="s">
        <v>19543</v>
      </c>
      <c r="F5946" t="s">
        <v>19553</v>
      </c>
      <c r="G5946" t="s">
        <v>19671</v>
      </c>
      <c r="H5946" t="str">
        <f>HYPERLINK("https://baanknet.com/view-property/190184/DE66080612D2C3B69583B76B049BC0DFB5FFA8B527B2931A600F9E1C9CE95507", "https://baanknet.com/view-property/190184/DE66080612D2C3B69583B76B049BC0DFB5FFA8B527B2931A600F9E1C9CE95507")</f>
        <v>https://baanknet.com/view-property/190184/DE66080612D2C3B69583B76B049BC0DFB5FFA8B527B2931A600F9E1C9CE95507</v>
      </c>
      <c r="I5946" t="str">
        <f>HYPERLINK("https://baanknet.com/view-property/190184/DE66080612D2C3B69583B76B049BC0DFB5FFA8B527B2931A600F9E1C9CE95507", "Open")</f>
        <v>Open</v>
      </c>
      <c r="J5946" t="s">
        <v>3803</v>
      </c>
      <c r="L5946">
        <v>692000</v>
      </c>
      <c r="M5946">
        <v>69200</v>
      </c>
    </row>
    <row r="5947" spans="1:13" x14ac:dyDescent="0.25">
      <c r="A5947" t="s">
        <v>19672</v>
      </c>
      <c r="B5947" t="s">
        <v>19673</v>
      </c>
      <c r="C5947" t="s">
        <v>589</v>
      </c>
      <c r="D5947" t="s">
        <v>19648</v>
      </c>
      <c r="E5947" t="s">
        <v>19543</v>
      </c>
      <c r="F5947" t="s">
        <v>19553</v>
      </c>
      <c r="G5947" t="s">
        <v>19674</v>
      </c>
      <c r="H5947" t="str">
        <f>HYPERLINK("https://baanknet.com/view-property/279302/492A941C3311A49FBD4B09F7F189A8955D550B7FCD9C2471DE52D141E340B941", "https://baanknet.com/view-property/279302/492A941C3311A49FBD4B09F7F189A8955D550B7FCD9C2471DE52D141E340B941")</f>
        <v>https://baanknet.com/view-property/279302/492A941C3311A49FBD4B09F7F189A8955D550B7FCD9C2471DE52D141E340B941</v>
      </c>
      <c r="I5947" t="str">
        <f>HYPERLINK("https://baanknet.com/view-property/279302/492A941C3311A49FBD4B09F7F189A8955D550B7FCD9C2471DE52D141E340B941", "Open")</f>
        <v>Open</v>
      </c>
      <c r="J5947" t="s">
        <v>3803</v>
      </c>
      <c r="L5947">
        <v>1475000</v>
      </c>
      <c r="M5947">
        <v>147500</v>
      </c>
    </row>
    <row r="5948" spans="1:13" x14ac:dyDescent="0.25">
      <c r="A5948" t="s">
        <v>19675</v>
      </c>
      <c r="B5948" t="s">
        <v>19676</v>
      </c>
      <c r="C5948" t="s">
        <v>589</v>
      </c>
      <c r="D5948" t="s">
        <v>937</v>
      </c>
      <c r="E5948" t="s">
        <v>19543</v>
      </c>
      <c r="F5948" t="s">
        <v>19553</v>
      </c>
      <c r="G5948" t="s">
        <v>19677</v>
      </c>
      <c r="H5948" t="str">
        <f>HYPERLINK("https://baanknet.com/view-property/287728/309C5B42F186D1ADCAB70ADCCCB8A0C5537A6E0E50A1156810657E8375B985F4", "https://baanknet.com/view-property/287728/309C5B42F186D1ADCAB70ADCCCB8A0C5537A6E0E50A1156810657E8375B985F4")</f>
        <v>https://baanknet.com/view-property/287728/309C5B42F186D1ADCAB70ADCCCB8A0C5537A6E0E50A1156810657E8375B985F4</v>
      </c>
      <c r="I5948" t="str">
        <f>HYPERLINK("https://baanknet.com/view-property/287728/309C5B42F186D1ADCAB70ADCCCB8A0C5537A6E0E50A1156810657E8375B985F4", "Open")</f>
        <v>Open</v>
      </c>
      <c r="J5948" t="s">
        <v>3803</v>
      </c>
      <c r="L5948">
        <v>2339000</v>
      </c>
      <c r="M5948">
        <v>233900</v>
      </c>
    </row>
    <row r="5949" spans="1:13" x14ac:dyDescent="0.25">
      <c r="A5949" t="s">
        <v>19678</v>
      </c>
      <c r="B5949" t="s">
        <v>19679</v>
      </c>
      <c r="C5949" t="s">
        <v>589</v>
      </c>
      <c r="D5949" t="s">
        <v>937</v>
      </c>
      <c r="E5949" t="s">
        <v>19543</v>
      </c>
      <c r="F5949" t="s">
        <v>19553</v>
      </c>
      <c r="G5949" t="s">
        <v>19680</v>
      </c>
      <c r="H5949" t="str">
        <f>HYPERLINK("https://baanknet.com/view-property/287706/96E12D13B54F9A7DC5C5950ED55717668A8AD046DD8022B767FB0312BBF22014", "https://baanknet.com/view-property/287706/96E12D13B54F9A7DC5C5950ED55717668A8AD046DD8022B767FB0312BBF22014")</f>
        <v>https://baanknet.com/view-property/287706/96E12D13B54F9A7DC5C5950ED55717668A8AD046DD8022B767FB0312BBF22014</v>
      </c>
      <c r="I5949" t="str">
        <f>HYPERLINK("https://baanknet.com/view-property/287706/96E12D13B54F9A7DC5C5950ED55717668A8AD046DD8022B767FB0312BBF22014", "Open")</f>
        <v>Open</v>
      </c>
      <c r="J5949" t="s">
        <v>3803</v>
      </c>
      <c r="L5949">
        <v>3586000</v>
      </c>
      <c r="M5949">
        <v>358600</v>
      </c>
    </row>
    <row r="5950" spans="1:13" x14ac:dyDescent="0.25">
      <c r="A5950" t="s">
        <v>19681</v>
      </c>
      <c r="B5950" t="s">
        <v>19682</v>
      </c>
      <c r="C5950" t="s">
        <v>589</v>
      </c>
      <c r="D5950" t="s">
        <v>937</v>
      </c>
      <c r="E5950" t="s">
        <v>19543</v>
      </c>
      <c r="F5950" t="s">
        <v>19553</v>
      </c>
      <c r="G5950" t="s">
        <v>19683</v>
      </c>
      <c r="H5950" t="str">
        <f>HYPERLINK("https://baanknet.com/view-property/287580/2FE9705A48861ED9387E0F862343A93794B4B1F0385E02FB550414A5E5DDF430", "https://baanknet.com/view-property/287580/2FE9705A48861ED9387E0F862343A93794B4B1F0385E02FB550414A5E5DDF430")</f>
        <v>https://baanknet.com/view-property/287580/2FE9705A48861ED9387E0F862343A93794B4B1F0385E02FB550414A5E5DDF430</v>
      </c>
      <c r="I5950" t="str">
        <f>HYPERLINK("https://baanknet.com/view-property/287580/2FE9705A48861ED9387E0F862343A93794B4B1F0385E02FB550414A5E5DDF430", "Open")</f>
        <v>Open</v>
      </c>
      <c r="J5950" t="s">
        <v>3803</v>
      </c>
      <c r="L5950">
        <v>2380000</v>
      </c>
      <c r="M5950">
        <v>238000</v>
      </c>
    </row>
    <row r="5951" spans="1:13" x14ac:dyDescent="0.25">
      <c r="A5951" t="s">
        <v>19684</v>
      </c>
      <c r="B5951" t="s">
        <v>19685</v>
      </c>
      <c r="C5951" t="s">
        <v>589</v>
      </c>
      <c r="D5951" t="s">
        <v>4814</v>
      </c>
      <c r="E5951" t="s">
        <v>19543</v>
      </c>
      <c r="F5951" t="s">
        <v>19553</v>
      </c>
      <c r="G5951" t="s">
        <v>19686</v>
      </c>
      <c r="H5951" t="str">
        <f>HYPERLINK("https://baanknet.com/view-property/287604/079BEF243CE53103C67F9FB6110FC4A156D77D85B05AC83C4E8A1AA1ACC3347A", "https://baanknet.com/view-property/287604/079BEF243CE53103C67F9FB6110FC4A156D77D85B05AC83C4E8A1AA1ACC3347A")</f>
        <v>https://baanknet.com/view-property/287604/079BEF243CE53103C67F9FB6110FC4A156D77D85B05AC83C4E8A1AA1ACC3347A</v>
      </c>
      <c r="I5951" t="str">
        <f>HYPERLINK("https://baanknet.com/view-property/287604/079BEF243CE53103C67F9FB6110FC4A156D77D85B05AC83C4E8A1AA1ACC3347A", "Open")</f>
        <v>Open</v>
      </c>
      <c r="J5951" t="s">
        <v>3803</v>
      </c>
      <c r="L5951">
        <v>2662000</v>
      </c>
      <c r="M5951">
        <v>266200</v>
      </c>
    </row>
    <row r="5952" spans="1:13" x14ac:dyDescent="0.25">
      <c r="A5952" t="s">
        <v>19687</v>
      </c>
      <c r="B5952" t="s">
        <v>19688</v>
      </c>
      <c r="C5952" t="s">
        <v>589</v>
      </c>
      <c r="D5952" t="s">
        <v>292</v>
      </c>
      <c r="E5952" t="s">
        <v>19543</v>
      </c>
      <c r="F5952" t="s">
        <v>19553</v>
      </c>
      <c r="G5952" t="s">
        <v>19689</v>
      </c>
      <c r="H5952" t="str">
        <f>HYPERLINK("https://baanknet.com/view-property/287708/C8048355CE60B185D77C6FF68AFBC4DC606657C0C4E2A82951DEA736AF321995", "https://baanknet.com/view-property/287708/C8048355CE60B185D77C6FF68AFBC4DC606657C0C4E2A82951DEA736AF321995")</f>
        <v>https://baanknet.com/view-property/287708/C8048355CE60B185D77C6FF68AFBC4DC606657C0C4E2A82951DEA736AF321995</v>
      </c>
      <c r="I5952" t="str">
        <f>HYPERLINK("https://baanknet.com/view-property/287708/C8048355CE60B185D77C6FF68AFBC4DC606657C0C4E2A82951DEA736AF321995", "Open")</f>
        <v>Open</v>
      </c>
      <c r="J5952" t="s">
        <v>3803</v>
      </c>
      <c r="L5952">
        <v>2531000</v>
      </c>
      <c r="M5952">
        <v>253100</v>
      </c>
    </row>
    <row r="5953" spans="1:13" x14ac:dyDescent="0.25">
      <c r="A5953" t="s">
        <v>19690</v>
      </c>
      <c r="B5953" t="s">
        <v>19691</v>
      </c>
      <c r="C5953" t="s">
        <v>589</v>
      </c>
      <c r="D5953" t="s">
        <v>5206</v>
      </c>
      <c r="E5953" t="s">
        <v>19543</v>
      </c>
      <c r="F5953" t="s">
        <v>19553</v>
      </c>
      <c r="G5953" t="s">
        <v>19692</v>
      </c>
      <c r="H5953" t="str">
        <f>HYPERLINK("https://baanknet.com/view-property/287608/350AEA549D80CAFBADDA3A3CA19B1DBE4E7FF954972A56820E4729D2B63F029C", "https://baanknet.com/view-property/287608/350AEA549D80CAFBADDA3A3CA19B1DBE4E7FF954972A56820E4729D2B63F029C")</f>
        <v>https://baanknet.com/view-property/287608/350AEA549D80CAFBADDA3A3CA19B1DBE4E7FF954972A56820E4729D2B63F029C</v>
      </c>
      <c r="I5953" t="str">
        <f>HYPERLINK("https://baanknet.com/view-property/287608/350AEA549D80CAFBADDA3A3CA19B1DBE4E7FF954972A56820E4729D2B63F029C", "Open")</f>
        <v>Open</v>
      </c>
      <c r="J5953" t="s">
        <v>3803</v>
      </c>
      <c r="L5953">
        <v>2037000</v>
      </c>
      <c r="M5953">
        <v>203700</v>
      </c>
    </row>
    <row r="5954" spans="1:13" x14ac:dyDescent="0.25">
      <c r="A5954" t="s">
        <v>19693</v>
      </c>
      <c r="B5954" t="s">
        <v>19694</v>
      </c>
      <c r="C5954" t="s">
        <v>589</v>
      </c>
      <c r="D5954" t="s">
        <v>937</v>
      </c>
      <c r="E5954" t="s">
        <v>19543</v>
      </c>
      <c r="F5954" t="s">
        <v>19553</v>
      </c>
      <c r="G5954" t="s">
        <v>19695</v>
      </c>
      <c r="H5954" t="str">
        <f>HYPERLINK("https://baanknet.com/view-property/287576/A940A8E0CE46EF789E3E1063C2F99631B03BB4BC2FCF7648BBA4854D1735B4D9", "https://baanknet.com/view-property/287576/A940A8E0CE46EF789E3E1063C2F99631B03BB4BC2FCF7648BBA4854D1735B4D9")</f>
        <v>https://baanknet.com/view-property/287576/A940A8E0CE46EF789E3E1063C2F99631B03BB4BC2FCF7648BBA4854D1735B4D9</v>
      </c>
      <c r="I5954" t="str">
        <f>HYPERLINK("https://baanknet.com/view-property/287576/A940A8E0CE46EF789E3E1063C2F99631B03BB4BC2FCF7648BBA4854D1735B4D9", "Open")</f>
        <v>Open</v>
      </c>
      <c r="J5954" t="s">
        <v>3803</v>
      </c>
      <c r="L5954">
        <v>1490000</v>
      </c>
      <c r="M5954">
        <v>149000</v>
      </c>
    </row>
    <row r="5955" spans="1:13" x14ac:dyDescent="0.25">
      <c r="A5955" t="s">
        <v>19696</v>
      </c>
      <c r="B5955" t="s">
        <v>19697</v>
      </c>
      <c r="C5955" t="s">
        <v>589</v>
      </c>
      <c r="D5955" t="s">
        <v>937</v>
      </c>
      <c r="E5955" t="s">
        <v>19543</v>
      </c>
      <c r="F5955" t="s">
        <v>19553</v>
      </c>
      <c r="G5955" t="s">
        <v>19698</v>
      </c>
      <c r="H5955" t="str">
        <f>HYPERLINK("https://baanknet.com/view-property/287583/A9757D21FCA9BE2F89829FF2DA1730623FDD1C277F34CCC07E830171CDFB84E1", "https://baanknet.com/view-property/287583/A9757D21FCA9BE2F89829FF2DA1730623FDD1C277F34CCC07E830171CDFB84E1")</f>
        <v>https://baanknet.com/view-property/287583/A9757D21FCA9BE2F89829FF2DA1730623FDD1C277F34CCC07E830171CDFB84E1</v>
      </c>
      <c r="I5955" t="str">
        <f>HYPERLINK("https://baanknet.com/view-property/287583/A9757D21FCA9BE2F89829FF2DA1730623FDD1C277F34CCC07E830171CDFB84E1", "Open")</f>
        <v>Open</v>
      </c>
      <c r="J5955" t="s">
        <v>3803</v>
      </c>
      <c r="L5955">
        <v>1490000</v>
      </c>
      <c r="M5955">
        <v>149000</v>
      </c>
    </row>
    <row r="5956" spans="1:13" x14ac:dyDescent="0.25">
      <c r="A5956" t="s">
        <v>19699</v>
      </c>
      <c r="B5956" t="s">
        <v>19700</v>
      </c>
      <c r="C5956" t="s">
        <v>589</v>
      </c>
      <c r="D5956" t="s">
        <v>937</v>
      </c>
      <c r="E5956" t="s">
        <v>19543</v>
      </c>
      <c r="F5956" t="s">
        <v>19553</v>
      </c>
      <c r="G5956" t="s">
        <v>19701</v>
      </c>
      <c r="H5956" t="str">
        <f>HYPERLINK("https://baanknet.com/view-property/287592/B6E20BA11430A902FDD504B7837378E0A8F943267FBCBF963D8080063C56F642", "https://baanknet.com/view-property/287592/B6E20BA11430A902FDD504B7837378E0A8F943267FBCBF963D8080063C56F642")</f>
        <v>https://baanknet.com/view-property/287592/B6E20BA11430A902FDD504B7837378E0A8F943267FBCBF963D8080063C56F642</v>
      </c>
      <c r="I5956" t="str">
        <f>HYPERLINK("https://baanknet.com/view-property/287592/B6E20BA11430A902FDD504B7837378E0A8F943267FBCBF963D8080063C56F642", "Open")</f>
        <v>Open</v>
      </c>
      <c r="J5956" t="s">
        <v>3803</v>
      </c>
      <c r="L5956">
        <v>1490000</v>
      </c>
      <c r="M5956">
        <v>149000</v>
      </c>
    </row>
    <row r="5957" spans="1:13" x14ac:dyDescent="0.25">
      <c r="A5957" t="s">
        <v>19702</v>
      </c>
      <c r="B5957" t="s">
        <v>19703</v>
      </c>
      <c r="C5957" t="s">
        <v>589</v>
      </c>
      <c r="D5957" t="s">
        <v>937</v>
      </c>
      <c r="E5957" t="s">
        <v>19543</v>
      </c>
      <c r="F5957" t="s">
        <v>19553</v>
      </c>
      <c r="G5957" t="s">
        <v>19704</v>
      </c>
      <c r="H5957" t="str">
        <f>HYPERLINK("https://baanknet.com/view-property/287620/4301F5DAFCCD39329EF9D1BCD4C4A30A7C1CBD5DD79A4F129891C76BFED95B0A", "https://baanknet.com/view-property/287620/4301F5DAFCCD39329EF9D1BCD4C4A30A7C1CBD5DD79A4F129891C76BFED95B0A")</f>
        <v>https://baanknet.com/view-property/287620/4301F5DAFCCD39329EF9D1BCD4C4A30A7C1CBD5DD79A4F129891C76BFED95B0A</v>
      </c>
      <c r="I5957" t="str">
        <f>HYPERLINK("https://baanknet.com/view-property/287620/4301F5DAFCCD39329EF9D1BCD4C4A30A7C1CBD5DD79A4F129891C76BFED95B0A", "Open")</f>
        <v>Open</v>
      </c>
      <c r="J5957" t="s">
        <v>3803</v>
      </c>
      <c r="L5957">
        <v>1578000</v>
      </c>
      <c r="M5957">
        <v>157800</v>
      </c>
    </row>
    <row r="5958" spans="1:13" x14ac:dyDescent="0.25">
      <c r="A5958" t="s">
        <v>19705</v>
      </c>
      <c r="B5958" t="s">
        <v>19706</v>
      </c>
      <c r="C5958" t="s">
        <v>589</v>
      </c>
      <c r="D5958" t="s">
        <v>937</v>
      </c>
      <c r="E5958" t="s">
        <v>19543</v>
      </c>
      <c r="F5958" t="s">
        <v>19553</v>
      </c>
      <c r="G5958" t="s">
        <v>19707</v>
      </c>
      <c r="H5958" t="str">
        <f>HYPERLINK("https://baanknet.com/view-property/287614/E5E6A4D72685067D13DD1FC017ACD461047301AA063B1C88C461D4351C89BB81", "https://baanknet.com/view-property/287614/E5E6A4D72685067D13DD1FC017ACD461047301AA063B1C88C461D4351C89BB81")</f>
        <v>https://baanknet.com/view-property/287614/E5E6A4D72685067D13DD1FC017ACD461047301AA063B1C88C461D4351C89BB81</v>
      </c>
      <c r="I5958" t="str">
        <f>HYPERLINK("https://baanknet.com/view-property/287614/E5E6A4D72685067D13DD1FC017ACD461047301AA063B1C88C461D4351C89BB81", "Open")</f>
        <v>Open</v>
      </c>
      <c r="J5958" t="s">
        <v>3803</v>
      </c>
      <c r="L5958">
        <v>9725000</v>
      </c>
      <c r="M5958">
        <v>972500</v>
      </c>
    </row>
    <row r="5959" spans="1:13" x14ac:dyDescent="0.25">
      <c r="A5959" t="s">
        <v>19708</v>
      </c>
      <c r="B5959" t="s">
        <v>19709</v>
      </c>
      <c r="C5959" t="s">
        <v>589</v>
      </c>
      <c r="D5959" t="s">
        <v>950</v>
      </c>
      <c r="E5959" t="s">
        <v>19543</v>
      </c>
      <c r="F5959" t="s">
        <v>19553</v>
      </c>
      <c r="G5959" t="s">
        <v>19710</v>
      </c>
      <c r="H5959" t="str">
        <f>HYPERLINK("https://baanknet.com/view-property/287857/19D9A3DAC6EF647E5C1E086C1BFF0D0FF0F6CD5F30C43908D525C35D0AD47ABF", "https://baanknet.com/view-property/287857/19D9A3DAC6EF647E5C1E086C1BFF0D0FF0F6CD5F30C43908D525C35D0AD47ABF")</f>
        <v>https://baanknet.com/view-property/287857/19D9A3DAC6EF647E5C1E086C1BFF0D0FF0F6CD5F30C43908D525C35D0AD47ABF</v>
      </c>
      <c r="I5959" t="str">
        <f>HYPERLINK("https://baanknet.com/view-property/287857/19D9A3DAC6EF647E5C1E086C1BFF0D0FF0F6CD5F30C43908D525C35D0AD47ABF", "Open")</f>
        <v>Open</v>
      </c>
      <c r="J5959" t="s">
        <v>3803</v>
      </c>
      <c r="L5959">
        <v>1888000</v>
      </c>
      <c r="M5959">
        <v>188800</v>
      </c>
    </row>
    <row r="5960" spans="1:13" x14ac:dyDescent="0.25">
      <c r="A5960" t="s">
        <v>19711</v>
      </c>
      <c r="B5960" t="s">
        <v>19712</v>
      </c>
      <c r="C5960" t="s">
        <v>589</v>
      </c>
      <c r="D5960" t="s">
        <v>19623</v>
      </c>
      <c r="E5960" t="s">
        <v>19543</v>
      </c>
      <c r="F5960" t="s">
        <v>19553</v>
      </c>
      <c r="G5960" t="s">
        <v>19713</v>
      </c>
      <c r="H5960" t="str">
        <f>HYPERLINK("https://baanknet.com/view-property/223145/76B1E0B4AD919C38B419127105B4090260CE93E7E7AC1BFB86A5458B0DD87003", "https://baanknet.com/view-property/223145/76B1E0B4AD919C38B419127105B4090260CE93E7E7AC1BFB86A5458B0DD87003")</f>
        <v>https://baanknet.com/view-property/223145/76B1E0B4AD919C38B419127105B4090260CE93E7E7AC1BFB86A5458B0DD87003</v>
      </c>
      <c r="I5960" t="str">
        <f>HYPERLINK("https://baanknet.com/view-property/223145/76B1E0B4AD919C38B419127105B4090260CE93E7E7AC1BFB86A5458B0DD87003", "Open")</f>
        <v>Open</v>
      </c>
      <c r="J5960" t="s">
        <v>3803</v>
      </c>
      <c r="L5960">
        <v>2787000</v>
      </c>
      <c r="M5960">
        <v>278700</v>
      </c>
    </row>
    <row r="5961" spans="1:13" x14ac:dyDescent="0.25">
      <c r="A5961" t="s">
        <v>19714</v>
      </c>
      <c r="B5961" t="s">
        <v>19715</v>
      </c>
      <c r="C5961" t="s">
        <v>589</v>
      </c>
      <c r="D5961" t="s">
        <v>4814</v>
      </c>
      <c r="E5961" t="s">
        <v>19543</v>
      </c>
      <c r="F5961" t="s">
        <v>19553</v>
      </c>
      <c r="G5961" t="s">
        <v>19716</v>
      </c>
      <c r="H5961" t="str">
        <f>HYPERLINK("https://baanknet.com/view-property/287898/857ED2B6D74EEBDA9E2CF36220FB2F02B327516A03030B62668D50A8AFA1A569", "https://baanknet.com/view-property/287898/857ED2B6D74EEBDA9E2CF36220FB2F02B327516A03030B62668D50A8AFA1A569")</f>
        <v>https://baanknet.com/view-property/287898/857ED2B6D74EEBDA9E2CF36220FB2F02B327516A03030B62668D50A8AFA1A569</v>
      </c>
      <c r="I5961" t="str">
        <f>HYPERLINK("https://baanknet.com/view-property/287898/857ED2B6D74EEBDA9E2CF36220FB2F02B327516A03030B62668D50A8AFA1A569", "Open")</f>
        <v>Open</v>
      </c>
      <c r="J5961" t="s">
        <v>3803</v>
      </c>
      <c r="L5961">
        <v>4242000</v>
      </c>
      <c r="M5961">
        <v>424200</v>
      </c>
    </row>
    <row r="5962" spans="1:13" x14ac:dyDescent="0.25">
      <c r="A5962" t="s">
        <v>19717</v>
      </c>
      <c r="B5962" t="s">
        <v>19718</v>
      </c>
      <c r="C5962" t="s">
        <v>589</v>
      </c>
      <c r="D5962" t="s">
        <v>333</v>
      </c>
      <c r="E5962" t="s">
        <v>19543</v>
      </c>
      <c r="F5962" t="s">
        <v>19553</v>
      </c>
      <c r="G5962" t="s">
        <v>19719</v>
      </c>
      <c r="H5962" t="str">
        <f>HYPERLINK("https://baanknet.com/view-property/250916/70ED8A42903DCAFB05C8F373E3D660A0BF9C3711D5086B6CF91F3DDB64B3CB46", "https://baanknet.com/view-property/250916/70ED8A42903DCAFB05C8F373E3D660A0BF9C3711D5086B6CF91F3DDB64B3CB46")</f>
        <v>https://baanknet.com/view-property/250916/70ED8A42903DCAFB05C8F373E3D660A0BF9C3711D5086B6CF91F3DDB64B3CB46</v>
      </c>
      <c r="I5962" t="str">
        <f>HYPERLINK("https://baanknet.com/view-property/250916/70ED8A42903DCAFB05C8F373E3D660A0BF9C3711D5086B6CF91F3DDB64B3CB46", "Open")</f>
        <v>Open</v>
      </c>
      <c r="J5962" t="s">
        <v>3803</v>
      </c>
      <c r="L5962">
        <v>2913000</v>
      </c>
      <c r="M5962">
        <v>291300</v>
      </c>
    </row>
    <row r="5963" spans="1:13" x14ac:dyDescent="0.25">
      <c r="A5963" t="s">
        <v>19720</v>
      </c>
      <c r="B5963" t="s">
        <v>19721</v>
      </c>
      <c r="C5963" t="s">
        <v>589</v>
      </c>
      <c r="D5963" t="s">
        <v>19722</v>
      </c>
      <c r="E5963" t="s">
        <v>19543</v>
      </c>
      <c r="F5963" t="s">
        <v>19553</v>
      </c>
      <c r="G5963" t="s">
        <v>19723</v>
      </c>
      <c r="H5963" t="str">
        <f>HYPERLINK("https://baanknet.com/view-property/219104/48A777F29960713DC839F8FA5F3F3D93A563CC17BBCF904B91B00FA3157800A8", "https://baanknet.com/view-property/219104/48A777F29960713DC839F8FA5F3F3D93A563CC17BBCF904B91B00FA3157800A8")</f>
        <v>https://baanknet.com/view-property/219104/48A777F29960713DC839F8FA5F3F3D93A563CC17BBCF904B91B00FA3157800A8</v>
      </c>
      <c r="I5963" t="str">
        <f>HYPERLINK("https://baanknet.com/view-property/219104/48A777F29960713DC839F8FA5F3F3D93A563CC17BBCF904B91B00FA3157800A8", "Open")</f>
        <v>Open</v>
      </c>
      <c r="J5963" t="s">
        <v>3803</v>
      </c>
      <c r="L5963">
        <v>2519000</v>
      </c>
      <c r="M5963">
        <v>251900</v>
      </c>
    </row>
    <row r="5964" spans="1:13" x14ac:dyDescent="0.25">
      <c r="A5964" t="s">
        <v>19724</v>
      </c>
      <c r="B5964" t="s">
        <v>19725</v>
      </c>
      <c r="C5964" t="s">
        <v>589</v>
      </c>
      <c r="D5964" t="s">
        <v>19726</v>
      </c>
      <c r="E5964" t="s">
        <v>19543</v>
      </c>
      <c r="F5964" t="s">
        <v>19553</v>
      </c>
      <c r="G5964" t="s">
        <v>19727</v>
      </c>
      <c r="H5964" t="str">
        <f>HYPERLINK("https://baanknet.com/view-property/262556/34B329FF1DC6A0376E511B57397D49D4C3348FD04B427A48051A406F126E62AA", "https://baanknet.com/view-property/262556/34B329FF1DC6A0376E511B57397D49D4C3348FD04B427A48051A406F126E62AA")</f>
        <v>https://baanknet.com/view-property/262556/34B329FF1DC6A0376E511B57397D49D4C3348FD04B427A48051A406F126E62AA</v>
      </c>
      <c r="I5964" t="str">
        <f>HYPERLINK("https://baanknet.com/view-property/262556/34B329FF1DC6A0376E511B57397D49D4C3348FD04B427A48051A406F126E62AA", "Open")</f>
        <v>Open</v>
      </c>
      <c r="J5964" t="s">
        <v>3803</v>
      </c>
      <c r="L5964">
        <v>1886000</v>
      </c>
      <c r="M5964">
        <v>188600</v>
      </c>
    </row>
    <row r="5965" spans="1:13" x14ac:dyDescent="0.25">
      <c r="A5965" t="s">
        <v>19728</v>
      </c>
      <c r="B5965" t="s">
        <v>19729</v>
      </c>
      <c r="C5965" t="s">
        <v>589</v>
      </c>
      <c r="D5965" t="s">
        <v>937</v>
      </c>
      <c r="E5965" t="s">
        <v>19543</v>
      </c>
      <c r="F5965" t="s">
        <v>19553</v>
      </c>
      <c r="G5965" t="s">
        <v>19730</v>
      </c>
      <c r="H5965" t="str">
        <f>HYPERLINK("https://baanknet.com/view-property/251017/EFBB3EA6EC1DE7C06340A3E01072262907459408195DEF0727EDA9B6FC024379", "https://baanknet.com/view-property/251017/EFBB3EA6EC1DE7C06340A3E01072262907459408195DEF0727EDA9B6FC024379")</f>
        <v>https://baanknet.com/view-property/251017/EFBB3EA6EC1DE7C06340A3E01072262907459408195DEF0727EDA9B6FC024379</v>
      </c>
      <c r="I5965" t="str">
        <f>HYPERLINK("https://baanknet.com/view-property/251017/EFBB3EA6EC1DE7C06340A3E01072262907459408195DEF0727EDA9B6FC024379", "Open")</f>
        <v>Open</v>
      </c>
      <c r="J5965" t="s">
        <v>3803</v>
      </c>
      <c r="L5965">
        <v>2566000</v>
      </c>
      <c r="M5965">
        <v>256600</v>
      </c>
    </row>
    <row r="5966" spans="1:13" x14ac:dyDescent="0.25">
      <c r="A5966" t="s">
        <v>19731</v>
      </c>
      <c r="B5966" t="s">
        <v>19732</v>
      </c>
      <c r="C5966" t="s">
        <v>589</v>
      </c>
      <c r="D5966" t="s">
        <v>19733</v>
      </c>
      <c r="E5966" t="s">
        <v>19543</v>
      </c>
      <c r="F5966" t="s">
        <v>19553</v>
      </c>
      <c r="G5966" t="s">
        <v>19734</v>
      </c>
      <c r="H5966" t="str">
        <f>HYPERLINK("https://baanknet.com/view-property/201503/CA37FB58978F403A7938E5DF2BA1D09E636B1E3BD2B530106BEB8F90EF0D8FB0", "https://baanknet.com/view-property/201503/CA37FB58978F403A7938E5DF2BA1D09E636B1E3BD2B530106BEB8F90EF0D8FB0")</f>
        <v>https://baanknet.com/view-property/201503/CA37FB58978F403A7938E5DF2BA1D09E636B1E3BD2B530106BEB8F90EF0D8FB0</v>
      </c>
      <c r="I5966" t="str">
        <f>HYPERLINK("https://baanknet.com/view-property/201503/CA37FB58978F403A7938E5DF2BA1D09E636B1E3BD2B530106BEB8F90EF0D8FB0", "Open")</f>
        <v>Open</v>
      </c>
      <c r="J5966" t="s">
        <v>3803</v>
      </c>
      <c r="L5966">
        <v>2498000</v>
      </c>
      <c r="M5966">
        <v>249800</v>
      </c>
    </row>
    <row r="5967" spans="1:13" x14ac:dyDescent="0.25">
      <c r="A5967" t="s">
        <v>19735</v>
      </c>
      <c r="B5967" t="s">
        <v>19736</v>
      </c>
      <c r="C5967" t="s">
        <v>589</v>
      </c>
      <c r="D5967" t="s">
        <v>6123</v>
      </c>
      <c r="E5967" t="s">
        <v>19543</v>
      </c>
      <c r="F5967" t="s">
        <v>19553</v>
      </c>
      <c r="G5967" t="s">
        <v>19737</v>
      </c>
      <c r="H5967" t="str">
        <f>HYPERLINK("https://baanknet.com/view-property/222935/D107B78E9AE803F4EC1414BDB47C8B8127DB75E3C6D76E32284C2C575AE2C70C", "https://baanknet.com/view-property/222935/D107B78E9AE803F4EC1414BDB47C8B8127DB75E3C6D76E32284C2C575AE2C70C")</f>
        <v>https://baanknet.com/view-property/222935/D107B78E9AE803F4EC1414BDB47C8B8127DB75E3C6D76E32284C2C575AE2C70C</v>
      </c>
      <c r="I5967" t="str">
        <f>HYPERLINK("https://baanknet.com/view-property/222935/D107B78E9AE803F4EC1414BDB47C8B8127DB75E3C6D76E32284C2C575AE2C70C", "Open")</f>
        <v>Open</v>
      </c>
      <c r="J5967" t="s">
        <v>3803</v>
      </c>
      <c r="L5967">
        <v>1710000</v>
      </c>
      <c r="M5967">
        <v>171000</v>
      </c>
    </row>
    <row r="5968" spans="1:13" x14ac:dyDescent="0.25">
      <c r="A5968" t="s">
        <v>19738</v>
      </c>
      <c r="B5968" t="s">
        <v>19739</v>
      </c>
      <c r="C5968" t="s">
        <v>589</v>
      </c>
      <c r="D5968" t="s">
        <v>5206</v>
      </c>
      <c r="E5968" t="s">
        <v>19543</v>
      </c>
      <c r="F5968" t="s">
        <v>19553</v>
      </c>
      <c r="G5968" t="s">
        <v>19740</v>
      </c>
      <c r="H5968" t="str">
        <f>HYPERLINK("https://baanknet.com/view-property/272172/F2DF34D15C34F1CCF6DA38398DD28EF831C44440208C486858573C53A21FCF83", "https://baanknet.com/view-property/272172/F2DF34D15C34F1CCF6DA38398DD28EF831C44440208C486858573C53A21FCF83")</f>
        <v>https://baanknet.com/view-property/272172/F2DF34D15C34F1CCF6DA38398DD28EF831C44440208C486858573C53A21FCF83</v>
      </c>
      <c r="I5968" t="str">
        <f>HYPERLINK("https://baanknet.com/view-property/272172/F2DF34D15C34F1CCF6DA38398DD28EF831C44440208C486858573C53A21FCF83", "Open")</f>
        <v>Open</v>
      </c>
      <c r="J5968" t="s">
        <v>3803</v>
      </c>
      <c r="L5968">
        <v>3442000</v>
      </c>
      <c r="M5968">
        <v>344200</v>
      </c>
    </row>
    <row r="5969" spans="1:13" x14ac:dyDescent="0.25">
      <c r="A5969" t="s">
        <v>19741</v>
      </c>
      <c r="B5969" t="s">
        <v>19742</v>
      </c>
      <c r="C5969" t="s">
        <v>589</v>
      </c>
      <c r="D5969" t="s">
        <v>937</v>
      </c>
      <c r="E5969" t="s">
        <v>19543</v>
      </c>
      <c r="F5969" t="s">
        <v>19553</v>
      </c>
      <c r="G5969" t="s">
        <v>19743</v>
      </c>
      <c r="H5969" t="str">
        <f>HYPERLINK("https://baanknet.com/view-property/270220/F132E31BDE022278CC6106E8ADCDE9541880D88BA2ED6246B0AA237EE8398D21", "https://baanknet.com/view-property/270220/F132E31BDE022278CC6106E8ADCDE9541880D88BA2ED6246B0AA237EE8398D21")</f>
        <v>https://baanknet.com/view-property/270220/F132E31BDE022278CC6106E8ADCDE9541880D88BA2ED6246B0AA237EE8398D21</v>
      </c>
      <c r="I5969" t="str">
        <f>HYPERLINK("https://baanknet.com/view-property/270220/F132E31BDE022278CC6106E8ADCDE9541880D88BA2ED6246B0AA237EE8398D21", "Open")</f>
        <v>Open</v>
      </c>
      <c r="J5969" t="s">
        <v>3803</v>
      </c>
      <c r="L5969">
        <v>2585000</v>
      </c>
      <c r="M5969">
        <v>258500</v>
      </c>
    </row>
    <row r="5970" spans="1:13" x14ac:dyDescent="0.25">
      <c r="A5970" t="s">
        <v>19744</v>
      </c>
      <c r="B5970" t="s">
        <v>19745</v>
      </c>
      <c r="C5970" t="s">
        <v>589</v>
      </c>
      <c r="D5970" t="s">
        <v>19746</v>
      </c>
      <c r="E5970" t="s">
        <v>19543</v>
      </c>
      <c r="F5970" t="s">
        <v>19553</v>
      </c>
      <c r="G5970" t="s">
        <v>19747</v>
      </c>
      <c r="H5970" t="str">
        <f>HYPERLINK("https://baanknet.com/view-property/223354/AA2C02EFA6D89DC38F726AFE963DD24BDDF5D17B3522D4BD4424F0AF9E826E05", "https://baanknet.com/view-property/223354/AA2C02EFA6D89DC38F726AFE963DD24BDDF5D17B3522D4BD4424F0AF9E826E05")</f>
        <v>https://baanknet.com/view-property/223354/AA2C02EFA6D89DC38F726AFE963DD24BDDF5D17B3522D4BD4424F0AF9E826E05</v>
      </c>
      <c r="I5970" t="str">
        <f>HYPERLINK("https://baanknet.com/view-property/223354/AA2C02EFA6D89DC38F726AFE963DD24BDDF5D17B3522D4BD4424F0AF9E826E05", "Open")</f>
        <v>Open</v>
      </c>
      <c r="J5970" t="s">
        <v>3803</v>
      </c>
      <c r="L5970">
        <v>1320000</v>
      </c>
      <c r="M5970">
        <v>132000</v>
      </c>
    </row>
    <row r="5971" spans="1:13" x14ac:dyDescent="0.25">
      <c r="A5971" t="s">
        <v>19748</v>
      </c>
      <c r="B5971" t="s">
        <v>19749</v>
      </c>
      <c r="C5971" t="s">
        <v>589</v>
      </c>
      <c r="D5971" t="s">
        <v>950</v>
      </c>
      <c r="E5971" t="s">
        <v>19543</v>
      </c>
      <c r="F5971" t="s">
        <v>19553</v>
      </c>
      <c r="G5971" t="s">
        <v>19750</v>
      </c>
      <c r="H5971" t="str">
        <f>HYPERLINK("https://baanknet.com/view-property/219102/2C703C3E81C914667F3A5B3A820A667E708C0E36B07A8A2F2AA66864B6736095", "https://baanknet.com/view-property/219102/2C703C3E81C914667F3A5B3A820A667E708C0E36B07A8A2F2AA66864B6736095")</f>
        <v>https://baanknet.com/view-property/219102/2C703C3E81C914667F3A5B3A820A667E708C0E36B07A8A2F2AA66864B6736095</v>
      </c>
      <c r="I5971" t="str">
        <f>HYPERLINK("https://baanknet.com/view-property/219102/2C703C3E81C914667F3A5B3A820A667E708C0E36B07A8A2F2AA66864B6736095", "Open")</f>
        <v>Open</v>
      </c>
      <c r="J5971" t="s">
        <v>3803</v>
      </c>
      <c r="L5971">
        <v>2984000</v>
      </c>
      <c r="M5971">
        <v>298400</v>
      </c>
    </row>
    <row r="5972" spans="1:13" x14ac:dyDescent="0.25">
      <c r="A5972" t="s">
        <v>19751</v>
      </c>
      <c r="B5972" t="s">
        <v>19752</v>
      </c>
      <c r="C5972" t="s">
        <v>589</v>
      </c>
      <c r="D5972" t="s">
        <v>5229</v>
      </c>
      <c r="E5972" t="s">
        <v>19543</v>
      </c>
      <c r="F5972" t="s">
        <v>19553</v>
      </c>
      <c r="G5972" t="s">
        <v>19753</v>
      </c>
      <c r="H5972" t="str">
        <f>HYPERLINK("https://baanknet.com/view-property/287699/98F0DF1930163154B22CA18B790999B74A14753BC79F99F4C06126907006D7E9", "https://baanknet.com/view-property/287699/98F0DF1930163154B22CA18B790999B74A14753BC79F99F4C06126907006D7E9")</f>
        <v>https://baanknet.com/view-property/287699/98F0DF1930163154B22CA18B790999B74A14753BC79F99F4C06126907006D7E9</v>
      </c>
      <c r="I5972" t="str">
        <f>HYPERLINK("https://baanknet.com/view-property/287699/98F0DF1930163154B22CA18B790999B74A14753BC79F99F4C06126907006D7E9", "Open")</f>
        <v>Open</v>
      </c>
      <c r="J5972" t="s">
        <v>3803</v>
      </c>
      <c r="L5972">
        <v>2300000</v>
      </c>
      <c r="M5972">
        <v>230000</v>
      </c>
    </row>
    <row r="5973" spans="1:13" x14ac:dyDescent="0.25">
      <c r="A5973" t="s">
        <v>19754</v>
      </c>
      <c r="B5973" t="s">
        <v>19755</v>
      </c>
      <c r="C5973" t="s">
        <v>589</v>
      </c>
      <c r="D5973" t="s">
        <v>869</v>
      </c>
      <c r="E5973" t="s">
        <v>19543</v>
      </c>
      <c r="F5973" t="s">
        <v>19553</v>
      </c>
      <c r="G5973" t="s">
        <v>19756</v>
      </c>
      <c r="H5973" t="str">
        <f>HYPERLINK("https://baanknet.com/view-property/287572/533FA1ED1666F09BDC6F9FD606CACE69E99ADA39A2D33AB4FCFC57CA080E2792", "https://baanknet.com/view-property/287572/533FA1ED1666F09BDC6F9FD606CACE69E99ADA39A2D33AB4FCFC57CA080E2792")</f>
        <v>https://baanknet.com/view-property/287572/533FA1ED1666F09BDC6F9FD606CACE69E99ADA39A2D33AB4FCFC57CA080E2792</v>
      </c>
      <c r="I5973" t="str">
        <f>HYPERLINK("https://baanknet.com/view-property/287572/533FA1ED1666F09BDC6F9FD606CACE69E99ADA39A2D33AB4FCFC57CA080E2792", "Open")</f>
        <v>Open</v>
      </c>
      <c r="J5973" t="s">
        <v>3803</v>
      </c>
      <c r="L5973">
        <v>2235000</v>
      </c>
      <c r="M5973">
        <v>223500</v>
      </c>
    </row>
    <row r="5974" spans="1:13" x14ac:dyDescent="0.25">
      <c r="A5974" t="s">
        <v>19757</v>
      </c>
      <c r="B5974" t="s">
        <v>19758</v>
      </c>
      <c r="C5974" t="s">
        <v>589</v>
      </c>
      <c r="D5974" t="s">
        <v>16918</v>
      </c>
      <c r="E5974" t="s">
        <v>19543</v>
      </c>
      <c r="F5974" t="s">
        <v>19553</v>
      </c>
      <c r="G5974" t="s">
        <v>19759</v>
      </c>
      <c r="H5974" t="str">
        <f>HYPERLINK("https://baanknet.com/view-property/288021/256175C8E59EC3EFDDF0A7BE7D1F793AA6D2E8CDEA670471A010854F1A20F24D", "https://baanknet.com/view-property/288021/256175C8E59EC3EFDDF0A7BE7D1F793AA6D2E8CDEA670471A010854F1A20F24D")</f>
        <v>https://baanknet.com/view-property/288021/256175C8E59EC3EFDDF0A7BE7D1F793AA6D2E8CDEA670471A010854F1A20F24D</v>
      </c>
      <c r="I5974" t="str">
        <f>HYPERLINK("https://baanknet.com/view-property/288021/256175C8E59EC3EFDDF0A7BE7D1F793AA6D2E8CDEA670471A010854F1A20F24D", "Open")</f>
        <v>Open</v>
      </c>
      <c r="J5974" t="s">
        <v>3803</v>
      </c>
      <c r="L5974">
        <v>2250000</v>
      </c>
      <c r="M5974">
        <v>225000</v>
      </c>
    </row>
    <row r="5975" spans="1:13" x14ac:dyDescent="0.25">
      <c r="A5975" t="s">
        <v>19760</v>
      </c>
      <c r="B5975" t="s">
        <v>19761</v>
      </c>
      <c r="C5975" t="s">
        <v>589</v>
      </c>
      <c r="D5975" t="s">
        <v>1993</v>
      </c>
      <c r="E5975" t="s">
        <v>19543</v>
      </c>
      <c r="F5975" t="s">
        <v>19553</v>
      </c>
      <c r="G5975" t="s">
        <v>19762</v>
      </c>
      <c r="H5975" t="str">
        <f>HYPERLINK("https://baanknet.com/view-property/288031/D39D1E93BAF1BA7157BA1B739F98B9B5B3E81E89E44B1E524D26E7E090DB40C7", "https://baanknet.com/view-property/288031/D39D1E93BAF1BA7157BA1B739F98B9B5B3E81E89E44B1E524D26E7E090DB40C7")</f>
        <v>https://baanknet.com/view-property/288031/D39D1E93BAF1BA7157BA1B739F98B9B5B3E81E89E44B1E524D26E7E090DB40C7</v>
      </c>
      <c r="I5975" t="str">
        <f>HYPERLINK("https://baanknet.com/view-property/288031/D39D1E93BAF1BA7157BA1B739F98B9B5B3E81E89E44B1E524D26E7E090DB40C7", "Open")</f>
        <v>Open</v>
      </c>
      <c r="J5975" t="s">
        <v>3803</v>
      </c>
      <c r="L5975">
        <v>13765000</v>
      </c>
      <c r="M5975">
        <v>1376500</v>
      </c>
    </row>
    <row r="5976" spans="1:13" x14ac:dyDescent="0.25">
      <c r="A5976" t="s">
        <v>19763</v>
      </c>
      <c r="B5976" t="s">
        <v>19764</v>
      </c>
      <c r="C5976" t="s">
        <v>589</v>
      </c>
      <c r="D5976" t="s">
        <v>4481</v>
      </c>
      <c r="E5976" t="s">
        <v>19543</v>
      </c>
      <c r="F5976" t="s">
        <v>19553</v>
      </c>
      <c r="G5976" t="s">
        <v>19765</v>
      </c>
      <c r="H5976" t="str">
        <f>HYPERLINK("https://baanknet.com/view-property/288006/E52EFBD05246B693CE672198BCE58CBACF245F5F93691D34BC8118C50D92ACB5", "https://baanknet.com/view-property/288006/E52EFBD05246B693CE672198BCE58CBACF245F5F93691D34BC8118C50D92ACB5")</f>
        <v>https://baanknet.com/view-property/288006/E52EFBD05246B693CE672198BCE58CBACF245F5F93691D34BC8118C50D92ACB5</v>
      </c>
      <c r="I5976" t="str">
        <f>HYPERLINK("https://baanknet.com/view-property/288006/E52EFBD05246B693CE672198BCE58CBACF245F5F93691D34BC8118C50D92ACB5", "Open")</f>
        <v>Open</v>
      </c>
      <c r="J5976" t="s">
        <v>3803</v>
      </c>
      <c r="L5976">
        <v>1858000</v>
      </c>
      <c r="M5976">
        <v>185800</v>
      </c>
    </row>
    <row r="5977" spans="1:13" x14ac:dyDescent="0.25">
      <c r="A5977" t="s">
        <v>19766</v>
      </c>
      <c r="B5977" t="s">
        <v>19767</v>
      </c>
      <c r="C5977" t="s">
        <v>589</v>
      </c>
      <c r="D5977" t="s">
        <v>19768</v>
      </c>
      <c r="E5977" t="s">
        <v>19543</v>
      </c>
      <c r="F5977" t="s">
        <v>19553</v>
      </c>
      <c r="G5977" t="s">
        <v>19769</v>
      </c>
      <c r="H5977" t="str">
        <f>HYPERLINK("https://baanknet.com/view-property/287995/4A4141AFCB5AF08E67BCA2F2A7FB6062AC46747993487877BF6F37013CEBBA93", "https://baanknet.com/view-property/287995/4A4141AFCB5AF08E67BCA2F2A7FB6062AC46747993487877BF6F37013CEBBA93")</f>
        <v>https://baanknet.com/view-property/287995/4A4141AFCB5AF08E67BCA2F2A7FB6062AC46747993487877BF6F37013CEBBA93</v>
      </c>
      <c r="I5977" t="str">
        <f>HYPERLINK("https://baanknet.com/view-property/287995/4A4141AFCB5AF08E67BCA2F2A7FB6062AC46747993487877BF6F37013CEBBA93", "Open")</f>
        <v>Open</v>
      </c>
      <c r="J5977" t="s">
        <v>3803</v>
      </c>
      <c r="L5977">
        <v>1565000</v>
      </c>
      <c r="M5977">
        <v>156500</v>
      </c>
    </row>
    <row r="5978" spans="1:13" x14ac:dyDescent="0.25">
      <c r="A5978" t="s">
        <v>19770</v>
      </c>
      <c r="B5978" t="s">
        <v>19771</v>
      </c>
      <c r="C5978" t="s">
        <v>589</v>
      </c>
      <c r="D5978" t="s">
        <v>5243</v>
      </c>
      <c r="E5978" t="s">
        <v>19543</v>
      </c>
      <c r="F5978" t="s">
        <v>19553</v>
      </c>
      <c r="G5978" t="s">
        <v>19772</v>
      </c>
      <c r="H5978" t="str">
        <f>HYPERLINK("https://baanknet.com/view-property/288110/AE03A85F87BC08FE0F910F3D2643AC75EE99C17D257D4310B8131C00CDDE37CA", "https://baanknet.com/view-property/288110/AE03A85F87BC08FE0F910F3D2643AC75EE99C17D257D4310B8131C00CDDE37CA")</f>
        <v>https://baanknet.com/view-property/288110/AE03A85F87BC08FE0F910F3D2643AC75EE99C17D257D4310B8131C00CDDE37CA</v>
      </c>
      <c r="I5978" t="str">
        <f>HYPERLINK("https://baanknet.com/view-property/288110/AE03A85F87BC08FE0F910F3D2643AC75EE99C17D257D4310B8131C00CDDE37CA", "Open")</f>
        <v>Open</v>
      </c>
      <c r="J5978" t="s">
        <v>3803</v>
      </c>
      <c r="L5978">
        <v>14450000</v>
      </c>
      <c r="M5978">
        <v>1445000</v>
      </c>
    </row>
    <row r="5979" spans="1:13" x14ac:dyDescent="0.25">
      <c r="A5979" t="s">
        <v>19773</v>
      </c>
      <c r="B5979" t="s">
        <v>19774</v>
      </c>
      <c r="C5979" t="s">
        <v>589</v>
      </c>
      <c r="D5979" t="s">
        <v>5243</v>
      </c>
      <c r="E5979" t="s">
        <v>19543</v>
      </c>
      <c r="F5979" t="s">
        <v>19553</v>
      </c>
      <c r="G5979" t="s">
        <v>19775</v>
      </c>
      <c r="H5979" t="str">
        <f>HYPERLINK("https://baanknet.com/view-property/288125/34AF0A5766E11423E5004FE340B6B1FD6CD3233D5848824FCF4862140F86A598", "https://baanknet.com/view-property/288125/34AF0A5766E11423E5004FE340B6B1FD6CD3233D5848824FCF4862140F86A598")</f>
        <v>https://baanknet.com/view-property/288125/34AF0A5766E11423E5004FE340B6B1FD6CD3233D5848824FCF4862140F86A598</v>
      </c>
      <c r="I5979" t="str">
        <f>HYPERLINK("https://baanknet.com/view-property/288125/34AF0A5766E11423E5004FE340B6B1FD6CD3233D5848824FCF4862140F86A598", "Open")</f>
        <v>Open</v>
      </c>
      <c r="J5979" t="s">
        <v>3803</v>
      </c>
      <c r="L5979">
        <v>2800000</v>
      </c>
      <c r="M5979">
        <v>280000</v>
      </c>
    </row>
    <row r="5980" spans="1:13" x14ac:dyDescent="0.25">
      <c r="A5980" t="s">
        <v>19776</v>
      </c>
      <c r="B5980" t="s">
        <v>19777</v>
      </c>
      <c r="C5980" t="s">
        <v>589</v>
      </c>
      <c r="D5980" t="s">
        <v>5243</v>
      </c>
      <c r="E5980" t="s">
        <v>19543</v>
      </c>
      <c r="F5980" t="s">
        <v>19553</v>
      </c>
      <c r="G5980" t="s">
        <v>19778</v>
      </c>
      <c r="H5980" t="str">
        <f>HYPERLINK("https://baanknet.com/view-property/288133/16BB91406F64C8B417025FD37F491A5C5F8DAC6608776427A4693FDE27622EA3", "https://baanknet.com/view-property/288133/16BB91406F64C8B417025FD37F491A5C5F8DAC6608776427A4693FDE27622EA3")</f>
        <v>https://baanknet.com/view-property/288133/16BB91406F64C8B417025FD37F491A5C5F8DAC6608776427A4693FDE27622EA3</v>
      </c>
      <c r="I5980" t="str">
        <f>HYPERLINK("https://baanknet.com/view-property/288133/16BB91406F64C8B417025FD37F491A5C5F8DAC6608776427A4693FDE27622EA3", "Open")</f>
        <v>Open</v>
      </c>
      <c r="J5980" t="s">
        <v>3803</v>
      </c>
      <c r="L5980">
        <v>2910000</v>
      </c>
      <c r="M5980">
        <v>291000</v>
      </c>
    </row>
    <row r="5981" spans="1:13" x14ac:dyDescent="0.25">
      <c r="A5981" t="s">
        <v>19779</v>
      </c>
      <c r="B5981" t="s">
        <v>19780</v>
      </c>
      <c r="C5981" t="s">
        <v>589</v>
      </c>
      <c r="D5981" t="s">
        <v>19648</v>
      </c>
      <c r="E5981" t="s">
        <v>19543</v>
      </c>
      <c r="F5981" t="s">
        <v>19553</v>
      </c>
      <c r="G5981" t="s">
        <v>19781</v>
      </c>
      <c r="H5981" t="str">
        <f>HYPERLINK("https://baanknet.com/view-property/288137/8FDD0267BD0A4DF1762B9A1FA9C8CE716464B43AF814F7608DB8B7F87E2C68B0", "https://baanknet.com/view-property/288137/8FDD0267BD0A4DF1762B9A1FA9C8CE716464B43AF814F7608DB8B7F87E2C68B0")</f>
        <v>https://baanknet.com/view-property/288137/8FDD0267BD0A4DF1762B9A1FA9C8CE716464B43AF814F7608DB8B7F87E2C68B0</v>
      </c>
      <c r="I5981" t="str">
        <f>HYPERLINK("https://baanknet.com/view-property/288137/8FDD0267BD0A4DF1762B9A1FA9C8CE716464B43AF814F7608DB8B7F87E2C68B0", "Open")</f>
        <v>Open</v>
      </c>
      <c r="J5981" t="s">
        <v>3803</v>
      </c>
      <c r="L5981">
        <v>4950000</v>
      </c>
      <c r="M5981">
        <v>495000</v>
      </c>
    </row>
    <row r="5982" spans="1:13" x14ac:dyDescent="0.25">
      <c r="A5982" t="s">
        <v>19782</v>
      </c>
      <c r="B5982" t="s">
        <v>19783</v>
      </c>
      <c r="C5982" t="s">
        <v>589</v>
      </c>
      <c r="D5982" t="s">
        <v>19784</v>
      </c>
      <c r="E5982" t="s">
        <v>19543</v>
      </c>
      <c r="F5982" t="s">
        <v>19553</v>
      </c>
      <c r="G5982" t="s">
        <v>19785</v>
      </c>
      <c r="H5982" t="str">
        <f>HYPERLINK("https://baanknet.com/view-property/288154/61CB777C89B50EEF90563E21041BFB29CCBABE4C5EE53534A7D1FF64175D3492", "https://baanknet.com/view-property/288154/61CB777C89B50EEF90563E21041BFB29CCBABE4C5EE53534A7D1FF64175D3492")</f>
        <v>https://baanknet.com/view-property/288154/61CB777C89B50EEF90563E21041BFB29CCBABE4C5EE53534A7D1FF64175D3492</v>
      </c>
      <c r="I5982" t="str">
        <f>HYPERLINK("https://baanknet.com/view-property/288154/61CB777C89B50EEF90563E21041BFB29CCBABE4C5EE53534A7D1FF64175D3492", "Open")</f>
        <v>Open</v>
      </c>
      <c r="J5982" t="s">
        <v>3803</v>
      </c>
      <c r="L5982">
        <v>4100000</v>
      </c>
      <c r="M5982">
        <v>410000</v>
      </c>
    </row>
    <row r="5983" spans="1:13" x14ac:dyDescent="0.25">
      <c r="A5983" t="s">
        <v>19786</v>
      </c>
      <c r="B5983" t="s">
        <v>19787</v>
      </c>
      <c r="C5983" t="s">
        <v>589</v>
      </c>
      <c r="D5983" t="s">
        <v>4905</v>
      </c>
      <c r="E5983" t="s">
        <v>19543</v>
      </c>
      <c r="F5983" t="s">
        <v>19553</v>
      </c>
      <c r="G5983" t="s">
        <v>19788</v>
      </c>
      <c r="H5983" t="str">
        <f>HYPERLINK("https://baanknet.com/view-property/288159/F8F7807A37296B1507D52F882A74000129A5BF5CC1632CABD4201F365C4CD02F", "https://baanknet.com/view-property/288159/F8F7807A37296B1507D52F882A74000129A5BF5CC1632CABD4201F365C4CD02F")</f>
        <v>https://baanknet.com/view-property/288159/F8F7807A37296B1507D52F882A74000129A5BF5CC1632CABD4201F365C4CD02F</v>
      </c>
      <c r="I5983" t="str">
        <f>HYPERLINK("https://baanknet.com/view-property/288159/F8F7807A37296B1507D52F882A74000129A5BF5CC1632CABD4201F365C4CD02F", "Open")</f>
        <v>Open</v>
      </c>
      <c r="J5983" t="s">
        <v>3803</v>
      </c>
      <c r="L5983">
        <v>2813000</v>
      </c>
      <c r="M5983">
        <v>281300</v>
      </c>
    </row>
    <row r="5984" spans="1:13" x14ac:dyDescent="0.25">
      <c r="A5984" t="s">
        <v>19789</v>
      </c>
      <c r="B5984" t="s">
        <v>19790</v>
      </c>
      <c r="C5984" t="s">
        <v>589</v>
      </c>
      <c r="D5984" t="s">
        <v>19648</v>
      </c>
      <c r="E5984" t="s">
        <v>19543</v>
      </c>
      <c r="F5984" t="s">
        <v>19553</v>
      </c>
      <c r="G5984" t="s">
        <v>19791</v>
      </c>
      <c r="H5984" t="str">
        <f>HYPERLINK("https://baanknet.com/view-property/288162/80084BEE8096C4C1252D9C6B0E6482D8B65DD9F252A41D66E2A44ED8BB7DE7AD", "https://baanknet.com/view-property/288162/80084BEE8096C4C1252D9C6B0E6482D8B65DD9F252A41D66E2A44ED8BB7DE7AD")</f>
        <v>https://baanknet.com/view-property/288162/80084BEE8096C4C1252D9C6B0E6482D8B65DD9F252A41D66E2A44ED8BB7DE7AD</v>
      </c>
      <c r="I5984" t="str">
        <f>HYPERLINK("https://baanknet.com/view-property/288162/80084BEE8096C4C1252D9C6B0E6482D8B65DD9F252A41D66E2A44ED8BB7DE7AD", "Open")</f>
        <v>Open</v>
      </c>
      <c r="J5984" t="s">
        <v>3803</v>
      </c>
      <c r="L5984">
        <v>1700000</v>
      </c>
      <c r="M5984">
        <v>170000</v>
      </c>
    </row>
    <row r="5985" spans="1:13" x14ac:dyDescent="0.25">
      <c r="A5985" t="s">
        <v>19792</v>
      </c>
      <c r="B5985" t="s">
        <v>19793</v>
      </c>
      <c r="C5985" t="s">
        <v>589</v>
      </c>
      <c r="D5985" t="s">
        <v>1182</v>
      </c>
      <c r="E5985" t="s">
        <v>19543</v>
      </c>
      <c r="F5985" t="s">
        <v>19553</v>
      </c>
      <c r="G5985" t="s">
        <v>19794</v>
      </c>
      <c r="H5985" t="str">
        <f>HYPERLINK("https://baanknet.com/view-property/288169/1F81EB8B3081DD052722CEF3FCA3090CEC95588384497331AC33E534A1AFBB69", "https://baanknet.com/view-property/288169/1F81EB8B3081DD052722CEF3FCA3090CEC95588384497331AC33E534A1AFBB69")</f>
        <v>https://baanknet.com/view-property/288169/1F81EB8B3081DD052722CEF3FCA3090CEC95588384497331AC33E534A1AFBB69</v>
      </c>
      <c r="I5985" t="str">
        <f>HYPERLINK("https://baanknet.com/view-property/288169/1F81EB8B3081DD052722CEF3FCA3090CEC95588384497331AC33E534A1AFBB69", "Open")</f>
        <v>Open</v>
      </c>
      <c r="J5985" t="s">
        <v>3803</v>
      </c>
      <c r="L5985">
        <v>1710000</v>
      </c>
      <c r="M5985">
        <v>171000</v>
      </c>
    </row>
    <row r="5986" spans="1:13" x14ac:dyDescent="0.25">
      <c r="A5986" t="s">
        <v>19795</v>
      </c>
      <c r="B5986" t="s">
        <v>19796</v>
      </c>
      <c r="C5986" t="s">
        <v>589</v>
      </c>
      <c r="D5986" t="s">
        <v>1182</v>
      </c>
      <c r="E5986" t="s">
        <v>19543</v>
      </c>
      <c r="F5986" t="s">
        <v>19553</v>
      </c>
      <c r="G5986" t="s">
        <v>19797</v>
      </c>
      <c r="H5986" t="str">
        <f>HYPERLINK("https://baanknet.com/view-property/288170/8AC67CD3BA48E976D89A1D1B763E8DB81E3ADFA05DCC3925F4D038E2809A51B2", "https://baanknet.com/view-property/288170/8AC67CD3BA48E976D89A1D1B763E8DB81E3ADFA05DCC3925F4D038E2809A51B2")</f>
        <v>https://baanknet.com/view-property/288170/8AC67CD3BA48E976D89A1D1B763E8DB81E3ADFA05DCC3925F4D038E2809A51B2</v>
      </c>
      <c r="I5986" t="str">
        <f>HYPERLINK("https://baanknet.com/view-property/288170/8AC67CD3BA48E976D89A1D1B763E8DB81E3ADFA05DCC3925F4D038E2809A51B2", "Open")</f>
        <v>Open</v>
      </c>
      <c r="J5986" t="s">
        <v>3803</v>
      </c>
      <c r="L5986">
        <v>1261000</v>
      </c>
      <c r="M5986">
        <v>126100</v>
      </c>
    </row>
    <row r="5987" spans="1:13" x14ac:dyDescent="0.25">
      <c r="A5987" t="s">
        <v>19798</v>
      </c>
      <c r="B5987" t="s">
        <v>19799</v>
      </c>
      <c r="C5987" t="s">
        <v>589</v>
      </c>
      <c r="D5987" t="s">
        <v>1182</v>
      </c>
      <c r="E5987" t="s">
        <v>19543</v>
      </c>
      <c r="F5987" t="s">
        <v>19553</v>
      </c>
      <c r="G5987" t="s">
        <v>19800</v>
      </c>
      <c r="H5987" t="str">
        <f>HYPERLINK("https://baanknet.com/view-property/288184/DC483E03B48B4B223A56B62F2384ECBBDA7390C86103FCE7DE1521C3763E47CB", "https://baanknet.com/view-property/288184/DC483E03B48B4B223A56B62F2384ECBBDA7390C86103FCE7DE1521C3763E47CB")</f>
        <v>https://baanknet.com/view-property/288184/DC483E03B48B4B223A56B62F2384ECBBDA7390C86103FCE7DE1521C3763E47CB</v>
      </c>
      <c r="I5987" t="str">
        <f>HYPERLINK("https://baanknet.com/view-property/288184/DC483E03B48B4B223A56B62F2384ECBBDA7390C86103FCE7DE1521C3763E47CB", "Open")</f>
        <v>Open</v>
      </c>
      <c r="J5987" t="s">
        <v>3803</v>
      </c>
      <c r="L5987">
        <v>1305000</v>
      </c>
      <c r="M5987">
        <v>130500</v>
      </c>
    </row>
    <row r="5988" spans="1:13" x14ac:dyDescent="0.25">
      <c r="A5988" t="s">
        <v>19801</v>
      </c>
      <c r="B5988" t="s">
        <v>19802</v>
      </c>
      <c r="C5988" t="s">
        <v>589</v>
      </c>
      <c r="D5988" t="s">
        <v>1182</v>
      </c>
      <c r="E5988" t="s">
        <v>19543</v>
      </c>
      <c r="F5988" t="s">
        <v>19553</v>
      </c>
      <c r="G5988" t="s">
        <v>19803</v>
      </c>
      <c r="H5988" t="str">
        <f>HYPERLINK("https://baanknet.com/view-property/288198/40BBBFF0812618371057D1E60CB6F031B604CAE3AD6B2928DC1BE9CB7E4C7D41", "https://baanknet.com/view-property/288198/40BBBFF0812618371057D1E60CB6F031B604CAE3AD6B2928DC1BE9CB7E4C7D41")</f>
        <v>https://baanknet.com/view-property/288198/40BBBFF0812618371057D1E60CB6F031B604CAE3AD6B2928DC1BE9CB7E4C7D41</v>
      </c>
      <c r="I5988" t="str">
        <f>HYPERLINK("https://baanknet.com/view-property/288198/40BBBFF0812618371057D1E60CB6F031B604CAE3AD6B2928DC1BE9CB7E4C7D41", "Open")</f>
        <v>Open</v>
      </c>
      <c r="J5988" t="s">
        <v>3803</v>
      </c>
      <c r="L5988">
        <v>1340000</v>
      </c>
      <c r="M5988">
        <v>134000</v>
      </c>
    </row>
    <row r="5989" spans="1:13" x14ac:dyDescent="0.25">
      <c r="A5989" t="s">
        <v>19804</v>
      </c>
      <c r="B5989" t="s">
        <v>19805</v>
      </c>
      <c r="C5989" t="s">
        <v>726</v>
      </c>
      <c r="D5989" t="s">
        <v>4679</v>
      </c>
      <c r="E5989" t="s">
        <v>19806</v>
      </c>
      <c r="F5989" t="s">
        <v>19807</v>
      </c>
      <c r="G5989" t="s">
        <v>19808</v>
      </c>
      <c r="H5989" t="str">
        <f>HYPERLINK("https://baanknet.com/view-property/286419/ECE3EB42A562D5E228CA21993610E65FF8520AAC7D34D8461AD56FAEDC061919", "https://baanknet.com/view-property/286419/ECE3EB42A562D5E228CA21993610E65FF8520AAC7D34D8461AD56FAEDC061919")</f>
        <v>https://baanknet.com/view-property/286419/ECE3EB42A562D5E228CA21993610E65FF8520AAC7D34D8461AD56FAEDC061919</v>
      </c>
      <c r="I5989" t="str">
        <f>HYPERLINK("https://baanknet.com/view-property/286419/ECE3EB42A562D5E228CA21993610E65FF8520AAC7D34D8461AD56FAEDC061919", "Open")</f>
        <v>Open</v>
      </c>
      <c r="J5989" t="s">
        <v>3803</v>
      </c>
      <c r="L5989">
        <v>5852000</v>
      </c>
      <c r="M5989">
        <v>585200</v>
      </c>
    </row>
    <row r="5990" spans="1:13" x14ac:dyDescent="0.25">
      <c r="A5990" t="s">
        <v>19809</v>
      </c>
      <c r="B5990" t="s">
        <v>19810</v>
      </c>
      <c r="C5990" t="s">
        <v>15</v>
      </c>
      <c r="D5990" t="s">
        <v>6688</v>
      </c>
      <c r="E5990" t="s">
        <v>19806</v>
      </c>
      <c r="F5990" t="s">
        <v>19539</v>
      </c>
      <c r="G5990" t="s">
        <v>19811</v>
      </c>
      <c r="H5990" t="str">
        <f>HYPERLINK("https://baanknet.com/view-property/256688/5B716D99F4E568C515C9C4EECF6A010A4F5F349FDF4288D536D5AA0FFE29BC17", "https://baanknet.com/view-property/256688/5B716D99F4E568C515C9C4EECF6A010A4F5F349FDF4288D536D5AA0FFE29BC17")</f>
        <v>https://baanknet.com/view-property/256688/5B716D99F4E568C515C9C4EECF6A010A4F5F349FDF4288D536D5AA0FFE29BC17</v>
      </c>
      <c r="I5990" t="str">
        <f>HYPERLINK("https://baanknet.com/view-property/256688/5B716D99F4E568C515C9C4EECF6A010A4F5F349FDF4288D536D5AA0FFE29BC17", "Open")</f>
        <v>Open</v>
      </c>
      <c r="J5990" t="s">
        <v>3803</v>
      </c>
      <c r="L5990">
        <v>5562000</v>
      </c>
      <c r="M5990">
        <v>556200</v>
      </c>
    </row>
    <row r="5991" spans="1:13" x14ac:dyDescent="0.25">
      <c r="A5991" t="s">
        <v>19812</v>
      </c>
      <c r="B5991" t="s">
        <v>19813</v>
      </c>
      <c r="C5991" t="s">
        <v>15</v>
      </c>
      <c r="D5991" t="s">
        <v>6688</v>
      </c>
      <c r="E5991" t="s">
        <v>19806</v>
      </c>
      <c r="F5991" t="s">
        <v>19539</v>
      </c>
      <c r="G5991" t="s">
        <v>19814</v>
      </c>
      <c r="H5991" t="str">
        <f>HYPERLINK("https://baanknet.com/view-property/256714/0A95DB756E39755F3C09D1B305C0F46FCA109A5D58697EA8CDF3AD7ABD72DA3B", "https://baanknet.com/view-property/256714/0A95DB756E39755F3C09D1B305C0F46FCA109A5D58697EA8CDF3AD7ABD72DA3B")</f>
        <v>https://baanknet.com/view-property/256714/0A95DB756E39755F3C09D1B305C0F46FCA109A5D58697EA8CDF3AD7ABD72DA3B</v>
      </c>
      <c r="I5991" t="str">
        <f>HYPERLINK("https://baanknet.com/view-property/256714/0A95DB756E39755F3C09D1B305C0F46FCA109A5D58697EA8CDF3AD7ABD72DA3B", "Open")</f>
        <v>Open</v>
      </c>
      <c r="J5991" t="s">
        <v>3803</v>
      </c>
      <c r="L5991">
        <v>3240000</v>
      </c>
      <c r="M5991">
        <v>324000</v>
      </c>
    </row>
    <row r="5992" spans="1:13" x14ac:dyDescent="0.25">
      <c r="A5992" t="s">
        <v>19815</v>
      </c>
      <c r="B5992" t="s">
        <v>19816</v>
      </c>
      <c r="C5992" t="s">
        <v>15</v>
      </c>
      <c r="D5992" t="s">
        <v>102</v>
      </c>
      <c r="E5992" t="s">
        <v>3516</v>
      </c>
      <c r="F5992" t="s">
        <v>17</v>
      </c>
      <c r="G5992" t="s">
        <v>19817</v>
      </c>
      <c r="H5992" t="str">
        <f>HYPERLINK("https://baanknet.com/view-property/204150/99F00BDC01B21F4A72802409FBEAB2169FE393B768017BC33216CE3994E58B64", "https://baanknet.com/view-property/204150/99F00BDC01B21F4A72802409FBEAB2169FE393B768017BC33216CE3994E58B64")</f>
        <v>https://baanknet.com/view-property/204150/99F00BDC01B21F4A72802409FBEAB2169FE393B768017BC33216CE3994E58B64</v>
      </c>
      <c r="I5992" t="str">
        <f>HYPERLINK("https://baanknet.com/view-property/204150/99F00BDC01B21F4A72802409FBEAB2169FE393B768017BC33216CE3994E58B64", "Open")</f>
        <v>Open</v>
      </c>
      <c r="J5992" t="s">
        <v>20</v>
      </c>
      <c r="K5992" t="s">
        <v>21</v>
      </c>
      <c r="L5992">
        <v>4600000</v>
      </c>
      <c r="M5992">
        <v>460000</v>
      </c>
    </row>
    <row r="5993" spans="1:13" x14ac:dyDescent="0.25">
      <c r="A5993" t="s">
        <v>19818</v>
      </c>
      <c r="B5993" t="s">
        <v>19819</v>
      </c>
      <c r="C5993" t="s">
        <v>144</v>
      </c>
      <c r="D5993" t="s">
        <v>4679</v>
      </c>
      <c r="E5993" t="s">
        <v>19806</v>
      </c>
      <c r="F5993" t="s">
        <v>19820</v>
      </c>
      <c r="G5993" t="s">
        <v>19821</v>
      </c>
      <c r="H5993" t="str">
        <f>HYPERLINK("https://baanknet.com/view-property/242167/806F7675FEC9FF84E75B16922B8AC98853BE02253E4AED07B7F54E85F965446E", "https://baanknet.com/view-property/242167/806F7675FEC9FF84E75B16922B8AC98853BE02253E4AED07B7F54E85F965446E")</f>
        <v>https://baanknet.com/view-property/242167/806F7675FEC9FF84E75B16922B8AC98853BE02253E4AED07B7F54E85F965446E</v>
      </c>
      <c r="I5993" t="str">
        <f>HYPERLINK("https://baanknet.com/view-property/242167/806F7675FEC9FF84E75B16922B8AC98853BE02253E4AED07B7F54E85F965446E", "Open")</f>
        <v>Open</v>
      </c>
      <c r="J5993" t="s">
        <v>3803</v>
      </c>
      <c r="L5993">
        <v>10813000</v>
      </c>
      <c r="M5993">
        <v>1081300</v>
      </c>
    </row>
    <row r="5994" spans="1:13" x14ac:dyDescent="0.25">
      <c r="A5994" t="s">
        <v>19822</v>
      </c>
      <c r="B5994" t="s">
        <v>19823</v>
      </c>
      <c r="C5994" t="s">
        <v>332</v>
      </c>
      <c r="D5994" t="s">
        <v>1003</v>
      </c>
      <c r="E5994" t="s">
        <v>19824</v>
      </c>
      <c r="F5994" t="s">
        <v>19544</v>
      </c>
      <c r="G5994" t="s">
        <v>19825</v>
      </c>
      <c r="H5994" t="str">
        <f>HYPERLINK("https://baanknet.com/view-property/285485/9682584DDB3F972FBA401EF32E0B7C7C02642FD5BFF90721777BB748F862EC82", "https://baanknet.com/view-property/285485/9682584DDB3F972FBA401EF32E0B7C7C02642FD5BFF90721777BB748F862EC82")</f>
        <v>https://baanknet.com/view-property/285485/9682584DDB3F972FBA401EF32E0B7C7C02642FD5BFF90721777BB748F862EC82</v>
      </c>
      <c r="I5994" t="str">
        <f>HYPERLINK("https://baanknet.com/view-property/285485/9682584DDB3F972FBA401EF32E0B7C7C02642FD5BFF90721777BB748F862EC82", "Open")</f>
        <v>Open</v>
      </c>
      <c r="J5994" t="s">
        <v>3803</v>
      </c>
      <c r="L5994">
        <v>2125000</v>
      </c>
      <c r="M5994">
        <v>212500</v>
      </c>
    </row>
    <row r="5995" spans="1:13" x14ac:dyDescent="0.25">
      <c r="A5995" t="s">
        <v>19826</v>
      </c>
      <c r="B5995" t="s">
        <v>19827</v>
      </c>
      <c r="C5995" t="s">
        <v>332</v>
      </c>
      <c r="D5995" t="s">
        <v>1003</v>
      </c>
      <c r="E5995" t="s">
        <v>19824</v>
      </c>
      <c r="F5995" t="s">
        <v>19544</v>
      </c>
      <c r="G5995" t="s">
        <v>19828</v>
      </c>
      <c r="H5995" t="str">
        <f>HYPERLINK("https://baanknet.com/view-property/285488/813C11C7A90BF8D700A54B71DE3FA3F3D67F932055B7512AED0A96BBAD954D94", "https://baanknet.com/view-property/285488/813C11C7A90BF8D700A54B71DE3FA3F3D67F932055B7512AED0A96BBAD954D94")</f>
        <v>https://baanknet.com/view-property/285488/813C11C7A90BF8D700A54B71DE3FA3F3D67F932055B7512AED0A96BBAD954D94</v>
      </c>
      <c r="I5995" t="str">
        <f>HYPERLINK("https://baanknet.com/view-property/285488/813C11C7A90BF8D700A54B71DE3FA3F3D67F932055B7512AED0A96BBAD954D94", "Open")</f>
        <v>Open</v>
      </c>
      <c r="J5995" t="s">
        <v>3803</v>
      </c>
      <c r="L5995">
        <v>1965000</v>
      </c>
      <c r="M5995">
        <v>196500</v>
      </c>
    </row>
    <row r="5996" spans="1:13" x14ac:dyDescent="0.25">
      <c r="A5996" t="s">
        <v>19829</v>
      </c>
      <c r="B5996" t="s">
        <v>19830</v>
      </c>
      <c r="C5996" t="s">
        <v>332</v>
      </c>
      <c r="D5996" t="s">
        <v>1003</v>
      </c>
      <c r="E5996" t="s">
        <v>19824</v>
      </c>
      <c r="F5996" t="s">
        <v>19544</v>
      </c>
      <c r="G5996" t="s">
        <v>19831</v>
      </c>
      <c r="H5996" t="str">
        <f>HYPERLINK("https://baanknet.com/view-property/285489/EAFE0EFFE8BA7BF85B88F6272BF4ED100985C190BC0328A888F2030BD94E3D4D", "https://baanknet.com/view-property/285489/EAFE0EFFE8BA7BF85B88F6272BF4ED100985C190BC0328A888F2030BD94E3D4D")</f>
        <v>https://baanknet.com/view-property/285489/EAFE0EFFE8BA7BF85B88F6272BF4ED100985C190BC0328A888F2030BD94E3D4D</v>
      </c>
      <c r="I5996" t="str">
        <f>HYPERLINK("https://baanknet.com/view-property/285489/EAFE0EFFE8BA7BF85B88F6272BF4ED100985C190BC0328A888F2030BD94E3D4D", "Open")</f>
        <v>Open</v>
      </c>
      <c r="J5996" t="s">
        <v>3803</v>
      </c>
      <c r="L5996">
        <v>2125000</v>
      </c>
      <c r="M5996">
        <v>212500</v>
      </c>
    </row>
    <row r="5997" spans="1:13" x14ac:dyDescent="0.25">
      <c r="A5997" t="s">
        <v>19832</v>
      </c>
      <c r="B5997" t="s">
        <v>19833</v>
      </c>
      <c r="C5997" t="s">
        <v>332</v>
      </c>
      <c r="D5997" t="s">
        <v>4542</v>
      </c>
      <c r="E5997" t="s">
        <v>19824</v>
      </c>
      <c r="F5997" t="s">
        <v>19544</v>
      </c>
      <c r="G5997" t="s">
        <v>19834</v>
      </c>
      <c r="H5997" t="str">
        <f>HYPERLINK("https://baanknet.com/view-property/286031/55B7FEE5338B38DA577130ED3456602A584C6263F71AFE4A8B3B8385CB906886", "https://baanknet.com/view-property/286031/55B7FEE5338B38DA577130ED3456602A584C6263F71AFE4A8B3B8385CB906886")</f>
        <v>https://baanknet.com/view-property/286031/55B7FEE5338B38DA577130ED3456602A584C6263F71AFE4A8B3B8385CB906886</v>
      </c>
      <c r="I5997" t="str">
        <f>HYPERLINK("https://baanknet.com/view-property/286031/55B7FEE5338B38DA577130ED3456602A584C6263F71AFE4A8B3B8385CB906886", "Open")</f>
        <v>Open</v>
      </c>
      <c r="J5997" t="s">
        <v>3803</v>
      </c>
      <c r="L5997">
        <v>3945000</v>
      </c>
      <c r="M5997">
        <v>394500</v>
      </c>
    </row>
    <row r="5998" spans="1:13" x14ac:dyDescent="0.25">
      <c r="A5998" t="s">
        <v>19835</v>
      </c>
      <c r="B5998" t="s">
        <v>19836</v>
      </c>
      <c r="C5998" t="s">
        <v>332</v>
      </c>
      <c r="D5998" t="s">
        <v>4542</v>
      </c>
      <c r="E5998" t="s">
        <v>19824</v>
      </c>
      <c r="F5998" t="s">
        <v>19544</v>
      </c>
      <c r="G5998" t="s">
        <v>19837</v>
      </c>
      <c r="H5998" t="str">
        <f>HYPERLINK("https://baanknet.com/view-property/286183/A4A0E484B29C86BC3AC6150C47686226D87D0467B1DCEFD4E3058A9F5C884175", "https://baanknet.com/view-property/286183/A4A0E484B29C86BC3AC6150C47686226D87D0467B1DCEFD4E3058A9F5C884175")</f>
        <v>https://baanknet.com/view-property/286183/A4A0E484B29C86BC3AC6150C47686226D87D0467B1DCEFD4E3058A9F5C884175</v>
      </c>
      <c r="I5998" t="str">
        <f>HYPERLINK("https://baanknet.com/view-property/286183/A4A0E484B29C86BC3AC6150C47686226D87D0467B1DCEFD4E3058A9F5C884175", "Open")</f>
        <v>Open</v>
      </c>
      <c r="J5998" t="s">
        <v>3803</v>
      </c>
      <c r="L5998">
        <v>1850000</v>
      </c>
      <c r="M5998">
        <v>185000</v>
      </c>
    </row>
    <row r="5999" spans="1:13" x14ac:dyDescent="0.25">
      <c r="A5999" t="s">
        <v>19838</v>
      </c>
      <c r="B5999" t="s">
        <v>19839</v>
      </c>
      <c r="C5999" t="s">
        <v>332</v>
      </c>
      <c r="D5999" t="s">
        <v>4542</v>
      </c>
      <c r="E5999" t="s">
        <v>19824</v>
      </c>
      <c r="F5999" t="s">
        <v>19544</v>
      </c>
      <c r="G5999" t="s">
        <v>19840</v>
      </c>
      <c r="H5999" t="str">
        <f>HYPERLINK("https://baanknet.com/view-property/286438/1CCBB97BAE2088AEAF9B0B58414AE44B42CAC86755FC59E0DDC18DA7D210C12F", "https://baanknet.com/view-property/286438/1CCBB97BAE2088AEAF9B0B58414AE44B42CAC86755FC59E0DDC18DA7D210C12F")</f>
        <v>https://baanknet.com/view-property/286438/1CCBB97BAE2088AEAF9B0B58414AE44B42CAC86755FC59E0DDC18DA7D210C12F</v>
      </c>
      <c r="I5999" t="str">
        <f>HYPERLINK("https://baanknet.com/view-property/286438/1CCBB97BAE2088AEAF9B0B58414AE44B42CAC86755FC59E0DDC18DA7D210C12F", "Open")</f>
        <v>Open</v>
      </c>
      <c r="J5999" t="s">
        <v>3803</v>
      </c>
      <c r="L5999">
        <v>13922000</v>
      </c>
      <c r="M5999">
        <v>1392200</v>
      </c>
    </row>
    <row r="6000" spans="1:13" x14ac:dyDescent="0.25">
      <c r="A6000" t="s">
        <v>19841</v>
      </c>
      <c r="B6000" t="s">
        <v>19842</v>
      </c>
      <c r="C6000" t="s">
        <v>332</v>
      </c>
      <c r="D6000" t="s">
        <v>497</v>
      </c>
      <c r="E6000" t="s">
        <v>19824</v>
      </c>
      <c r="F6000" t="s">
        <v>19544</v>
      </c>
      <c r="G6000" t="s">
        <v>19843</v>
      </c>
      <c r="H6000" t="str">
        <f>HYPERLINK("https://baanknet.com/view-property/287114/53F088FE006B5F65C5812DCB98BEC2A8C9DA2D18CF8173B622B79BE3F3704005", "https://baanknet.com/view-property/287114/53F088FE006B5F65C5812DCB98BEC2A8C9DA2D18CF8173B622B79BE3F3704005")</f>
        <v>https://baanknet.com/view-property/287114/53F088FE006B5F65C5812DCB98BEC2A8C9DA2D18CF8173B622B79BE3F3704005</v>
      </c>
      <c r="I6000" t="str">
        <f>HYPERLINK("https://baanknet.com/view-property/287114/53F088FE006B5F65C5812DCB98BEC2A8C9DA2D18CF8173B622B79BE3F3704005", "Open")</f>
        <v>Open</v>
      </c>
      <c r="J6000" t="s">
        <v>3803</v>
      </c>
      <c r="L6000">
        <v>5800000</v>
      </c>
      <c r="M6000">
        <v>580000</v>
      </c>
    </row>
    <row r="6001" spans="1:13" x14ac:dyDescent="0.25">
      <c r="A6001" t="s">
        <v>19844</v>
      </c>
      <c r="B6001" t="s">
        <v>19845</v>
      </c>
      <c r="C6001" t="s">
        <v>332</v>
      </c>
      <c r="D6001" t="s">
        <v>1003</v>
      </c>
      <c r="E6001" t="s">
        <v>19824</v>
      </c>
      <c r="F6001" t="s">
        <v>19544</v>
      </c>
      <c r="G6001" t="s">
        <v>19846</v>
      </c>
      <c r="H6001" t="str">
        <f>HYPERLINK("https://baanknet.com/view-property/285492/87662B71631196654C1BFEC15CF3A8A9925D83BFFF9CDCD3A42BDBB9AED3E44D", "https://baanknet.com/view-property/285492/87662B71631196654C1BFEC15CF3A8A9925D83BFFF9CDCD3A42BDBB9AED3E44D")</f>
        <v>https://baanknet.com/view-property/285492/87662B71631196654C1BFEC15CF3A8A9925D83BFFF9CDCD3A42BDBB9AED3E44D</v>
      </c>
      <c r="I6001" t="str">
        <f>HYPERLINK("https://baanknet.com/view-property/285492/87662B71631196654C1BFEC15CF3A8A9925D83BFFF9CDCD3A42BDBB9AED3E44D", "Open")</f>
        <v>Open</v>
      </c>
      <c r="J6001" t="s">
        <v>3803</v>
      </c>
      <c r="L6001">
        <v>1965000</v>
      </c>
      <c r="M6001">
        <v>196500</v>
      </c>
    </row>
    <row r="6002" spans="1:13" x14ac:dyDescent="0.25">
      <c r="A6002" t="s">
        <v>19847</v>
      </c>
      <c r="B6002" t="s">
        <v>19848</v>
      </c>
      <c r="C6002" t="s">
        <v>332</v>
      </c>
      <c r="D6002" t="s">
        <v>3674</v>
      </c>
      <c r="E6002" t="s">
        <v>19824</v>
      </c>
      <c r="F6002" t="s">
        <v>19544</v>
      </c>
      <c r="G6002" t="s">
        <v>19849</v>
      </c>
      <c r="H6002" t="str">
        <f>HYPERLINK("https://baanknet.com/view-property/112524/193E3588D9921C049F88C46449F1889093956D300EE2665222D542B145042415", "https://baanknet.com/view-property/112524/193E3588D9921C049F88C46449F1889093956D300EE2665222D542B145042415")</f>
        <v>https://baanknet.com/view-property/112524/193E3588D9921C049F88C46449F1889093956D300EE2665222D542B145042415</v>
      </c>
      <c r="I6002" t="str">
        <f>HYPERLINK("https://baanknet.com/view-property/112524/193E3588D9921C049F88C46449F1889093956D300EE2665222D542B145042415", "Open")</f>
        <v>Open</v>
      </c>
      <c r="J6002" t="s">
        <v>3803</v>
      </c>
      <c r="L6002">
        <v>27500000</v>
      </c>
      <c r="M6002">
        <v>2750000</v>
      </c>
    </row>
    <row r="6003" spans="1:13" x14ac:dyDescent="0.25">
      <c r="A6003" t="s">
        <v>19850</v>
      </c>
      <c r="B6003" t="s">
        <v>19851</v>
      </c>
      <c r="C6003" t="s">
        <v>144</v>
      </c>
      <c r="D6003" t="s">
        <v>19852</v>
      </c>
      <c r="E6003" t="s">
        <v>19824</v>
      </c>
      <c r="F6003" t="s">
        <v>19544</v>
      </c>
      <c r="G6003" t="s">
        <v>19853</v>
      </c>
      <c r="H6003" t="str">
        <f>HYPERLINK("https://baanknet.com/view-property/207547/E23C055FE008F83AE04EC7AE6D8820C2D58B33291E2FB20AB7A30A1B38EF4F5A", "https://baanknet.com/view-property/207547/E23C055FE008F83AE04EC7AE6D8820C2D58B33291E2FB20AB7A30A1B38EF4F5A")</f>
        <v>https://baanknet.com/view-property/207547/E23C055FE008F83AE04EC7AE6D8820C2D58B33291E2FB20AB7A30A1B38EF4F5A</v>
      </c>
      <c r="I6003" t="str">
        <f>HYPERLINK("https://baanknet.com/view-property/207547/E23C055FE008F83AE04EC7AE6D8820C2D58B33291E2FB20AB7A30A1B38EF4F5A", "Open")</f>
        <v>Open</v>
      </c>
      <c r="J6003" t="s">
        <v>3803</v>
      </c>
      <c r="L6003">
        <v>7550000</v>
      </c>
      <c r="M6003">
        <v>755000</v>
      </c>
    </row>
    <row r="6004" spans="1:13" x14ac:dyDescent="0.25">
      <c r="A6004" t="s">
        <v>19854</v>
      </c>
      <c r="B6004" t="s">
        <v>19855</v>
      </c>
      <c r="C6004" t="s">
        <v>332</v>
      </c>
      <c r="D6004" t="s">
        <v>4542</v>
      </c>
      <c r="E6004" t="s">
        <v>19824</v>
      </c>
      <c r="F6004" t="s">
        <v>19544</v>
      </c>
      <c r="G6004" t="s">
        <v>19856</v>
      </c>
      <c r="H6004" t="str">
        <f>HYPERLINK("https://baanknet.com/view-property/282222/CE091D3AE350863652B184463443EF7DAECA828931259B9EA4FA4CA1F90AFC3B", "https://baanknet.com/view-property/282222/CE091D3AE350863652B184463443EF7DAECA828931259B9EA4FA4CA1F90AFC3B")</f>
        <v>https://baanknet.com/view-property/282222/CE091D3AE350863652B184463443EF7DAECA828931259B9EA4FA4CA1F90AFC3B</v>
      </c>
      <c r="I6004" t="str">
        <f>HYPERLINK("https://baanknet.com/view-property/282222/CE091D3AE350863652B184463443EF7DAECA828931259B9EA4FA4CA1F90AFC3B", "Open")</f>
        <v>Open</v>
      </c>
      <c r="J6004" t="s">
        <v>3803</v>
      </c>
      <c r="L6004">
        <v>4010000</v>
      </c>
      <c r="M6004">
        <v>401000</v>
      </c>
    </row>
    <row r="6005" spans="1:13" x14ac:dyDescent="0.25">
      <c r="A6005" t="s">
        <v>19857</v>
      </c>
      <c r="B6005" t="s">
        <v>19858</v>
      </c>
      <c r="C6005" t="s">
        <v>332</v>
      </c>
      <c r="D6005" t="s">
        <v>900</v>
      </c>
      <c r="E6005" t="s">
        <v>19824</v>
      </c>
      <c r="F6005" t="s">
        <v>19544</v>
      </c>
      <c r="G6005" t="s">
        <v>19859</v>
      </c>
      <c r="H6005" t="str">
        <f>HYPERLINK("https://baanknet.com/view-property/248562/1FC93A16CC0E9D2C36233C0647DBB2B17A6DC6D99A19E1421BCFB5AF7DD99CD7", "https://baanknet.com/view-property/248562/1FC93A16CC0E9D2C36233C0647DBB2B17A6DC6D99A19E1421BCFB5AF7DD99CD7")</f>
        <v>https://baanknet.com/view-property/248562/1FC93A16CC0E9D2C36233C0647DBB2B17A6DC6D99A19E1421BCFB5AF7DD99CD7</v>
      </c>
      <c r="I6005" t="str">
        <f>HYPERLINK("https://baanknet.com/view-property/248562/1FC93A16CC0E9D2C36233C0647DBB2B17A6DC6D99A19E1421BCFB5AF7DD99CD7", "Open")</f>
        <v>Open</v>
      </c>
      <c r="J6005" t="s">
        <v>3803</v>
      </c>
      <c r="L6005">
        <v>3450000</v>
      </c>
      <c r="M6005">
        <v>345000</v>
      </c>
    </row>
    <row r="6006" spans="1:13" x14ac:dyDescent="0.25">
      <c r="A6006" t="s">
        <v>19860</v>
      </c>
      <c r="B6006" t="s">
        <v>19861</v>
      </c>
      <c r="C6006" t="s">
        <v>589</v>
      </c>
      <c r="D6006" t="s">
        <v>1761</v>
      </c>
      <c r="E6006" t="s">
        <v>19824</v>
      </c>
      <c r="F6006" t="s">
        <v>19553</v>
      </c>
      <c r="G6006" t="s">
        <v>19862</v>
      </c>
      <c r="H6006" t="str">
        <f>HYPERLINK("https://baanknet.com/view-property/223156/DE3C7BE837E12D2569EF487556F5E8F7B8516FE656ECBDC519E9106395193D94", "https://baanknet.com/view-property/223156/DE3C7BE837E12D2569EF487556F5E8F7B8516FE656ECBDC519E9106395193D94")</f>
        <v>https://baanknet.com/view-property/223156/DE3C7BE837E12D2569EF487556F5E8F7B8516FE656ECBDC519E9106395193D94</v>
      </c>
      <c r="I6006" t="str">
        <f>HYPERLINK("https://baanknet.com/view-property/223156/DE3C7BE837E12D2569EF487556F5E8F7B8516FE656ECBDC519E9106395193D94", "Open")</f>
        <v>Open</v>
      </c>
      <c r="J6006" t="s">
        <v>3803</v>
      </c>
      <c r="L6006">
        <v>900000</v>
      </c>
      <c r="M6006">
        <v>90000</v>
      </c>
    </row>
    <row r="6007" spans="1:13" x14ac:dyDescent="0.25">
      <c r="A6007" t="s">
        <v>19863</v>
      </c>
      <c r="B6007" t="s">
        <v>19864</v>
      </c>
      <c r="C6007" t="s">
        <v>589</v>
      </c>
      <c r="D6007" t="s">
        <v>1768</v>
      </c>
      <c r="E6007" t="s">
        <v>19824</v>
      </c>
      <c r="F6007" t="s">
        <v>19553</v>
      </c>
      <c r="G6007" t="s">
        <v>19865</v>
      </c>
      <c r="H6007" t="str">
        <f>HYPERLINK("https://baanknet.com/view-property/240099/B14559E3C455CE4AEBD950DFC1439B47D4F5324F3A34C8972905C7FB3B20D366", "https://baanknet.com/view-property/240099/B14559E3C455CE4AEBD950DFC1439B47D4F5324F3A34C8972905C7FB3B20D366")</f>
        <v>https://baanknet.com/view-property/240099/B14559E3C455CE4AEBD950DFC1439B47D4F5324F3A34C8972905C7FB3B20D366</v>
      </c>
      <c r="I6007" t="str">
        <f>HYPERLINK("https://baanknet.com/view-property/240099/B14559E3C455CE4AEBD950DFC1439B47D4F5324F3A34C8972905C7FB3B20D366", "Open")</f>
        <v>Open</v>
      </c>
      <c r="J6007" t="s">
        <v>3803</v>
      </c>
      <c r="L6007">
        <v>983000</v>
      </c>
      <c r="M6007">
        <v>98300</v>
      </c>
    </row>
    <row r="6008" spans="1:13" x14ac:dyDescent="0.25">
      <c r="A6008" t="s">
        <v>19866</v>
      </c>
      <c r="B6008" t="s">
        <v>19867</v>
      </c>
      <c r="C6008" t="s">
        <v>589</v>
      </c>
      <c r="D6008" t="s">
        <v>1761</v>
      </c>
      <c r="E6008" t="s">
        <v>19824</v>
      </c>
      <c r="F6008" t="s">
        <v>19553</v>
      </c>
      <c r="G6008" t="s">
        <v>19868</v>
      </c>
      <c r="H6008" t="str">
        <f>HYPERLINK("https://baanknet.com/view-property/222805/8CB0D41B2B59BF3FB4A2C15F26778D14BA61F6D5D69339E73DA8C6F3457D013F", "https://baanknet.com/view-property/222805/8CB0D41B2B59BF3FB4A2C15F26778D14BA61F6D5D69339E73DA8C6F3457D013F")</f>
        <v>https://baanknet.com/view-property/222805/8CB0D41B2B59BF3FB4A2C15F26778D14BA61F6D5D69339E73DA8C6F3457D013F</v>
      </c>
      <c r="I6008" t="str">
        <f>HYPERLINK("https://baanknet.com/view-property/222805/8CB0D41B2B59BF3FB4A2C15F26778D14BA61F6D5D69339E73DA8C6F3457D013F", "Open")</f>
        <v>Open</v>
      </c>
      <c r="J6008" t="s">
        <v>3803</v>
      </c>
      <c r="L6008">
        <v>943000</v>
      </c>
      <c r="M6008">
        <v>94300</v>
      </c>
    </row>
    <row r="6009" spans="1:13" x14ac:dyDescent="0.25">
      <c r="A6009" t="s">
        <v>19869</v>
      </c>
      <c r="B6009" t="s">
        <v>19870</v>
      </c>
      <c r="C6009" t="s">
        <v>589</v>
      </c>
      <c r="D6009" t="s">
        <v>19871</v>
      </c>
      <c r="E6009" t="s">
        <v>19824</v>
      </c>
      <c r="F6009" t="s">
        <v>19553</v>
      </c>
      <c r="G6009" t="s">
        <v>19872</v>
      </c>
      <c r="H6009" t="str">
        <f>HYPERLINK("https://baanknet.com/view-property/232079/49D550E18C1A55032CB3DC0A103432ED14DAF3F2A2FAFDF347D9B7CE6D6681CA", "https://baanknet.com/view-property/232079/49D550E18C1A55032CB3DC0A103432ED14DAF3F2A2FAFDF347D9B7CE6D6681CA")</f>
        <v>https://baanknet.com/view-property/232079/49D550E18C1A55032CB3DC0A103432ED14DAF3F2A2FAFDF347D9B7CE6D6681CA</v>
      </c>
      <c r="I6009" t="str">
        <f>HYPERLINK("https://baanknet.com/view-property/232079/49D550E18C1A55032CB3DC0A103432ED14DAF3F2A2FAFDF347D9B7CE6D6681CA", "Open")</f>
        <v>Open</v>
      </c>
      <c r="J6009" t="s">
        <v>3803</v>
      </c>
      <c r="L6009">
        <v>216000</v>
      </c>
      <c r="M6009">
        <v>21600</v>
      </c>
    </row>
    <row r="6010" spans="1:13" x14ac:dyDescent="0.25">
      <c r="A6010" t="s">
        <v>19873</v>
      </c>
      <c r="B6010" t="s">
        <v>19874</v>
      </c>
      <c r="C6010" t="s">
        <v>589</v>
      </c>
      <c r="D6010" t="s">
        <v>1768</v>
      </c>
      <c r="E6010" t="s">
        <v>19824</v>
      </c>
      <c r="F6010" t="s">
        <v>19553</v>
      </c>
      <c r="G6010" t="s">
        <v>19875</v>
      </c>
      <c r="H6010" t="str">
        <f>HYPERLINK("https://baanknet.com/view-property/185248/EE35762A8EA235D1BC6E98252AE4AE3D40AC00EA371C0760AB985C3B6A41675B", "https://baanknet.com/view-property/185248/EE35762A8EA235D1BC6E98252AE4AE3D40AC00EA371C0760AB985C3B6A41675B")</f>
        <v>https://baanknet.com/view-property/185248/EE35762A8EA235D1BC6E98252AE4AE3D40AC00EA371C0760AB985C3B6A41675B</v>
      </c>
      <c r="I6010" t="str">
        <f>HYPERLINK("https://baanknet.com/view-property/185248/EE35762A8EA235D1BC6E98252AE4AE3D40AC00EA371C0760AB985C3B6A41675B", "Open")</f>
        <v>Open</v>
      </c>
      <c r="J6010" t="s">
        <v>3803</v>
      </c>
      <c r="L6010">
        <v>1447000</v>
      </c>
      <c r="M6010">
        <v>144700</v>
      </c>
    </row>
    <row r="6011" spans="1:13" x14ac:dyDescent="0.25">
      <c r="A6011" t="s">
        <v>19876</v>
      </c>
      <c r="B6011" t="s">
        <v>19877</v>
      </c>
      <c r="C6011" t="s">
        <v>589</v>
      </c>
      <c r="D6011" t="s">
        <v>19871</v>
      </c>
      <c r="E6011" t="s">
        <v>19824</v>
      </c>
      <c r="F6011" t="s">
        <v>19553</v>
      </c>
      <c r="G6011" t="s">
        <v>19878</v>
      </c>
      <c r="H6011" t="str">
        <f>HYPERLINK("https://baanknet.com/view-property/207867/7EECCEF8B5B50FA42BB8DB5D979EDB2BBAD5B9B2DA282AA9CECD96A05285733F", "https://baanknet.com/view-property/207867/7EECCEF8B5B50FA42BB8DB5D979EDB2BBAD5B9B2DA282AA9CECD96A05285733F")</f>
        <v>https://baanknet.com/view-property/207867/7EECCEF8B5B50FA42BB8DB5D979EDB2BBAD5B9B2DA282AA9CECD96A05285733F</v>
      </c>
      <c r="I6011" t="str">
        <f>HYPERLINK("https://baanknet.com/view-property/207867/7EECCEF8B5B50FA42BB8DB5D979EDB2BBAD5B9B2DA282AA9CECD96A05285733F", "Open")</f>
        <v>Open</v>
      </c>
      <c r="J6011" t="s">
        <v>3803</v>
      </c>
      <c r="L6011">
        <v>1515000</v>
      </c>
      <c r="M6011">
        <v>151500</v>
      </c>
    </row>
    <row r="6012" spans="1:13" x14ac:dyDescent="0.25">
      <c r="A6012" t="s">
        <v>19879</v>
      </c>
      <c r="B6012" t="s">
        <v>19880</v>
      </c>
      <c r="C6012" t="s">
        <v>589</v>
      </c>
      <c r="D6012" t="s">
        <v>2224</v>
      </c>
      <c r="E6012" t="s">
        <v>19824</v>
      </c>
      <c r="F6012" t="s">
        <v>19553</v>
      </c>
      <c r="G6012" t="s">
        <v>19881</v>
      </c>
      <c r="H6012" t="str">
        <f>HYPERLINK("https://baanknet.com/view-property/283007/5A52CBBC73D2EBFE6F35699321C92CB7719923E61908CE682BB2C34CCD85A7E6", "https://baanknet.com/view-property/283007/5A52CBBC73D2EBFE6F35699321C92CB7719923E61908CE682BB2C34CCD85A7E6")</f>
        <v>https://baanknet.com/view-property/283007/5A52CBBC73D2EBFE6F35699321C92CB7719923E61908CE682BB2C34CCD85A7E6</v>
      </c>
      <c r="I6012" t="str">
        <f>HYPERLINK("https://baanknet.com/view-property/283007/5A52CBBC73D2EBFE6F35699321C92CB7719923E61908CE682BB2C34CCD85A7E6", "Open")</f>
        <v>Open</v>
      </c>
      <c r="J6012" t="s">
        <v>3803</v>
      </c>
      <c r="L6012">
        <v>594000</v>
      </c>
      <c r="M6012">
        <v>59400</v>
      </c>
    </row>
    <row r="6013" spans="1:13" x14ac:dyDescent="0.25">
      <c r="A6013" t="s">
        <v>19882</v>
      </c>
      <c r="B6013" t="s">
        <v>19883</v>
      </c>
      <c r="C6013" t="s">
        <v>589</v>
      </c>
      <c r="D6013" t="s">
        <v>2224</v>
      </c>
      <c r="E6013" t="s">
        <v>19824</v>
      </c>
      <c r="F6013" t="s">
        <v>19553</v>
      </c>
      <c r="G6013" t="s">
        <v>19884</v>
      </c>
      <c r="H6013" t="str">
        <f>HYPERLINK("https://baanknet.com/view-property/283008/FAC9F4A6E8DFF462B3A37D2F85954E887C5CE058DC1C7FC67FC43E0611FB145D", "https://baanknet.com/view-property/283008/FAC9F4A6E8DFF462B3A37D2F85954E887C5CE058DC1C7FC67FC43E0611FB145D")</f>
        <v>https://baanknet.com/view-property/283008/FAC9F4A6E8DFF462B3A37D2F85954E887C5CE058DC1C7FC67FC43E0611FB145D</v>
      </c>
      <c r="I6013" t="str">
        <f>HYPERLINK("https://baanknet.com/view-property/283008/FAC9F4A6E8DFF462B3A37D2F85954E887C5CE058DC1C7FC67FC43E0611FB145D", "Open")</f>
        <v>Open</v>
      </c>
      <c r="J6013" t="s">
        <v>3803</v>
      </c>
      <c r="L6013">
        <v>594000</v>
      </c>
      <c r="M6013">
        <v>59400</v>
      </c>
    </row>
    <row r="6014" spans="1:13" x14ac:dyDescent="0.25">
      <c r="A6014" t="s">
        <v>19885</v>
      </c>
      <c r="B6014" t="s">
        <v>19886</v>
      </c>
      <c r="C6014" t="s">
        <v>589</v>
      </c>
      <c r="D6014" t="s">
        <v>2224</v>
      </c>
      <c r="E6014" t="s">
        <v>19824</v>
      </c>
      <c r="F6014" t="s">
        <v>19553</v>
      </c>
      <c r="G6014" t="s">
        <v>19887</v>
      </c>
      <c r="H6014" t="str">
        <f>HYPERLINK("https://baanknet.com/view-property/283012/3D380655402C9A0B57DC7A6731D3573FB0A65D89A64182A5F8496AB32797C3CF", "https://baanknet.com/view-property/283012/3D380655402C9A0B57DC7A6731D3573FB0A65D89A64182A5F8496AB32797C3CF")</f>
        <v>https://baanknet.com/view-property/283012/3D380655402C9A0B57DC7A6731D3573FB0A65D89A64182A5F8496AB32797C3CF</v>
      </c>
      <c r="I6014" t="str">
        <f>HYPERLINK("https://baanknet.com/view-property/283012/3D380655402C9A0B57DC7A6731D3573FB0A65D89A64182A5F8496AB32797C3CF", "Open")</f>
        <v>Open</v>
      </c>
      <c r="J6014" t="s">
        <v>3803</v>
      </c>
      <c r="L6014">
        <v>594000</v>
      </c>
      <c r="M6014">
        <v>59400</v>
      </c>
    </row>
    <row r="6015" spans="1:13" x14ac:dyDescent="0.25">
      <c r="A6015" t="s">
        <v>19888</v>
      </c>
      <c r="B6015" t="s">
        <v>19889</v>
      </c>
      <c r="C6015" t="s">
        <v>589</v>
      </c>
      <c r="D6015" t="s">
        <v>2224</v>
      </c>
      <c r="E6015" t="s">
        <v>19824</v>
      </c>
      <c r="F6015" t="s">
        <v>19553</v>
      </c>
      <c r="G6015" t="s">
        <v>19890</v>
      </c>
      <c r="H6015" t="str">
        <f>HYPERLINK("https://baanknet.com/view-property/283010/719832D4DD9A7C0B86B6461BC9DABCEFB4FC778F23A7AEACF44C6692ECA670D7", "https://baanknet.com/view-property/283010/719832D4DD9A7C0B86B6461BC9DABCEFB4FC778F23A7AEACF44C6692ECA670D7")</f>
        <v>https://baanknet.com/view-property/283010/719832D4DD9A7C0B86B6461BC9DABCEFB4FC778F23A7AEACF44C6692ECA670D7</v>
      </c>
      <c r="I6015" t="str">
        <f>HYPERLINK("https://baanknet.com/view-property/283010/719832D4DD9A7C0B86B6461BC9DABCEFB4FC778F23A7AEACF44C6692ECA670D7", "Open")</f>
        <v>Open</v>
      </c>
      <c r="J6015" t="s">
        <v>3803</v>
      </c>
      <c r="L6015">
        <v>594000</v>
      </c>
      <c r="M6015">
        <v>59400</v>
      </c>
    </row>
    <row r="6016" spans="1:13" x14ac:dyDescent="0.25">
      <c r="A6016" t="s">
        <v>19891</v>
      </c>
      <c r="B6016" t="s">
        <v>19892</v>
      </c>
      <c r="C6016" t="s">
        <v>589</v>
      </c>
      <c r="D6016" t="s">
        <v>2224</v>
      </c>
      <c r="E6016" t="s">
        <v>19824</v>
      </c>
      <c r="F6016" t="s">
        <v>19553</v>
      </c>
      <c r="G6016" t="s">
        <v>19893</v>
      </c>
      <c r="H6016" t="str">
        <f>HYPERLINK("https://baanknet.com/view-property/283009/6E7E367FC5092A9926970B117F3AFDB8F3A6040D6D91E4507F53F025A98CFA1F", "https://baanknet.com/view-property/283009/6E7E367FC5092A9926970B117F3AFDB8F3A6040D6D91E4507F53F025A98CFA1F")</f>
        <v>https://baanknet.com/view-property/283009/6E7E367FC5092A9926970B117F3AFDB8F3A6040D6D91E4507F53F025A98CFA1F</v>
      </c>
      <c r="I6016" t="str">
        <f>HYPERLINK("https://baanknet.com/view-property/283009/6E7E367FC5092A9926970B117F3AFDB8F3A6040D6D91E4507F53F025A98CFA1F", "Open")</f>
        <v>Open</v>
      </c>
      <c r="J6016" t="s">
        <v>3803</v>
      </c>
      <c r="L6016">
        <v>594000</v>
      </c>
      <c r="M6016">
        <v>59400</v>
      </c>
    </row>
    <row r="6017" spans="1:13" x14ac:dyDescent="0.25">
      <c r="A6017" t="s">
        <v>19894</v>
      </c>
      <c r="B6017" t="s">
        <v>19895</v>
      </c>
      <c r="C6017" t="s">
        <v>589</v>
      </c>
      <c r="D6017" t="s">
        <v>324</v>
      </c>
      <c r="E6017" t="s">
        <v>19824</v>
      </c>
      <c r="F6017" t="s">
        <v>19553</v>
      </c>
      <c r="G6017" t="s">
        <v>19896</v>
      </c>
      <c r="H6017" t="str">
        <f>HYPERLINK("https://baanknet.com/view-property/286641/D4E15F7FC98B2AC777255990464FD9388866DC88E2BA395EC540ABCF49E49245", "https://baanknet.com/view-property/286641/D4E15F7FC98B2AC777255990464FD9388866DC88E2BA395EC540ABCF49E49245")</f>
        <v>https://baanknet.com/view-property/286641/D4E15F7FC98B2AC777255990464FD9388866DC88E2BA395EC540ABCF49E49245</v>
      </c>
      <c r="I6017" t="str">
        <f>HYPERLINK("https://baanknet.com/view-property/286641/D4E15F7FC98B2AC777255990464FD9388866DC88E2BA395EC540ABCF49E49245", "Open")</f>
        <v>Open</v>
      </c>
      <c r="J6017" t="s">
        <v>3803</v>
      </c>
      <c r="L6017">
        <v>2764000</v>
      </c>
      <c r="M6017">
        <v>276400</v>
      </c>
    </row>
    <row r="6018" spans="1:13" x14ac:dyDescent="0.25">
      <c r="A6018" t="s">
        <v>19897</v>
      </c>
      <c r="B6018" t="s">
        <v>19898</v>
      </c>
      <c r="C6018" t="s">
        <v>589</v>
      </c>
      <c r="D6018" t="s">
        <v>324</v>
      </c>
      <c r="E6018" t="s">
        <v>19824</v>
      </c>
      <c r="F6018" t="s">
        <v>19553</v>
      </c>
      <c r="G6018" t="s">
        <v>19899</v>
      </c>
      <c r="H6018" t="str">
        <f>HYPERLINK("https://baanknet.com/view-property/286610/9473CFF0E5451EEA6FABEAA2CFE8A8028AB086B837FEE90445BBD835E3A4F2A7", "https://baanknet.com/view-property/286610/9473CFF0E5451EEA6FABEAA2CFE8A8028AB086B837FEE90445BBD835E3A4F2A7")</f>
        <v>https://baanknet.com/view-property/286610/9473CFF0E5451EEA6FABEAA2CFE8A8028AB086B837FEE90445BBD835E3A4F2A7</v>
      </c>
      <c r="I6018" t="str">
        <f>HYPERLINK("https://baanknet.com/view-property/286610/9473CFF0E5451EEA6FABEAA2CFE8A8028AB086B837FEE90445BBD835E3A4F2A7", "Open")</f>
        <v>Open</v>
      </c>
      <c r="J6018" t="s">
        <v>3803</v>
      </c>
      <c r="L6018">
        <v>6338000</v>
      </c>
      <c r="M6018">
        <v>633800</v>
      </c>
    </row>
    <row r="6019" spans="1:13" x14ac:dyDescent="0.25">
      <c r="A6019" t="s">
        <v>19900</v>
      </c>
      <c r="B6019" t="s">
        <v>19901</v>
      </c>
      <c r="C6019" t="s">
        <v>589</v>
      </c>
      <c r="D6019" t="s">
        <v>3165</v>
      </c>
      <c r="E6019" t="s">
        <v>19824</v>
      </c>
      <c r="F6019" t="s">
        <v>19553</v>
      </c>
      <c r="G6019" t="s">
        <v>19902</v>
      </c>
      <c r="H6019" t="str">
        <f>HYPERLINK("https://baanknet.com/view-property/286636/34BADF003EC8A9EF814BEF9CFB60C77F2634F233392BB01B163B0D426A75D4F8", "https://baanknet.com/view-property/286636/34BADF003EC8A9EF814BEF9CFB60C77F2634F233392BB01B163B0D426A75D4F8")</f>
        <v>https://baanknet.com/view-property/286636/34BADF003EC8A9EF814BEF9CFB60C77F2634F233392BB01B163B0D426A75D4F8</v>
      </c>
      <c r="I6019" t="str">
        <f>HYPERLINK("https://baanknet.com/view-property/286636/34BADF003EC8A9EF814BEF9CFB60C77F2634F233392BB01B163B0D426A75D4F8", "Open")</f>
        <v>Open</v>
      </c>
      <c r="J6019" t="s">
        <v>3803</v>
      </c>
      <c r="L6019">
        <v>1643000</v>
      </c>
      <c r="M6019">
        <v>164300</v>
      </c>
    </row>
    <row r="6020" spans="1:13" x14ac:dyDescent="0.25">
      <c r="A6020" t="s">
        <v>19903</v>
      </c>
      <c r="B6020" t="s">
        <v>19904</v>
      </c>
      <c r="C6020" t="s">
        <v>589</v>
      </c>
      <c r="D6020" t="s">
        <v>19905</v>
      </c>
      <c r="E6020" t="s">
        <v>19824</v>
      </c>
      <c r="F6020" t="s">
        <v>19553</v>
      </c>
      <c r="G6020" t="s">
        <v>19906</v>
      </c>
      <c r="H6020" t="str">
        <f>HYPERLINK("https://baanknet.com/view-property/246857/D47985D2DE8BBF38CB5FFF58540C3ACEE677F3515322079E264E35E6B9E06500", "https://baanknet.com/view-property/246857/D47985D2DE8BBF38CB5FFF58540C3ACEE677F3515322079E264E35E6B9E06500")</f>
        <v>https://baanknet.com/view-property/246857/D47985D2DE8BBF38CB5FFF58540C3ACEE677F3515322079E264E35E6B9E06500</v>
      </c>
      <c r="I6020" t="str">
        <f>HYPERLINK("https://baanknet.com/view-property/246857/D47985D2DE8BBF38CB5FFF58540C3ACEE677F3515322079E264E35E6B9E06500", "Open")</f>
        <v>Open</v>
      </c>
      <c r="J6020" t="s">
        <v>3803</v>
      </c>
      <c r="L6020">
        <v>3542000</v>
      </c>
      <c r="M6020">
        <v>354200</v>
      </c>
    </row>
    <row r="6021" spans="1:13" x14ac:dyDescent="0.25">
      <c r="A6021" t="s">
        <v>19907</v>
      </c>
      <c r="B6021" t="s">
        <v>19908</v>
      </c>
      <c r="C6021" t="s">
        <v>589</v>
      </c>
      <c r="D6021" t="s">
        <v>19909</v>
      </c>
      <c r="E6021" t="s">
        <v>19824</v>
      </c>
      <c r="F6021" t="s">
        <v>19553</v>
      </c>
      <c r="G6021" t="s">
        <v>19910</v>
      </c>
      <c r="H6021" t="str">
        <f>HYPERLINK("https://baanknet.com/view-property/231906/39EFB3134E871D9BF96B7B5BABB30ABBD1B64135459BF80694FDD965AEB07EDD", "https://baanknet.com/view-property/231906/39EFB3134E871D9BF96B7B5BABB30ABBD1B64135459BF80694FDD965AEB07EDD")</f>
        <v>https://baanknet.com/view-property/231906/39EFB3134E871D9BF96B7B5BABB30ABBD1B64135459BF80694FDD965AEB07EDD</v>
      </c>
      <c r="I6021" t="str">
        <f>HYPERLINK("https://baanknet.com/view-property/231906/39EFB3134E871D9BF96B7B5BABB30ABBD1B64135459BF80694FDD965AEB07EDD", "Open")</f>
        <v>Open</v>
      </c>
      <c r="J6021" t="s">
        <v>3803</v>
      </c>
      <c r="L6021">
        <v>5760000</v>
      </c>
      <c r="M6021">
        <v>576000</v>
      </c>
    </row>
    <row r="6022" spans="1:13" x14ac:dyDescent="0.25">
      <c r="A6022" t="s">
        <v>19911</v>
      </c>
      <c r="B6022" t="s">
        <v>19912</v>
      </c>
      <c r="C6022" t="s">
        <v>589</v>
      </c>
      <c r="D6022" t="s">
        <v>19871</v>
      </c>
      <c r="E6022" t="s">
        <v>19824</v>
      </c>
      <c r="F6022" t="s">
        <v>19553</v>
      </c>
      <c r="G6022" t="s">
        <v>19913</v>
      </c>
      <c r="H6022" t="str">
        <f>HYPERLINK("https://baanknet.com/view-property/284058/4F5CD0C08EC2CA1BA0085315EB051F3C5D2A0D0EE13DF1C24925645A4A136066", "https://baanknet.com/view-property/284058/4F5CD0C08EC2CA1BA0085315EB051F3C5D2A0D0EE13DF1C24925645A4A136066")</f>
        <v>https://baanknet.com/view-property/284058/4F5CD0C08EC2CA1BA0085315EB051F3C5D2A0D0EE13DF1C24925645A4A136066</v>
      </c>
      <c r="I6022" t="str">
        <f>HYPERLINK("https://baanknet.com/view-property/284058/4F5CD0C08EC2CA1BA0085315EB051F3C5D2A0D0EE13DF1C24925645A4A136066", "Open")</f>
        <v>Open</v>
      </c>
      <c r="J6022" t="s">
        <v>3803</v>
      </c>
      <c r="L6022">
        <v>824000</v>
      </c>
      <c r="M6022">
        <v>82400</v>
      </c>
    </row>
    <row r="6023" spans="1:13" x14ac:dyDescent="0.25">
      <c r="A6023" t="s">
        <v>19914</v>
      </c>
      <c r="B6023" t="s">
        <v>19915</v>
      </c>
      <c r="C6023" t="s">
        <v>589</v>
      </c>
      <c r="D6023" t="s">
        <v>19916</v>
      </c>
      <c r="E6023" t="s">
        <v>19824</v>
      </c>
      <c r="F6023" t="s">
        <v>19553</v>
      </c>
      <c r="G6023" t="s">
        <v>19917</v>
      </c>
      <c r="H6023" t="str">
        <f>HYPERLINK("https://baanknet.com/view-property/283975/7A6CFD08B42B62CB9216EEE5C29490576211C10A0879E032E2CB2A19B93C5D72", "https://baanknet.com/view-property/283975/7A6CFD08B42B62CB9216EEE5C29490576211C10A0879E032E2CB2A19B93C5D72")</f>
        <v>https://baanknet.com/view-property/283975/7A6CFD08B42B62CB9216EEE5C29490576211C10A0879E032E2CB2A19B93C5D72</v>
      </c>
      <c r="I6023" t="str">
        <f>HYPERLINK("https://baanknet.com/view-property/283975/7A6CFD08B42B62CB9216EEE5C29490576211C10A0879E032E2CB2A19B93C5D72", "Open")</f>
        <v>Open</v>
      </c>
      <c r="J6023" t="s">
        <v>3803</v>
      </c>
      <c r="L6023">
        <v>543000</v>
      </c>
      <c r="M6023">
        <v>54300</v>
      </c>
    </row>
    <row r="6024" spans="1:13" x14ac:dyDescent="0.25">
      <c r="A6024" t="s">
        <v>19918</v>
      </c>
      <c r="B6024" t="s">
        <v>19919</v>
      </c>
      <c r="C6024" t="s">
        <v>589</v>
      </c>
      <c r="D6024" t="s">
        <v>6054</v>
      </c>
      <c r="E6024" t="s">
        <v>19824</v>
      </c>
      <c r="F6024" t="s">
        <v>19553</v>
      </c>
      <c r="G6024" t="s">
        <v>19920</v>
      </c>
      <c r="H6024" t="str">
        <f>HYPERLINK("https://baanknet.com/view-property/150425/7E2EFB06C095B256285B4DC74E5B0E0B2D6F4D3F2747D2593917183B732A65E1", "https://baanknet.com/view-property/150425/7E2EFB06C095B256285B4DC74E5B0E0B2D6F4D3F2747D2593917183B732A65E1")</f>
        <v>https://baanknet.com/view-property/150425/7E2EFB06C095B256285B4DC74E5B0E0B2D6F4D3F2747D2593917183B732A65E1</v>
      </c>
      <c r="I6024" t="str">
        <f>HYPERLINK("https://baanknet.com/view-property/150425/7E2EFB06C095B256285B4DC74E5B0E0B2D6F4D3F2747D2593917183B732A65E1", "Open")</f>
        <v>Open</v>
      </c>
      <c r="J6024" t="s">
        <v>3803</v>
      </c>
      <c r="L6024">
        <v>855000</v>
      </c>
      <c r="M6024">
        <v>85500</v>
      </c>
    </row>
    <row r="6025" spans="1:13" x14ac:dyDescent="0.25">
      <c r="A6025" t="s">
        <v>19921</v>
      </c>
      <c r="B6025" t="s">
        <v>19922</v>
      </c>
      <c r="C6025" t="s">
        <v>589</v>
      </c>
      <c r="D6025" t="s">
        <v>19923</v>
      </c>
      <c r="E6025" t="s">
        <v>19824</v>
      </c>
      <c r="F6025" t="s">
        <v>19553</v>
      </c>
      <c r="G6025" t="s">
        <v>19924</v>
      </c>
      <c r="H6025" t="str">
        <f>HYPERLINK("https://baanknet.com/view-property/26818/47E5B4FE1AA490D97E2F5F478FB1A7F66C1FA7F8EB2CA1B1B528B6A17110BD63", "https://baanknet.com/view-property/26818/47E5B4FE1AA490D97E2F5F478FB1A7F66C1FA7F8EB2CA1B1B528B6A17110BD63")</f>
        <v>https://baanknet.com/view-property/26818/47E5B4FE1AA490D97E2F5F478FB1A7F66C1FA7F8EB2CA1B1B528B6A17110BD63</v>
      </c>
      <c r="I6025" t="str">
        <f>HYPERLINK("https://baanknet.com/view-property/26818/47E5B4FE1AA490D97E2F5F478FB1A7F66C1FA7F8EB2CA1B1B528B6A17110BD63", "Open")</f>
        <v>Open</v>
      </c>
      <c r="J6025" t="s">
        <v>3803</v>
      </c>
      <c r="L6025">
        <v>1157000</v>
      </c>
      <c r="M6025">
        <v>115700</v>
      </c>
    </row>
    <row r="6026" spans="1:13" x14ac:dyDescent="0.25">
      <c r="A6026" t="s">
        <v>19925</v>
      </c>
      <c r="B6026" t="s">
        <v>19926</v>
      </c>
      <c r="C6026" t="s">
        <v>589</v>
      </c>
      <c r="D6026" t="s">
        <v>6054</v>
      </c>
      <c r="E6026" t="s">
        <v>19824</v>
      </c>
      <c r="F6026" t="s">
        <v>19553</v>
      </c>
      <c r="G6026" t="s">
        <v>19927</v>
      </c>
      <c r="H6026" t="str">
        <f>HYPERLINK("https://baanknet.com/view-property/235637/B81FB382E82F372841CFB6FA881DDF2B0570FBC05D6B365D791F92DCFA27D311", "https://baanknet.com/view-property/235637/B81FB382E82F372841CFB6FA881DDF2B0570FBC05D6B365D791F92DCFA27D311")</f>
        <v>https://baanknet.com/view-property/235637/B81FB382E82F372841CFB6FA881DDF2B0570FBC05D6B365D791F92DCFA27D311</v>
      </c>
      <c r="I6026" t="str">
        <f>HYPERLINK("https://baanknet.com/view-property/235637/B81FB382E82F372841CFB6FA881DDF2B0570FBC05D6B365D791F92DCFA27D311", "Open")</f>
        <v>Open</v>
      </c>
      <c r="J6026" t="s">
        <v>3803</v>
      </c>
      <c r="L6026">
        <v>1488000</v>
      </c>
      <c r="M6026">
        <v>148800</v>
      </c>
    </row>
    <row r="6027" spans="1:13" x14ac:dyDescent="0.25">
      <c r="A6027" t="s">
        <v>19928</v>
      </c>
      <c r="B6027" t="s">
        <v>19929</v>
      </c>
      <c r="C6027" t="s">
        <v>589</v>
      </c>
      <c r="D6027" t="s">
        <v>12467</v>
      </c>
      <c r="E6027" t="s">
        <v>19824</v>
      </c>
      <c r="F6027" t="s">
        <v>19553</v>
      </c>
      <c r="G6027" t="s">
        <v>19930</v>
      </c>
      <c r="H6027" t="str">
        <f>HYPERLINK("https://baanknet.com/view-property/285631/EFD20B27BF56111E180A6629120329BD84F8CC96E85A6D7FFC55F2C0FAA502CA", "https://baanknet.com/view-property/285631/EFD20B27BF56111E180A6629120329BD84F8CC96E85A6D7FFC55F2C0FAA502CA")</f>
        <v>https://baanknet.com/view-property/285631/EFD20B27BF56111E180A6629120329BD84F8CC96E85A6D7FFC55F2C0FAA502CA</v>
      </c>
      <c r="I6027" t="str">
        <f>HYPERLINK("https://baanknet.com/view-property/285631/EFD20B27BF56111E180A6629120329BD84F8CC96E85A6D7FFC55F2C0FAA502CA", "Open")</f>
        <v>Open</v>
      </c>
      <c r="J6027" t="s">
        <v>3803</v>
      </c>
      <c r="L6027">
        <v>2320000</v>
      </c>
      <c r="M6027">
        <v>232000</v>
      </c>
    </row>
    <row r="6028" spans="1:13" x14ac:dyDescent="0.25">
      <c r="A6028" t="s">
        <v>19931</v>
      </c>
      <c r="B6028" t="s">
        <v>19932</v>
      </c>
      <c r="C6028" t="s">
        <v>589</v>
      </c>
      <c r="D6028" t="s">
        <v>12467</v>
      </c>
      <c r="E6028" t="s">
        <v>19824</v>
      </c>
      <c r="F6028" t="s">
        <v>19553</v>
      </c>
      <c r="G6028" t="s">
        <v>19933</v>
      </c>
      <c r="H6028" t="str">
        <f>HYPERLINK("https://baanknet.com/view-property/222993/63CD6594BBC38494FF6BB9A42503D8EE64CB5E1BF541639AFF47254AC292CE19", "https://baanknet.com/view-property/222993/63CD6594BBC38494FF6BB9A42503D8EE64CB5E1BF541639AFF47254AC292CE19")</f>
        <v>https://baanknet.com/view-property/222993/63CD6594BBC38494FF6BB9A42503D8EE64CB5E1BF541639AFF47254AC292CE19</v>
      </c>
      <c r="I6028" t="str">
        <f>HYPERLINK("https://baanknet.com/view-property/222993/63CD6594BBC38494FF6BB9A42503D8EE64CB5E1BF541639AFF47254AC292CE19", "Open")</f>
        <v>Open</v>
      </c>
      <c r="J6028" t="s">
        <v>3803</v>
      </c>
      <c r="L6028">
        <v>945000</v>
      </c>
      <c r="M6028">
        <v>94500</v>
      </c>
    </row>
    <row r="6029" spans="1:13" x14ac:dyDescent="0.25">
      <c r="A6029" t="s">
        <v>19934</v>
      </c>
      <c r="B6029" t="s">
        <v>19935</v>
      </c>
      <c r="C6029" t="s">
        <v>589</v>
      </c>
      <c r="D6029" t="s">
        <v>19936</v>
      </c>
      <c r="E6029" t="s">
        <v>19824</v>
      </c>
      <c r="F6029" t="s">
        <v>19553</v>
      </c>
      <c r="G6029" t="s">
        <v>19937</v>
      </c>
      <c r="H6029" t="str">
        <f>HYPERLINK("https://baanknet.com/view-property/283866/E8B8D808F7A248DD65A4A1AE01E264BD4E4394B544E16F357A919267CD5BFBAE", "https://baanknet.com/view-property/283866/E8B8D808F7A248DD65A4A1AE01E264BD4E4394B544E16F357A919267CD5BFBAE")</f>
        <v>https://baanknet.com/view-property/283866/E8B8D808F7A248DD65A4A1AE01E264BD4E4394B544E16F357A919267CD5BFBAE</v>
      </c>
      <c r="I6029" t="str">
        <f>HYPERLINK("https://baanknet.com/view-property/283866/E8B8D808F7A248DD65A4A1AE01E264BD4E4394B544E16F357A919267CD5BFBAE", "Open")</f>
        <v>Open</v>
      </c>
      <c r="J6029" t="s">
        <v>3803</v>
      </c>
      <c r="L6029">
        <v>5517000</v>
      </c>
      <c r="M6029">
        <v>551700</v>
      </c>
    </row>
    <row r="6030" spans="1:13" x14ac:dyDescent="0.25">
      <c r="A6030" t="s">
        <v>19938</v>
      </c>
      <c r="B6030" t="s">
        <v>19939</v>
      </c>
      <c r="C6030" t="s">
        <v>589</v>
      </c>
      <c r="D6030" t="s">
        <v>12467</v>
      </c>
      <c r="E6030" t="s">
        <v>19824</v>
      </c>
      <c r="F6030" t="s">
        <v>19553</v>
      </c>
      <c r="G6030" t="s">
        <v>19940</v>
      </c>
      <c r="H6030" t="str">
        <f>HYPERLINK("https://baanknet.com/view-property/222991/3AFD632B563C962336F30E26942E5649D893FABB10E19F246269D2915D21EBC1", "https://baanknet.com/view-property/222991/3AFD632B563C962336F30E26942E5649D893FABB10E19F246269D2915D21EBC1")</f>
        <v>https://baanknet.com/view-property/222991/3AFD632B563C962336F30E26942E5649D893FABB10E19F246269D2915D21EBC1</v>
      </c>
      <c r="I6030" t="str">
        <f>HYPERLINK("https://baanknet.com/view-property/222991/3AFD632B563C962336F30E26942E5649D893FABB10E19F246269D2915D21EBC1", "Open")</f>
        <v>Open</v>
      </c>
      <c r="J6030" t="s">
        <v>3803</v>
      </c>
      <c r="L6030">
        <v>1080000</v>
      </c>
      <c r="M6030">
        <v>108000</v>
      </c>
    </row>
    <row r="6031" spans="1:13" x14ac:dyDescent="0.25">
      <c r="A6031" t="s">
        <v>19941</v>
      </c>
      <c r="B6031" t="s">
        <v>19942</v>
      </c>
      <c r="C6031" t="s">
        <v>589</v>
      </c>
      <c r="D6031" t="s">
        <v>4481</v>
      </c>
      <c r="E6031" t="s">
        <v>19824</v>
      </c>
      <c r="F6031" t="s">
        <v>19553</v>
      </c>
      <c r="G6031" t="s">
        <v>19943</v>
      </c>
      <c r="H6031" t="str">
        <f>HYPERLINK("https://baanknet.com/view-property/285445/2C59807FACDF3C55EC83F11F322BCB0A8EFEC50B7F0D6FEE520080228D92FF57", "https://baanknet.com/view-property/285445/2C59807FACDF3C55EC83F11F322BCB0A8EFEC50B7F0D6FEE520080228D92FF57")</f>
        <v>https://baanknet.com/view-property/285445/2C59807FACDF3C55EC83F11F322BCB0A8EFEC50B7F0D6FEE520080228D92FF57</v>
      </c>
      <c r="I6031" t="str">
        <f>HYPERLINK("https://baanknet.com/view-property/285445/2C59807FACDF3C55EC83F11F322BCB0A8EFEC50B7F0D6FEE520080228D92FF57", "Open")</f>
        <v>Open</v>
      </c>
      <c r="J6031" t="s">
        <v>3803</v>
      </c>
      <c r="L6031">
        <v>1325000</v>
      </c>
      <c r="M6031">
        <v>132500</v>
      </c>
    </row>
    <row r="6032" spans="1:13" x14ac:dyDescent="0.25">
      <c r="A6032" t="s">
        <v>19944</v>
      </c>
      <c r="B6032" t="s">
        <v>19945</v>
      </c>
      <c r="C6032" t="s">
        <v>589</v>
      </c>
      <c r="D6032" t="s">
        <v>12467</v>
      </c>
      <c r="E6032" t="s">
        <v>19824</v>
      </c>
      <c r="F6032" t="s">
        <v>19553</v>
      </c>
      <c r="G6032" t="s">
        <v>19946</v>
      </c>
      <c r="H6032" t="str">
        <f>HYPERLINK("https://baanknet.com/view-property/222992/D45E014A41BAC3D07126E2277890B17BCDF263112B455E8CDA358FE968B6B9C7", "https://baanknet.com/view-property/222992/D45E014A41BAC3D07126E2277890B17BCDF263112B455E8CDA358FE968B6B9C7")</f>
        <v>https://baanknet.com/view-property/222992/D45E014A41BAC3D07126E2277890B17BCDF263112B455E8CDA358FE968B6B9C7</v>
      </c>
      <c r="I6032" t="str">
        <f>HYPERLINK("https://baanknet.com/view-property/222992/D45E014A41BAC3D07126E2277890B17BCDF263112B455E8CDA358FE968B6B9C7", "Open")</f>
        <v>Open</v>
      </c>
      <c r="J6032" t="s">
        <v>3803</v>
      </c>
      <c r="L6032">
        <v>1430000</v>
      </c>
      <c r="M6032">
        <v>143000</v>
      </c>
    </row>
    <row r="6033" spans="1:13" x14ac:dyDescent="0.25">
      <c r="A6033" t="s">
        <v>19947</v>
      </c>
      <c r="B6033" t="s">
        <v>19948</v>
      </c>
      <c r="C6033" t="s">
        <v>589</v>
      </c>
      <c r="D6033" t="s">
        <v>10880</v>
      </c>
      <c r="E6033" t="s">
        <v>19824</v>
      </c>
      <c r="F6033" t="s">
        <v>19553</v>
      </c>
      <c r="G6033" t="s">
        <v>19949</v>
      </c>
      <c r="H6033" t="str">
        <f>HYPERLINK("https://baanknet.com/view-property/201275/E146ED4C5740127D22593CFFB4688AE07B254774F9EEAECB7B715369F04FB258", "https://baanknet.com/view-property/201275/E146ED4C5740127D22593CFFB4688AE07B254774F9EEAECB7B715369F04FB258")</f>
        <v>https://baanknet.com/view-property/201275/E146ED4C5740127D22593CFFB4688AE07B254774F9EEAECB7B715369F04FB258</v>
      </c>
      <c r="I6033" t="str">
        <f>HYPERLINK("https://baanknet.com/view-property/201275/E146ED4C5740127D22593CFFB4688AE07B254774F9EEAECB7B715369F04FB258", "Open")</f>
        <v>Open</v>
      </c>
      <c r="J6033" t="s">
        <v>3803</v>
      </c>
      <c r="L6033">
        <v>21.38</v>
      </c>
      <c r="M6033">
        <v>2.14</v>
      </c>
    </row>
    <row r="6034" spans="1:13" x14ac:dyDescent="0.25">
      <c r="A6034" t="s">
        <v>19950</v>
      </c>
      <c r="B6034" t="s">
        <v>19951</v>
      </c>
      <c r="C6034" t="s">
        <v>589</v>
      </c>
      <c r="D6034" t="s">
        <v>1190</v>
      </c>
      <c r="E6034" t="s">
        <v>19824</v>
      </c>
      <c r="F6034" t="s">
        <v>19553</v>
      </c>
      <c r="G6034" t="s">
        <v>19952</v>
      </c>
      <c r="H6034" t="str">
        <f>HYPERLINK("https://baanknet.com/view-property/65000/AA3623AEA1463A737297337508EA3EF820C270E1C9A576E69AA36944DE6E61D1", "https://baanknet.com/view-property/65000/AA3623AEA1463A737297337508EA3EF820C270E1C9A576E69AA36944DE6E61D1")</f>
        <v>https://baanknet.com/view-property/65000/AA3623AEA1463A737297337508EA3EF820C270E1C9A576E69AA36944DE6E61D1</v>
      </c>
      <c r="I6034" t="str">
        <f>HYPERLINK("https://baanknet.com/view-property/65000/AA3623AEA1463A737297337508EA3EF820C270E1C9A576E69AA36944DE6E61D1", "Open")</f>
        <v>Open</v>
      </c>
      <c r="J6034" t="s">
        <v>3803</v>
      </c>
      <c r="L6034">
        <v>1451000</v>
      </c>
      <c r="M6034">
        <v>145100</v>
      </c>
    </row>
    <row r="6035" spans="1:13" x14ac:dyDescent="0.25">
      <c r="A6035" t="s">
        <v>19953</v>
      </c>
      <c r="B6035" t="s">
        <v>19954</v>
      </c>
      <c r="C6035" t="s">
        <v>589</v>
      </c>
      <c r="D6035" t="s">
        <v>12467</v>
      </c>
      <c r="E6035" t="s">
        <v>19824</v>
      </c>
      <c r="F6035" t="s">
        <v>19553</v>
      </c>
      <c r="G6035" t="s">
        <v>19955</v>
      </c>
      <c r="H6035" t="str">
        <f>HYPERLINK("https://baanknet.com/view-property/285237/FE5598B1887829FA3D6B92CF04B217B75850EA54EACD10D6D3BF82EC8CA6F92A", "https://baanknet.com/view-property/285237/FE5598B1887829FA3D6B92CF04B217B75850EA54EACD10D6D3BF82EC8CA6F92A")</f>
        <v>https://baanknet.com/view-property/285237/FE5598B1887829FA3D6B92CF04B217B75850EA54EACD10D6D3BF82EC8CA6F92A</v>
      </c>
      <c r="I6035" t="str">
        <f>HYPERLINK("https://baanknet.com/view-property/285237/FE5598B1887829FA3D6B92CF04B217B75850EA54EACD10D6D3BF82EC8CA6F92A", "Open")</f>
        <v>Open</v>
      </c>
      <c r="J6035" t="s">
        <v>3803</v>
      </c>
      <c r="L6035">
        <v>1650000</v>
      </c>
      <c r="M6035">
        <v>165000</v>
      </c>
    </row>
    <row r="6036" spans="1:13" x14ac:dyDescent="0.25">
      <c r="A6036" t="s">
        <v>19956</v>
      </c>
      <c r="B6036" t="s">
        <v>19957</v>
      </c>
      <c r="C6036" t="s">
        <v>589</v>
      </c>
      <c r="D6036" t="s">
        <v>12467</v>
      </c>
      <c r="E6036" t="s">
        <v>19824</v>
      </c>
      <c r="F6036" t="s">
        <v>19553</v>
      </c>
      <c r="G6036" t="s">
        <v>19958</v>
      </c>
      <c r="H6036" t="str">
        <f>HYPERLINK("https://baanknet.com/view-property/74192/27C24E97EE4638C7D7AC0B77A15E408FD49568FFD554CC5C8CBCFE19425135C2", "https://baanknet.com/view-property/74192/27C24E97EE4638C7D7AC0B77A15E408FD49568FFD554CC5C8CBCFE19425135C2")</f>
        <v>https://baanknet.com/view-property/74192/27C24E97EE4638C7D7AC0B77A15E408FD49568FFD554CC5C8CBCFE19425135C2</v>
      </c>
      <c r="I6036" t="str">
        <f>HYPERLINK("https://baanknet.com/view-property/74192/27C24E97EE4638C7D7AC0B77A15E408FD49568FFD554CC5C8CBCFE19425135C2", "Open")</f>
        <v>Open</v>
      </c>
      <c r="J6036" t="s">
        <v>3803</v>
      </c>
      <c r="L6036">
        <v>1692500</v>
      </c>
      <c r="M6036">
        <v>169250</v>
      </c>
    </row>
    <row r="6037" spans="1:13" x14ac:dyDescent="0.25">
      <c r="A6037" t="s">
        <v>19959</v>
      </c>
      <c r="B6037" t="s">
        <v>19960</v>
      </c>
      <c r="C6037" t="s">
        <v>589</v>
      </c>
      <c r="D6037" t="s">
        <v>12467</v>
      </c>
      <c r="E6037" t="s">
        <v>19824</v>
      </c>
      <c r="F6037" t="s">
        <v>19553</v>
      </c>
      <c r="G6037" t="s">
        <v>19961</v>
      </c>
      <c r="H6037" t="str">
        <f>HYPERLINK("https://baanknet.com/view-property/235638/D71CA5A1ACA5BEF0C0EA25B5037EA7B78CC69E79B8E016695C4501519EDB2250", "https://baanknet.com/view-property/235638/D71CA5A1ACA5BEF0C0EA25B5037EA7B78CC69E79B8E016695C4501519EDB2250")</f>
        <v>https://baanknet.com/view-property/235638/D71CA5A1ACA5BEF0C0EA25B5037EA7B78CC69E79B8E016695C4501519EDB2250</v>
      </c>
      <c r="I6037" t="str">
        <f>HYPERLINK("https://baanknet.com/view-property/235638/D71CA5A1ACA5BEF0C0EA25B5037EA7B78CC69E79B8E016695C4501519EDB2250", "Open")</f>
        <v>Open</v>
      </c>
      <c r="J6037" t="s">
        <v>3803</v>
      </c>
      <c r="L6037">
        <v>1750000</v>
      </c>
      <c r="M6037">
        <v>175000</v>
      </c>
    </row>
    <row r="6038" spans="1:13" x14ac:dyDescent="0.25">
      <c r="A6038" t="s">
        <v>19962</v>
      </c>
      <c r="B6038" t="s">
        <v>19963</v>
      </c>
      <c r="C6038" t="s">
        <v>589</v>
      </c>
      <c r="D6038" t="s">
        <v>12467</v>
      </c>
      <c r="E6038" t="s">
        <v>19824</v>
      </c>
      <c r="F6038" t="s">
        <v>19553</v>
      </c>
      <c r="G6038" t="s">
        <v>19964</v>
      </c>
      <c r="H6038" t="str">
        <f>HYPERLINK("https://baanknet.com/view-property/285229/3F60051608A93B7B66A1AFB11310C002BCBB16A5FDC3D2E132583D75C3DBB841", "https://baanknet.com/view-property/285229/3F60051608A93B7B66A1AFB11310C002BCBB16A5FDC3D2E132583D75C3DBB841")</f>
        <v>https://baanknet.com/view-property/285229/3F60051608A93B7B66A1AFB11310C002BCBB16A5FDC3D2E132583D75C3DBB841</v>
      </c>
      <c r="I6038" t="str">
        <f>HYPERLINK("https://baanknet.com/view-property/285229/3F60051608A93B7B66A1AFB11310C002BCBB16A5FDC3D2E132583D75C3DBB841", "Open")</f>
        <v>Open</v>
      </c>
      <c r="J6038" t="s">
        <v>3803</v>
      </c>
      <c r="L6038">
        <v>4750000</v>
      </c>
      <c r="M6038">
        <v>475000</v>
      </c>
    </row>
    <row r="6039" spans="1:13" x14ac:dyDescent="0.25">
      <c r="A6039" t="s">
        <v>19965</v>
      </c>
      <c r="B6039" t="s">
        <v>19966</v>
      </c>
      <c r="C6039" t="s">
        <v>589</v>
      </c>
      <c r="D6039" t="s">
        <v>6034</v>
      </c>
      <c r="E6039" t="s">
        <v>19824</v>
      </c>
      <c r="F6039" t="s">
        <v>19553</v>
      </c>
      <c r="G6039" t="s">
        <v>19967</v>
      </c>
      <c r="H6039" t="str">
        <f>HYPERLINK("https://baanknet.com/view-property/211565/EB27F610EBCE955B24E46DE14DF90E1B187DE4B2EF1CCE292B29BC769ACA7C37", "https://baanknet.com/view-property/211565/EB27F610EBCE955B24E46DE14DF90E1B187DE4B2EF1CCE292B29BC769ACA7C37")</f>
        <v>https://baanknet.com/view-property/211565/EB27F610EBCE955B24E46DE14DF90E1B187DE4B2EF1CCE292B29BC769ACA7C37</v>
      </c>
      <c r="I6039" t="str">
        <f>HYPERLINK("https://baanknet.com/view-property/211565/EB27F610EBCE955B24E46DE14DF90E1B187DE4B2EF1CCE292B29BC769ACA7C37", "Open")</f>
        <v>Open</v>
      </c>
      <c r="J6039" t="s">
        <v>3803</v>
      </c>
      <c r="L6039">
        <v>2430000</v>
      </c>
      <c r="M6039">
        <v>243000</v>
      </c>
    </row>
    <row r="6040" spans="1:13" x14ac:dyDescent="0.25">
      <c r="A6040" t="s">
        <v>19968</v>
      </c>
      <c r="B6040" t="s">
        <v>19969</v>
      </c>
      <c r="C6040" t="s">
        <v>589</v>
      </c>
      <c r="D6040" t="s">
        <v>1520</v>
      </c>
      <c r="E6040" t="s">
        <v>19824</v>
      </c>
      <c r="F6040" t="s">
        <v>19553</v>
      </c>
      <c r="G6040" t="s">
        <v>19970</v>
      </c>
      <c r="H6040" t="str">
        <f>HYPERLINK("https://baanknet.com/view-property/252120/45411766A12E772C441DD5F761439E50DBD97019BFCC3620602487DC85926ED1", "https://baanknet.com/view-property/252120/45411766A12E772C441DD5F761439E50DBD97019BFCC3620602487DC85926ED1")</f>
        <v>https://baanknet.com/view-property/252120/45411766A12E772C441DD5F761439E50DBD97019BFCC3620602487DC85926ED1</v>
      </c>
      <c r="I6040" t="str">
        <f>HYPERLINK("https://baanknet.com/view-property/252120/45411766A12E772C441DD5F761439E50DBD97019BFCC3620602487DC85926ED1", "Open")</f>
        <v>Open</v>
      </c>
      <c r="J6040" t="s">
        <v>3803</v>
      </c>
      <c r="L6040">
        <v>5461000</v>
      </c>
      <c r="M6040">
        <v>546100</v>
      </c>
    </row>
    <row r="6041" spans="1:13" x14ac:dyDescent="0.25">
      <c r="A6041" t="s">
        <v>19971</v>
      </c>
      <c r="B6041" t="s">
        <v>19972</v>
      </c>
      <c r="C6041" t="s">
        <v>589</v>
      </c>
      <c r="D6041" t="s">
        <v>6034</v>
      </c>
      <c r="E6041" t="s">
        <v>19824</v>
      </c>
      <c r="F6041" t="s">
        <v>19553</v>
      </c>
      <c r="G6041" t="s">
        <v>19973</v>
      </c>
      <c r="H6041" t="str">
        <f>HYPERLINK("https://baanknet.com/view-property/219745/18893E5902256CCAC80BC2F0396A4B368D94F15CDD5A416275F2F58A8EB7C3DF", "https://baanknet.com/view-property/219745/18893E5902256CCAC80BC2F0396A4B368D94F15CDD5A416275F2F58A8EB7C3DF")</f>
        <v>https://baanknet.com/view-property/219745/18893E5902256CCAC80BC2F0396A4B368D94F15CDD5A416275F2F58A8EB7C3DF</v>
      </c>
      <c r="I6041" t="str">
        <f>HYPERLINK("https://baanknet.com/view-property/219745/18893E5902256CCAC80BC2F0396A4B368D94F15CDD5A416275F2F58A8EB7C3DF", "Open")</f>
        <v>Open</v>
      </c>
      <c r="J6041" t="s">
        <v>3803</v>
      </c>
      <c r="L6041">
        <v>1060000</v>
      </c>
      <c r="M6041">
        <v>106000</v>
      </c>
    </row>
    <row r="6042" spans="1:13" x14ac:dyDescent="0.25">
      <c r="A6042" t="s">
        <v>19974</v>
      </c>
      <c r="B6042" t="s">
        <v>19975</v>
      </c>
      <c r="C6042" t="s">
        <v>589</v>
      </c>
      <c r="D6042" t="s">
        <v>6034</v>
      </c>
      <c r="E6042" t="s">
        <v>19824</v>
      </c>
      <c r="F6042" t="s">
        <v>19553</v>
      </c>
      <c r="G6042" t="s">
        <v>19976</v>
      </c>
      <c r="H6042" t="str">
        <f>HYPERLINK("https://baanknet.com/view-property/76824/3D469FCAC9B3E1B587E91516492DB5A8A90CC19DBF224E959C3A9260505BC892", "https://baanknet.com/view-property/76824/3D469FCAC9B3E1B587E91516492DB5A8A90CC19DBF224E959C3A9260505BC892")</f>
        <v>https://baanknet.com/view-property/76824/3D469FCAC9B3E1B587E91516492DB5A8A90CC19DBF224E959C3A9260505BC892</v>
      </c>
      <c r="I6042" t="str">
        <f>HYPERLINK("https://baanknet.com/view-property/76824/3D469FCAC9B3E1B587E91516492DB5A8A90CC19DBF224E959C3A9260505BC892", "Open")</f>
        <v>Open</v>
      </c>
      <c r="J6042" t="s">
        <v>3803</v>
      </c>
      <c r="L6042">
        <v>1060000</v>
      </c>
      <c r="M6042">
        <v>106000</v>
      </c>
    </row>
    <row r="6043" spans="1:13" x14ac:dyDescent="0.25">
      <c r="A6043" t="s">
        <v>19977</v>
      </c>
      <c r="B6043" t="s">
        <v>19978</v>
      </c>
      <c r="C6043" t="s">
        <v>589</v>
      </c>
      <c r="D6043" t="s">
        <v>6034</v>
      </c>
      <c r="E6043" t="s">
        <v>19824</v>
      </c>
      <c r="F6043" t="s">
        <v>19553</v>
      </c>
      <c r="G6043" t="s">
        <v>19979</v>
      </c>
      <c r="H6043" t="str">
        <f>HYPERLINK("https://baanknet.com/view-property/285421/50A18CCBE91BC38EDA0A3F4C962DF5FB4845E64EC63A2C7B24D6846D5B17850D", "https://baanknet.com/view-property/285421/50A18CCBE91BC38EDA0A3F4C962DF5FB4845E64EC63A2C7B24D6846D5B17850D")</f>
        <v>https://baanknet.com/view-property/285421/50A18CCBE91BC38EDA0A3F4C962DF5FB4845E64EC63A2C7B24D6846D5B17850D</v>
      </c>
      <c r="I6043" t="str">
        <f>HYPERLINK("https://baanknet.com/view-property/285421/50A18CCBE91BC38EDA0A3F4C962DF5FB4845E64EC63A2C7B24D6846D5B17850D", "Open")</f>
        <v>Open</v>
      </c>
      <c r="J6043" t="s">
        <v>3803</v>
      </c>
      <c r="L6043">
        <v>1200000</v>
      </c>
      <c r="M6043">
        <v>120000</v>
      </c>
    </row>
    <row r="6044" spans="1:13" x14ac:dyDescent="0.25">
      <c r="A6044" t="s">
        <v>19980</v>
      </c>
      <c r="B6044" t="s">
        <v>19981</v>
      </c>
      <c r="C6044" t="s">
        <v>589</v>
      </c>
      <c r="D6044" t="s">
        <v>1520</v>
      </c>
      <c r="E6044" t="s">
        <v>19824</v>
      </c>
      <c r="F6044" t="s">
        <v>19553</v>
      </c>
      <c r="G6044" t="s">
        <v>19982</v>
      </c>
      <c r="H6044" t="str">
        <f>HYPERLINK("https://baanknet.com/view-property/187397/A046D5C5825C9C59D736C8F888D9A3414E5BDDEEED079704279CF0D870354DE1", "https://baanknet.com/view-property/187397/A046D5C5825C9C59D736C8F888D9A3414E5BDDEEED079704279CF0D870354DE1")</f>
        <v>https://baanknet.com/view-property/187397/A046D5C5825C9C59D736C8F888D9A3414E5BDDEEED079704279CF0D870354DE1</v>
      </c>
      <c r="I6044" t="str">
        <f>HYPERLINK("https://baanknet.com/view-property/187397/A046D5C5825C9C59D736C8F888D9A3414E5BDDEEED079704279CF0D870354DE1", "Open")</f>
        <v>Open</v>
      </c>
      <c r="J6044" t="s">
        <v>3803</v>
      </c>
      <c r="L6044">
        <v>2231000</v>
      </c>
      <c r="M6044">
        <v>223100</v>
      </c>
    </row>
    <row r="6045" spans="1:13" x14ac:dyDescent="0.25">
      <c r="A6045" t="s">
        <v>19983</v>
      </c>
      <c r="B6045" t="s">
        <v>19984</v>
      </c>
      <c r="C6045" t="s">
        <v>589</v>
      </c>
      <c r="D6045" t="s">
        <v>324</v>
      </c>
      <c r="E6045" t="s">
        <v>19824</v>
      </c>
      <c r="F6045" t="s">
        <v>19553</v>
      </c>
      <c r="G6045" t="s">
        <v>19985</v>
      </c>
      <c r="H6045" t="str">
        <f>HYPERLINK("https://baanknet.com/view-property/286618/F2C998EA8A881EE7700DCFD1590C89F72B192159620ECEE42F521F583166230E", "https://baanknet.com/view-property/286618/F2C998EA8A881EE7700DCFD1590C89F72B192159620ECEE42F521F583166230E")</f>
        <v>https://baanknet.com/view-property/286618/F2C998EA8A881EE7700DCFD1590C89F72B192159620ECEE42F521F583166230E</v>
      </c>
      <c r="I6045" t="str">
        <f>HYPERLINK("https://baanknet.com/view-property/286618/F2C998EA8A881EE7700DCFD1590C89F72B192159620ECEE42F521F583166230E", "Open")</f>
        <v>Open</v>
      </c>
      <c r="J6045" t="s">
        <v>3803</v>
      </c>
      <c r="L6045">
        <v>3873000</v>
      </c>
      <c r="M6045">
        <v>387300</v>
      </c>
    </row>
    <row r="6046" spans="1:13" x14ac:dyDescent="0.25">
      <c r="A6046" t="s">
        <v>19986</v>
      </c>
      <c r="B6046" t="s">
        <v>19987</v>
      </c>
      <c r="C6046" t="s">
        <v>589</v>
      </c>
      <c r="D6046" t="s">
        <v>1520</v>
      </c>
      <c r="E6046" t="s">
        <v>19824</v>
      </c>
      <c r="F6046" t="s">
        <v>19553</v>
      </c>
      <c r="G6046" t="s">
        <v>19988</v>
      </c>
      <c r="H6046" t="str">
        <f>HYPERLINK("https://baanknet.com/view-property/223158/795AD8D6DEE44290C11CBD8915FA3EF622856F1E38C1FDE9344BC223D4EEEE15", "https://baanknet.com/view-property/223158/795AD8D6DEE44290C11CBD8915FA3EF622856F1E38C1FDE9344BC223D4EEEE15")</f>
        <v>https://baanknet.com/view-property/223158/795AD8D6DEE44290C11CBD8915FA3EF622856F1E38C1FDE9344BC223D4EEEE15</v>
      </c>
      <c r="I6046" t="str">
        <f>HYPERLINK("https://baanknet.com/view-property/223158/795AD8D6DEE44290C11CBD8915FA3EF622856F1E38C1FDE9344BC223D4EEEE15", "Open")</f>
        <v>Open</v>
      </c>
      <c r="J6046" t="s">
        <v>3803</v>
      </c>
      <c r="L6046">
        <v>1571000</v>
      </c>
      <c r="M6046">
        <v>157100</v>
      </c>
    </row>
    <row r="6047" spans="1:13" x14ac:dyDescent="0.25">
      <c r="A6047" t="s">
        <v>19989</v>
      </c>
      <c r="B6047" t="s">
        <v>19990</v>
      </c>
      <c r="C6047" t="s">
        <v>589</v>
      </c>
      <c r="D6047" t="s">
        <v>6034</v>
      </c>
      <c r="E6047" t="s">
        <v>19824</v>
      </c>
      <c r="F6047" t="s">
        <v>19553</v>
      </c>
      <c r="G6047" t="s">
        <v>19991</v>
      </c>
      <c r="H6047" t="str">
        <f>HYPERLINK("https://baanknet.com/view-property/25905/5318A72AE81F6665C7F6F65AF0E83840D6BA73CC293672B965246CC1B5385069", "https://baanknet.com/view-property/25905/5318A72AE81F6665C7F6F65AF0E83840D6BA73CC293672B965246CC1B5385069")</f>
        <v>https://baanknet.com/view-property/25905/5318A72AE81F6665C7F6F65AF0E83840D6BA73CC293672B965246CC1B5385069</v>
      </c>
      <c r="I6047" t="str">
        <f>HYPERLINK("https://baanknet.com/view-property/25905/5318A72AE81F6665C7F6F65AF0E83840D6BA73CC293672B965246CC1B5385069", "Open")</f>
        <v>Open</v>
      </c>
      <c r="J6047" t="s">
        <v>3803</v>
      </c>
      <c r="L6047">
        <v>1217500</v>
      </c>
      <c r="M6047">
        <v>121750</v>
      </c>
    </row>
    <row r="6048" spans="1:13" x14ac:dyDescent="0.25">
      <c r="A6048" t="s">
        <v>19992</v>
      </c>
      <c r="B6048" t="s">
        <v>19993</v>
      </c>
      <c r="C6048" t="s">
        <v>589</v>
      </c>
      <c r="D6048" t="s">
        <v>6034</v>
      </c>
      <c r="E6048" t="s">
        <v>19824</v>
      </c>
      <c r="F6048" t="s">
        <v>19553</v>
      </c>
      <c r="G6048" t="s">
        <v>19994</v>
      </c>
      <c r="H6048" t="str">
        <f>HYPERLINK("https://baanknet.com/view-property/285582/BFA5F0C521DEE3585C5DF41733FBE5B61A4300532355517C5A619BA1E38B002F", "https://baanknet.com/view-property/285582/BFA5F0C521DEE3585C5DF41733FBE5B61A4300532355517C5A619BA1E38B002F")</f>
        <v>https://baanknet.com/view-property/285582/BFA5F0C521DEE3585C5DF41733FBE5B61A4300532355517C5A619BA1E38B002F</v>
      </c>
      <c r="I6048" t="str">
        <f>HYPERLINK("https://baanknet.com/view-property/285582/BFA5F0C521DEE3585C5DF41733FBE5B61A4300532355517C5A619BA1E38B002F", "Open")</f>
        <v>Open</v>
      </c>
      <c r="J6048" t="s">
        <v>3803</v>
      </c>
      <c r="L6048">
        <v>1282500</v>
      </c>
      <c r="M6048">
        <v>128250</v>
      </c>
    </row>
    <row r="6049" spans="1:13" x14ac:dyDescent="0.25">
      <c r="A6049" t="s">
        <v>19995</v>
      </c>
      <c r="B6049" t="s">
        <v>19996</v>
      </c>
      <c r="C6049" t="s">
        <v>589</v>
      </c>
      <c r="D6049" t="s">
        <v>6034</v>
      </c>
      <c r="E6049" t="s">
        <v>19824</v>
      </c>
      <c r="F6049" t="s">
        <v>19553</v>
      </c>
      <c r="G6049" t="s">
        <v>19997</v>
      </c>
      <c r="H6049" t="str">
        <f>HYPERLINK("https://baanknet.com/view-property/32711/5FC0A3BB30929E3B800038EF1379C18E8EBBBC7597FC08230BF71659E22268FF", "https://baanknet.com/view-property/32711/5FC0A3BB30929E3B800038EF1379C18E8EBBBC7597FC08230BF71659E22268FF")</f>
        <v>https://baanknet.com/view-property/32711/5FC0A3BB30929E3B800038EF1379C18E8EBBBC7597FC08230BF71659E22268FF</v>
      </c>
      <c r="I6049" t="str">
        <f>HYPERLINK("https://baanknet.com/view-property/32711/5FC0A3BB30929E3B800038EF1379C18E8EBBBC7597FC08230BF71659E22268FF", "Open")</f>
        <v>Open</v>
      </c>
      <c r="J6049" t="s">
        <v>3803</v>
      </c>
      <c r="L6049">
        <v>1282500</v>
      </c>
      <c r="M6049">
        <v>128250</v>
      </c>
    </row>
    <row r="6050" spans="1:13" x14ac:dyDescent="0.25">
      <c r="A6050" t="s">
        <v>19998</v>
      </c>
      <c r="B6050" t="s">
        <v>19999</v>
      </c>
      <c r="C6050" t="s">
        <v>589</v>
      </c>
      <c r="D6050" t="s">
        <v>1520</v>
      </c>
      <c r="E6050" t="s">
        <v>19824</v>
      </c>
      <c r="F6050" t="s">
        <v>19553</v>
      </c>
      <c r="G6050" t="s">
        <v>20000</v>
      </c>
      <c r="H6050" t="str">
        <f>HYPERLINK("https://baanknet.com/view-property/199108/0C9B81F0097063DA549D29BB86F7537EE04CC90A0AF7B15F6667317B90A5C4FF", "https://baanknet.com/view-property/199108/0C9B81F0097063DA549D29BB86F7537EE04CC90A0AF7B15F6667317B90A5C4FF")</f>
        <v>https://baanknet.com/view-property/199108/0C9B81F0097063DA549D29BB86F7537EE04CC90A0AF7B15F6667317B90A5C4FF</v>
      </c>
      <c r="I6050" t="str">
        <f>HYPERLINK("https://baanknet.com/view-property/199108/0C9B81F0097063DA549D29BB86F7537EE04CC90A0AF7B15F6667317B90A5C4FF", "Open")</f>
        <v>Open</v>
      </c>
      <c r="J6050" t="s">
        <v>3803</v>
      </c>
      <c r="L6050">
        <v>2088000</v>
      </c>
      <c r="M6050">
        <v>208800</v>
      </c>
    </row>
    <row r="6051" spans="1:13" x14ac:dyDescent="0.25">
      <c r="A6051" t="s">
        <v>20001</v>
      </c>
      <c r="B6051" t="s">
        <v>20002</v>
      </c>
      <c r="C6051" t="s">
        <v>589</v>
      </c>
      <c r="D6051" t="s">
        <v>1520</v>
      </c>
      <c r="E6051" t="s">
        <v>19824</v>
      </c>
      <c r="F6051" t="s">
        <v>19553</v>
      </c>
      <c r="G6051" t="s">
        <v>20003</v>
      </c>
      <c r="H6051" t="str">
        <f>HYPERLINK("https://baanknet.com/view-property/199086/474240E1C2BF5CF624F4447425BBAA0B1D1C950CF6C43398C9151E0190C61668", "https://baanknet.com/view-property/199086/474240E1C2BF5CF624F4447425BBAA0B1D1C950CF6C43398C9151E0190C61668")</f>
        <v>https://baanknet.com/view-property/199086/474240E1C2BF5CF624F4447425BBAA0B1D1C950CF6C43398C9151E0190C61668</v>
      </c>
      <c r="I6051" t="str">
        <f>HYPERLINK("https://baanknet.com/view-property/199086/474240E1C2BF5CF624F4447425BBAA0B1D1C950CF6C43398C9151E0190C61668", "Open")</f>
        <v>Open</v>
      </c>
      <c r="J6051" t="s">
        <v>3803</v>
      </c>
      <c r="L6051">
        <v>1932000</v>
      </c>
      <c r="M6051">
        <v>193200</v>
      </c>
    </row>
    <row r="6052" spans="1:13" x14ac:dyDescent="0.25">
      <c r="A6052" t="s">
        <v>20004</v>
      </c>
      <c r="B6052" t="s">
        <v>20005</v>
      </c>
      <c r="C6052" t="s">
        <v>589</v>
      </c>
      <c r="D6052" t="s">
        <v>1520</v>
      </c>
      <c r="E6052" t="s">
        <v>19824</v>
      </c>
      <c r="F6052" t="s">
        <v>19553</v>
      </c>
      <c r="G6052" t="s">
        <v>20006</v>
      </c>
      <c r="H6052" t="str">
        <f>HYPERLINK("https://baanknet.com/view-property/259217/1DB785977B8436AFBAE451D0578394BAA1B1FC19354231829B6FBE1BE5B968DA", "https://baanknet.com/view-property/259217/1DB785977B8436AFBAE451D0578394BAA1B1FC19354231829B6FBE1BE5B968DA")</f>
        <v>https://baanknet.com/view-property/259217/1DB785977B8436AFBAE451D0578394BAA1B1FC19354231829B6FBE1BE5B968DA</v>
      </c>
      <c r="I6052" t="str">
        <f>HYPERLINK("https://baanknet.com/view-property/259217/1DB785977B8436AFBAE451D0578394BAA1B1FC19354231829B6FBE1BE5B968DA", "Open")</f>
        <v>Open</v>
      </c>
      <c r="J6052" t="s">
        <v>3803</v>
      </c>
      <c r="L6052">
        <v>2781000</v>
      </c>
      <c r="M6052">
        <v>278100</v>
      </c>
    </row>
    <row r="6053" spans="1:13" x14ac:dyDescent="0.25">
      <c r="A6053" t="s">
        <v>20007</v>
      </c>
      <c r="B6053" t="s">
        <v>20008</v>
      </c>
      <c r="C6053" t="s">
        <v>589</v>
      </c>
      <c r="D6053" t="s">
        <v>8917</v>
      </c>
      <c r="E6053" t="s">
        <v>19824</v>
      </c>
      <c r="F6053" t="s">
        <v>19553</v>
      </c>
      <c r="G6053" t="s">
        <v>20009</v>
      </c>
      <c r="H6053" t="str">
        <f>HYPERLINK("https://baanknet.com/view-property/239924/87C29D9B03F171D88614D724022C2A5E8DAFE3D0516CF56C1165031224674C29", "https://baanknet.com/view-property/239924/87C29D9B03F171D88614D724022C2A5E8DAFE3D0516CF56C1165031224674C29")</f>
        <v>https://baanknet.com/view-property/239924/87C29D9B03F171D88614D724022C2A5E8DAFE3D0516CF56C1165031224674C29</v>
      </c>
      <c r="I6053" t="str">
        <f>HYPERLINK("https://baanknet.com/view-property/239924/87C29D9B03F171D88614D724022C2A5E8DAFE3D0516CF56C1165031224674C29", "Open")</f>
        <v>Open</v>
      </c>
      <c r="J6053" t="s">
        <v>3803</v>
      </c>
      <c r="L6053">
        <v>1588000</v>
      </c>
      <c r="M6053">
        <v>158800</v>
      </c>
    </row>
    <row r="6054" spans="1:13" x14ac:dyDescent="0.25">
      <c r="A6054" t="s">
        <v>20010</v>
      </c>
      <c r="B6054" t="s">
        <v>20011</v>
      </c>
      <c r="C6054" t="s">
        <v>589</v>
      </c>
      <c r="D6054" t="s">
        <v>1190</v>
      </c>
      <c r="E6054" t="s">
        <v>19824</v>
      </c>
      <c r="F6054" t="s">
        <v>19553</v>
      </c>
      <c r="G6054" t="s">
        <v>20012</v>
      </c>
      <c r="H6054" t="str">
        <f>HYPERLINK("https://baanknet.com/view-property/65988/C1094DE6AB02A7DBADA0BFFA000903B399ADFECCBB0B48D047BD8F7B61C757BE", "https://baanknet.com/view-property/65988/C1094DE6AB02A7DBADA0BFFA000903B399ADFECCBB0B48D047BD8F7B61C757BE")</f>
        <v>https://baanknet.com/view-property/65988/C1094DE6AB02A7DBADA0BFFA000903B399ADFECCBB0B48D047BD8F7B61C757BE</v>
      </c>
      <c r="I6054" t="str">
        <f>HYPERLINK("https://baanknet.com/view-property/65988/C1094DE6AB02A7DBADA0BFFA000903B399ADFECCBB0B48D047BD8F7B61C757BE", "Open")</f>
        <v>Open</v>
      </c>
      <c r="J6054" t="s">
        <v>3803</v>
      </c>
      <c r="L6054">
        <v>4135000</v>
      </c>
      <c r="M6054">
        <v>413500</v>
      </c>
    </row>
    <row r="6055" spans="1:13" x14ac:dyDescent="0.25">
      <c r="A6055" t="s">
        <v>20013</v>
      </c>
      <c r="B6055" t="s">
        <v>20014</v>
      </c>
      <c r="C6055" t="s">
        <v>589</v>
      </c>
      <c r="D6055" t="s">
        <v>1520</v>
      </c>
      <c r="E6055" t="s">
        <v>19824</v>
      </c>
      <c r="F6055" t="s">
        <v>19553</v>
      </c>
      <c r="G6055" t="s">
        <v>20015</v>
      </c>
      <c r="H6055" t="str">
        <f>HYPERLINK("https://baanknet.com/view-property/252145/97BF99A975BA9526798997F9F649FC186A73FDE83569BDF3B1442228E30EA1D6", "https://baanknet.com/view-property/252145/97BF99A975BA9526798997F9F649FC186A73FDE83569BDF3B1442228E30EA1D6")</f>
        <v>https://baanknet.com/view-property/252145/97BF99A975BA9526798997F9F649FC186A73FDE83569BDF3B1442228E30EA1D6</v>
      </c>
      <c r="I6055" t="str">
        <f>HYPERLINK("https://baanknet.com/view-property/252145/97BF99A975BA9526798997F9F649FC186A73FDE83569BDF3B1442228E30EA1D6", "Open")</f>
        <v>Open</v>
      </c>
      <c r="J6055" t="s">
        <v>3803</v>
      </c>
      <c r="L6055">
        <v>1516000</v>
      </c>
      <c r="M6055">
        <v>151600</v>
      </c>
    </row>
    <row r="6056" spans="1:13" x14ac:dyDescent="0.25">
      <c r="A6056" t="s">
        <v>20016</v>
      </c>
      <c r="B6056" t="s">
        <v>20017</v>
      </c>
      <c r="C6056" t="s">
        <v>589</v>
      </c>
      <c r="D6056" t="s">
        <v>1520</v>
      </c>
      <c r="E6056" t="s">
        <v>19824</v>
      </c>
      <c r="F6056" t="s">
        <v>19553</v>
      </c>
      <c r="G6056" t="s">
        <v>20018</v>
      </c>
      <c r="H6056" t="str">
        <f>HYPERLINK("https://baanknet.com/view-property/282104/72B7E83F92EC715BCE81B86CAB865627CB8CAD9349DC4840B1ECC2876490A38D", "https://baanknet.com/view-property/282104/72B7E83F92EC715BCE81B86CAB865627CB8CAD9349DC4840B1ECC2876490A38D")</f>
        <v>https://baanknet.com/view-property/282104/72B7E83F92EC715BCE81B86CAB865627CB8CAD9349DC4840B1ECC2876490A38D</v>
      </c>
      <c r="I6056" t="str">
        <f>HYPERLINK("https://baanknet.com/view-property/282104/72B7E83F92EC715BCE81B86CAB865627CB8CAD9349DC4840B1ECC2876490A38D", "Open")</f>
        <v>Open</v>
      </c>
      <c r="J6056" t="s">
        <v>3803</v>
      </c>
      <c r="L6056">
        <v>4091000</v>
      </c>
      <c r="M6056">
        <v>409100</v>
      </c>
    </row>
    <row r="6057" spans="1:13" x14ac:dyDescent="0.25">
      <c r="A6057" t="s">
        <v>20019</v>
      </c>
      <c r="B6057" t="s">
        <v>20020</v>
      </c>
      <c r="C6057" t="s">
        <v>589</v>
      </c>
      <c r="D6057" t="s">
        <v>20021</v>
      </c>
      <c r="E6057" t="s">
        <v>19824</v>
      </c>
      <c r="F6057" t="s">
        <v>19553</v>
      </c>
      <c r="G6057" t="s">
        <v>20022</v>
      </c>
      <c r="H6057" t="str">
        <f>HYPERLINK("https://baanknet.com/view-property/220359/915985850B92388DA304B2E917EFF984400A6B383972A6CFF8F57E23390E2F5C", "https://baanknet.com/view-property/220359/915985850B92388DA304B2E917EFF984400A6B383972A6CFF8F57E23390E2F5C")</f>
        <v>https://baanknet.com/view-property/220359/915985850B92388DA304B2E917EFF984400A6B383972A6CFF8F57E23390E2F5C</v>
      </c>
      <c r="I6057" t="str">
        <f>HYPERLINK("https://baanknet.com/view-property/220359/915985850B92388DA304B2E917EFF984400A6B383972A6CFF8F57E23390E2F5C", "Open")</f>
        <v>Open</v>
      </c>
      <c r="J6057" t="s">
        <v>3803</v>
      </c>
      <c r="L6057">
        <v>1224000</v>
      </c>
      <c r="M6057">
        <v>122400</v>
      </c>
    </row>
    <row r="6058" spans="1:13" x14ac:dyDescent="0.25">
      <c r="A6058" t="s">
        <v>20023</v>
      </c>
      <c r="B6058" t="s">
        <v>20024</v>
      </c>
      <c r="C6058" t="s">
        <v>589</v>
      </c>
      <c r="D6058" t="s">
        <v>4095</v>
      </c>
      <c r="E6058" t="s">
        <v>19824</v>
      </c>
      <c r="F6058" t="s">
        <v>19553</v>
      </c>
      <c r="G6058" t="s">
        <v>20025</v>
      </c>
      <c r="H6058" t="str">
        <f>HYPERLINK("https://baanknet.com/view-property/287543/E5D992FCBB1ACD6214D06DEF97EB99392AA246D47E800B279968A3D0896247F8", "https://baanknet.com/view-property/287543/E5D992FCBB1ACD6214D06DEF97EB99392AA246D47E800B279968A3D0896247F8")</f>
        <v>https://baanknet.com/view-property/287543/E5D992FCBB1ACD6214D06DEF97EB99392AA246D47E800B279968A3D0896247F8</v>
      </c>
      <c r="I6058" t="str">
        <f>HYPERLINK("https://baanknet.com/view-property/287543/E5D992FCBB1ACD6214D06DEF97EB99392AA246D47E800B279968A3D0896247F8", "Open")</f>
        <v>Open</v>
      </c>
      <c r="J6058" t="s">
        <v>3803</v>
      </c>
      <c r="L6058">
        <v>2389000</v>
      </c>
      <c r="M6058">
        <v>238900</v>
      </c>
    </row>
    <row r="6059" spans="1:13" x14ac:dyDescent="0.25">
      <c r="A6059" t="s">
        <v>20026</v>
      </c>
      <c r="B6059" t="s">
        <v>20027</v>
      </c>
      <c r="C6059" t="s">
        <v>589</v>
      </c>
      <c r="D6059" t="s">
        <v>4095</v>
      </c>
      <c r="E6059" t="s">
        <v>19824</v>
      </c>
      <c r="F6059" t="s">
        <v>19553</v>
      </c>
      <c r="G6059" t="s">
        <v>20028</v>
      </c>
      <c r="H6059" t="str">
        <f>HYPERLINK("https://baanknet.com/view-property/286850/E07CA42BACAAD7D34CCB717D37AFCE2BEA88CBC7DEB7CB173473F32F72B8554B", "https://baanknet.com/view-property/286850/E07CA42BACAAD7D34CCB717D37AFCE2BEA88CBC7DEB7CB173473F32F72B8554B")</f>
        <v>https://baanknet.com/view-property/286850/E07CA42BACAAD7D34CCB717D37AFCE2BEA88CBC7DEB7CB173473F32F72B8554B</v>
      </c>
      <c r="I6059" t="str">
        <f>HYPERLINK("https://baanknet.com/view-property/286850/E07CA42BACAAD7D34CCB717D37AFCE2BEA88CBC7DEB7CB173473F32F72B8554B", "Open")</f>
        <v>Open</v>
      </c>
      <c r="J6059" t="s">
        <v>3803</v>
      </c>
      <c r="L6059">
        <v>4408000</v>
      </c>
      <c r="M6059">
        <v>440800</v>
      </c>
    </row>
    <row r="6060" spans="1:13" x14ac:dyDescent="0.25">
      <c r="A6060" t="s">
        <v>20029</v>
      </c>
      <c r="B6060" t="s">
        <v>20030</v>
      </c>
      <c r="C6060" t="s">
        <v>589</v>
      </c>
      <c r="D6060" t="s">
        <v>6034</v>
      </c>
      <c r="E6060" t="s">
        <v>19824</v>
      </c>
      <c r="F6060" t="s">
        <v>19553</v>
      </c>
      <c r="G6060" t="s">
        <v>20031</v>
      </c>
      <c r="H6060" t="str">
        <f>HYPERLINK("https://baanknet.com/view-property/133781/25794BC342C99C46096661F0DA13334AB5A92D831A54FEBDCD893F261E904E0F", "https://baanknet.com/view-property/133781/25794BC342C99C46096661F0DA13334AB5A92D831A54FEBDCD893F261E904E0F")</f>
        <v>https://baanknet.com/view-property/133781/25794BC342C99C46096661F0DA13334AB5A92D831A54FEBDCD893F261E904E0F</v>
      </c>
      <c r="I6060" t="str">
        <f>HYPERLINK("https://baanknet.com/view-property/133781/25794BC342C99C46096661F0DA13334AB5A92D831A54FEBDCD893F261E904E0F", "Open")</f>
        <v>Open</v>
      </c>
      <c r="J6060" t="s">
        <v>3803</v>
      </c>
      <c r="L6060">
        <v>1282500</v>
      </c>
      <c r="M6060">
        <v>128250</v>
      </c>
    </row>
    <row r="6061" spans="1:13" x14ac:dyDescent="0.25">
      <c r="A6061" t="s">
        <v>20032</v>
      </c>
      <c r="B6061" t="s">
        <v>20033</v>
      </c>
      <c r="C6061" t="s">
        <v>589</v>
      </c>
      <c r="D6061" t="s">
        <v>6034</v>
      </c>
      <c r="E6061" t="s">
        <v>19824</v>
      </c>
      <c r="F6061" t="s">
        <v>19553</v>
      </c>
      <c r="G6061" t="s">
        <v>20034</v>
      </c>
      <c r="H6061" t="str">
        <f>HYPERLINK("https://baanknet.com/view-property/219760/239972FCB2BAABBE7F1344F6FF4E3698BFA72D120507A4AE6622325850C7C98C", "https://baanknet.com/view-property/219760/239972FCB2BAABBE7F1344F6FF4E3698BFA72D120507A4AE6622325850C7C98C")</f>
        <v>https://baanknet.com/view-property/219760/239972FCB2BAABBE7F1344F6FF4E3698BFA72D120507A4AE6622325850C7C98C</v>
      </c>
      <c r="I6061" t="str">
        <f>HYPERLINK("https://baanknet.com/view-property/219760/239972FCB2BAABBE7F1344F6FF4E3698BFA72D120507A4AE6622325850C7C98C", "Open")</f>
        <v>Open</v>
      </c>
      <c r="J6061" t="s">
        <v>3803</v>
      </c>
      <c r="L6061">
        <v>1282500</v>
      </c>
      <c r="M6061">
        <v>128250</v>
      </c>
    </row>
    <row r="6062" spans="1:13" x14ac:dyDescent="0.25">
      <c r="A6062" t="s">
        <v>20035</v>
      </c>
      <c r="B6062" t="s">
        <v>20036</v>
      </c>
      <c r="C6062" t="s">
        <v>589</v>
      </c>
      <c r="D6062" t="s">
        <v>20037</v>
      </c>
      <c r="E6062" t="s">
        <v>19824</v>
      </c>
      <c r="F6062" t="s">
        <v>19553</v>
      </c>
      <c r="G6062" t="s">
        <v>20038</v>
      </c>
      <c r="H6062" t="str">
        <f>HYPERLINK("https://baanknet.com/view-property/215456/E6BF61B7DFDC2CE48F0C0DBA1EA1184B44893432842154A51C9090BF037CDF91", "https://baanknet.com/view-property/215456/E6BF61B7DFDC2CE48F0C0DBA1EA1184B44893432842154A51C9090BF037CDF91")</f>
        <v>https://baanknet.com/view-property/215456/E6BF61B7DFDC2CE48F0C0DBA1EA1184B44893432842154A51C9090BF037CDF91</v>
      </c>
      <c r="I6062" t="str">
        <f>HYPERLINK("https://baanknet.com/view-property/215456/E6BF61B7DFDC2CE48F0C0DBA1EA1184B44893432842154A51C9090BF037CDF91", "Open")</f>
        <v>Open</v>
      </c>
      <c r="J6062" t="s">
        <v>3803</v>
      </c>
      <c r="L6062">
        <v>1304000</v>
      </c>
      <c r="M6062">
        <v>130400</v>
      </c>
    </row>
    <row r="6063" spans="1:13" x14ac:dyDescent="0.25">
      <c r="A6063" t="s">
        <v>20039</v>
      </c>
      <c r="B6063" t="s">
        <v>20040</v>
      </c>
      <c r="C6063" t="s">
        <v>589</v>
      </c>
      <c r="D6063" t="s">
        <v>1190</v>
      </c>
      <c r="E6063" t="s">
        <v>19824</v>
      </c>
      <c r="F6063" t="s">
        <v>19553</v>
      </c>
      <c r="G6063" t="s">
        <v>20041</v>
      </c>
      <c r="H6063" t="str">
        <f>HYPERLINK("https://baanknet.com/view-property/267007/07DDB2300C2266289A559FFA7C8017EBE32ECA2372D69F91E09C6A27741DFC91", "https://baanknet.com/view-property/267007/07DDB2300C2266289A559FFA7C8017EBE32ECA2372D69F91E09C6A27741DFC91")</f>
        <v>https://baanknet.com/view-property/267007/07DDB2300C2266289A559FFA7C8017EBE32ECA2372D69F91E09C6A27741DFC91</v>
      </c>
      <c r="I6063" t="str">
        <f>HYPERLINK("https://baanknet.com/view-property/267007/07DDB2300C2266289A559FFA7C8017EBE32ECA2372D69F91E09C6A27741DFC91", "Open")</f>
        <v>Open</v>
      </c>
      <c r="J6063" t="s">
        <v>3803</v>
      </c>
      <c r="L6063">
        <v>2109000</v>
      </c>
      <c r="M6063">
        <v>210900</v>
      </c>
    </row>
    <row r="6064" spans="1:13" x14ac:dyDescent="0.25">
      <c r="A6064" t="s">
        <v>20042</v>
      </c>
      <c r="B6064" t="s">
        <v>20043</v>
      </c>
      <c r="C6064" t="s">
        <v>589</v>
      </c>
      <c r="D6064" t="s">
        <v>1003</v>
      </c>
      <c r="E6064" t="s">
        <v>19824</v>
      </c>
      <c r="F6064" t="s">
        <v>19553</v>
      </c>
      <c r="G6064" t="s">
        <v>20044</v>
      </c>
      <c r="H6064" t="str">
        <f>HYPERLINK("https://baanknet.com/view-property/256178/98381685E6AE10253576B7B0C4B5CF423954324F65DDBBFA68C0896B86219CB1", "https://baanknet.com/view-property/256178/98381685E6AE10253576B7B0C4B5CF423954324F65DDBBFA68C0896B86219CB1")</f>
        <v>https://baanknet.com/view-property/256178/98381685E6AE10253576B7B0C4B5CF423954324F65DDBBFA68C0896B86219CB1</v>
      </c>
      <c r="I6064" t="str">
        <f>HYPERLINK("https://baanknet.com/view-property/256178/98381685E6AE10253576B7B0C4B5CF423954324F65DDBBFA68C0896B86219CB1", "Open")</f>
        <v>Open</v>
      </c>
      <c r="J6064" t="s">
        <v>3803</v>
      </c>
      <c r="L6064">
        <v>3879000</v>
      </c>
      <c r="M6064">
        <v>387900</v>
      </c>
    </row>
    <row r="6065" spans="1:13" x14ac:dyDescent="0.25">
      <c r="A6065" t="s">
        <v>20045</v>
      </c>
      <c r="B6065" t="s">
        <v>20046</v>
      </c>
      <c r="C6065" t="s">
        <v>589</v>
      </c>
      <c r="D6065" t="s">
        <v>1003</v>
      </c>
      <c r="E6065" t="s">
        <v>19824</v>
      </c>
      <c r="F6065" t="s">
        <v>19553</v>
      </c>
      <c r="G6065" t="s">
        <v>20047</v>
      </c>
      <c r="H6065" t="str">
        <f>HYPERLINK("https://baanknet.com/view-property/256177/E093CBF660073E4B94FF16B37137F1770967C995357C6F962BA21AB3EC4A1E2A", "https://baanknet.com/view-property/256177/E093CBF660073E4B94FF16B37137F1770967C995357C6F962BA21AB3EC4A1E2A")</f>
        <v>https://baanknet.com/view-property/256177/E093CBF660073E4B94FF16B37137F1770967C995357C6F962BA21AB3EC4A1E2A</v>
      </c>
      <c r="I6065" t="str">
        <f>HYPERLINK("https://baanknet.com/view-property/256177/E093CBF660073E4B94FF16B37137F1770967C995357C6F962BA21AB3EC4A1E2A", "Open")</f>
        <v>Open</v>
      </c>
      <c r="J6065" t="s">
        <v>3803</v>
      </c>
      <c r="L6065">
        <v>3879000</v>
      </c>
      <c r="M6065">
        <v>387900</v>
      </c>
    </row>
    <row r="6066" spans="1:13" x14ac:dyDescent="0.25">
      <c r="A6066" t="s">
        <v>20048</v>
      </c>
      <c r="B6066" t="s">
        <v>20049</v>
      </c>
      <c r="C6066" t="s">
        <v>589</v>
      </c>
      <c r="D6066" t="s">
        <v>6034</v>
      </c>
      <c r="E6066" t="s">
        <v>19824</v>
      </c>
      <c r="F6066" t="s">
        <v>19553</v>
      </c>
      <c r="G6066" t="s">
        <v>20050</v>
      </c>
      <c r="H6066" t="str">
        <f>HYPERLINK("https://baanknet.com/view-property/285039/6F5C39099EC1B35A6C04AD2031E3CD0A741A6458D55DC09F1FA8FCBDB07C9F63", "https://baanknet.com/view-property/285039/6F5C39099EC1B35A6C04AD2031E3CD0A741A6458D55DC09F1FA8FCBDB07C9F63")</f>
        <v>https://baanknet.com/view-property/285039/6F5C39099EC1B35A6C04AD2031E3CD0A741A6458D55DC09F1FA8FCBDB07C9F63</v>
      </c>
      <c r="I6066" t="str">
        <f>HYPERLINK("https://baanknet.com/view-property/285039/6F5C39099EC1B35A6C04AD2031E3CD0A741A6458D55DC09F1FA8FCBDB07C9F63", "Open")</f>
        <v>Open</v>
      </c>
      <c r="J6066" t="s">
        <v>3803</v>
      </c>
      <c r="L6066">
        <v>2850000</v>
      </c>
      <c r="M6066">
        <v>285000</v>
      </c>
    </row>
    <row r="6067" spans="1:13" x14ac:dyDescent="0.25">
      <c r="A6067" t="s">
        <v>20051</v>
      </c>
      <c r="B6067" t="s">
        <v>20052</v>
      </c>
      <c r="C6067" t="s">
        <v>589</v>
      </c>
      <c r="D6067" t="s">
        <v>5873</v>
      </c>
      <c r="E6067" t="s">
        <v>19824</v>
      </c>
      <c r="F6067" t="s">
        <v>19553</v>
      </c>
      <c r="G6067" t="s">
        <v>20053</v>
      </c>
      <c r="H6067" t="str">
        <f>HYPERLINK("https://baanknet.com/view-property/285247/8D8B827476645E21682AADA74A9138D7F5D40A9061B0724FD30BAE8471CA7FEB", "https://baanknet.com/view-property/285247/8D8B827476645E21682AADA74A9138D7F5D40A9061B0724FD30BAE8471CA7FEB")</f>
        <v>https://baanknet.com/view-property/285247/8D8B827476645E21682AADA74A9138D7F5D40A9061B0724FD30BAE8471CA7FEB</v>
      </c>
      <c r="I6067" t="str">
        <f>HYPERLINK("https://baanknet.com/view-property/285247/8D8B827476645E21682AADA74A9138D7F5D40A9061B0724FD30BAE8471CA7FEB", "Open")</f>
        <v>Open</v>
      </c>
      <c r="J6067" t="s">
        <v>3803</v>
      </c>
      <c r="L6067">
        <v>1210000</v>
      </c>
      <c r="M6067">
        <v>121000</v>
      </c>
    </row>
    <row r="6068" spans="1:13" x14ac:dyDescent="0.25">
      <c r="A6068" t="s">
        <v>20054</v>
      </c>
      <c r="B6068" t="s">
        <v>20055</v>
      </c>
      <c r="C6068" t="s">
        <v>589</v>
      </c>
      <c r="D6068" t="s">
        <v>19616</v>
      </c>
      <c r="E6068" t="s">
        <v>19824</v>
      </c>
      <c r="F6068" t="s">
        <v>19553</v>
      </c>
      <c r="G6068" t="s">
        <v>20056</v>
      </c>
      <c r="H6068" t="str">
        <f>HYPERLINK("https://baanknet.com/view-property/286508/0A2D48D224B96033597FF7A1CEF0A3D886EBF1DC84E071ED55FD265CCD7D0AFC", "https://baanknet.com/view-property/286508/0A2D48D224B96033597FF7A1CEF0A3D886EBF1DC84E071ED55FD265CCD7D0AFC")</f>
        <v>https://baanknet.com/view-property/286508/0A2D48D224B96033597FF7A1CEF0A3D886EBF1DC84E071ED55FD265CCD7D0AFC</v>
      </c>
      <c r="I6068" t="str">
        <f>HYPERLINK("https://baanknet.com/view-property/286508/0A2D48D224B96033597FF7A1CEF0A3D886EBF1DC84E071ED55FD265CCD7D0AFC", "Open")</f>
        <v>Open</v>
      </c>
      <c r="J6068" t="s">
        <v>3803</v>
      </c>
      <c r="L6068">
        <v>1075000</v>
      </c>
      <c r="M6068">
        <v>107500</v>
      </c>
    </row>
    <row r="6069" spans="1:13" x14ac:dyDescent="0.25">
      <c r="A6069" t="s">
        <v>20057</v>
      </c>
      <c r="B6069" t="s">
        <v>20058</v>
      </c>
      <c r="C6069" t="s">
        <v>589</v>
      </c>
      <c r="D6069" t="s">
        <v>20059</v>
      </c>
      <c r="E6069" t="s">
        <v>19824</v>
      </c>
      <c r="F6069" t="s">
        <v>19553</v>
      </c>
      <c r="G6069" t="s">
        <v>20060</v>
      </c>
      <c r="H6069" t="str">
        <f>HYPERLINK("https://baanknet.com/view-property/212174/E8F5233EDF28D325905FBAE35DEB12E2762A8CAAA40DC7AF955A4505CBD52BC4", "https://baanknet.com/view-property/212174/E8F5233EDF28D325905FBAE35DEB12E2762A8CAAA40DC7AF955A4505CBD52BC4")</f>
        <v>https://baanknet.com/view-property/212174/E8F5233EDF28D325905FBAE35DEB12E2762A8CAAA40DC7AF955A4505CBD52BC4</v>
      </c>
      <c r="I6069" t="str">
        <f>HYPERLINK("https://baanknet.com/view-property/212174/E8F5233EDF28D325905FBAE35DEB12E2762A8CAAA40DC7AF955A4505CBD52BC4", "Open")</f>
        <v>Open</v>
      </c>
      <c r="J6069" t="s">
        <v>3803</v>
      </c>
      <c r="L6069">
        <v>850000</v>
      </c>
      <c r="M6069">
        <v>85000</v>
      </c>
    </row>
    <row r="6070" spans="1:13" x14ac:dyDescent="0.25">
      <c r="A6070" t="s">
        <v>20061</v>
      </c>
      <c r="B6070" t="s">
        <v>20062</v>
      </c>
      <c r="C6070" t="s">
        <v>589</v>
      </c>
      <c r="D6070" t="s">
        <v>20059</v>
      </c>
      <c r="E6070" t="s">
        <v>19824</v>
      </c>
      <c r="F6070" t="s">
        <v>19553</v>
      </c>
      <c r="G6070" t="s">
        <v>20063</v>
      </c>
      <c r="H6070" t="str">
        <f>HYPERLINK("https://baanknet.com/view-property/212164/4472E3D10E3A60EF4922A56CDF8BA1BC60C091C45BEFF53896D958E371B663C5", "https://baanknet.com/view-property/212164/4472E3D10E3A60EF4922A56CDF8BA1BC60C091C45BEFF53896D958E371B663C5")</f>
        <v>https://baanknet.com/view-property/212164/4472E3D10E3A60EF4922A56CDF8BA1BC60C091C45BEFF53896D958E371B663C5</v>
      </c>
      <c r="I6070" t="str">
        <f>HYPERLINK("https://baanknet.com/view-property/212164/4472E3D10E3A60EF4922A56CDF8BA1BC60C091C45BEFF53896D958E371B663C5", "Open")</f>
        <v>Open</v>
      </c>
      <c r="J6070" t="s">
        <v>3803</v>
      </c>
      <c r="L6070">
        <v>1180000</v>
      </c>
      <c r="M6070">
        <v>118000</v>
      </c>
    </row>
    <row r="6071" spans="1:13" x14ac:dyDescent="0.25">
      <c r="A6071" t="s">
        <v>20064</v>
      </c>
      <c r="B6071" t="s">
        <v>20065</v>
      </c>
      <c r="C6071" t="s">
        <v>589</v>
      </c>
      <c r="D6071" t="s">
        <v>6034</v>
      </c>
      <c r="E6071" t="s">
        <v>19824</v>
      </c>
      <c r="F6071" t="s">
        <v>19553</v>
      </c>
      <c r="G6071" t="s">
        <v>20066</v>
      </c>
      <c r="H6071" t="str">
        <f>HYPERLINK("https://baanknet.com/view-property/86073/3AF10C2614F4C9560A3414DBDCDD9A119FCE20B0CD87B589BF17D56795831400", "https://baanknet.com/view-property/86073/3AF10C2614F4C9560A3414DBDCDD9A119FCE20B0CD87B589BF17D56795831400")</f>
        <v>https://baanknet.com/view-property/86073/3AF10C2614F4C9560A3414DBDCDD9A119FCE20B0CD87B589BF17D56795831400</v>
      </c>
      <c r="I6071" t="str">
        <f>HYPERLINK("https://baanknet.com/view-property/86073/3AF10C2614F4C9560A3414DBDCDD9A119FCE20B0CD87B589BF17D56795831400", "Open")</f>
        <v>Open</v>
      </c>
      <c r="J6071" t="s">
        <v>3803</v>
      </c>
      <c r="L6071">
        <v>1230000</v>
      </c>
      <c r="M6071">
        <v>123000</v>
      </c>
    </row>
    <row r="6072" spans="1:13" x14ac:dyDescent="0.25">
      <c r="A6072" t="s">
        <v>20067</v>
      </c>
      <c r="B6072" t="s">
        <v>20068</v>
      </c>
      <c r="C6072" t="s">
        <v>589</v>
      </c>
      <c r="D6072" t="s">
        <v>6034</v>
      </c>
      <c r="E6072" t="s">
        <v>19824</v>
      </c>
      <c r="F6072" t="s">
        <v>19553</v>
      </c>
      <c r="G6072" t="s">
        <v>20069</v>
      </c>
      <c r="H6072" t="str">
        <f>HYPERLINK("https://baanknet.com/view-property/116580/34FB2FAE52933B942CFEF93AFD9CA66CE60CC4CD0510BC1807932F74D2144C53", "https://baanknet.com/view-property/116580/34FB2FAE52933B942CFEF93AFD9CA66CE60CC4CD0510BC1807932F74D2144C53")</f>
        <v>https://baanknet.com/view-property/116580/34FB2FAE52933B942CFEF93AFD9CA66CE60CC4CD0510BC1807932F74D2144C53</v>
      </c>
      <c r="I6072" t="str">
        <f>HYPERLINK("https://baanknet.com/view-property/116580/34FB2FAE52933B942CFEF93AFD9CA66CE60CC4CD0510BC1807932F74D2144C53", "Open")</f>
        <v>Open</v>
      </c>
      <c r="J6072" t="s">
        <v>3803</v>
      </c>
      <c r="L6072">
        <v>1540000</v>
      </c>
      <c r="M6072">
        <v>154000</v>
      </c>
    </row>
    <row r="6073" spans="1:13" x14ac:dyDescent="0.25">
      <c r="A6073" t="s">
        <v>20070</v>
      </c>
      <c r="B6073" t="s">
        <v>20071</v>
      </c>
      <c r="C6073" t="s">
        <v>589</v>
      </c>
      <c r="D6073" t="s">
        <v>6034</v>
      </c>
      <c r="E6073" t="s">
        <v>19824</v>
      </c>
      <c r="F6073" t="s">
        <v>19553</v>
      </c>
      <c r="G6073" t="s">
        <v>20072</v>
      </c>
      <c r="H6073" t="str">
        <f>HYPERLINK("https://baanknet.com/view-property/224894/BE93BB1FB19694F44C1B7E3C37D6822727CA7297096ACD3BDDAD7D065A80FCA1", "https://baanknet.com/view-property/224894/BE93BB1FB19694F44C1B7E3C37D6822727CA7297096ACD3BDDAD7D065A80FCA1")</f>
        <v>https://baanknet.com/view-property/224894/BE93BB1FB19694F44C1B7E3C37D6822727CA7297096ACD3BDDAD7D065A80FCA1</v>
      </c>
      <c r="I6073" t="str">
        <f>HYPERLINK("https://baanknet.com/view-property/224894/BE93BB1FB19694F44C1B7E3C37D6822727CA7297096ACD3BDDAD7D065A80FCA1", "Open")</f>
        <v>Open</v>
      </c>
      <c r="J6073" t="s">
        <v>3803</v>
      </c>
      <c r="L6073">
        <v>1650000</v>
      </c>
      <c r="M6073">
        <v>165000</v>
      </c>
    </row>
    <row r="6074" spans="1:13" x14ac:dyDescent="0.25">
      <c r="A6074" t="s">
        <v>20073</v>
      </c>
      <c r="B6074" t="s">
        <v>20074</v>
      </c>
      <c r="C6074" t="s">
        <v>589</v>
      </c>
      <c r="D6074" t="s">
        <v>6034</v>
      </c>
      <c r="E6074" t="s">
        <v>19824</v>
      </c>
      <c r="F6074" t="s">
        <v>19553</v>
      </c>
      <c r="G6074" t="s">
        <v>20075</v>
      </c>
      <c r="H6074" t="str">
        <f>HYPERLINK("https://baanknet.com/view-property/75794/721941011C387F9260DEF2C3AE0BE0C79161E006D980D8BD061A74392AB0278B", "https://baanknet.com/view-property/75794/721941011C387F9260DEF2C3AE0BE0C79161E006D980D8BD061A74392AB0278B")</f>
        <v>https://baanknet.com/view-property/75794/721941011C387F9260DEF2C3AE0BE0C79161E006D980D8BD061A74392AB0278B</v>
      </c>
      <c r="I6074" t="str">
        <f>HYPERLINK("https://baanknet.com/view-property/75794/721941011C387F9260DEF2C3AE0BE0C79161E006D980D8BD061A74392AB0278B", "Open")</f>
        <v>Open</v>
      </c>
      <c r="J6074" t="s">
        <v>3803</v>
      </c>
      <c r="L6074">
        <v>2000000</v>
      </c>
      <c r="M6074">
        <v>200000</v>
      </c>
    </row>
    <row r="6075" spans="1:13" x14ac:dyDescent="0.25">
      <c r="A6075" t="s">
        <v>20076</v>
      </c>
      <c r="B6075" t="s">
        <v>20077</v>
      </c>
      <c r="C6075" t="s">
        <v>589</v>
      </c>
      <c r="D6075" t="s">
        <v>6034</v>
      </c>
      <c r="E6075" t="s">
        <v>19824</v>
      </c>
      <c r="F6075" t="s">
        <v>19553</v>
      </c>
      <c r="G6075" t="s">
        <v>20078</v>
      </c>
      <c r="H6075" t="str">
        <f>HYPERLINK("https://baanknet.com/view-property/206338/BDA6C25AC229790FD727C52F652BB47EED7325EF53CB62F3859B5E60B9DF0490", "https://baanknet.com/view-property/206338/BDA6C25AC229790FD727C52F652BB47EED7325EF53CB62F3859B5E60B9DF0490")</f>
        <v>https://baanknet.com/view-property/206338/BDA6C25AC229790FD727C52F652BB47EED7325EF53CB62F3859B5E60B9DF0490</v>
      </c>
      <c r="I6075" t="str">
        <f>HYPERLINK("https://baanknet.com/view-property/206338/BDA6C25AC229790FD727C52F652BB47EED7325EF53CB62F3859B5E60B9DF0490", "Open")</f>
        <v>Open</v>
      </c>
      <c r="J6075" t="s">
        <v>3803</v>
      </c>
      <c r="L6075">
        <v>2100000</v>
      </c>
      <c r="M6075">
        <v>210000</v>
      </c>
    </row>
    <row r="6076" spans="1:13" x14ac:dyDescent="0.25">
      <c r="A6076" t="s">
        <v>20079</v>
      </c>
      <c r="B6076" t="s">
        <v>20080</v>
      </c>
      <c r="C6076" t="s">
        <v>589</v>
      </c>
      <c r="D6076" t="s">
        <v>6058</v>
      </c>
      <c r="E6076" t="s">
        <v>19824</v>
      </c>
      <c r="F6076" t="s">
        <v>19553</v>
      </c>
      <c r="G6076" t="s">
        <v>20081</v>
      </c>
      <c r="H6076" t="str">
        <f>HYPERLINK("https://baanknet.com/view-property/219875/FBA97F04CFC92F7010B0E3B22D9298D6184FC241EA6D817EF60DE140F9CBBE18", "https://baanknet.com/view-property/219875/FBA97F04CFC92F7010B0E3B22D9298D6184FC241EA6D817EF60DE140F9CBBE18")</f>
        <v>https://baanknet.com/view-property/219875/FBA97F04CFC92F7010B0E3B22D9298D6184FC241EA6D817EF60DE140F9CBBE18</v>
      </c>
      <c r="I6076" t="str">
        <f>HYPERLINK("https://baanknet.com/view-property/219875/FBA97F04CFC92F7010B0E3B22D9298D6184FC241EA6D817EF60DE140F9CBBE18", "Open")</f>
        <v>Open</v>
      </c>
      <c r="J6076" t="s">
        <v>3803</v>
      </c>
      <c r="L6076">
        <v>1525000</v>
      </c>
      <c r="M6076">
        <v>152500</v>
      </c>
    </row>
    <row r="6077" spans="1:13" x14ac:dyDescent="0.25">
      <c r="A6077" t="s">
        <v>20082</v>
      </c>
      <c r="B6077" t="s">
        <v>20083</v>
      </c>
      <c r="C6077" t="s">
        <v>589</v>
      </c>
      <c r="D6077" t="s">
        <v>20084</v>
      </c>
      <c r="E6077" t="s">
        <v>19824</v>
      </c>
      <c r="F6077" t="s">
        <v>19553</v>
      </c>
      <c r="G6077" t="s">
        <v>20085</v>
      </c>
      <c r="H6077" t="str">
        <f>HYPERLINK("https://baanknet.com/view-property/15330/D0B0DE03EB3403BBC48DF06E8C6454BDE22391BFD1BFB66562B61E1A82F00030", "https://baanknet.com/view-property/15330/D0B0DE03EB3403BBC48DF06E8C6454BDE22391BFD1BFB66562B61E1A82F00030")</f>
        <v>https://baanknet.com/view-property/15330/D0B0DE03EB3403BBC48DF06E8C6454BDE22391BFD1BFB66562B61E1A82F00030</v>
      </c>
      <c r="I6077" t="str">
        <f>HYPERLINK("https://baanknet.com/view-property/15330/D0B0DE03EB3403BBC48DF06E8C6454BDE22391BFD1BFB66562B61E1A82F00030", "Open")</f>
        <v>Open</v>
      </c>
      <c r="J6077" t="s">
        <v>3803</v>
      </c>
      <c r="L6077">
        <v>2485000</v>
      </c>
      <c r="M6077">
        <v>248500</v>
      </c>
    </row>
    <row r="6078" spans="1:13" x14ac:dyDescent="0.25">
      <c r="A6078" t="s">
        <v>20086</v>
      </c>
      <c r="B6078" t="s">
        <v>20087</v>
      </c>
      <c r="C6078" t="s">
        <v>589</v>
      </c>
      <c r="D6078" t="s">
        <v>6034</v>
      </c>
      <c r="E6078" t="s">
        <v>19824</v>
      </c>
      <c r="F6078" t="s">
        <v>19553</v>
      </c>
      <c r="G6078" t="s">
        <v>20088</v>
      </c>
      <c r="H6078" t="str">
        <f>HYPERLINK("https://baanknet.com/view-property/219764/B1F3ADF4DF41B6F332E0FD64324369D12C3701335CAC61FAAE944EF45A817158", "https://baanknet.com/view-property/219764/B1F3ADF4DF41B6F332E0FD64324369D12C3701335CAC61FAAE944EF45A817158")</f>
        <v>https://baanknet.com/view-property/219764/B1F3ADF4DF41B6F332E0FD64324369D12C3701335CAC61FAAE944EF45A817158</v>
      </c>
      <c r="I6078" t="str">
        <f>HYPERLINK("https://baanknet.com/view-property/219764/B1F3ADF4DF41B6F332E0FD64324369D12C3701335CAC61FAAE944EF45A817158", "Open")</f>
        <v>Open</v>
      </c>
      <c r="J6078" t="s">
        <v>3803</v>
      </c>
      <c r="L6078">
        <v>1347500</v>
      </c>
      <c r="M6078">
        <v>134750</v>
      </c>
    </row>
    <row r="6079" spans="1:13" x14ac:dyDescent="0.25">
      <c r="A6079" t="s">
        <v>20089</v>
      </c>
      <c r="B6079" t="s">
        <v>20090</v>
      </c>
      <c r="C6079" t="s">
        <v>589</v>
      </c>
      <c r="D6079" t="s">
        <v>5873</v>
      </c>
      <c r="E6079" t="s">
        <v>19824</v>
      </c>
      <c r="F6079" t="s">
        <v>19553</v>
      </c>
      <c r="G6079" t="s">
        <v>20091</v>
      </c>
      <c r="H6079" t="str">
        <f>HYPERLINK("https://baanknet.com/view-property/15914/34207B2F5A3F4DFF6A36E37A5393E70422E720B2B7FF452D1E1A230692C1D505", "https://baanknet.com/view-property/15914/34207B2F5A3F4DFF6A36E37A5393E70422E720B2B7FF452D1E1A230692C1D505")</f>
        <v>https://baanknet.com/view-property/15914/34207B2F5A3F4DFF6A36E37A5393E70422E720B2B7FF452D1E1A230692C1D505</v>
      </c>
      <c r="I6079" t="str">
        <f>HYPERLINK("https://baanknet.com/view-property/15914/34207B2F5A3F4DFF6A36E37A5393E70422E720B2B7FF452D1E1A230692C1D505", "Open")</f>
        <v>Open</v>
      </c>
      <c r="J6079" t="s">
        <v>3803</v>
      </c>
      <c r="L6079">
        <v>385000</v>
      </c>
      <c r="M6079">
        <v>38500</v>
      </c>
    </row>
    <row r="6080" spans="1:13" x14ac:dyDescent="0.25">
      <c r="A6080" t="s">
        <v>20092</v>
      </c>
      <c r="B6080" t="s">
        <v>20093</v>
      </c>
      <c r="C6080" t="s">
        <v>589</v>
      </c>
      <c r="D6080" t="s">
        <v>6026</v>
      </c>
      <c r="E6080" t="s">
        <v>19824</v>
      </c>
      <c r="F6080" t="s">
        <v>19553</v>
      </c>
      <c r="G6080" t="s">
        <v>20094</v>
      </c>
      <c r="H6080" t="str">
        <f>HYPERLINK("https://baanknet.com/view-property/205528/F83D4ECFAE3F51935642891E09B6BEDE4642719652230D76CCBA98B5891082CF", "https://baanknet.com/view-property/205528/F83D4ECFAE3F51935642891E09B6BEDE4642719652230D76CCBA98B5891082CF")</f>
        <v>https://baanknet.com/view-property/205528/F83D4ECFAE3F51935642891E09B6BEDE4642719652230D76CCBA98B5891082CF</v>
      </c>
      <c r="I6080" t="str">
        <f>HYPERLINK("https://baanknet.com/view-property/205528/F83D4ECFAE3F51935642891E09B6BEDE4642719652230D76CCBA98B5891082CF", "Open")</f>
        <v>Open</v>
      </c>
      <c r="J6080" t="s">
        <v>3803</v>
      </c>
      <c r="L6080">
        <v>585000</v>
      </c>
      <c r="M6080">
        <v>58500</v>
      </c>
    </row>
    <row r="6081" spans="1:13" x14ac:dyDescent="0.25">
      <c r="A6081" t="s">
        <v>20095</v>
      </c>
      <c r="B6081" t="s">
        <v>20096</v>
      </c>
      <c r="C6081" t="s">
        <v>589</v>
      </c>
      <c r="D6081" t="s">
        <v>20084</v>
      </c>
      <c r="E6081" t="s">
        <v>19824</v>
      </c>
      <c r="F6081" t="s">
        <v>19553</v>
      </c>
      <c r="G6081" t="s">
        <v>20097</v>
      </c>
      <c r="H6081" t="str">
        <f>HYPERLINK("https://baanknet.com/view-property/53636/F373393A81E53D9B32DBB5B12E41622A2A3FC501AD81846BEEF813BA437C4C97", "https://baanknet.com/view-property/53636/F373393A81E53D9B32DBB5B12E41622A2A3FC501AD81846BEEF813BA437C4C97")</f>
        <v>https://baanknet.com/view-property/53636/F373393A81E53D9B32DBB5B12E41622A2A3FC501AD81846BEEF813BA437C4C97</v>
      </c>
      <c r="I6081" t="str">
        <f>HYPERLINK("https://baanknet.com/view-property/53636/F373393A81E53D9B32DBB5B12E41622A2A3FC501AD81846BEEF813BA437C4C97", "Open")</f>
        <v>Open</v>
      </c>
      <c r="J6081" t="s">
        <v>3803</v>
      </c>
      <c r="L6081">
        <v>2512000</v>
      </c>
      <c r="M6081">
        <v>251200</v>
      </c>
    </row>
    <row r="6082" spans="1:13" x14ac:dyDescent="0.25">
      <c r="A6082" t="s">
        <v>20098</v>
      </c>
      <c r="B6082" t="s">
        <v>20099</v>
      </c>
      <c r="C6082" t="s">
        <v>589</v>
      </c>
      <c r="D6082" t="s">
        <v>6034</v>
      </c>
      <c r="E6082" t="s">
        <v>19824</v>
      </c>
      <c r="F6082" t="s">
        <v>19553</v>
      </c>
      <c r="G6082" t="s">
        <v>20100</v>
      </c>
      <c r="H6082" t="str">
        <f>HYPERLINK("https://baanknet.com/view-property/285588/588CFE9C4E6C158CD289457A74ED2320BB22F33A3F26A5D505E392ECB9054231", "https://baanknet.com/view-property/285588/588CFE9C4E6C158CD289457A74ED2320BB22F33A3F26A5D505E392ECB9054231")</f>
        <v>https://baanknet.com/view-property/285588/588CFE9C4E6C158CD289457A74ED2320BB22F33A3F26A5D505E392ECB9054231</v>
      </c>
      <c r="I6082" t="str">
        <f>HYPERLINK("https://baanknet.com/view-property/285588/588CFE9C4E6C158CD289457A74ED2320BB22F33A3F26A5D505E392ECB9054231", "Open")</f>
        <v>Open</v>
      </c>
      <c r="J6082" t="s">
        <v>3803</v>
      </c>
      <c r="L6082">
        <v>1345000</v>
      </c>
      <c r="M6082">
        <v>134500</v>
      </c>
    </row>
    <row r="6083" spans="1:13" x14ac:dyDescent="0.25">
      <c r="A6083" t="s">
        <v>20101</v>
      </c>
      <c r="B6083" t="s">
        <v>20102</v>
      </c>
      <c r="C6083" t="s">
        <v>589</v>
      </c>
      <c r="D6083" t="s">
        <v>6034</v>
      </c>
      <c r="E6083" t="s">
        <v>19824</v>
      </c>
      <c r="F6083" t="s">
        <v>19553</v>
      </c>
      <c r="G6083" t="s">
        <v>20103</v>
      </c>
      <c r="H6083" t="str">
        <f>HYPERLINK("https://baanknet.com/view-property/285585/A894242B248E27119163F9833C7AE0E0644501F4893B26E51E704E03D5A406B0", "https://baanknet.com/view-property/285585/A894242B248E27119163F9833C7AE0E0644501F4893B26E51E704E03D5A406B0")</f>
        <v>https://baanknet.com/view-property/285585/A894242B248E27119163F9833C7AE0E0644501F4893B26E51E704E03D5A406B0</v>
      </c>
      <c r="I6083" t="str">
        <f>HYPERLINK("https://baanknet.com/view-property/285585/A894242B248E27119163F9833C7AE0E0644501F4893B26E51E704E03D5A406B0", "Open")</f>
        <v>Open</v>
      </c>
      <c r="J6083" t="s">
        <v>3803</v>
      </c>
      <c r="L6083">
        <v>6250000</v>
      </c>
      <c r="M6083">
        <v>625000</v>
      </c>
    </row>
    <row r="6084" spans="1:13" x14ac:dyDescent="0.25">
      <c r="A6084" t="s">
        <v>20104</v>
      </c>
      <c r="B6084" t="s">
        <v>20105</v>
      </c>
      <c r="C6084" t="s">
        <v>589</v>
      </c>
      <c r="D6084" t="s">
        <v>1190</v>
      </c>
      <c r="E6084" t="s">
        <v>19824</v>
      </c>
      <c r="F6084" t="s">
        <v>19553</v>
      </c>
      <c r="G6084" t="s">
        <v>20106</v>
      </c>
      <c r="H6084" t="str">
        <f>HYPERLINK("https://baanknet.com/view-property/267006/6800A8348A99C3382DF33D56136C419BF0F74525E8CD80A5B899112A8F37E508", "https://baanknet.com/view-property/267006/6800A8348A99C3382DF33D56136C419BF0F74525E8CD80A5B899112A8F37E508")</f>
        <v>https://baanknet.com/view-property/267006/6800A8348A99C3382DF33D56136C419BF0F74525E8CD80A5B899112A8F37E508</v>
      </c>
      <c r="I6084" t="str">
        <f>HYPERLINK("https://baanknet.com/view-property/267006/6800A8348A99C3382DF33D56136C419BF0F74525E8CD80A5B899112A8F37E508", "Open")</f>
        <v>Open</v>
      </c>
      <c r="J6084" t="s">
        <v>3803</v>
      </c>
      <c r="L6084">
        <v>3916000</v>
      </c>
      <c r="M6084">
        <v>391600</v>
      </c>
    </row>
    <row r="6085" spans="1:13" x14ac:dyDescent="0.25">
      <c r="A6085" t="s">
        <v>20107</v>
      </c>
      <c r="B6085" t="s">
        <v>20108</v>
      </c>
      <c r="C6085" t="s">
        <v>589</v>
      </c>
      <c r="D6085" t="s">
        <v>3351</v>
      </c>
      <c r="E6085" t="s">
        <v>19824</v>
      </c>
      <c r="F6085" t="s">
        <v>19553</v>
      </c>
      <c r="G6085" t="s">
        <v>20109</v>
      </c>
      <c r="H6085" t="str">
        <f>HYPERLINK("https://baanknet.com/view-property/73111/0456C2E67A35587F46AC8971FEE9792D856B034C7D17A93B2AC25110C8611B86", "https://baanknet.com/view-property/73111/0456C2E67A35587F46AC8971FEE9792D856B034C7D17A93B2AC25110C8611B86")</f>
        <v>https://baanknet.com/view-property/73111/0456C2E67A35587F46AC8971FEE9792D856B034C7D17A93B2AC25110C8611B86</v>
      </c>
      <c r="I6085" t="str">
        <f>HYPERLINK("https://baanknet.com/view-property/73111/0456C2E67A35587F46AC8971FEE9792D856B034C7D17A93B2AC25110C8611B86", "Open")</f>
        <v>Open</v>
      </c>
      <c r="J6085" t="s">
        <v>3803</v>
      </c>
      <c r="L6085">
        <v>1288000</v>
      </c>
      <c r="M6085">
        <v>128800</v>
      </c>
    </row>
    <row r="6086" spans="1:13" x14ac:dyDescent="0.25">
      <c r="A6086" t="s">
        <v>20110</v>
      </c>
      <c r="B6086" t="s">
        <v>20111</v>
      </c>
      <c r="C6086" t="s">
        <v>589</v>
      </c>
      <c r="D6086" t="s">
        <v>5873</v>
      </c>
      <c r="E6086" t="s">
        <v>19824</v>
      </c>
      <c r="F6086" t="s">
        <v>19553</v>
      </c>
      <c r="G6086" t="s">
        <v>20112</v>
      </c>
      <c r="H6086" t="str">
        <f>HYPERLINK("https://baanknet.com/view-property/205425/7883A26B02730245CFDCBE6BF72EBECE471313AF847D7CE9E1B763330E7BCB90", "https://baanknet.com/view-property/205425/7883A26B02730245CFDCBE6BF72EBECE471313AF847D7CE9E1B763330E7BCB90")</f>
        <v>https://baanknet.com/view-property/205425/7883A26B02730245CFDCBE6BF72EBECE471313AF847D7CE9E1B763330E7BCB90</v>
      </c>
      <c r="I6086" t="str">
        <f>HYPERLINK("https://baanknet.com/view-property/205425/7883A26B02730245CFDCBE6BF72EBECE471313AF847D7CE9E1B763330E7BCB90", "Open")</f>
        <v>Open</v>
      </c>
      <c r="J6086" t="s">
        <v>3803</v>
      </c>
      <c r="L6086">
        <v>1565000</v>
      </c>
      <c r="M6086">
        <v>156500</v>
      </c>
    </row>
    <row r="6087" spans="1:13" x14ac:dyDescent="0.25">
      <c r="A6087" t="s">
        <v>20113</v>
      </c>
      <c r="B6087" t="s">
        <v>20114</v>
      </c>
      <c r="C6087" t="s">
        <v>589</v>
      </c>
      <c r="D6087" t="s">
        <v>5873</v>
      </c>
      <c r="E6087" t="s">
        <v>19824</v>
      </c>
      <c r="F6087" t="s">
        <v>19553</v>
      </c>
      <c r="G6087" t="s">
        <v>20115</v>
      </c>
      <c r="H6087" t="str">
        <f>HYPERLINK("https://baanknet.com/view-property/205403/4CECD57D2BCE475E55D91172CDB48D3564FA0941B7DCE0153CE75224975BBCBF", "https://baanknet.com/view-property/205403/4CECD57D2BCE475E55D91172CDB48D3564FA0941B7DCE0153CE75224975BBCBF")</f>
        <v>https://baanknet.com/view-property/205403/4CECD57D2BCE475E55D91172CDB48D3564FA0941B7DCE0153CE75224975BBCBF</v>
      </c>
      <c r="I6087" t="str">
        <f>HYPERLINK("https://baanknet.com/view-property/205403/4CECD57D2BCE475E55D91172CDB48D3564FA0941B7DCE0153CE75224975BBCBF", "Open")</f>
        <v>Open</v>
      </c>
      <c r="J6087" t="s">
        <v>3803</v>
      </c>
      <c r="L6087">
        <v>1640000</v>
      </c>
      <c r="M6087">
        <v>164000</v>
      </c>
    </row>
    <row r="6088" spans="1:13" x14ac:dyDescent="0.25">
      <c r="A6088" t="s">
        <v>20116</v>
      </c>
      <c r="B6088" t="s">
        <v>20117</v>
      </c>
      <c r="C6088" t="s">
        <v>589</v>
      </c>
      <c r="D6088" t="s">
        <v>1190</v>
      </c>
      <c r="E6088" t="s">
        <v>19824</v>
      </c>
      <c r="F6088" t="s">
        <v>19553</v>
      </c>
      <c r="G6088" t="s">
        <v>20118</v>
      </c>
      <c r="H6088" t="str">
        <f>HYPERLINK("https://baanknet.com/view-property/201299/D8946E3FDB28D38B700A465ABC42A160A7966C0A73BA41275765A8108702D9D7", "https://baanknet.com/view-property/201299/D8946E3FDB28D38B700A465ABC42A160A7966C0A73BA41275765A8108702D9D7")</f>
        <v>https://baanknet.com/view-property/201299/D8946E3FDB28D38B700A465ABC42A160A7966C0A73BA41275765A8108702D9D7</v>
      </c>
      <c r="I6088" t="str">
        <f>HYPERLINK("https://baanknet.com/view-property/201299/D8946E3FDB28D38B700A465ABC42A160A7966C0A73BA41275765A8108702D9D7", "Open")</f>
        <v>Open</v>
      </c>
      <c r="J6088" t="s">
        <v>3803</v>
      </c>
      <c r="L6088">
        <v>2639000</v>
      </c>
      <c r="M6088">
        <v>263900</v>
      </c>
    </row>
    <row r="6089" spans="1:13" x14ac:dyDescent="0.25">
      <c r="A6089" t="s">
        <v>20119</v>
      </c>
      <c r="B6089" t="s">
        <v>20120</v>
      </c>
      <c r="C6089" t="s">
        <v>589</v>
      </c>
      <c r="D6089" t="s">
        <v>1190</v>
      </c>
      <c r="E6089" t="s">
        <v>19824</v>
      </c>
      <c r="F6089" t="s">
        <v>19553</v>
      </c>
      <c r="G6089" t="s">
        <v>20121</v>
      </c>
      <c r="H6089" t="str">
        <f>HYPERLINK("https://baanknet.com/view-property/267008/97D6623E6E06B0BA645BDF67659BA43CAEF349BEF6745E56CB6CF0177B1C7D5B", "https://baanknet.com/view-property/267008/97D6623E6E06B0BA645BDF67659BA43CAEF349BEF6745E56CB6CF0177B1C7D5B")</f>
        <v>https://baanknet.com/view-property/267008/97D6623E6E06B0BA645BDF67659BA43CAEF349BEF6745E56CB6CF0177B1C7D5B</v>
      </c>
      <c r="I6089" t="str">
        <f>HYPERLINK("https://baanknet.com/view-property/267008/97D6623E6E06B0BA645BDF67659BA43CAEF349BEF6745E56CB6CF0177B1C7D5B", "Open")</f>
        <v>Open</v>
      </c>
      <c r="J6089" t="s">
        <v>3803</v>
      </c>
      <c r="L6089">
        <v>2715000</v>
      </c>
      <c r="M6089">
        <v>271500</v>
      </c>
    </row>
    <row r="6090" spans="1:13" x14ac:dyDescent="0.25">
      <c r="A6090" t="s">
        <v>20122</v>
      </c>
      <c r="B6090" t="s">
        <v>20123</v>
      </c>
      <c r="C6090" t="s">
        <v>589</v>
      </c>
      <c r="D6090" t="s">
        <v>5393</v>
      </c>
      <c r="E6090" t="s">
        <v>19824</v>
      </c>
      <c r="F6090" t="s">
        <v>19553</v>
      </c>
      <c r="G6090" t="s">
        <v>20124</v>
      </c>
      <c r="H6090" t="str">
        <f>HYPERLINK("https://baanknet.com/view-property/287401/99D2AED8E2556A81192F7189C4D0440C3C7A4354463087221CB8168C22291967", "https://baanknet.com/view-property/287401/99D2AED8E2556A81192F7189C4D0440C3C7A4354463087221CB8168C22291967")</f>
        <v>https://baanknet.com/view-property/287401/99D2AED8E2556A81192F7189C4D0440C3C7A4354463087221CB8168C22291967</v>
      </c>
      <c r="I6090" t="str">
        <f>HYPERLINK("https://baanknet.com/view-property/287401/99D2AED8E2556A81192F7189C4D0440C3C7A4354463087221CB8168C22291967", "Open")</f>
        <v>Open</v>
      </c>
      <c r="J6090" t="s">
        <v>3803</v>
      </c>
      <c r="L6090">
        <v>2954000</v>
      </c>
      <c r="M6090">
        <v>295400</v>
      </c>
    </row>
    <row r="6091" spans="1:13" x14ac:dyDescent="0.25">
      <c r="A6091" t="s">
        <v>20125</v>
      </c>
      <c r="B6091" t="s">
        <v>20126</v>
      </c>
      <c r="C6091" t="s">
        <v>589</v>
      </c>
      <c r="D6091" t="s">
        <v>20127</v>
      </c>
      <c r="E6091" t="s">
        <v>19824</v>
      </c>
      <c r="F6091" t="s">
        <v>19553</v>
      </c>
      <c r="G6091" t="s">
        <v>20128</v>
      </c>
      <c r="H6091" t="str">
        <f>HYPERLINK("https://baanknet.com/view-property/223381/E1134D80B1C0E9866CDABF459FE93B260B8EF085CC97E168F7FCAFC30CDE39CC", "https://baanknet.com/view-property/223381/E1134D80B1C0E9866CDABF459FE93B260B8EF085CC97E168F7FCAFC30CDE39CC")</f>
        <v>https://baanknet.com/view-property/223381/E1134D80B1C0E9866CDABF459FE93B260B8EF085CC97E168F7FCAFC30CDE39CC</v>
      </c>
      <c r="I6091" t="str">
        <f>HYPERLINK("https://baanknet.com/view-property/223381/E1134D80B1C0E9866CDABF459FE93B260B8EF085CC97E168F7FCAFC30CDE39CC", "Open")</f>
        <v>Open</v>
      </c>
      <c r="J6091" t="s">
        <v>3803</v>
      </c>
      <c r="L6091">
        <v>1429000</v>
      </c>
      <c r="M6091">
        <v>142900</v>
      </c>
    </row>
    <row r="6092" spans="1:13" x14ac:dyDescent="0.25">
      <c r="A6092" t="s">
        <v>20129</v>
      </c>
      <c r="B6092" t="s">
        <v>20130</v>
      </c>
      <c r="C6092" t="s">
        <v>589</v>
      </c>
      <c r="D6092" t="s">
        <v>20131</v>
      </c>
      <c r="E6092" t="s">
        <v>19824</v>
      </c>
      <c r="F6092" t="s">
        <v>19553</v>
      </c>
      <c r="G6092" t="s">
        <v>20132</v>
      </c>
      <c r="H6092" t="str">
        <f>HYPERLINK("https://baanknet.com/view-property/219792/8153BFD295A6C029E14595DD888D0A44859E00BE0E867980C277186232834EC5", "https://baanknet.com/view-property/219792/8153BFD295A6C029E14595DD888D0A44859E00BE0E867980C277186232834EC5")</f>
        <v>https://baanknet.com/view-property/219792/8153BFD295A6C029E14595DD888D0A44859E00BE0E867980C277186232834EC5</v>
      </c>
      <c r="I6092" t="str">
        <f>HYPERLINK("https://baanknet.com/view-property/219792/8153BFD295A6C029E14595DD888D0A44859E00BE0E867980C277186232834EC5", "Open")</f>
        <v>Open</v>
      </c>
      <c r="J6092" t="s">
        <v>3803</v>
      </c>
      <c r="L6092">
        <v>1148000</v>
      </c>
      <c r="M6092">
        <v>114800</v>
      </c>
    </row>
    <row r="6093" spans="1:13" x14ac:dyDescent="0.25">
      <c r="A6093" t="s">
        <v>20133</v>
      </c>
      <c r="B6093" t="s">
        <v>20134</v>
      </c>
      <c r="C6093" t="s">
        <v>589</v>
      </c>
      <c r="D6093" t="s">
        <v>6034</v>
      </c>
      <c r="E6093" t="s">
        <v>19824</v>
      </c>
      <c r="F6093" t="s">
        <v>19553</v>
      </c>
      <c r="G6093" t="s">
        <v>20135</v>
      </c>
      <c r="H6093" t="str">
        <f>HYPERLINK("https://baanknet.com/view-property/285206/A33AB2F3FEAC7F96593D0AB931417610348C76347628065D0FB82673FDAF6060", "https://baanknet.com/view-property/285206/A33AB2F3FEAC7F96593D0AB931417610348C76347628065D0FB82673FDAF6060")</f>
        <v>https://baanknet.com/view-property/285206/A33AB2F3FEAC7F96593D0AB931417610348C76347628065D0FB82673FDAF6060</v>
      </c>
      <c r="I6093" t="str">
        <f>HYPERLINK("https://baanknet.com/view-property/285206/A33AB2F3FEAC7F96593D0AB931417610348C76347628065D0FB82673FDAF6060", "Open")</f>
        <v>Open</v>
      </c>
      <c r="J6093" t="s">
        <v>3803</v>
      </c>
      <c r="L6093">
        <v>1188000</v>
      </c>
      <c r="M6093">
        <v>118800</v>
      </c>
    </row>
    <row r="6094" spans="1:13" x14ac:dyDescent="0.25">
      <c r="A6094" t="s">
        <v>20136</v>
      </c>
      <c r="B6094" t="s">
        <v>20137</v>
      </c>
      <c r="C6094" t="s">
        <v>589</v>
      </c>
      <c r="D6094" t="s">
        <v>6034</v>
      </c>
      <c r="E6094" t="s">
        <v>19824</v>
      </c>
      <c r="F6094" t="s">
        <v>19553</v>
      </c>
      <c r="G6094" t="s">
        <v>20138</v>
      </c>
      <c r="H6094" t="str">
        <f>HYPERLINK("https://baanknet.com/view-property/286234/677E1E578B33A1D50F2410D41EEEF7E6B27DAA91244FA81AD93EDF48B0EF36E7", "https://baanknet.com/view-property/286234/677E1E578B33A1D50F2410D41EEEF7E6B27DAA91244FA81AD93EDF48B0EF36E7")</f>
        <v>https://baanknet.com/view-property/286234/677E1E578B33A1D50F2410D41EEEF7E6B27DAA91244FA81AD93EDF48B0EF36E7</v>
      </c>
      <c r="I6094" t="str">
        <f>HYPERLINK("https://baanknet.com/view-property/286234/677E1E578B33A1D50F2410D41EEEF7E6B27DAA91244FA81AD93EDF48B0EF36E7", "Open")</f>
        <v>Open</v>
      </c>
      <c r="J6094" t="s">
        <v>3803</v>
      </c>
      <c r="L6094">
        <v>1300000</v>
      </c>
      <c r="M6094">
        <v>130000</v>
      </c>
    </row>
    <row r="6095" spans="1:13" x14ac:dyDescent="0.25">
      <c r="A6095" t="s">
        <v>20139</v>
      </c>
      <c r="B6095" t="s">
        <v>20140</v>
      </c>
      <c r="C6095" t="s">
        <v>589</v>
      </c>
      <c r="D6095" t="s">
        <v>6034</v>
      </c>
      <c r="E6095" t="s">
        <v>19824</v>
      </c>
      <c r="F6095" t="s">
        <v>19553</v>
      </c>
      <c r="G6095" t="s">
        <v>20141</v>
      </c>
      <c r="H6095" t="str">
        <f>HYPERLINK("https://baanknet.com/view-property/285578/D541BE7B9E107E08DC88EF0A1D97417398384DA46926A7031551091F09588A74", "https://baanknet.com/view-property/285578/D541BE7B9E107E08DC88EF0A1D97417398384DA46926A7031551091F09588A74")</f>
        <v>https://baanknet.com/view-property/285578/D541BE7B9E107E08DC88EF0A1D97417398384DA46926A7031551091F09588A74</v>
      </c>
      <c r="I6095" t="str">
        <f>HYPERLINK("https://baanknet.com/view-property/285578/D541BE7B9E107E08DC88EF0A1D97417398384DA46926A7031551091F09588A74", "Open")</f>
        <v>Open</v>
      </c>
      <c r="J6095" t="s">
        <v>3803</v>
      </c>
      <c r="L6095">
        <v>1725000</v>
      </c>
      <c r="M6095">
        <v>172500</v>
      </c>
    </row>
    <row r="6096" spans="1:13" x14ac:dyDescent="0.25">
      <c r="A6096" t="s">
        <v>20142</v>
      </c>
      <c r="B6096" t="s">
        <v>20143</v>
      </c>
      <c r="C6096" t="s">
        <v>589</v>
      </c>
      <c r="D6096" t="s">
        <v>6034</v>
      </c>
      <c r="E6096" t="s">
        <v>19824</v>
      </c>
      <c r="F6096" t="s">
        <v>19553</v>
      </c>
      <c r="G6096" t="s">
        <v>20144</v>
      </c>
      <c r="H6096" t="str">
        <f>HYPERLINK("https://baanknet.com/view-property/285426/1A1AB644CA57BADB875CFD98AF07D4FC1E343AF2B8A1551DCE851F0477BDD82E", "https://baanknet.com/view-property/285426/1A1AB644CA57BADB875CFD98AF07D4FC1E343AF2B8A1551DCE851F0477BDD82E")</f>
        <v>https://baanknet.com/view-property/285426/1A1AB644CA57BADB875CFD98AF07D4FC1E343AF2B8A1551DCE851F0477BDD82E</v>
      </c>
      <c r="I6096" t="str">
        <f>HYPERLINK("https://baanknet.com/view-property/285426/1A1AB644CA57BADB875CFD98AF07D4FC1E343AF2B8A1551DCE851F0477BDD82E", "Open")</f>
        <v>Open</v>
      </c>
      <c r="J6096" t="s">
        <v>3803</v>
      </c>
      <c r="L6096">
        <v>1750000</v>
      </c>
      <c r="M6096">
        <v>175000</v>
      </c>
    </row>
    <row r="6097" spans="1:13" x14ac:dyDescent="0.25">
      <c r="A6097" t="s">
        <v>20145</v>
      </c>
      <c r="B6097" t="s">
        <v>20146</v>
      </c>
      <c r="C6097" t="s">
        <v>589</v>
      </c>
      <c r="D6097" t="s">
        <v>6034</v>
      </c>
      <c r="E6097" t="s">
        <v>19824</v>
      </c>
      <c r="F6097" t="s">
        <v>19553</v>
      </c>
      <c r="G6097" t="s">
        <v>20147</v>
      </c>
      <c r="H6097" t="str">
        <f>HYPERLINK("https://baanknet.com/view-property/41132/9D4602B11586BF0E18510DED503E353390DB202E5B56BF2CE395EE27EE6D403C", "https://baanknet.com/view-property/41132/9D4602B11586BF0E18510DED503E353390DB202E5B56BF2CE395EE27EE6D403C")</f>
        <v>https://baanknet.com/view-property/41132/9D4602B11586BF0E18510DED503E353390DB202E5B56BF2CE395EE27EE6D403C</v>
      </c>
      <c r="I6097" t="str">
        <f>HYPERLINK("https://baanknet.com/view-property/41132/9D4602B11586BF0E18510DED503E353390DB202E5B56BF2CE395EE27EE6D403C", "Open")</f>
        <v>Open</v>
      </c>
      <c r="J6097" t="s">
        <v>3803</v>
      </c>
      <c r="L6097">
        <v>2259000</v>
      </c>
      <c r="M6097">
        <v>225900</v>
      </c>
    </row>
    <row r="6098" spans="1:13" x14ac:dyDescent="0.25">
      <c r="A6098" t="s">
        <v>20148</v>
      </c>
      <c r="B6098" t="s">
        <v>20149</v>
      </c>
      <c r="C6098" t="s">
        <v>589</v>
      </c>
      <c r="D6098" t="s">
        <v>6034</v>
      </c>
      <c r="E6098" t="s">
        <v>19824</v>
      </c>
      <c r="F6098" t="s">
        <v>19553</v>
      </c>
      <c r="G6098" t="s">
        <v>20150</v>
      </c>
      <c r="H6098" t="str">
        <f>HYPERLINK("https://baanknet.com/view-property/285188/C07EC5A62E5D96D2A98CECA6DADC3B523C70576BB9AAC38F894D780F9F6C04DB", "https://baanknet.com/view-property/285188/C07EC5A62E5D96D2A98CECA6DADC3B523C70576BB9AAC38F894D780F9F6C04DB")</f>
        <v>https://baanknet.com/view-property/285188/C07EC5A62E5D96D2A98CECA6DADC3B523C70576BB9AAC38F894D780F9F6C04DB</v>
      </c>
      <c r="I6098" t="str">
        <f>HYPERLINK("https://baanknet.com/view-property/285188/C07EC5A62E5D96D2A98CECA6DADC3B523C70576BB9AAC38F894D780F9F6C04DB", "Open")</f>
        <v>Open</v>
      </c>
      <c r="J6098" t="s">
        <v>3803</v>
      </c>
      <c r="L6098">
        <v>3300000</v>
      </c>
      <c r="M6098">
        <v>330000</v>
      </c>
    </row>
    <row r="6099" spans="1:13" x14ac:dyDescent="0.25">
      <c r="A6099" t="s">
        <v>20151</v>
      </c>
      <c r="B6099" t="s">
        <v>20152</v>
      </c>
      <c r="C6099" t="s">
        <v>589</v>
      </c>
      <c r="D6099" t="s">
        <v>6058</v>
      </c>
      <c r="E6099" t="s">
        <v>19824</v>
      </c>
      <c r="F6099" t="s">
        <v>19553</v>
      </c>
      <c r="G6099" t="s">
        <v>20153</v>
      </c>
      <c r="H6099" t="str">
        <f>HYPERLINK("https://baanknet.com/view-property/224886/631716E84B0D5A1C84D2310C75C1E37C15D85F7902D99D5ABE567AD27B820880", "https://baanknet.com/view-property/224886/631716E84B0D5A1C84D2310C75C1E37C15D85F7902D99D5ABE567AD27B820880")</f>
        <v>https://baanknet.com/view-property/224886/631716E84B0D5A1C84D2310C75C1E37C15D85F7902D99D5ABE567AD27B820880</v>
      </c>
      <c r="I6099" t="str">
        <f>HYPERLINK("https://baanknet.com/view-property/224886/631716E84B0D5A1C84D2310C75C1E37C15D85F7902D99D5ABE567AD27B820880", "Open")</f>
        <v>Open</v>
      </c>
      <c r="J6099" t="s">
        <v>3803</v>
      </c>
      <c r="L6099">
        <v>1520000</v>
      </c>
      <c r="M6099">
        <v>152000</v>
      </c>
    </row>
    <row r="6100" spans="1:13" x14ac:dyDescent="0.25">
      <c r="A6100" t="s">
        <v>20154</v>
      </c>
      <c r="B6100" t="s">
        <v>20155</v>
      </c>
      <c r="C6100" t="s">
        <v>589</v>
      </c>
      <c r="D6100" t="s">
        <v>6058</v>
      </c>
      <c r="E6100" t="s">
        <v>19824</v>
      </c>
      <c r="F6100" t="s">
        <v>19553</v>
      </c>
      <c r="G6100" t="s">
        <v>20156</v>
      </c>
      <c r="H6100" t="str">
        <f>HYPERLINK("https://baanknet.com/view-property/277189/A4FAE5356614666C8F9339E9AEA4BF84964F25A268D9C9FDEDFFA8AE6195BACF", "https://baanknet.com/view-property/277189/A4FAE5356614666C8F9339E9AEA4BF84964F25A268D9C9FDEDFFA8AE6195BACF")</f>
        <v>https://baanknet.com/view-property/277189/A4FAE5356614666C8F9339E9AEA4BF84964F25A268D9C9FDEDFFA8AE6195BACF</v>
      </c>
      <c r="I6100" t="str">
        <f>HYPERLINK("https://baanknet.com/view-property/277189/A4FAE5356614666C8F9339E9AEA4BF84964F25A268D9C9FDEDFFA8AE6195BACF", "Open")</f>
        <v>Open</v>
      </c>
      <c r="J6100" t="s">
        <v>3803</v>
      </c>
      <c r="L6100">
        <v>2440000</v>
      </c>
      <c r="M6100">
        <v>244000</v>
      </c>
    </row>
    <row r="6101" spans="1:13" x14ac:dyDescent="0.25">
      <c r="A6101" t="s">
        <v>20157</v>
      </c>
      <c r="B6101" t="s">
        <v>20158</v>
      </c>
      <c r="C6101" t="s">
        <v>589</v>
      </c>
      <c r="D6101" t="s">
        <v>6026</v>
      </c>
      <c r="E6101" t="s">
        <v>19824</v>
      </c>
      <c r="F6101" t="s">
        <v>19553</v>
      </c>
      <c r="G6101" t="s">
        <v>20159</v>
      </c>
      <c r="H6101" t="str">
        <f>HYPERLINK("https://baanknet.com/view-property/286504/6F84287252B4E0F0BF6B8FCDC263A06D81FD27A53C00FF2475593B63A0BDF1D7", "https://baanknet.com/view-property/286504/6F84287252B4E0F0BF6B8FCDC263A06D81FD27A53C00FF2475593B63A0BDF1D7")</f>
        <v>https://baanknet.com/view-property/286504/6F84287252B4E0F0BF6B8FCDC263A06D81FD27A53C00FF2475593B63A0BDF1D7</v>
      </c>
      <c r="I6101" t="str">
        <f>HYPERLINK("https://baanknet.com/view-property/286504/6F84287252B4E0F0BF6B8FCDC263A06D81FD27A53C00FF2475593B63A0BDF1D7", "Open")</f>
        <v>Open</v>
      </c>
      <c r="J6101" t="s">
        <v>3803</v>
      </c>
      <c r="L6101">
        <v>1125000</v>
      </c>
      <c r="M6101">
        <v>112500</v>
      </c>
    </row>
    <row r="6102" spans="1:13" x14ac:dyDescent="0.25">
      <c r="A6102" t="s">
        <v>20160</v>
      </c>
      <c r="B6102" t="s">
        <v>20161</v>
      </c>
      <c r="C6102" t="s">
        <v>589</v>
      </c>
      <c r="D6102" t="s">
        <v>20162</v>
      </c>
      <c r="E6102" t="s">
        <v>19824</v>
      </c>
      <c r="F6102" t="s">
        <v>19553</v>
      </c>
      <c r="G6102" t="s">
        <v>20163</v>
      </c>
      <c r="H6102" t="str">
        <f>HYPERLINK("https://baanknet.com/view-property/285433/00DFD200322CF28EFEB2D29D53EABF209DC28A4AF175F391FBC039EF90C1EF01", "https://baanknet.com/view-property/285433/00DFD200322CF28EFEB2D29D53EABF209DC28A4AF175F391FBC039EF90C1EF01")</f>
        <v>https://baanknet.com/view-property/285433/00DFD200322CF28EFEB2D29D53EABF209DC28A4AF175F391FBC039EF90C1EF01</v>
      </c>
      <c r="I6102" t="str">
        <f>HYPERLINK("https://baanknet.com/view-property/285433/00DFD200322CF28EFEB2D29D53EABF209DC28A4AF175F391FBC039EF90C1EF01", "Open")</f>
        <v>Open</v>
      </c>
      <c r="J6102" t="s">
        <v>3803</v>
      </c>
      <c r="L6102">
        <v>1700000</v>
      </c>
      <c r="M6102">
        <v>170000</v>
      </c>
    </row>
    <row r="6103" spans="1:13" x14ac:dyDescent="0.25">
      <c r="A6103" t="s">
        <v>20164</v>
      </c>
      <c r="B6103" t="s">
        <v>20165</v>
      </c>
      <c r="C6103" t="s">
        <v>589</v>
      </c>
      <c r="D6103" t="s">
        <v>604</v>
      </c>
      <c r="E6103" t="s">
        <v>19824</v>
      </c>
      <c r="F6103" t="s">
        <v>19553</v>
      </c>
      <c r="G6103" t="s">
        <v>20166</v>
      </c>
      <c r="H6103" t="str">
        <f>HYPERLINK("https://baanknet.com/view-property/277634/4123AD8841E8A16FF6FECA1440F49C5446B100F599C4796B8791848F38AAA930", "https://baanknet.com/view-property/277634/4123AD8841E8A16FF6FECA1440F49C5446B100F599C4796B8791848F38AAA930")</f>
        <v>https://baanknet.com/view-property/277634/4123AD8841E8A16FF6FECA1440F49C5446B100F599C4796B8791848F38AAA930</v>
      </c>
      <c r="I6103" t="str">
        <f>HYPERLINK("https://baanknet.com/view-property/277634/4123AD8841E8A16FF6FECA1440F49C5446B100F599C4796B8791848F38AAA930", "Open")</f>
        <v>Open</v>
      </c>
      <c r="J6103" t="s">
        <v>3803</v>
      </c>
      <c r="L6103">
        <v>5055000</v>
      </c>
      <c r="M6103">
        <v>505500</v>
      </c>
    </row>
    <row r="6104" spans="1:13" x14ac:dyDescent="0.25">
      <c r="A6104" t="s">
        <v>20167</v>
      </c>
      <c r="B6104" t="s">
        <v>20168</v>
      </c>
      <c r="C6104" t="s">
        <v>589</v>
      </c>
      <c r="D6104" t="s">
        <v>20169</v>
      </c>
      <c r="E6104" t="s">
        <v>19824</v>
      </c>
      <c r="F6104" t="s">
        <v>19553</v>
      </c>
      <c r="G6104" t="s">
        <v>20170</v>
      </c>
      <c r="H6104" t="str">
        <f>HYPERLINK("https://baanknet.com/view-property/46944/FF908E163EE16CAF43EE0FD54CA2C2CA656AD38930F0386E2BE6A61632EC34B8", "https://baanknet.com/view-property/46944/FF908E163EE16CAF43EE0FD54CA2C2CA656AD38930F0386E2BE6A61632EC34B8")</f>
        <v>https://baanknet.com/view-property/46944/FF908E163EE16CAF43EE0FD54CA2C2CA656AD38930F0386E2BE6A61632EC34B8</v>
      </c>
      <c r="I6104" t="str">
        <f>HYPERLINK("https://baanknet.com/view-property/46944/FF908E163EE16CAF43EE0FD54CA2C2CA656AD38930F0386E2BE6A61632EC34B8", "Open")</f>
        <v>Open</v>
      </c>
      <c r="J6104" t="s">
        <v>3803</v>
      </c>
    </row>
    <row r="6105" spans="1:13" x14ac:dyDescent="0.25">
      <c r="A6105" t="s">
        <v>20171</v>
      </c>
      <c r="B6105" t="s">
        <v>20172</v>
      </c>
      <c r="C6105" t="s">
        <v>589</v>
      </c>
      <c r="D6105" t="s">
        <v>7328</v>
      </c>
      <c r="E6105" t="s">
        <v>19824</v>
      </c>
      <c r="F6105" t="s">
        <v>19553</v>
      </c>
      <c r="G6105" t="s">
        <v>20173</v>
      </c>
      <c r="H6105" t="str">
        <f>HYPERLINK("https://baanknet.com/view-property/262424/2F3FD8F0EA8E4DF9DD3BC3EDCDB3443EC88EA81B4D04D0391637BD9AED51BEE5", "https://baanknet.com/view-property/262424/2F3FD8F0EA8E4DF9DD3BC3EDCDB3443EC88EA81B4D04D0391637BD9AED51BEE5")</f>
        <v>https://baanknet.com/view-property/262424/2F3FD8F0EA8E4DF9DD3BC3EDCDB3443EC88EA81B4D04D0391637BD9AED51BEE5</v>
      </c>
      <c r="I6105" t="str">
        <f>HYPERLINK("https://baanknet.com/view-property/262424/2F3FD8F0EA8E4DF9DD3BC3EDCDB3443EC88EA81B4D04D0391637BD9AED51BEE5", "Open")</f>
        <v>Open</v>
      </c>
      <c r="J6105" t="s">
        <v>3803</v>
      </c>
      <c r="L6105">
        <v>7550000</v>
      </c>
      <c r="M6105">
        <v>755000</v>
      </c>
    </row>
    <row r="6106" spans="1:13" x14ac:dyDescent="0.25">
      <c r="A6106" t="s">
        <v>20174</v>
      </c>
      <c r="B6106" t="s">
        <v>20175</v>
      </c>
      <c r="C6106" t="s">
        <v>589</v>
      </c>
      <c r="D6106" t="s">
        <v>4471</v>
      </c>
      <c r="E6106" t="s">
        <v>19824</v>
      </c>
      <c r="F6106" t="s">
        <v>19553</v>
      </c>
      <c r="G6106" t="s">
        <v>20176</v>
      </c>
      <c r="H6106" t="str">
        <f>HYPERLINK("https://baanknet.com/view-property/273177/8C50B65587022E9CA9322AC0575AFBD0A161024B8212B464433E95210A6C993F", "https://baanknet.com/view-property/273177/8C50B65587022E9CA9322AC0575AFBD0A161024B8212B464433E95210A6C993F")</f>
        <v>https://baanknet.com/view-property/273177/8C50B65587022E9CA9322AC0575AFBD0A161024B8212B464433E95210A6C993F</v>
      </c>
      <c r="I6106" t="str">
        <f>HYPERLINK("https://baanknet.com/view-property/273177/8C50B65587022E9CA9322AC0575AFBD0A161024B8212B464433E95210A6C993F", "Open")</f>
        <v>Open</v>
      </c>
      <c r="J6106" t="s">
        <v>3803</v>
      </c>
      <c r="L6106">
        <v>2120000</v>
      </c>
      <c r="M6106">
        <v>212000</v>
      </c>
    </row>
    <row r="6107" spans="1:13" x14ac:dyDescent="0.25">
      <c r="A6107" t="s">
        <v>20177</v>
      </c>
      <c r="B6107" t="s">
        <v>20178</v>
      </c>
      <c r="C6107" t="s">
        <v>589</v>
      </c>
      <c r="D6107" t="s">
        <v>4471</v>
      </c>
      <c r="E6107" t="s">
        <v>19824</v>
      </c>
      <c r="F6107" t="s">
        <v>19553</v>
      </c>
      <c r="G6107" t="s">
        <v>20179</v>
      </c>
      <c r="H6107" t="str">
        <f>HYPERLINK("https://baanknet.com/view-property/251217/6544EA5CEAA9ED20AC52C0C29F3AF842AEA24E364F82F8D9F3C1CA860F202829", "https://baanknet.com/view-property/251217/6544EA5CEAA9ED20AC52C0C29F3AF842AEA24E364F82F8D9F3C1CA860F202829")</f>
        <v>https://baanknet.com/view-property/251217/6544EA5CEAA9ED20AC52C0C29F3AF842AEA24E364F82F8D9F3C1CA860F202829</v>
      </c>
      <c r="I6107" t="str">
        <f>HYPERLINK("https://baanknet.com/view-property/251217/6544EA5CEAA9ED20AC52C0C29F3AF842AEA24E364F82F8D9F3C1CA860F202829", "Open")</f>
        <v>Open</v>
      </c>
      <c r="J6107" t="s">
        <v>3803</v>
      </c>
      <c r="L6107">
        <v>1249000</v>
      </c>
      <c r="M6107">
        <v>124900</v>
      </c>
    </row>
    <row r="6108" spans="1:13" x14ac:dyDescent="0.25">
      <c r="A6108" t="s">
        <v>20180</v>
      </c>
      <c r="B6108" t="s">
        <v>20181</v>
      </c>
      <c r="C6108" t="s">
        <v>589</v>
      </c>
      <c r="D6108" t="s">
        <v>1190</v>
      </c>
      <c r="E6108" t="s">
        <v>19824</v>
      </c>
      <c r="F6108" t="s">
        <v>19553</v>
      </c>
      <c r="G6108" t="s">
        <v>20182</v>
      </c>
      <c r="H6108" t="str">
        <f>HYPERLINK("https://baanknet.com/view-property/57610/393F51C585279324BE14EFC6B35221B37D18D3636C7AB8CF1CEE103DE2F927B4", "https://baanknet.com/view-property/57610/393F51C585279324BE14EFC6B35221B37D18D3636C7AB8CF1CEE103DE2F927B4")</f>
        <v>https://baanknet.com/view-property/57610/393F51C585279324BE14EFC6B35221B37D18D3636C7AB8CF1CEE103DE2F927B4</v>
      </c>
      <c r="I6108" t="str">
        <f>HYPERLINK("https://baanknet.com/view-property/57610/393F51C585279324BE14EFC6B35221B37D18D3636C7AB8CF1CEE103DE2F927B4", "Open")</f>
        <v>Open</v>
      </c>
      <c r="J6108" t="s">
        <v>3803</v>
      </c>
    </row>
    <row r="6109" spans="1:13" x14ac:dyDescent="0.25">
      <c r="A6109" t="s">
        <v>20183</v>
      </c>
      <c r="B6109" t="s">
        <v>20184</v>
      </c>
      <c r="C6109" t="s">
        <v>589</v>
      </c>
      <c r="D6109" t="s">
        <v>837</v>
      </c>
      <c r="E6109" t="s">
        <v>19824</v>
      </c>
      <c r="F6109" t="s">
        <v>19553</v>
      </c>
      <c r="G6109" t="s">
        <v>20185</v>
      </c>
      <c r="H6109" t="str">
        <f>HYPERLINK("https://baanknet.com/view-property/69393/28F4EF53E7604B23DB8BDC97B6E246588FCD82E951AA33342BDDF831E780FD38", "https://baanknet.com/view-property/69393/28F4EF53E7604B23DB8BDC97B6E246588FCD82E951AA33342BDDF831E780FD38")</f>
        <v>https://baanknet.com/view-property/69393/28F4EF53E7604B23DB8BDC97B6E246588FCD82E951AA33342BDDF831E780FD38</v>
      </c>
      <c r="I6109" t="str">
        <f>HYPERLINK("https://baanknet.com/view-property/69393/28F4EF53E7604B23DB8BDC97B6E246588FCD82E951AA33342BDDF831E780FD38", "Open")</f>
        <v>Open</v>
      </c>
      <c r="J6109" t="s">
        <v>3803</v>
      </c>
      <c r="L6109">
        <v>1259000</v>
      </c>
      <c r="M6109">
        <v>125900</v>
      </c>
    </row>
    <row r="6110" spans="1:13" x14ac:dyDescent="0.25">
      <c r="A6110" t="s">
        <v>20186</v>
      </c>
      <c r="B6110" t="s">
        <v>20187</v>
      </c>
      <c r="C6110" t="s">
        <v>589</v>
      </c>
      <c r="D6110" t="s">
        <v>20188</v>
      </c>
      <c r="E6110" t="s">
        <v>19824</v>
      </c>
      <c r="F6110" t="s">
        <v>19553</v>
      </c>
      <c r="G6110" t="s">
        <v>20189</v>
      </c>
      <c r="H6110" t="str">
        <f>HYPERLINK("https://baanknet.com/view-property/228379/CBFCEA8748034864960AC1E2A3B9A556955AB365ED25E4DBFCF239873669CA9C", "https://baanknet.com/view-property/228379/CBFCEA8748034864960AC1E2A3B9A556955AB365ED25E4DBFCF239873669CA9C")</f>
        <v>https://baanknet.com/view-property/228379/CBFCEA8748034864960AC1E2A3B9A556955AB365ED25E4DBFCF239873669CA9C</v>
      </c>
      <c r="I6110" t="str">
        <f>HYPERLINK("https://baanknet.com/view-property/228379/CBFCEA8748034864960AC1E2A3B9A556955AB365ED25E4DBFCF239873669CA9C", "Open")</f>
        <v>Open</v>
      </c>
      <c r="J6110" t="s">
        <v>3803</v>
      </c>
      <c r="L6110">
        <v>1650000</v>
      </c>
      <c r="M6110">
        <v>165000</v>
      </c>
    </row>
    <row r="6111" spans="1:13" x14ac:dyDescent="0.25">
      <c r="A6111" t="s">
        <v>20190</v>
      </c>
      <c r="B6111" t="s">
        <v>20191</v>
      </c>
      <c r="C6111" t="s">
        <v>589</v>
      </c>
      <c r="D6111" t="s">
        <v>16295</v>
      </c>
      <c r="E6111" t="s">
        <v>19824</v>
      </c>
      <c r="F6111" t="s">
        <v>19553</v>
      </c>
      <c r="G6111" t="s">
        <v>20192</v>
      </c>
      <c r="H6111" t="str">
        <f>HYPERLINK("https://baanknet.com/view-property/222737/AC1DDC95CF02CEE5F3EB439FA75354BFDF250373EB5E4E660A2CDCC56B641A27", "https://baanknet.com/view-property/222737/AC1DDC95CF02CEE5F3EB439FA75354BFDF250373EB5E4E660A2CDCC56B641A27")</f>
        <v>https://baanknet.com/view-property/222737/AC1DDC95CF02CEE5F3EB439FA75354BFDF250373EB5E4E660A2CDCC56B641A27</v>
      </c>
      <c r="I6111" t="str">
        <f>HYPERLINK("https://baanknet.com/view-property/222737/AC1DDC95CF02CEE5F3EB439FA75354BFDF250373EB5E4E660A2CDCC56B641A27", "Open")</f>
        <v>Open</v>
      </c>
      <c r="J6111" t="s">
        <v>3803</v>
      </c>
      <c r="L6111">
        <v>572000</v>
      </c>
      <c r="M6111">
        <v>57200</v>
      </c>
    </row>
    <row r="6112" spans="1:13" x14ac:dyDescent="0.25">
      <c r="A6112" t="s">
        <v>20193</v>
      </c>
      <c r="B6112" t="s">
        <v>20194</v>
      </c>
      <c r="C6112" t="s">
        <v>589</v>
      </c>
      <c r="D6112" t="s">
        <v>4799</v>
      </c>
      <c r="E6112" t="s">
        <v>19824</v>
      </c>
      <c r="F6112" t="s">
        <v>19553</v>
      </c>
      <c r="G6112" t="s">
        <v>20195</v>
      </c>
      <c r="H6112" t="str">
        <f>HYPERLINK("https://baanknet.com/view-property/251983/E2D7D1B1220FB763F1509F793DA4E83B859793E067478E086F1E89C72C05F27B", "https://baanknet.com/view-property/251983/E2D7D1B1220FB763F1509F793DA4E83B859793E067478E086F1E89C72C05F27B")</f>
        <v>https://baanknet.com/view-property/251983/E2D7D1B1220FB763F1509F793DA4E83B859793E067478E086F1E89C72C05F27B</v>
      </c>
      <c r="I6112" t="str">
        <f>HYPERLINK("https://baanknet.com/view-property/251983/E2D7D1B1220FB763F1509F793DA4E83B859793E067478E086F1E89C72C05F27B", "Open")</f>
        <v>Open</v>
      </c>
      <c r="J6112" t="s">
        <v>3803</v>
      </c>
      <c r="L6112">
        <v>2488000</v>
      </c>
      <c r="M6112">
        <v>248800</v>
      </c>
    </row>
    <row r="6113" spans="1:13" x14ac:dyDescent="0.25">
      <c r="A6113" t="s">
        <v>20196</v>
      </c>
      <c r="B6113" t="s">
        <v>20197</v>
      </c>
      <c r="C6113" t="s">
        <v>589</v>
      </c>
      <c r="D6113" t="s">
        <v>5389</v>
      </c>
      <c r="E6113" t="s">
        <v>19824</v>
      </c>
      <c r="F6113" t="s">
        <v>19553</v>
      </c>
      <c r="G6113" t="s">
        <v>20198</v>
      </c>
      <c r="H6113" t="str">
        <f>HYPERLINK("https://baanknet.com/view-property/222279/8802F69401D8147F5DE4346FB778A83A2BABB673D84A4FEAE78974DB171D61EC", "https://baanknet.com/view-property/222279/8802F69401D8147F5DE4346FB778A83A2BABB673D84A4FEAE78974DB171D61EC")</f>
        <v>https://baanknet.com/view-property/222279/8802F69401D8147F5DE4346FB778A83A2BABB673D84A4FEAE78974DB171D61EC</v>
      </c>
      <c r="I6113" t="str">
        <f>HYPERLINK("https://baanknet.com/view-property/222279/8802F69401D8147F5DE4346FB778A83A2BABB673D84A4FEAE78974DB171D61EC", "Open")</f>
        <v>Open</v>
      </c>
      <c r="J6113" t="s">
        <v>3803</v>
      </c>
      <c r="L6113">
        <v>1898000</v>
      </c>
      <c r="M6113">
        <v>189800</v>
      </c>
    </row>
    <row r="6114" spans="1:13" x14ac:dyDescent="0.25">
      <c r="A6114" t="s">
        <v>20199</v>
      </c>
      <c r="B6114" t="s">
        <v>20200</v>
      </c>
      <c r="C6114" t="s">
        <v>589</v>
      </c>
      <c r="D6114" t="s">
        <v>4799</v>
      </c>
      <c r="E6114" t="s">
        <v>19824</v>
      </c>
      <c r="F6114" t="s">
        <v>19553</v>
      </c>
      <c r="G6114" t="s">
        <v>20201</v>
      </c>
      <c r="H6114" t="str">
        <f>HYPERLINK("https://baanknet.com/view-property/205331/67DE619231F2403AC004CEC04A9E78CF48EBB6D4C5808E792C29FCDD0D829136", "https://baanknet.com/view-property/205331/67DE619231F2403AC004CEC04A9E78CF48EBB6D4C5808E792C29FCDD0D829136")</f>
        <v>https://baanknet.com/view-property/205331/67DE619231F2403AC004CEC04A9E78CF48EBB6D4C5808E792C29FCDD0D829136</v>
      </c>
      <c r="I6114" t="str">
        <f>HYPERLINK("https://baanknet.com/view-property/205331/67DE619231F2403AC004CEC04A9E78CF48EBB6D4C5808E792C29FCDD0D829136", "Open")</f>
        <v>Open</v>
      </c>
      <c r="J6114" t="s">
        <v>3803</v>
      </c>
      <c r="L6114">
        <v>1460000</v>
      </c>
      <c r="M6114">
        <v>146000</v>
      </c>
    </row>
    <row r="6115" spans="1:13" x14ac:dyDescent="0.25">
      <c r="A6115" t="s">
        <v>20202</v>
      </c>
      <c r="B6115" t="s">
        <v>20203</v>
      </c>
      <c r="C6115" t="s">
        <v>589</v>
      </c>
      <c r="D6115" t="s">
        <v>1003</v>
      </c>
      <c r="E6115" t="s">
        <v>19824</v>
      </c>
      <c r="F6115" t="s">
        <v>19553</v>
      </c>
      <c r="G6115" t="s">
        <v>20204</v>
      </c>
      <c r="H6115" t="str">
        <f>HYPERLINK("https://baanknet.com/view-property/251444/62EE2EF678CE4DAC803EC287466DDAC7C9199600552309D3A1F258F0D5EE6B48", "https://baanknet.com/view-property/251444/62EE2EF678CE4DAC803EC287466DDAC7C9199600552309D3A1F258F0D5EE6B48")</f>
        <v>https://baanknet.com/view-property/251444/62EE2EF678CE4DAC803EC287466DDAC7C9199600552309D3A1F258F0D5EE6B48</v>
      </c>
      <c r="I6115" t="str">
        <f>HYPERLINK("https://baanknet.com/view-property/251444/62EE2EF678CE4DAC803EC287466DDAC7C9199600552309D3A1F258F0D5EE6B48", "Open")</f>
        <v>Open</v>
      </c>
      <c r="J6115" t="s">
        <v>3803</v>
      </c>
      <c r="L6115">
        <v>2265000</v>
      </c>
      <c r="M6115">
        <v>226500</v>
      </c>
    </row>
    <row r="6116" spans="1:13" x14ac:dyDescent="0.25">
      <c r="A6116" t="s">
        <v>20205</v>
      </c>
      <c r="B6116" t="s">
        <v>20206</v>
      </c>
      <c r="C6116" t="s">
        <v>589</v>
      </c>
      <c r="D6116" t="s">
        <v>5239</v>
      </c>
      <c r="E6116" t="s">
        <v>19824</v>
      </c>
      <c r="F6116" t="s">
        <v>19553</v>
      </c>
      <c r="G6116" t="s">
        <v>20207</v>
      </c>
      <c r="H6116" t="str">
        <f>HYPERLINK("https://baanknet.com/view-property/212309/1F7DD23B3C588CB4E1EEEC7E744DB5D551D4E727CFB6C6DF7D9843B383BAFFC8", "https://baanknet.com/view-property/212309/1F7DD23B3C588CB4E1EEEC7E744DB5D551D4E727CFB6C6DF7D9843B383BAFFC8")</f>
        <v>https://baanknet.com/view-property/212309/1F7DD23B3C588CB4E1EEEC7E744DB5D551D4E727CFB6C6DF7D9843B383BAFFC8</v>
      </c>
      <c r="I6116" t="str">
        <f>HYPERLINK("https://baanknet.com/view-property/212309/1F7DD23B3C588CB4E1EEEC7E744DB5D551D4E727CFB6C6DF7D9843B383BAFFC8", "Open")</f>
        <v>Open</v>
      </c>
      <c r="J6116" t="s">
        <v>3803</v>
      </c>
      <c r="L6116">
        <v>1358000</v>
      </c>
      <c r="M6116">
        <v>135800</v>
      </c>
    </row>
    <row r="6117" spans="1:13" x14ac:dyDescent="0.25">
      <c r="A6117" t="s">
        <v>20208</v>
      </c>
      <c r="B6117" t="s">
        <v>20209</v>
      </c>
      <c r="C6117" t="s">
        <v>589</v>
      </c>
      <c r="D6117" t="s">
        <v>1003</v>
      </c>
      <c r="E6117" t="s">
        <v>19824</v>
      </c>
      <c r="F6117" t="s">
        <v>19553</v>
      </c>
      <c r="G6117" t="s">
        <v>20210</v>
      </c>
      <c r="H6117" t="str">
        <f>HYPERLINK("https://baanknet.com/view-property/251454/94D7D3ACBC62E0923FF7413036C1BCBEDD7062855FF8412DBFF43CFBF7DBA555", "https://baanknet.com/view-property/251454/94D7D3ACBC62E0923FF7413036C1BCBEDD7062855FF8412DBFF43CFBF7DBA555")</f>
        <v>https://baanknet.com/view-property/251454/94D7D3ACBC62E0923FF7413036C1BCBEDD7062855FF8412DBFF43CFBF7DBA555</v>
      </c>
      <c r="I6117" t="str">
        <f>HYPERLINK("https://baanknet.com/view-property/251454/94D7D3ACBC62E0923FF7413036C1BCBEDD7062855FF8412DBFF43CFBF7DBA555", "Open")</f>
        <v>Open</v>
      </c>
      <c r="J6117" t="s">
        <v>3803</v>
      </c>
      <c r="L6117">
        <v>1933000</v>
      </c>
      <c r="M6117">
        <v>193300</v>
      </c>
    </row>
    <row r="6118" spans="1:13" x14ac:dyDescent="0.25">
      <c r="A6118" t="s">
        <v>20211</v>
      </c>
      <c r="B6118" t="s">
        <v>20212</v>
      </c>
      <c r="C6118" t="s">
        <v>589</v>
      </c>
      <c r="D6118" t="s">
        <v>6389</v>
      </c>
      <c r="E6118" t="s">
        <v>19824</v>
      </c>
      <c r="F6118" t="s">
        <v>19553</v>
      </c>
      <c r="G6118" t="s">
        <v>20213</v>
      </c>
      <c r="H6118" t="str">
        <f>HYPERLINK("https://baanknet.com/view-property/251498/E69B807250B283D12217731A44E49317BA8C9296B0F862BE40FBE573E0F2550D", "https://baanknet.com/view-property/251498/E69B807250B283D12217731A44E49317BA8C9296B0F862BE40FBE573E0F2550D")</f>
        <v>https://baanknet.com/view-property/251498/E69B807250B283D12217731A44E49317BA8C9296B0F862BE40FBE573E0F2550D</v>
      </c>
      <c r="I6118" t="str">
        <f>HYPERLINK("https://baanknet.com/view-property/251498/E69B807250B283D12217731A44E49317BA8C9296B0F862BE40FBE573E0F2550D", "Open")</f>
        <v>Open</v>
      </c>
      <c r="J6118" t="s">
        <v>3803</v>
      </c>
      <c r="L6118">
        <v>1980000</v>
      </c>
      <c r="M6118">
        <v>198000</v>
      </c>
    </row>
    <row r="6119" spans="1:13" x14ac:dyDescent="0.25">
      <c r="A6119" t="s">
        <v>20214</v>
      </c>
      <c r="B6119" t="s">
        <v>20215</v>
      </c>
      <c r="C6119" t="s">
        <v>589</v>
      </c>
      <c r="D6119" t="s">
        <v>20216</v>
      </c>
      <c r="E6119" t="s">
        <v>19824</v>
      </c>
      <c r="F6119" t="s">
        <v>19553</v>
      </c>
      <c r="G6119" t="s">
        <v>20217</v>
      </c>
      <c r="H6119" t="str">
        <f>HYPERLINK("https://baanknet.com/view-property/239879/7CE5A33344C4477745CB5B186ED15DE2E010510CB899BC13E6D768F1166FD920", "https://baanknet.com/view-property/239879/7CE5A33344C4477745CB5B186ED15DE2E010510CB899BC13E6D768F1166FD920")</f>
        <v>https://baanknet.com/view-property/239879/7CE5A33344C4477745CB5B186ED15DE2E010510CB899BC13E6D768F1166FD920</v>
      </c>
      <c r="I6119" t="str">
        <f>HYPERLINK("https://baanknet.com/view-property/239879/7CE5A33344C4477745CB5B186ED15DE2E010510CB899BC13E6D768F1166FD920", "Open")</f>
        <v>Open</v>
      </c>
      <c r="J6119" t="s">
        <v>3803</v>
      </c>
      <c r="L6119">
        <v>1728000</v>
      </c>
      <c r="M6119">
        <v>172800</v>
      </c>
    </row>
    <row r="6120" spans="1:13" x14ac:dyDescent="0.25">
      <c r="A6120" t="s">
        <v>20218</v>
      </c>
      <c r="B6120" t="s">
        <v>20219</v>
      </c>
      <c r="C6120" t="s">
        <v>589</v>
      </c>
      <c r="D6120" t="s">
        <v>4095</v>
      </c>
      <c r="E6120" t="s">
        <v>19824</v>
      </c>
      <c r="F6120" t="s">
        <v>19553</v>
      </c>
      <c r="G6120" t="s">
        <v>20220</v>
      </c>
      <c r="H6120" t="str">
        <f>HYPERLINK("https://baanknet.com/view-property/262419/63CD1B78321F9D20E5D901AA76F6C85F00DF4E06E9B11E02FAC1459221485D6D", "https://baanknet.com/view-property/262419/63CD1B78321F9D20E5D901AA76F6C85F00DF4E06E9B11E02FAC1459221485D6D")</f>
        <v>https://baanknet.com/view-property/262419/63CD1B78321F9D20E5D901AA76F6C85F00DF4E06E9B11E02FAC1459221485D6D</v>
      </c>
      <c r="I6120" t="str">
        <f>HYPERLINK("https://baanknet.com/view-property/262419/63CD1B78321F9D20E5D901AA76F6C85F00DF4E06E9B11E02FAC1459221485D6D", "Open")</f>
        <v>Open</v>
      </c>
      <c r="J6120" t="s">
        <v>3803</v>
      </c>
      <c r="L6120">
        <v>2007000</v>
      </c>
      <c r="M6120">
        <v>200700</v>
      </c>
    </row>
    <row r="6121" spans="1:13" x14ac:dyDescent="0.25">
      <c r="A6121" t="s">
        <v>20221</v>
      </c>
      <c r="B6121" t="s">
        <v>20222</v>
      </c>
      <c r="C6121" t="s">
        <v>589</v>
      </c>
      <c r="D6121" t="s">
        <v>4799</v>
      </c>
      <c r="E6121" t="s">
        <v>19824</v>
      </c>
      <c r="F6121" t="s">
        <v>19553</v>
      </c>
      <c r="G6121" t="s">
        <v>20223</v>
      </c>
      <c r="H6121" t="str">
        <f>HYPERLINK("https://baanknet.com/view-property/239889/1009F75D8485BC15DD096E54B0AA6749459E869114D5FAEA8269F6931B1488CA", "https://baanknet.com/view-property/239889/1009F75D8485BC15DD096E54B0AA6749459E869114D5FAEA8269F6931B1488CA")</f>
        <v>https://baanknet.com/view-property/239889/1009F75D8485BC15DD096E54B0AA6749459E869114D5FAEA8269F6931B1488CA</v>
      </c>
      <c r="I6121" t="str">
        <f>HYPERLINK("https://baanknet.com/view-property/239889/1009F75D8485BC15DD096E54B0AA6749459E869114D5FAEA8269F6931B1488CA", "Open")</f>
        <v>Open</v>
      </c>
      <c r="J6121" t="s">
        <v>3803</v>
      </c>
      <c r="L6121">
        <v>1762000</v>
      </c>
      <c r="M6121">
        <v>176200</v>
      </c>
    </row>
    <row r="6122" spans="1:13" x14ac:dyDescent="0.25">
      <c r="A6122" t="s">
        <v>20224</v>
      </c>
      <c r="B6122" t="s">
        <v>20225</v>
      </c>
      <c r="C6122" t="s">
        <v>589</v>
      </c>
      <c r="D6122" t="s">
        <v>4095</v>
      </c>
      <c r="E6122" t="s">
        <v>19824</v>
      </c>
      <c r="F6122" t="s">
        <v>19553</v>
      </c>
      <c r="G6122" t="s">
        <v>20226</v>
      </c>
      <c r="H6122" t="str">
        <f>HYPERLINK("https://baanknet.com/view-property/222675/9FF0F144195B07F80911D45823BB1CC858ACC29A23D614058E9C863A96E88BC9", "https://baanknet.com/view-property/222675/9FF0F144195B07F80911D45823BB1CC858ACC29A23D614058E9C863A96E88BC9")</f>
        <v>https://baanknet.com/view-property/222675/9FF0F144195B07F80911D45823BB1CC858ACC29A23D614058E9C863A96E88BC9</v>
      </c>
      <c r="I6122" t="str">
        <f>HYPERLINK("https://baanknet.com/view-property/222675/9FF0F144195B07F80911D45823BB1CC858ACC29A23D614058E9C863A96E88BC9", "Open")</f>
        <v>Open</v>
      </c>
      <c r="J6122" t="s">
        <v>3803</v>
      </c>
      <c r="L6122">
        <v>2787000</v>
      </c>
      <c r="M6122">
        <v>278700</v>
      </c>
    </row>
    <row r="6123" spans="1:13" x14ac:dyDescent="0.25">
      <c r="A6123" t="s">
        <v>20227</v>
      </c>
      <c r="B6123" t="s">
        <v>20228</v>
      </c>
      <c r="C6123" t="s">
        <v>589</v>
      </c>
      <c r="D6123" t="s">
        <v>4799</v>
      </c>
      <c r="E6123" t="s">
        <v>19824</v>
      </c>
      <c r="F6123" t="s">
        <v>19553</v>
      </c>
      <c r="G6123" t="s">
        <v>20229</v>
      </c>
      <c r="H6123" t="str">
        <f>HYPERLINK("https://baanknet.com/view-property/239883/6DC69A36C9B6914F2ADAF0A29D4B36F2B719C5E678B8D190AA26F70D2D0648EA", "https://baanknet.com/view-property/239883/6DC69A36C9B6914F2ADAF0A29D4B36F2B719C5E678B8D190AA26F70D2D0648EA")</f>
        <v>https://baanknet.com/view-property/239883/6DC69A36C9B6914F2ADAF0A29D4B36F2B719C5E678B8D190AA26F70D2D0648EA</v>
      </c>
      <c r="I6123" t="str">
        <f>HYPERLINK("https://baanknet.com/view-property/239883/6DC69A36C9B6914F2ADAF0A29D4B36F2B719C5E678B8D190AA26F70D2D0648EA", "Open")</f>
        <v>Open</v>
      </c>
      <c r="J6123" t="s">
        <v>3803</v>
      </c>
      <c r="L6123">
        <v>1463000</v>
      </c>
      <c r="M6123">
        <v>146300</v>
      </c>
    </row>
    <row r="6124" spans="1:13" x14ac:dyDescent="0.25">
      <c r="A6124" t="s">
        <v>20230</v>
      </c>
      <c r="B6124" t="s">
        <v>20231</v>
      </c>
      <c r="C6124" t="s">
        <v>589</v>
      </c>
      <c r="D6124" t="s">
        <v>20084</v>
      </c>
      <c r="E6124" t="s">
        <v>19824</v>
      </c>
      <c r="F6124" t="s">
        <v>19553</v>
      </c>
      <c r="G6124" t="s">
        <v>20232</v>
      </c>
      <c r="H6124" t="str">
        <f>HYPERLINK("https://baanknet.com/view-property/287800/A301E45B6F7D2D6FF1FE125CD7F97226B65303E4B6FFEC409AE227843D7A14FA", "https://baanknet.com/view-property/287800/A301E45B6F7D2D6FF1FE125CD7F97226B65303E4B6FFEC409AE227843D7A14FA")</f>
        <v>https://baanknet.com/view-property/287800/A301E45B6F7D2D6FF1FE125CD7F97226B65303E4B6FFEC409AE227843D7A14FA</v>
      </c>
      <c r="I6124" t="str">
        <f>HYPERLINK("https://baanknet.com/view-property/287800/A301E45B6F7D2D6FF1FE125CD7F97226B65303E4B6FFEC409AE227843D7A14FA", "Open")</f>
        <v>Open</v>
      </c>
      <c r="J6124" t="s">
        <v>3803</v>
      </c>
      <c r="L6124">
        <v>738000</v>
      </c>
      <c r="M6124">
        <v>73800</v>
      </c>
    </row>
    <row r="6125" spans="1:13" x14ac:dyDescent="0.25">
      <c r="A6125" t="s">
        <v>20233</v>
      </c>
      <c r="B6125" t="s">
        <v>20234</v>
      </c>
      <c r="C6125" t="s">
        <v>589</v>
      </c>
      <c r="D6125" t="s">
        <v>20235</v>
      </c>
      <c r="E6125" t="s">
        <v>19824</v>
      </c>
      <c r="F6125" t="s">
        <v>19553</v>
      </c>
      <c r="G6125" t="s">
        <v>20236</v>
      </c>
      <c r="H6125" t="str">
        <f>HYPERLINK("https://baanknet.com/view-property/277218/7610C93902A12AD0148240B55256975214C78D4E0F5268E8340FD50A805A2213", "https://baanknet.com/view-property/277218/7610C93902A12AD0148240B55256975214C78D4E0F5268E8340FD50A805A2213")</f>
        <v>https://baanknet.com/view-property/277218/7610C93902A12AD0148240B55256975214C78D4E0F5268E8340FD50A805A2213</v>
      </c>
      <c r="I6125" t="str">
        <f>HYPERLINK("https://baanknet.com/view-property/277218/7610C93902A12AD0148240B55256975214C78D4E0F5268E8340FD50A805A2213", "Open")</f>
        <v>Open</v>
      </c>
      <c r="J6125" t="s">
        <v>3803</v>
      </c>
      <c r="L6125">
        <v>3825000</v>
      </c>
      <c r="M6125">
        <v>382500</v>
      </c>
    </row>
    <row r="6126" spans="1:13" x14ac:dyDescent="0.25">
      <c r="A6126" t="s">
        <v>20237</v>
      </c>
      <c r="B6126" t="s">
        <v>20238</v>
      </c>
      <c r="C6126" t="s">
        <v>589</v>
      </c>
      <c r="D6126" t="s">
        <v>1896</v>
      </c>
      <c r="E6126" t="s">
        <v>19824</v>
      </c>
      <c r="F6126" t="s">
        <v>19553</v>
      </c>
      <c r="G6126" t="s">
        <v>20239</v>
      </c>
      <c r="H6126" t="str">
        <f>HYPERLINK("https://baanknet.com/view-property/283931/3B150BFCD15AF4363A2FAD3A327E279007EE47FBF57C65E0956C6A50CC108605", "https://baanknet.com/view-property/283931/3B150BFCD15AF4363A2FAD3A327E279007EE47FBF57C65E0956C6A50CC108605")</f>
        <v>https://baanknet.com/view-property/283931/3B150BFCD15AF4363A2FAD3A327E279007EE47FBF57C65E0956C6A50CC108605</v>
      </c>
      <c r="I6126" t="str">
        <f>HYPERLINK("https://baanknet.com/view-property/283931/3B150BFCD15AF4363A2FAD3A327E279007EE47FBF57C65E0956C6A50CC108605", "Open")</f>
        <v>Open</v>
      </c>
      <c r="J6126" t="s">
        <v>3803</v>
      </c>
      <c r="L6126">
        <v>5910000</v>
      </c>
      <c r="M6126">
        <v>591000</v>
      </c>
    </row>
    <row r="6127" spans="1:13" x14ac:dyDescent="0.25">
      <c r="A6127" t="s">
        <v>20240</v>
      </c>
      <c r="B6127" t="s">
        <v>20241</v>
      </c>
      <c r="C6127" t="s">
        <v>589</v>
      </c>
      <c r="D6127" t="s">
        <v>1896</v>
      </c>
      <c r="E6127" t="s">
        <v>19824</v>
      </c>
      <c r="F6127" t="s">
        <v>19553</v>
      </c>
      <c r="G6127" t="s">
        <v>20242</v>
      </c>
      <c r="H6127" t="str">
        <f>HYPERLINK("https://baanknet.com/view-property/287846/7360D00831490C2606CFC427D71A4FA075774416A585006690C56E3796FAB3C0", "https://baanknet.com/view-property/287846/7360D00831490C2606CFC427D71A4FA075774416A585006690C56E3796FAB3C0")</f>
        <v>https://baanknet.com/view-property/287846/7360D00831490C2606CFC427D71A4FA075774416A585006690C56E3796FAB3C0</v>
      </c>
      <c r="I6127" t="str">
        <f>HYPERLINK("https://baanknet.com/view-property/287846/7360D00831490C2606CFC427D71A4FA075774416A585006690C56E3796FAB3C0", "Open")</f>
        <v>Open</v>
      </c>
      <c r="J6127" t="s">
        <v>3803</v>
      </c>
      <c r="L6127">
        <v>3726000</v>
      </c>
      <c r="M6127">
        <v>372600</v>
      </c>
    </row>
    <row r="6128" spans="1:13" x14ac:dyDescent="0.25">
      <c r="A6128" t="s">
        <v>20243</v>
      </c>
      <c r="B6128" t="s">
        <v>20244</v>
      </c>
      <c r="C6128" t="s">
        <v>589</v>
      </c>
      <c r="D6128" t="s">
        <v>1751</v>
      </c>
      <c r="E6128" t="s">
        <v>19824</v>
      </c>
      <c r="F6128" t="s">
        <v>19553</v>
      </c>
      <c r="G6128" t="s">
        <v>20245</v>
      </c>
      <c r="H6128" t="str">
        <f>HYPERLINK("https://baanknet.com/view-property/287847/AACC35EC4E58456B9C071805327357D3E61BEBF23AC0704E7113929BCEEEBF5B", "https://baanknet.com/view-property/287847/AACC35EC4E58456B9C071805327357D3E61BEBF23AC0704E7113929BCEEEBF5B")</f>
        <v>https://baanknet.com/view-property/287847/AACC35EC4E58456B9C071805327357D3E61BEBF23AC0704E7113929BCEEEBF5B</v>
      </c>
      <c r="I6128" t="str">
        <f>HYPERLINK("https://baanknet.com/view-property/287847/AACC35EC4E58456B9C071805327357D3E61BEBF23AC0704E7113929BCEEEBF5B", "Open")</f>
        <v>Open</v>
      </c>
      <c r="J6128" t="s">
        <v>3803</v>
      </c>
      <c r="L6128">
        <v>3816000</v>
      </c>
      <c r="M6128">
        <v>381600</v>
      </c>
    </row>
    <row r="6129" spans="1:13" x14ac:dyDescent="0.25">
      <c r="A6129" t="s">
        <v>20246</v>
      </c>
      <c r="B6129" t="s">
        <v>20247</v>
      </c>
      <c r="C6129" t="s">
        <v>589</v>
      </c>
      <c r="D6129" t="s">
        <v>1751</v>
      </c>
      <c r="E6129" t="s">
        <v>19824</v>
      </c>
      <c r="F6129" t="s">
        <v>19553</v>
      </c>
      <c r="G6129" t="s">
        <v>20248</v>
      </c>
      <c r="H6129" t="str">
        <f>HYPERLINK("https://baanknet.com/view-property/287839/CFA5DDCF48D41E8142A50900D1B8BD971EB59EC8D11F4C01A798B5808C60A858", "https://baanknet.com/view-property/287839/CFA5DDCF48D41E8142A50900D1B8BD971EB59EC8D11F4C01A798B5808C60A858")</f>
        <v>https://baanknet.com/view-property/287839/CFA5DDCF48D41E8142A50900D1B8BD971EB59EC8D11F4C01A798B5808C60A858</v>
      </c>
      <c r="I6129" t="str">
        <f>HYPERLINK("https://baanknet.com/view-property/287839/CFA5DDCF48D41E8142A50900D1B8BD971EB59EC8D11F4C01A798B5808C60A858", "Open")</f>
        <v>Open</v>
      </c>
      <c r="J6129" t="s">
        <v>3803</v>
      </c>
      <c r="L6129">
        <v>599000</v>
      </c>
      <c r="M6129">
        <v>59900</v>
      </c>
    </row>
    <row r="6130" spans="1:13" x14ac:dyDescent="0.25">
      <c r="A6130" t="s">
        <v>20249</v>
      </c>
      <c r="B6130" t="s">
        <v>20250</v>
      </c>
      <c r="C6130" t="s">
        <v>589</v>
      </c>
      <c r="D6130" t="s">
        <v>950</v>
      </c>
      <c r="E6130" t="s">
        <v>19824</v>
      </c>
      <c r="F6130" t="s">
        <v>19553</v>
      </c>
      <c r="G6130" t="s">
        <v>20251</v>
      </c>
      <c r="H6130" t="str">
        <f>HYPERLINK("https://baanknet.com/view-property/287734/596E094F09C32939E06C0796C7E27B8C5029C7998C89622CBF42E14B0557BB79", "https://baanknet.com/view-property/287734/596E094F09C32939E06C0796C7E27B8C5029C7998C89622CBF42E14B0557BB79")</f>
        <v>https://baanknet.com/view-property/287734/596E094F09C32939E06C0796C7E27B8C5029C7998C89622CBF42E14B0557BB79</v>
      </c>
      <c r="I6130" t="str">
        <f>HYPERLINK("https://baanknet.com/view-property/287734/596E094F09C32939E06C0796C7E27B8C5029C7998C89622CBF42E14B0557BB79", "Open")</f>
        <v>Open</v>
      </c>
      <c r="J6130" t="s">
        <v>3803</v>
      </c>
      <c r="L6130">
        <v>1888000</v>
      </c>
      <c r="M6130">
        <v>188800</v>
      </c>
    </row>
    <row r="6131" spans="1:13" x14ac:dyDescent="0.25">
      <c r="A6131" t="s">
        <v>20252</v>
      </c>
      <c r="B6131" t="s">
        <v>20253</v>
      </c>
      <c r="C6131" t="s">
        <v>589</v>
      </c>
      <c r="D6131" t="s">
        <v>4587</v>
      </c>
      <c r="E6131" t="s">
        <v>19824</v>
      </c>
      <c r="F6131" t="s">
        <v>19553</v>
      </c>
      <c r="G6131" t="s">
        <v>20254</v>
      </c>
      <c r="H6131" t="str">
        <f>HYPERLINK("https://baanknet.com/view-property/221487/3FFFCB359E4B815F3BD7B1C861095674E18BD3CC3068061C1118FCE2BD2785D3", "https://baanknet.com/view-property/221487/3FFFCB359E4B815F3BD7B1C861095674E18BD3CC3068061C1118FCE2BD2785D3")</f>
        <v>https://baanknet.com/view-property/221487/3FFFCB359E4B815F3BD7B1C861095674E18BD3CC3068061C1118FCE2BD2785D3</v>
      </c>
      <c r="I6131" t="str">
        <f>HYPERLINK("https://baanknet.com/view-property/221487/3FFFCB359E4B815F3BD7B1C861095674E18BD3CC3068061C1118FCE2BD2785D3", "Open")</f>
        <v>Open</v>
      </c>
      <c r="J6131" t="s">
        <v>3803</v>
      </c>
      <c r="L6131">
        <v>3813000</v>
      </c>
      <c r="M6131">
        <v>381300</v>
      </c>
    </row>
    <row r="6132" spans="1:13" x14ac:dyDescent="0.25">
      <c r="A6132" t="s">
        <v>20255</v>
      </c>
      <c r="B6132" t="s">
        <v>20256</v>
      </c>
      <c r="C6132" t="s">
        <v>589</v>
      </c>
      <c r="D6132" t="s">
        <v>4471</v>
      </c>
      <c r="E6132" t="s">
        <v>19824</v>
      </c>
      <c r="F6132" t="s">
        <v>19553</v>
      </c>
      <c r="G6132" t="s">
        <v>20257</v>
      </c>
      <c r="H6132" t="str">
        <f>HYPERLINK("https://baanknet.com/view-property/80564/617BA18191F9B4A601367521259468A4750532ED45BD36FE9D7984144D923665", "https://baanknet.com/view-property/80564/617BA18191F9B4A601367521259468A4750532ED45BD36FE9D7984144D923665")</f>
        <v>https://baanknet.com/view-property/80564/617BA18191F9B4A601367521259468A4750532ED45BD36FE9D7984144D923665</v>
      </c>
      <c r="I6132" t="str">
        <f>HYPERLINK("https://baanknet.com/view-property/80564/617BA18191F9B4A601367521259468A4750532ED45BD36FE9D7984144D923665", "Open")</f>
        <v>Open</v>
      </c>
      <c r="J6132" t="s">
        <v>3803</v>
      </c>
      <c r="L6132">
        <v>3103000</v>
      </c>
      <c r="M6132">
        <v>310300</v>
      </c>
    </row>
    <row r="6133" spans="1:13" x14ac:dyDescent="0.25">
      <c r="A6133" t="s">
        <v>20258</v>
      </c>
      <c r="B6133" t="s">
        <v>20259</v>
      </c>
      <c r="C6133" t="s">
        <v>589</v>
      </c>
      <c r="D6133" t="s">
        <v>4471</v>
      </c>
      <c r="E6133" t="s">
        <v>19824</v>
      </c>
      <c r="F6133" t="s">
        <v>19553</v>
      </c>
      <c r="G6133" t="s">
        <v>20260</v>
      </c>
      <c r="H6133" t="str">
        <f>HYPERLINK("https://baanknet.com/view-property/78218/3DF76897BA7723171BC3C3B64E1BCAB611F047EC8F3D167FB38379FAAD9653A4", "https://baanknet.com/view-property/78218/3DF76897BA7723171BC3C3B64E1BCAB611F047EC8F3D167FB38379FAAD9653A4")</f>
        <v>https://baanknet.com/view-property/78218/3DF76897BA7723171BC3C3B64E1BCAB611F047EC8F3D167FB38379FAAD9653A4</v>
      </c>
      <c r="I6133" t="str">
        <f>HYPERLINK("https://baanknet.com/view-property/78218/3DF76897BA7723171BC3C3B64E1BCAB611F047EC8F3D167FB38379FAAD9653A4", "Open")</f>
        <v>Open</v>
      </c>
      <c r="J6133" t="s">
        <v>3803</v>
      </c>
      <c r="L6133">
        <v>2195000</v>
      </c>
      <c r="M6133">
        <v>219500</v>
      </c>
    </row>
    <row r="6134" spans="1:13" x14ac:dyDescent="0.25">
      <c r="A6134" t="s">
        <v>20261</v>
      </c>
      <c r="B6134" t="s">
        <v>20262</v>
      </c>
      <c r="C6134" t="s">
        <v>589</v>
      </c>
      <c r="D6134" t="s">
        <v>5193</v>
      </c>
      <c r="E6134" t="s">
        <v>19824</v>
      </c>
      <c r="F6134" t="s">
        <v>19553</v>
      </c>
      <c r="G6134" t="s">
        <v>20263</v>
      </c>
      <c r="H6134" t="str">
        <f>HYPERLINK("https://baanknet.com/view-property/284919/10F415CC26A0F3844A5E4AB7E2133108C46A93536A50694CAC44ABE62CE8E651", "https://baanknet.com/view-property/284919/10F415CC26A0F3844A5E4AB7E2133108C46A93536A50694CAC44ABE62CE8E651")</f>
        <v>https://baanknet.com/view-property/284919/10F415CC26A0F3844A5E4AB7E2133108C46A93536A50694CAC44ABE62CE8E651</v>
      </c>
      <c r="I6134" t="str">
        <f>HYPERLINK("https://baanknet.com/view-property/284919/10F415CC26A0F3844A5E4AB7E2133108C46A93536A50694CAC44ABE62CE8E651", "Open")</f>
        <v>Open</v>
      </c>
      <c r="J6134" t="s">
        <v>3803</v>
      </c>
      <c r="L6134">
        <v>1625000</v>
      </c>
      <c r="M6134">
        <v>162500</v>
      </c>
    </row>
    <row r="6135" spans="1:13" x14ac:dyDescent="0.25">
      <c r="A6135" t="s">
        <v>20264</v>
      </c>
      <c r="B6135" t="s">
        <v>20265</v>
      </c>
      <c r="C6135" t="s">
        <v>589</v>
      </c>
      <c r="D6135" t="s">
        <v>5193</v>
      </c>
      <c r="E6135" t="s">
        <v>19824</v>
      </c>
      <c r="F6135" t="s">
        <v>19553</v>
      </c>
      <c r="G6135" t="s">
        <v>20266</v>
      </c>
      <c r="H6135" t="str">
        <f>HYPERLINK("https://baanknet.com/view-property/222782/E2D2C0F13582582572F2F187AAD2E06407D0CF51F62C5E90D44C1708B47CD186", "https://baanknet.com/view-property/222782/E2D2C0F13582582572F2F187AAD2E06407D0CF51F62C5E90D44C1708B47CD186")</f>
        <v>https://baanknet.com/view-property/222782/E2D2C0F13582582572F2F187AAD2E06407D0CF51F62C5E90D44C1708B47CD186</v>
      </c>
      <c r="I6135" t="str">
        <f>HYPERLINK("https://baanknet.com/view-property/222782/E2D2C0F13582582572F2F187AAD2E06407D0CF51F62C5E90D44C1708B47CD186", "Open")</f>
        <v>Open</v>
      </c>
      <c r="J6135" t="s">
        <v>3803</v>
      </c>
      <c r="L6135">
        <v>2499000</v>
      </c>
      <c r="M6135">
        <v>249900</v>
      </c>
    </row>
    <row r="6136" spans="1:13" x14ac:dyDescent="0.25">
      <c r="A6136" t="s">
        <v>20267</v>
      </c>
      <c r="B6136" t="s">
        <v>20268</v>
      </c>
      <c r="C6136" t="s">
        <v>589</v>
      </c>
      <c r="D6136" t="s">
        <v>4921</v>
      </c>
      <c r="E6136" t="s">
        <v>19824</v>
      </c>
      <c r="F6136" t="s">
        <v>19553</v>
      </c>
      <c r="G6136" t="s">
        <v>20269</v>
      </c>
      <c r="H6136" t="str">
        <f>HYPERLINK("https://baanknet.com/view-property/284901/DEC2AEF87639A12E671F4E2723E8C699218D7B0AE2B53BDBCA26F3648AC32E37", "https://baanknet.com/view-property/284901/DEC2AEF87639A12E671F4E2723E8C699218D7B0AE2B53BDBCA26F3648AC32E37")</f>
        <v>https://baanknet.com/view-property/284901/DEC2AEF87639A12E671F4E2723E8C699218D7B0AE2B53BDBCA26F3648AC32E37</v>
      </c>
      <c r="I6136" t="str">
        <f>HYPERLINK("https://baanknet.com/view-property/284901/DEC2AEF87639A12E671F4E2723E8C699218D7B0AE2B53BDBCA26F3648AC32E37", "Open")</f>
        <v>Open</v>
      </c>
      <c r="J6136" t="s">
        <v>3803</v>
      </c>
      <c r="L6136">
        <v>3025000</v>
      </c>
      <c r="M6136">
        <v>302500</v>
      </c>
    </row>
    <row r="6137" spans="1:13" x14ac:dyDescent="0.25">
      <c r="A6137" t="s">
        <v>20270</v>
      </c>
      <c r="B6137" t="s">
        <v>20271</v>
      </c>
      <c r="C6137" t="s">
        <v>589</v>
      </c>
      <c r="D6137" t="s">
        <v>4471</v>
      </c>
      <c r="E6137" t="s">
        <v>19824</v>
      </c>
      <c r="F6137" t="s">
        <v>19553</v>
      </c>
      <c r="G6137" t="s">
        <v>20272</v>
      </c>
      <c r="H6137" t="str">
        <f>HYPERLINK("https://baanknet.com/view-property/284911/2F1991AD7170CC2E832B4B6CE59844DCE3D2E32D873DDE37439B99988E5E83BF", "https://baanknet.com/view-property/284911/2F1991AD7170CC2E832B4B6CE59844DCE3D2E32D873DDE37439B99988E5E83BF")</f>
        <v>https://baanknet.com/view-property/284911/2F1991AD7170CC2E832B4B6CE59844DCE3D2E32D873DDE37439B99988E5E83BF</v>
      </c>
      <c r="I6137" t="str">
        <f>HYPERLINK("https://baanknet.com/view-property/284911/2F1991AD7170CC2E832B4B6CE59844DCE3D2E32D873DDE37439B99988E5E83BF", "Open")</f>
        <v>Open</v>
      </c>
      <c r="J6137" t="s">
        <v>3803</v>
      </c>
      <c r="L6137">
        <v>2850000</v>
      </c>
      <c r="M6137">
        <v>285000</v>
      </c>
    </row>
    <row r="6138" spans="1:13" x14ac:dyDescent="0.25">
      <c r="A6138" t="s">
        <v>20273</v>
      </c>
      <c r="B6138" t="s">
        <v>20274</v>
      </c>
      <c r="C6138" t="s">
        <v>589</v>
      </c>
      <c r="D6138" t="s">
        <v>20216</v>
      </c>
      <c r="E6138" t="s">
        <v>19824</v>
      </c>
      <c r="F6138" t="s">
        <v>19553</v>
      </c>
      <c r="G6138" t="s">
        <v>20275</v>
      </c>
      <c r="H6138" t="str">
        <f>HYPERLINK("https://baanknet.com/view-property/284922/EB82CD48F12BF268AAB07918BEA6A2DC39BD8E366AE2597823646A335ED1B543", "https://baanknet.com/view-property/284922/EB82CD48F12BF268AAB07918BEA6A2DC39BD8E366AE2597823646A335ED1B543")</f>
        <v>https://baanknet.com/view-property/284922/EB82CD48F12BF268AAB07918BEA6A2DC39BD8E366AE2597823646A335ED1B543</v>
      </c>
      <c r="I6138" t="str">
        <f>HYPERLINK("https://baanknet.com/view-property/284922/EB82CD48F12BF268AAB07918BEA6A2DC39BD8E366AE2597823646A335ED1B543", "Open")</f>
        <v>Open</v>
      </c>
      <c r="J6138" t="s">
        <v>3803</v>
      </c>
      <c r="L6138">
        <v>1600000</v>
      </c>
      <c r="M6138">
        <v>160000</v>
      </c>
    </row>
    <row r="6139" spans="1:13" x14ac:dyDescent="0.25">
      <c r="A6139" t="s">
        <v>20276</v>
      </c>
      <c r="B6139" t="s">
        <v>20277</v>
      </c>
      <c r="C6139" t="s">
        <v>589</v>
      </c>
      <c r="D6139" t="s">
        <v>1003</v>
      </c>
      <c r="E6139" t="s">
        <v>19824</v>
      </c>
      <c r="F6139" t="s">
        <v>19553</v>
      </c>
      <c r="G6139" t="s">
        <v>20278</v>
      </c>
      <c r="H6139" t="str">
        <f>HYPERLINK("https://baanknet.com/view-property/222342/AF4D281CEDB66638F2F379689FC21D7FBE8FFC581648D800BC5B2462F36B9BD9", "https://baanknet.com/view-property/222342/AF4D281CEDB66638F2F379689FC21D7FBE8FFC581648D800BC5B2462F36B9BD9")</f>
        <v>https://baanknet.com/view-property/222342/AF4D281CEDB66638F2F379689FC21D7FBE8FFC581648D800BC5B2462F36B9BD9</v>
      </c>
      <c r="I6139" t="str">
        <f>HYPERLINK("https://baanknet.com/view-property/222342/AF4D281CEDB66638F2F379689FC21D7FBE8FFC581648D800BC5B2462F36B9BD9", "Open")</f>
        <v>Open</v>
      </c>
      <c r="J6139" t="s">
        <v>3803</v>
      </c>
      <c r="L6139">
        <v>2851000</v>
      </c>
      <c r="M6139">
        <v>285100</v>
      </c>
    </row>
    <row r="6140" spans="1:13" x14ac:dyDescent="0.25">
      <c r="A6140" t="s">
        <v>20279</v>
      </c>
      <c r="B6140" t="s">
        <v>20280</v>
      </c>
      <c r="C6140" t="s">
        <v>589</v>
      </c>
      <c r="D6140" t="s">
        <v>4095</v>
      </c>
      <c r="E6140" t="s">
        <v>19824</v>
      </c>
      <c r="F6140" t="s">
        <v>19553</v>
      </c>
      <c r="G6140" t="s">
        <v>20281</v>
      </c>
      <c r="H6140" t="str">
        <f>HYPERLINK("https://baanknet.com/view-property/287822/599304959BFF41EA0F9AD0F21B760D61EF0608FB46AAB82BEB91550C7C8D9EB4", "https://baanknet.com/view-property/287822/599304959BFF41EA0F9AD0F21B760D61EF0608FB46AAB82BEB91550C7C8D9EB4")</f>
        <v>https://baanknet.com/view-property/287822/599304959BFF41EA0F9AD0F21B760D61EF0608FB46AAB82BEB91550C7C8D9EB4</v>
      </c>
      <c r="I6140" t="str">
        <f>HYPERLINK("https://baanknet.com/view-property/287822/599304959BFF41EA0F9AD0F21B760D61EF0608FB46AAB82BEB91550C7C8D9EB4", "Open")</f>
        <v>Open</v>
      </c>
      <c r="J6140" t="s">
        <v>3803</v>
      </c>
      <c r="L6140">
        <v>1876000</v>
      </c>
      <c r="M6140">
        <v>187600</v>
      </c>
    </row>
    <row r="6141" spans="1:13" x14ac:dyDescent="0.25">
      <c r="A6141" t="s">
        <v>20282</v>
      </c>
      <c r="B6141" t="s">
        <v>20283</v>
      </c>
      <c r="C6141" t="s">
        <v>589</v>
      </c>
      <c r="D6141" t="s">
        <v>4471</v>
      </c>
      <c r="E6141" t="s">
        <v>19824</v>
      </c>
      <c r="F6141" t="s">
        <v>19553</v>
      </c>
      <c r="G6141" t="s">
        <v>20284</v>
      </c>
      <c r="H6141" t="str">
        <f>HYPERLINK("https://baanknet.com/view-property/287870/079CD6B072BFEF31967B936749D4B648C140DAA214A21E16D1B2D791F45B72CB", "https://baanknet.com/view-property/287870/079CD6B072BFEF31967B936749D4B648C140DAA214A21E16D1B2D791F45B72CB")</f>
        <v>https://baanknet.com/view-property/287870/079CD6B072BFEF31967B936749D4B648C140DAA214A21E16D1B2D791F45B72CB</v>
      </c>
      <c r="I6141" t="str">
        <f>HYPERLINK("https://baanknet.com/view-property/287870/079CD6B072BFEF31967B936749D4B648C140DAA214A21E16D1B2D791F45B72CB", "Open")</f>
        <v>Open</v>
      </c>
      <c r="J6141" t="s">
        <v>3803</v>
      </c>
      <c r="L6141">
        <v>6230000</v>
      </c>
      <c r="M6141">
        <v>623000</v>
      </c>
    </row>
    <row r="6142" spans="1:13" x14ac:dyDescent="0.25">
      <c r="A6142" t="s">
        <v>20285</v>
      </c>
      <c r="B6142" t="s">
        <v>20286</v>
      </c>
      <c r="C6142" t="s">
        <v>589</v>
      </c>
      <c r="D6142" t="s">
        <v>4471</v>
      </c>
      <c r="E6142" t="s">
        <v>19824</v>
      </c>
      <c r="F6142" t="s">
        <v>19553</v>
      </c>
      <c r="G6142" t="s">
        <v>20287</v>
      </c>
      <c r="H6142" t="str">
        <f>HYPERLINK("https://baanknet.com/view-property/287905/04AEE46C1451835B3363022B91FB485F1198D63BF86FACE7C9D16C684DBDCF14", "https://baanknet.com/view-property/287905/04AEE46C1451835B3363022B91FB485F1198D63BF86FACE7C9D16C684DBDCF14")</f>
        <v>https://baanknet.com/view-property/287905/04AEE46C1451835B3363022B91FB485F1198D63BF86FACE7C9D16C684DBDCF14</v>
      </c>
      <c r="I6142" t="str">
        <f>HYPERLINK("https://baanknet.com/view-property/287905/04AEE46C1451835B3363022B91FB485F1198D63BF86FACE7C9D16C684DBDCF14", "Open")</f>
        <v>Open</v>
      </c>
      <c r="J6142" t="s">
        <v>3803</v>
      </c>
      <c r="L6142">
        <v>2163000</v>
      </c>
      <c r="M6142">
        <v>216300</v>
      </c>
    </row>
    <row r="6143" spans="1:13" x14ac:dyDescent="0.25">
      <c r="A6143" t="s">
        <v>20288</v>
      </c>
      <c r="B6143" t="s">
        <v>20289</v>
      </c>
      <c r="C6143" t="s">
        <v>589</v>
      </c>
      <c r="D6143" t="s">
        <v>4471</v>
      </c>
      <c r="E6143" t="s">
        <v>19824</v>
      </c>
      <c r="F6143" t="s">
        <v>19553</v>
      </c>
      <c r="G6143" t="s">
        <v>20290</v>
      </c>
      <c r="H6143" t="str">
        <f>HYPERLINK("https://baanknet.com/view-property/12730/602AC2EF86968A15C6A600AD8831D866FCCFE93B21FC6B229A530140BAF43394", "https://baanknet.com/view-property/12730/602AC2EF86968A15C6A600AD8831D866FCCFE93B21FC6B229A530140BAF43394")</f>
        <v>https://baanknet.com/view-property/12730/602AC2EF86968A15C6A600AD8831D866FCCFE93B21FC6B229A530140BAF43394</v>
      </c>
      <c r="I6143" t="str">
        <f>HYPERLINK("https://baanknet.com/view-property/12730/602AC2EF86968A15C6A600AD8831D866FCCFE93B21FC6B229A530140BAF43394", "Open")</f>
        <v>Open</v>
      </c>
      <c r="J6143" t="s">
        <v>3803</v>
      </c>
      <c r="L6143">
        <v>2163000</v>
      </c>
      <c r="M6143">
        <v>216300</v>
      </c>
    </row>
    <row r="6144" spans="1:13" x14ac:dyDescent="0.25">
      <c r="A6144" t="s">
        <v>20291</v>
      </c>
      <c r="B6144" t="s">
        <v>20292</v>
      </c>
      <c r="C6144" t="s">
        <v>589</v>
      </c>
      <c r="D6144" t="s">
        <v>837</v>
      </c>
      <c r="E6144" t="s">
        <v>19824</v>
      </c>
      <c r="F6144" t="s">
        <v>19553</v>
      </c>
      <c r="G6144" t="s">
        <v>20293</v>
      </c>
      <c r="H6144" t="str">
        <f>HYPERLINK("https://baanknet.com/view-property/287844/4929CC89F5A0CD94523FC9668C1306EF0CE9966547CDEAC6CA2D9293A1E6A352", "https://baanknet.com/view-property/287844/4929CC89F5A0CD94523FC9668C1306EF0CE9966547CDEAC6CA2D9293A1E6A352")</f>
        <v>https://baanknet.com/view-property/287844/4929CC89F5A0CD94523FC9668C1306EF0CE9966547CDEAC6CA2D9293A1E6A352</v>
      </c>
      <c r="I6144" t="str">
        <f>HYPERLINK("https://baanknet.com/view-property/287844/4929CC89F5A0CD94523FC9668C1306EF0CE9966547CDEAC6CA2D9293A1E6A352", "Open")</f>
        <v>Open</v>
      </c>
      <c r="J6144" t="s">
        <v>3803</v>
      </c>
      <c r="L6144">
        <v>3061000</v>
      </c>
      <c r="M6144">
        <v>306100</v>
      </c>
    </row>
    <row r="6145" spans="1:13" x14ac:dyDescent="0.25">
      <c r="A6145" t="s">
        <v>20294</v>
      </c>
      <c r="B6145" t="s">
        <v>20295</v>
      </c>
      <c r="C6145" t="s">
        <v>589</v>
      </c>
      <c r="D6145" t="s">
        <v>6421</v>
      </c>
      <c r="E6145" t="s">
        <v>19824</v>
      </c>
      <c r="F6145" t="s">
        <v>19553</v>
      </c>
      <c r="G6145" t="s">
        <v>20296</v>
      </c>
      <c r="H6145" t="str">
        <f>HYPERLINK("https://baanknet.com/view-property/288052/2554C28FD32B22AF5A49D28A57A6054A9961C5079CD44CD09BD1125D3213F3DC", "https://baanknet.com/view-property/288052/2554C28FD32B22AF5A49D28A57A6054A9961C5079CD44CD09BD1125D3213F3DC")</f>
        <v>https://baanknet.com/view-property/288052/2554C28FD32B22AF5A49D28A57A6054A9961C5079CD44CD09BD1125D3213F3DC</v>
      </c>
      <c r="I6145" t="str">
        <f>HYPERLINK("https://baanknet.com/view-property/288052/2554C28FD32B22AF5A49D28A57A6054A9961C5079CD44CD09BD1125D3213F3DC", "Open")</f>
        <v>Open</v>
      </c>
      <c r="J6145" t="s">
        <v>3803</v>
      </c>
      <c r="L6145">
        <v>613000</v>
      </c>
      <c r="M6145">
        <v>61300</v>
      </c>
    </row>
    <row r="6146" spans="1:13" x14ac:dyDescent="0.25">
      <c r="A6146" t="s">
        <v>20297</v>
      </c>
      <c r="B6146" t="s">
        <v>20298</v>
      </c>
      <c r="C6146" t="s">
        <v>589</v>
      </c>
      <c r="D6146" t="s">
        <v>20299</v>
      </c>
      <c r="E6146" t="s">
        <v>19824</v>
      </c>
      <c r="F6146" t="s">
        <v>19553</v>
      </c>
      <c r="G6146" t="s">
        <v>20300</v>
      </c>
      <c r="H6146" t="str">
        <f>HYPERLINK("https://baanknet.com/view-property/216306/41144FAAC5F70D32A817A8CE68D4720256A98BED9A47724B1D8B716EBF54571C", "https://baanknet.com/view-property/216306/41144FAAC5F70D32A817A8CE68D4720256A98BED9A47724B1D8B716EBF54571C")</f>
        <v>https://baanknet.com/view-property/216306/41144FAAC5F70D32A817A8CE68D4720256A98BED9A47724B1D8B716EBF54571C</v>
      </c>
      <c r="I6146" t="str">
        <f>HYPERLINK("https://baanknet.com/view-property/216306/41144FAAC5F70D32A817A8CE68D4720256A98BED9A47724B1D8B716EBF54571C", "Open")</f>
        <v>Open</v>
      </c>
      <c r="J6146" t="s">
        <v>3803</v>
      </c>
      <c r="L6146">
        <v>1566000</v>
      </c>
      <c r="M6146">
        <v>156600</v>
      </c>
    </row>
    <row r="6147" spans="1:13" x14ac:dyDescent="0.25">
      <c r="A6147" t="s">
        <v>20301</v>
      </c>
      <c r="B6147" t="s">
        <v>20302</v>
      </c>
      <c r="C6147" t="s">
        <v>589</v>
      </c>
      <c r="D6147" t="s">
        <v>20299</v>
      </c>
      <c r="E6147" t="s">
        <v>19824</v>
      </c>
      <c r="F6147" t="s">
        <v>19553</v>
      </c>
      <c r="G6147" t="s">
        <v>20303</v>
      </c>
      <c r="H6147" t="str">
        <f>HYPERLINK("https://baanknet.com/view-property/216301/511562C6C880E1B8DBC7FDC86A85B25B393518465A5791611C5D20C1FFAAA639", "https://baanknet.com/view-property/216301/511562C6C880E1B8DBC7FDC86A85B25B393518465A5791611C5D20C1FFAAA639")</f>
        <v>https://baanknet.com/view-property/216301/511562C6C880E1B8DBC7FDC86A85B25B393518465A5791611C5D20C1FFAAA639</v>
      </c>
      <c r="I6147" t="str">
        <f>HYPERLINK("https://baanknet.com/view-property/216301/511562C6C880E1B8DBC7FDC86A85B25B393518465A5791611C5D20C1FFAAA639", "Open")</f>
        <v>Open</v>
      </c>
      <c r="J6147" t="s">
        <v>3803</v>
      </c>
      <c r="L6147">
        <v>1566000</v>
      </c>
      <c r="M6147">
        <v>156600</v>
      </c>
    </row>
    <row r="6148" spans="1:13" x14ac:dyDescent="0.25">
      <c r="A6148" t="s">
        <v>20304</v>
      </c>
      <c r="B6148" t="s">
        <v>20305</v>
      </c>
      <c r="C6148" t="s">
        <v>589</v>
      </c>
      <c r="D6148" t="s">
        <v>20299</v>
      </c>
      <c r="E6148" t="s">
        <v>19824</v>
      </c>
      <c r="F6148" t="s">
        <v>19553</v>
      </c>
      <c r="G6148" t="s">
        <v>20306</v>
      </c>
      <c r="H6148" t="str">
        <f>HYPERLINK("https://baanknet.com/view-property/213254/D78E69247ED1189E6EA2A051647DF0E3BF746669F98E674FE1CB72A30F0A062B", "https://baanknet.com/view-property/213254/D78E69247ED1189E6EA2A051647DF0E3BF746669F98E674FE1CB72A30F0A062B")</f>
        <v>https://baanknet.com/view-property/213254/D78E69247ED1189E6EA2A051647DF0E3BF746669F98E674FE1CB72A30F0A062B</v>
      </c>
      <c r="I6148" t="str">
        <f>HYPERLINK("https://baanknet.com/view-property/213254/D78E69247ED1189E6EA2A051647DF0E3BF746669F98E674FE1CB72A30F0A062B", "Open")</f>
        <v>Open</v>
      </c>
      <c r="J6148" t="s">
        <v>3803</v>
      </c>
      <c r="L6148">
        <v>3183000</v>
      </c>
      <c r="M6148">
        <v>318300</v>
      </c>
    </row>
    <row r="6149" spans="1:13" x14ac:dyDescent="0.25">
      <c r="A6149" t="s">
        <v>20307</v>
      </c>
      <c r="B6149" t="s">
        <v>20308</v>
      </c>
      <c r="C6149" t="s">
        <v>589</v>
      </c>
      <c r="D6149" t="s">
        <v>18030</v>
      </c>
      <c r="E6149" t="s">
        <v>19824</v>
      </c>
      <c r="F6149" t="s">
        <v>19553</v>
      </c>
      <c r="G6149" t="s">
        <v>20309</v>
      </c>
      <c r="H6149" t="str">
        <f>HYPERLINK("https://baanknet.com/view-property/275765/B4023BA068CDDD3927C23A4AFCA0194B0EC1C27B142F286DC90E27F2A741E2EE", "https://baanknet.com/view-property/275765/B4023BA068CDDD3927C23A4AFCA0194B0EC1C27B142F286DC90E27F2A741E2EE")</f>
        <v>https://baanknet.com/view-property/275765/B4023BA068CDDD3927C23A4AFCA0194B0EC1C27B142F286DC90E27F2A741E2EE</v>
      </c>
      <c r="I6149" t="str">
        <f>HYPERLINK("https://baanknet.com/view-property/275765/B4023BA068CDDD3927C23A4AFCA0194B0EC1C27B142F286DC90E27F2A741E2EE", "Open")</f>
        <v>Open</v>
      </c>
      <c r="J6149" t="s">
        <v>3803</v>
      </c>
      <c r="L6149">
        <v>3947000</v>
      </c>
      <c r="M6149">
        <v>394700</v>
      </c>
    </row>
    <row r="6150" spans="1:13" x14ac:dyDescent="0.25">
      <c r="A6150" t="s">
        <v>20310</v>
      </c>
      <c r="B6150" t="s">
        <v>20311</v>
      </c>
      <c r="C6150" t="s">
        <v>332</v>
      </c>
      <c r="D6150" t="s">
        <v>1310</v>
      </c>
      <c r="E6150" t="s">
        <v>19539</v>
      </c>
      <c r="F6150" t="s">
        <v>19544</v>
      </c>
      <c r="G6150" t="s">
        <v>20312</v>
      </c>
      <c r="H6150" t="str">
        <f>HYPERLINK("https://baanknet.com/view-property/272314/2B415F1F06FAC5D2E28D2FD3968645ED73F6B39B2C2E295063EC5A88AFB8DEAC", "https://baanknet.com/view-property/272314/2B415F1F06FAC5D2E28D2FD3968645ED73F6B39B2C2E295063EC5A88AFB8DEAC")</f>
        <v>https://baanknet.com/view-property/272314/2B415F1F06FAC5D2E28D2FD3968645ED73F6B39B2C2E295063EC5A88AFB8DEAC</v>
      </c>
      <c r="I6150" t="str">
        <f>HYPERLINK("https://baanknet.com/view-property/272314/2B415F1F06FAC5D2E28D2FD3968645ED73F6B39B2C2E295063EC5A88AFB8DEAC", "Open")</f>
        <v>Open</v>
      </c>
      <c r="J6150" t="s">
        <v>3803</v>
      </c>
      <c r="L6150">
        <v>29000000</v>
      </c>
      <c r="M6150">
        <v>2900000</v>
      </c>
    </row>
    <row r="6151" spans="1:13" x14ac:dyDescent="0.25">
      <c r="A6151" t="s">
        <v>20313</v>
      </c>
      <c r="B6151" t="s">
        <v>20314</v>
      </c>
      <c r="C6151" t="s">
        <v>332</v>
      </c>
      <c r="D6151" t="s">
        <v>6245</v>
      </c>
      <c r="E6151" t="s">
        <v>19539</v>
      </c>
      <c r="F6151" t="s">
        <v>19544</v>
      </c>
      <c r="G6151" t="s">
        <v>20315</v>
      </c>
      <c r="H6151" t="str">
        <f>HYPERLINK("https://baanknet.com/view-property/280214/2DE608E2F3958459B6A69818CEEB3A4E08057EB6820516B6933BB21147662CED", "https://baanknet.com/view-property/280214/2DE608E2F3958459B6A69818CEEB3A4E08057EB6820516B6933BB21147662CED")</f>
        <v>https://baanknet.com/view-property/280214/2DE608E2F3958459B6A69818CEEB3A4E08057EB6820516B6933BB21147662CED</v>
      </c>
      <c r="I6151" t="str">
        <f>HYPERLINK("https://baanknet.com/view-property/280214/2DE608E2F3958459B6A69818CEEB3A4E08057EB6820516B6933BB21147662CED", "Open")</f>
        <v>Open</v>
      </c>
      <c r="J6151" t="s">
        <v>3803</v>
      </c>
      <c r="L6151">
        <v>4050000</v>
      </c>
      <c r="M6151">
        <v>405000</v>
      </c>
    </row>
    <row r="6152" spans="1:13" x14ac:dyDescent="0.25">
      <c r="A6152" t="s">
        <v>20316</v>
      </c>
      <c r="B6152" t="s">
        <v>20317</v>
      </c>
      <c r="C6152" t="s">
        <v>332</v>
      </c>
      <c r="D6152" t="s">
        <v>4246</v>
      </c>
      <c r="E6152" t="s">
        <v>19539</v>
      </c>
      <c r="F6152" t="s">
        <v>19544</v>
      </c>
      <c r="G6152" t="s">
        <v>20318</v>
      </c>
      <c r="H6152" t="str">
        <f>HYPERLINK("https://baanknet.com/view-property/282676/B97B15969F427A5F1D2CF6E735038625F760184D6511EE7B77B47863527880FD", "https://baanknet.com/view-property/282676/B97B15969F427A5F1D2CF6E735038625F760184D6511EE7B77B47863527880FD")</f>
        <v>https://baanknet.com/view-property/282676/B97B15969F427A5F1D2CF6E735038625F760184D6511EE7B77B47863527880FD</v>
      </c>
      <c r="I6152" t="str">
        <f>HYPERLINK("https://baanknet.com/view-property/282676/B97B15969F427A5F1D2CF6E735038625F760184D6511EE7B77B47863527880FD", "Open")</f>
        <v>Open</v>
      </c>
      <c r="J6152" t="s">
        <v>3803</v>
      </c>
      <c r="L6152">
        <v>1600000</v>
      </c>
      <c r="M6152">
        <v>160000</v>
      </c>
    </row>
    <row r="6153" spans="1:13" x14ac:dyDescent="0.25">
      <c r="A6153" t="s">
        <v>20319</v>
      </c>
      <c r="B6153" t="s">
        <v>20320</v>
      </c>
      <c r="C6153" t="s">
        <v>332</v>
      </c>
      <c r="D6153" t="s">
        <v>1310</v>
      </c>
      <c r="E6153" t="s">
        <v>19539</v>
      </c>
      <c r="F6153" t="s">
        <v>19544</v>
      </c>
      <c r="G6153" t="s">
        <v>20321</v>
      </c>
      <c r="H6153" t="str">
        <f>HYPERLINK("https://baanknet.com/view-property/285077/950B830E866B91A39914ADCD659B87C125FDB160E798930C914FF158E44CD0A4", "https://baanknet.com/view-property/285077/950B830E866B91A39914ADCD659B87C125FDB160E798930C914FF158E44CD0A4")</f>
        <v>https://baanknet.com/view-property/285077/950B830E866B91A39914ADCD659B87C125FDB160E798930C914FF158E44CD0A4</v>
      </c>
      <c r="I6153" t="str">
        <f>HYPERLINK("https://baanknet.com/view-property/285077/950B830E866B91A39914ADCD659B87C125FDB160E798930C914FF158E44CD0A4", "Open")</f>
        <v>Open</v>
      </c>
      <c r="J6153" t="s">
        <v>3803</v>
      </c>
      <c r="L6153">
        <v>3000000</v>
      </c>
      <c r="M6153">
        <v>300000</v>
      </c>
    </row>
    <row r="6154" spans="1:13" x14ac:dyDescent="0.25">
      <c r="A6154" t="s">
        <v>20322</v>
      </c>
      <c r="B6154" t="s">
        <v>20323</v>
      </c>
      <c r="C6154" t="s">
        <v>332</v>
      </c>
      <c r="D6154" t="s">
        <v>2163</v>
      </c>
      <c r="E6154" t="s">
        <v>19539</v>
      </c>
      <c r="F6154" t="s">
        <v>19544</v>
      </c>
      <c r="G6154" t="s">
        <v>20324</v>
      </c>
      <c r="H6154" t="str">
        <f>HYPERLINK("https://baanknet.com/view-property/285083/62B688A414C969302F6243822572B55B2EF7BEE5CA6B2BDF24F5A0938BCB4FA7", "https://baanknet.com/view-property/285083/62B688A414C969302F6243822572B55B2EF7BEE5CA6B2BDF24F5A0938BCB4FA7")</f>
        <v>https://baanknet.com/view-property/285083/62B688A414C969302F6243822572B55B2EF7BEE5CA6B2BDF24F5A0938BCB4FA7</v>
      </c>
      <c r="I6154" t="str">
        <f>HYPERLINK("https://baanknet.com/view-property/285083/62B688A414C969302F6243822572B55B2EF7BEE5CA6B2BDF24F5A0938BCB4FA7", "Open")</f>
        <v>Open</v>
      </c>
      <c r="J6154" t="s">
        <v>3803</v>
      </c>
      <c r="L6154">
        <v>2900000</v>
      </c>
      <c r="M6154">
        <v>290000</v>
      </c>
    </row>
    <row r="6155" spans="1:13" x14ac:dyDescent="0.25">
      <c r="A6155" t="s">
        <v>20325</v>
      </c>
      <c r="B6155" t="s">
        <v>20326</v>
      </c>
      <c r="C6155" t="s">
        <v>332</v>
      </c>
      <c r="D6155" t="s">
        <v>3994</v>
      </c>
      <c r="E6155" t="s">
        <v>19539</v>
      </c>
      <c r="F6155" t="s">
        <v>19544</v>
      </c>
      <c r="G6155" t="s">
        <v>20327</v>
      </c>
      <c r="H6155" t="str">
        <f>HYPERLINK("https://baanknet.com/view-property/271494/C56AD4212355BD69F859C0FEFA30FE5944E285E28767EEEA45004E8170E251C0", "https://baanknet.com/view-property/271494/C56AD4212355BD69F859C0FEFA30FE5944E285E28767EEEA45004E8170E251C0")</f>
        <v>https://baanknet.com/view-property/271494/C56AD4212355BD69F859C0FEFA30FE5944E285E28767EEEA45004E8170E251C0</v>
      </c>
      <c r="I6155" t="str">
        <f>HYPERLINK("https://baanknet.com/view-property/271494/C56AD4212355BD69F859C0FEFA30FE5944E285E28767EEEA45004E8170E251C0", "Open")</f>
        <v>Open</v>
      </c>
      <c r="J6155" t="s">
        <v>3803</v>
      </c>
      <c r="L6155">
        <v>1900000</v>
      </c>
      <c r="M6155">
        <v>190000</v>
      </c>
    </row>
    <row r="6156" spans="1:13" x14ac:dyDescent="0.25">
      <c r="A6156" t="s">
        <v>20328</v>
      </c>
      <c r="B6156" t="s">
        <v>20329</v>
      </c>
      <c r="C6156" t="s">
        <v>332</v>
      </c>
      <c r="D6156" t="s">
        <v>3994</v>
      </c>
      <c r="E6156" t="s">
        <v>19539</v>
      </c>
      <c r="F6156" t="s">
        <v>19544</v>
      </c>
      <c r="G6156" t="s">
        <v>20330</v>
      </c>
      <c r="H6156" t="str">
        <f>HYPERLINK("https://baanknet.com/view-property/271512/4500004D2842D10AD6A4990E618A1AE258DF773DB46520935F7DBB5197A60818", "https://baanknet.com/view-property/271512/4500004D2842D10AD6A4990E618A1AE258DF773DB46520935F7DBB5197A60818")</f>
        <v>https://baanknet.com/view-property/271512/4500004D2842D10AD6A4990E618A1AE258DF773DB46520935F7DBB5197A60818</v>
      </c>
      <c r="I6156" t="str">
        <f>HYPERLINK("https://baanknet.com/view-property/271512/4500004D2842D10AD6A4990E618A1AE258DF773DB46520935F7DBB5197A60818", "Open")</f>
        <v>Open</v>
      </c>
      <c r="J6156" t="s">
        <v>3803</v>
      </c>
      <c r="L6156">
        <v>1900000</v>
      </c>
      <c r="M6156">
        <v>190000</v>
      </c>
    </row>
    <row r="6157" spans="1:13" x14ac:dyDescent="0.25">
      <c r="A6157" t="s">
        <v>20331</v>
      </c>
      <c r="B6157" t="s">
        <v>20332</v>
      </c>
      <c r="C6157" t="s">
        <v>332</v>
      </c>
      <c r="D6157" t="s">
        <v>4246</v>
      </c>
      <c r="E6157" t="s">
        <v>19539</v>
      </c>
      <c r="F6157" t="s">
        <v>19544</v>
      </c>
      <c r="G6157" t="s">
        <v>20333</v>
      </c>
      <c r="H6157" t="str">
        <f>HYPERLINK("https://baanknet.com/view-property/279960/9E1ABB8C52DC25927610B013CB355D9AB79D70597D40DBD0BEE8F865E71772E7", "https://baanknet.com/view-property/279960/9E1ABB8C52DC25927610B013CB355D9AB79D70597D40DBD0BEE8F865E71772E7")</f>
        <v>https://baanknet.com/view-property/279960/9E1ABB8C52DC25927610B013CB355D9AB79D70597D40DBD0BEE8F865E71772E7</v>
      </c>
      <c r="I6157" t="str">
        <f>HYPERLINK("https://baanknet.com/view-property/279960/9E1ABB8C52DC25927610B013CB355D9AB79D70597D40DBD0BEE8F865E71772E7", "Open")</f>
        <v>Open</v>
      </c>
      <c r="J6157" t="s">
        <v>3803</v>
      </c>
      <c r="L6157">
        <v>2100000</v>
      </c>
      <c r="M6157">
        <v>210000</v>
      </c>
    </row>
    <row r="6158" spans="1:13" x14ac:dyDescent="0.25">
      <c r="A6158" t="s">
        <v>20334</v>
      </c>
      <c r="B6158" t="s">
        <v>20335</v>
      </c>
      <c r="C6158" t="s">
        <v>332</v>
      </c>
      <c r="D6158" t="s">
        <v>4246</v>
      </c>
      <c r="E6158" t="s">
        <v>19539</v>
      </c>
      <c r="F6158" t="s">
        <v>19544</v>
      </c>
      <c r="G6158" t="s">
        <v>20336</v>
      </c>
      <c r="H6158" t="str">
        <f>HYPERLINK("https://baanknet.com/view-property/285131/6E36D54959C1F4C917DC67C96ECFD44858AA438A70C7D6450484E06467968022", "https://baanknet.com/view-property/285131/6E36D54959C1F4C917DC67C96ECFD44858AA438A70C7D6450484E06467968022")</f>
        <v>https://baanknet.com/view-property/285131/6E36D54959C1F4C917DC67C96ECFD44858AA438A70C7D6450484E06467968022</v>
      </c>
      <c r="I6158" t="str">
        <f>HYPERLINK("https://baanknet.com/view-property/285131/6E36D54959C1F4C917DC67C96ECFD44858AA438A70C7D6450484E06467968022", "Open")</f>
        <v>Open</v>
      </c>
      <c r="J6158" t="s">
        <v>3803</v>
      </c>
      <c r="L6158">
        <v>2100000</v>
      </c>
      <c r="M6158">
        <v>210000</v>
      </c>
    </row>
    <row r="6159" spans="1:13" x14ac:dyDescent="0.25">
      <c r="A6159" t="s">
        <v>20337</v>
      </c>
      <c r="B6159" t="s">
        <v>20338</v>
      </c>
      <c r="C6159" t="s">
        <v>332</v>
      </c>
      <c r="D6159" t="s">
        <v>4246</v>
      </c>
      <c r="E6159" t="s">
        <v>19539</v>
      </c>
      <c r="F6159" t="s">
        <v>19544</v>
      </c>
      <c r="G6159" t="s">
        <v>20339</v>
      </c>
      <c r="H6159" t="str">
        <f>HYPERLINK("https://baanknet.com/view-property/285133/30B55AD5BE4E6E599F946782B3295CC7B424DBEC4FEDD7F3EA0CA6983321344F", "https://baanknet.com/view-property/285133/30B55AD5BE4E6E599F946782B3295CC7B424DBEC4FEDD7F3EA0CA6983321344F")</f>
        <v>https://baanknet.com/view-property/285133/30B55AD5BE4E6E599F946782B3295CC7B424DBEC4FEDD7F3EA0CA6983321344F</v>
      </c>
      <c r="I6159" t="str">
        <f>HYPERLINK("https://baanknet.com/view-property/285133/30B55AD5BE4E6E599F946782B3295CC7B424DBEC4FEDD7F3EA0CA6983321344F", "Open")</f>
        <v>Open</v>
      </c>
      <c r="J6159" t="s">
        <v>3803</v>
      </c>
      <c r="L6159">
        <v>2100000</v>
      </c>
      <c r="M6159">
        <v>210000</v>
      </c>
    </row>
    <row r="6160" spans="1:13" x14ac:dyDescent="0.25">
      <c r="A6160" t="s">
        <v>20340</v>
      </c>
      <c r="B6160" t="s">
        <v>20341</v>
      </c>
      <c r="C6160" t="s">
        <v>332</v>
      </c>
      <c r="D6160" t="s">
        <v>4246</v>
      </c>
      <c r="E6160" t="s">
        <v>19539</v>
      </c>
      <c r="F6160" t="s">
        <v>19544</v>
      </c>
      <c r="G6160" t="s">
        <v>20342</v>
      </c>
      <c r="H6160" t="str">
        <f>HYPERLINK("https://baanknet.com/view-property/285137/2D3A638C74F4FE018A24847B2E65C81C8D82FB4DC2D7D5731FA9C3BB0645B065", "https://baanknet.com/view-property/285137/2D3A638C74F4FE018A24847B2E65C81C8D82FB4DC2D7D5731FA9C3BB0645B065")</f>
        <v>https://baanknet.com/view-property/285137/2D3A638C74F4FE018A24847B2E65C81C8D82FB4DC2D7D5731FA9C3BB0645B065</v>
      </c>
      <c r="I6160" t="str">
        <f>HYPERLINK("https://baanknet.com/view-property/285137/2D3A638C74F4FE018A24847B2E65C81C8D82FB4DC2D7D5731FA9C3BB0645B065", "Open")</f>
        <v>Open</v>
      </c>
      <c r="J6160" t="s">
        <v>3803</v>
      </c>
      <c r="L6160">
        <v>1600000</v>
      </c>
      <c r="M6160">
        <v>160000</v>
      </c>
    </row>
    <row r="6161" spans="1:13" x14ac:dyDescent="0.25">
      <c r="A6161" t="s">
        <v>20343</v>
      </c>
      <c r="B6161" t="s">
        <v>20344</v>
      </c>
      <c r="C6161" t="s">
        <v>332</v>
      </c>
      <c r="D6161" t="s">
        <v>4246</v>
      </c>
      <c r="E6161" t="s">
        <v>19539</v>
      </c>
      <c r="F6161" t="s">
        <v>19544</v>
      </c>
      <c r="G6161" t="s">
        <v>20345</v>
      </c>
      <c r="H6161" t="str">
        <f>HYPERLINK("https://baanknet.com/view-property/285145/609BF264DEFEEFF0D35E87943571A4B6E68AC0D354BADD9A17DF81E2BE7EEB96", "https://baanknet.com/view-property/285145/609BF264DEFEEFF0D35E87943571A4B6E68AC0D354BADD9A17DF81E2BE7EEB96")</f>
        <v>https://baanknet.com/view-property/285145/609BF264DEFEEFF0D35E87943571A4B6E68AC0D354BADD9A17DF81E2BE7EEB96</v>
      </c>
      <c r="I6161" t="str">
        <f>HYPERLINK("https://baanknet.com/view-property/285145/609BF264DEFEEFF0D35E87943571A4B6E68AC0D354BADD9A17DF81E2BE7EEB96", "Open")</f>
        <v>Open</v>
      </c>
      <c r="J6161" t="s">
        <v>3803</v>
      </c>
      <c r="L6161">
        <v>1600000</v>
      </c>
      <c r="M6161">
        <v>160000</v>
      </c>
    </row>
    <row r="6162" spans="1:13" x14ac:dyDescent="0.25">
      <c r="A6162" t="s">
        <v>20346</v>
      </c>
      <c r="B6162" t="s">
        <v>20347</v>
      </c>
      <c r="C6162" t="s">
        <v>332</v>
      </c>
      <c r="D6162" t="s">
        <v>553</v>
      </c>
      <c r="E6162" t="s">
        <v>19539</v>
      </c>
      <c r="F6162" t="s">
        <v>19544</v>
      </c>
      <c r="G6162" t="s">
        <v>20348</v>
      </c>
      <c r="H6162" t="str">
        <f>HYPERLINK("https://baanknet.com/view-property/270501/242E7432CB05617130877ED6E8471FE0414C798C89B296539BCDF481BBFA737D", "https://baanknet.com/view-property/270501/242E7432CB05617130877ED6E8471FE0414C798C89B296539BCDF481BBFA737D")</f>
        <v>https://baanknet.com/view-property/270501/242E7432CB05617130877ED6E8471FE0414C798C89B296539BCDF481BBFA737D</v>
      </c>
      <c r="I6162" t="str">
        <f>HYPERLINK("https://baanknet.com/view-property/270501/242E7432CB05617130877ED6E8471FE0414C798C89B296539BCDF481BBFA737D", "Open")</f>
        <v>Open</v>
      </c>
      <c r="J6162" t="s">
        <v>3803</v>
      </c>
      <c r="L6162">
        <v>3390000</v>
      </c>
      <c r="M6162">
        <v>339000</v>
      </c>
    </row>
    <row r="6163" spans="1:13" x14ac:dyDescent="0.25">
      <c r="A6163" t="s">
        <v>20349</v>
      </c>
      <c r="B6163" t="s">
        <v>20350</v>
      </c>
      <c r="C6163" t="s">
        <v>15</v>
      </c>
      <c r="D6163" t="s">
        <v>497</v>
      </c>
      <c r="E6163" t="s">
        <v>20351</v>
      </c>
      <c r="F6163" t="s">
        <v>20352</v>
      </c>
      <c r="G6163" t="s">
        <v>20353</v>
      </c>
      <c r="H6163" t="str">
        <f>HYPERLINK("https://baanknet.com/view-property/254061/85FCD275388817F7E5CDB845085DDE8C0B1F9A5928EB5F9F34B9A7D53416797E", "https://baanknet.com/view-property/254061/85FCD275388817F7E5CDB845085DDE8C0B1F9A5928EB5F9F34B9A7D53416797E")</f>
        <v>https://baanknet.com/view-property/254061/85FCD275388817F7E5CDB845085DDE8C0B1F9A5928EB5F9F34B9A7D53416797E</v>
      </c>
      <c r="I6163" t="str">
        <f>HYPERLINK("https://baanknet.com/view-property/254061/85FCD275388817F7E5CDB845085DDE8C0B1F9A5928EB5F9F34B9A7D53416797E", "Open")</f>
        <v>Open</v>
      </c>
      <c r="J6163" t="s">
        <v>3803</v>
      </c>
      <c r="L6163">
        <v>2682000</v>
      </c>
      <c r="M6163">
        <v>268200</v>
      </c>
    </row>
    <row r="6164" spans="1:13" x14ac:dyDescent="0.25">
      <c r="A6164" t="s">
        <v>20354</v>
      </c>
      <c r="B6164" t="s">
        <v>20355</v>
      </c>
      <c r="C6164" t="s">
        <v>144</v>
      </c>
      <c r="D6164" t="s">
        <v>157</v>
      </c>
      <c r="E6164" t="s">
        <v>20351</v>
      </c>
      <c r="F6164" t="s">
        <v>20356</v>
      </c>
      <c r="G6164" t="s">
        <v>20357</v>
      </c>
      <c r="H6164" t="str">
        <f>HYPERLINK("https://baanknet.com/view-property/287449/C3BADB737FFA49DF8AC729434C8ABD1735FE3B052F273C1183915DD3D65217F5", "https://baanknet.com/view-property/287449/C3BADB737FFA49DF8AC729434C8ABD1735FE3B052F273C1183915DD3D65217F5")</f>
        <v>https://baanknet.com/view-property/287449/C3BADB737FFA49DF8AC729434C8ABD1735FE3B052F273C1183915DD3D65217F5</v>
      </c>
      <c r="I6164" t="str">
        <f>HYPERLINK("https://baanknet.com/view-property/287449/C3BADB737FFA49DF8AC729434C8ABD1735FE3B052F273C1183915DD3D65217F5", "Open")</f>
        <v>Open</v>
      </c>
      <c r="J6164" t="s">
        <v>3803</v>
      </c>
      <c r="L6164">
        <v>2843350</v>
      </c>
      <c r="M6164">
        <v>284335</v>
      </c>
    </row>
    <row r="6165" spans="1:13" x14ac:dyDescent="0.25">
      <c r="A6165" t="s">
        <v>20358</v>
      </c>
      <c r="B6165" t="s">
        <v>20359</v>
      </c>
      <c r="C6165" t="s">
        <v>144</v>
      </c>
      <c r="D6165" t="s">
        <v>157</v>
      </c>
      <c r="E6165" t="s">
        <v>20351</v>
      </c>
      <c r="F6165" t="s">
        <v>20356</v>
      </c>
      <c r="G6165" t="s">
        <v>20360</v>
      </c>
      <c r="H6165" t="str">
        <f>HYPERLINK("https://baanknet.com/view-property/287475/8785F653CE2E72D59DAE6C6738E33330102CD67A52A8B18783CB775E8A14CBC4", "https://baanknet.com/view-property/287475/8785F653CE2E72D59DAE6C6738E33330102CD67A52A8B18783CB775E8A14CBC4")</f>
        <v>https://baanknet.com/view-property/287475/8785F653CE2E72D59DAE6C6738E33330102CD67A52A8B18783CB775E8A14CBC4</v>
      </c>
      <c r="I6165" t="str">
        <f>HYPERLINK("https://baanknet.com/view-property/287475/8785F653CE2E72D59DAE6C6738E33330102CD67A52A8B18783CB775E8A14CBC4", "Open")</f>
        <v>Open</v>
      </c>
      <c r="J6165" t="s">
        <v>3803</v>
      </c>
      <c r="L6165">
        <v>6603940</v>
      </c>
      <c r="M6165">
        <v>660394</v>
      </c>
    </row>
    <row r="6166" spans="1:13" x14ac:dyDescent="0.25">
      <c r="A6166" t="s">
        <v>20361</v>
      </c>
      <c r="B6166" t="s">
        <v>20362</v>
      </c>
      <c r="C6166" t="s">
        <v>7449</v>
      </c>
      <c r="D6166" t="s">
        <v>1246</v>
      </c>
      <c r="E6166" t="s">
        <v>20351</v>
      </c>
      <c r="F6166" t="s">
        <v>19553</v>
      </c>
      <c r="G6166" t="s">
        <v>20363</v>
      </c>
      <c r="H6166" t="str">
        <f>HYPERLINK("https://baanknet.com/view-property/286669/2F1A5F950736EF0CAE776D1328033A1CFEAAB1E1DAFADAD29C1A7324CFFB079E", "https://baanknet.com/view-property/286669/2F1A5F950736EF0CAE776D1328033A1CFEAAB1E1DAFADAD29C1A7324CFFB079E")</f>
        <v>https://baanknet.com/view-property/286669/2F1A5F950736EF0CAE776D1328033A1CFEAAB1E1DAFADAD29C1A7324CFFB079E</v>
      </c>
      <c r="I6166" t="str">
        <f>HYPERLINK("https://baanknet.com/view-property/286669/2F1A5F950736EF0CAE776D1328033A1CFEAAB1E1DAFADAD29C1A7324CFFB079E", "Open")</f>
        <v>Open</v>
      </c>
      <c r="J6166" t="s">
        <v>3803</v>
      </c>
      <c r="L6166">
        <v>6390000</v>
      </c>
      <c r="M6166">
        <v>639000</v>
      </c>
    </row>
    <row r="6167" spans="1:13" x14ac:dyDescent="0.25">
      <c r="A6167" t="s">
        <v>20364</v>
      </c>
      <c r="B6167" t="s">
        <v>20365</v>
      </c>
      <c r="C6167" t="s">
        <v>83</v>
      </c>
      <c r="D6167" t="s">
        <v>17513</v>
      </c>
      <c r="E6167" t="s">
        <v>20352</v>
      </c>
      <c r="F6167" t="s">
        <v>20366</v>
      </c>
      <c r="G6167" t="s">
        <v>20367</v>
      </c>
      <c r="H6167" t="str">
        <f>HYPERLINK("https://baanknet.com/view-property/258904/7BB67426560EF7F1A6C02B4EE98D860ACF61C41D7ACEE7F2447E4F2D3C505216", "https://baanknet.com/view-property/258904/7BB67426560EF7F1A6C02B4EE98D860ACF61C41D7ACEE7F2447E4F2D3C505216")</f>
        <v>https://baanknet.com/view-property/258904/7BB67426560EF7F1A6C02B4EE98D860ACF61C41D7ACEE7F2447E4F2D3C505216</v>
      </c>
      <c r="I6167" t="str">
        <f>HYPERLINK("https://baanknet.com/view-property/258904/7BB67426560EF7F1A6C02B4EE98D860ACF61C41D7ACEE7F2447E4F2D3C505216", "Open")</f>
        <v>Open</v>
      </c>
      <c r="J6167" t="s">
        <v>3803</v>
      </c>
      <c r="L6167">
        <v>1312200</v>
      </c>
      <c r="M6167">
        <v>131220</v>
      </c>
    </row>
    <row r="6168" spans="1:13" x14ac:dyDescent="0.25">
      <c r="A6168" t="s">
        <v>20368</v>
      </c>
      <c r="B6168" t="s">
        <v>20369</v>
      </c>
      <c r="C6168" t="s">
        <v>83</v>
      </c>
      <c r="D6168" t="s">
        <v>20370</v>
      </c>
      <c r="E6168" t="s">
        <v>20352</v>
      </c>
      <c r="F6168" t="s">
        <v>20366</v>
      </c>
      <c r="G6168" t="s">
        <v>20371</v>
      </c>
      <c r="H6168" t="str">
        <f>HYPERLINK("https://baanknet.com/view-property/255142/93AC8404D90BDD1840051EF6A0A9FEFBBEEC40EFA54DDBF815958AD0610FCB08", "https://baanknet.com/view-property/255142/93AC8404D90BDD1840051EF6A0A9FEFBBEEC40EFA54DDBF815958AD0610FCB08")</f>
        <v>https://baanknet.com/view-property/255142/93AC8404D90BDD1840051EF6A0A9FEFBBEEC40EFA54DDBF815958AD0610FCB08</v>
      </c>
      <c r="I6168" t="str">
        <f>HYPERLINK("https://baanknet.com/view-property/255142/93AC8404D90BDD1840051EF6A0A9FEFBBEEC40EFA54DDBF815958AD0610FCB08", "Open")</f>
        <v>Open</v>
      </c>
      <c r="J6168" t="s">
        <v>3803</v>
      </c>
      <c r="L6168">
        <v>690000</v>
      </c>
      <c r="M6168">
        <v>69000</v>
      </c>
    </row>
    <row r="6169" spans="1:13" x14ac:dyDescent="0.25">
      <c r="A6169" t="s">
        <v>20372</v>
      </c>
      <c r="B6169" t="s">
        <v>20373</v>
      </c>
      <c r="C6169" t="s">
        <v>15</v>
      </c>
      <c r="D6169" t="s">
        <v>6152</v>
      </c>
      <c r="E6169" t="s">
        <v>20374</v>
      </c>
      <c r="F6169" t="s">
        <v>20375</v>
      </c>
      <c r="G6169" t="s">
        <v>20376</v>
      </c>
      <c r="H6169" t="str">
        <f>HYPERLINK("https://baanknet.com/view-property/191576/CE9615D9369FBBC28632BD3D4B1297866DF02E79548729DF40582E8F9BD6A4D3", "https://baanknet.com/view-property/191576/CE9615D9369FBBC28632BD3D4B1297866DF02E79548729DF40582E8F9BD6A4D3")</f>
        <v>https://baanknet.com/view-property/191576/CE9615D9369FBBC28632BD3D4B1297866DF02E79548729DF40582E8F9BD6A4D3</v>
      </c>
      <c r="I6169" t="str">
        <f>HYPERLINK("https://baanknet.com/view-property/191576/CE9615D9369FBBC28632BD3D4B1297866DF02E79548729DF40582E8F9BD6A4D3", "Open")</f>
        <v>Open</v>
      </c>
      <c r="J6169" t="s">
        <v>3803</v>
      </c>
      <c r="L6169">
        <v>2659000</v>
      </c>
      <c r="M6169">
        <v>265900</v>
      </c>
    </row>
    <row r="6170" spans="1:13" x14ac:dyDescent="0.25">
      <c r="A6170" t="s">
        <v>20377</v>
      </c>
      <c r="B6170" t="s">
        <v>20378</v>
      </c>
      <c r="C6170" t="s">
        <v>15</v>
      </c>
      <c r="D6170" t="s">
        <v>20379</v>
      </c>
      <c r="E6170" t="s">
        <v>20374</v>
      </c>
      <c r="F6170" t="s">
        <v>20375</v>
      </c>
      <c r="G6170" t="s">
        <v>20380</v>
      </c>
      <c r="H6170" t="str">
        <f>HYPERLINK("https://baanknet.com/view-property/212588/E409CE6DA0803F08F72EA21C193401971F2F9829604F3EF75F0091708AE618C2", "https://baanknet.com/view-property/212588/E409CE6DA0803F08F72EA21C193401971F2F9829604F3EF75F0091708AE618C2")</f>
        <v>https://baanknet.com/view-property/212588/E409CE6DA0803F08F72EA21C193401971F2F9829604F3EF75F0091708AE618C2</v>
      </c>
      <c r="I6170" t="str">
        <f>HYPERLINK("https://baanknet.com/view-property/212588/E409CE6DA0803F08F72EA21C193401971F2F9829604F3EF75F0091708AE618C2", "Open")</f>
        <v>Open</v>
      </c>
      <c r="J6170" t="s">
        <v>3803</v>
      </c>
      <c r="L6170">
        <v>5773000</v>
      </c>
      <c r="M6170">
        <v>577300</v>
      </c>
    </row>
    <row r="6171" spans="1:13" x14ac:dyDescent="0.25">
      <c r="A6171" t="s">
        <v>20381</v>
      </c>
      <c r="B6171" t="s">
        <v>20382</v>
      </c>
      <c r="C6171" t="s">
        <v>15</v>
      </c>
      <c r="D6171" t="s">
        <v>578</v>
      </c>
      <c r="E6171" t="s">
        <v>20374</v>
      </c>
      <c r="F6171" t="s">
        <v>20375</v>
      </c>
      <c r="G6171" t="s">
        <v>20383</v>
      </c>
      <c r="H6171" t="str">
        <f>HYPERLINK("https://baanknet.com/view-property/286375/4CB8963C6CC81C937F87D6F2AF3D28C49D0499D6C60F6BF8C94CB531DDE43BDD", "https://baanknet.com/view-property/286375/4CB8963C6CC81C937F87D6F2AF3D28C49D0499D6C60F6BF8C94CB531DDE43BDD")</f>
        <v>https://baanknet.com/view-property/286375/4CB8963C6CC81C937F87D6F2AF3D28C49D0499D6C60F6BF8C94CB531DDE43BDD</v>
      </c>
      <c r="I6171" t="str">
        <f>HYPERLINK("https://baanknet.com/view-property/286375/4CB8963C6CC81C937F87D6F2AF3D28C49D0499D6C60F6BF8C94CB531DDE43BDD", "Open")</f>
        <v>Open</v>
      </c>
      <c r="J6171" t="s">
        <v>3803</v>
      </c>
      <c r="L6171">
        <v>3241000</v>
      </c>
      <c r="M6171">
        <v>324100</v>
      </c>
    </row>
    <row r="6172" spans="1:13" x14ac:dyDescent="0.25">
      <c r="A6172" t="s">
        <v>20384</v>
      </c>
      <c r="B6172" t="s">
        <v>20385</v>
      </c>
      <c r="C6172" t="s">
        <v>571</v>
      </c>
      <c r="D6172" t="s">
        <v>157</v>
      </c>
      <c r="E6172" t="s">
        <v>20374</v>
      </c>
      <c r="F6172" t="s">
        <v>643</v>
      </c>
      <c r="G6172" t="s">
        <v>20386</v>
      </c>
      <c r="H6172" t="str">
        <f>HYPERLINK("https://baanknet.com/view-property/286313/1F5B329F810513C7FF212FEBB169E7FF4AFB7DB670C68FBE37AC21E20D94A21C", "https://baanknet.com/view-property/286313/1F5B329F810513C7FF212FEBB169E7FF4AFB7DB670C68FBE37AC21E20D94A21C")</f>
        <v>https://baanknet.com/view-property/286313/1F5B329F810513C7FF212FEBB169E7FF4AFB7DB670C68FBE37AC21E20D94A21C</v>
      </c>
      <c r="I6172" t="str">
        <f>HYPERLINK("https://baanknet.com/view-property/286313/1F5B329F810513C7FF212FEBB169E7FF4AFB7DB670C68FBE37AC21E20D94A21C", "Open")</f>
        <v>Open</v>
      </c>
      <c r="J6172" t="s">
        <v>3803</v>
      </c>
      <c r="L6172">
        <v>2039000</v>
      </c>
      <c r="M6172">
        <v>203900</v>
      </c>
    </row>
    <row r="6173" spans="1:13" x14ac:dyDescent="0.25">
      <c r="A6173" t="s">
        <v>20387</v>
      </c>
      <c r="B6173" t="s">
        <v>20388</v>
      </c>
      <c r="C6173" t="s">
        <v>332</v>
      </c>
      <c r="D6173" t="s">
        <v>4420</v>
      </c>
      <c r="E6173" t="s">
        <v>20374</v>
      </c>
      <c r="F6173" t="s">
        <v>643</v>
      </c>
      <c r="G6173" t="s">
        <v>20389</v>
      </c>
      <c r="H6173" t="str">
        <f>HYPERLINK("https://baanknet.com/view-property/264611/9EBFED1F4D78AF509C05204D51EE4BA7997AC5ADEB30E76B723FBB0A85BA0798", "https://baanknet.com/view-property/264611/9EBFED1F4D78AF509C05204D51EE4BA7997AC5ADEB30E76B723FBB0A85BA0798")</f>
        <v>https://baanknet.com/view-property/264611/9EBFED1F4D78AF509C05204D51EE4BA7997AC5ADEB30E76B723FBB0A85BA0798</v>
      </c>
      <c r="I6173" t="str">
        <f>HYPERLINK("https://baanknet.com/view-property/264611/9EBFED1F4D78AF509C05204D51EE4BA7997AC5ADEB30E76B723FBB0A85BA0798", "Open")</f>
        <v>Open</v>
      </c>
      <c r="J6173" t="s">
        <v>3803</v>
      </c>
      <c r="L6173">
        <v>3700000</v>
      </c>
      <c r="M6173">
        <v>370000</v>
      </c>
    </row>
    <row r="6174" spans="1:13" x14ac:dyDescent="0.25">
      <c r="A6174" t="s">
        <v>20390</v>
      </c>
      <c r="B6174" t="s">
        <v>20391</v>
      </c>
      <c r="C6174" t="s">
        <v>83</v>
      </c>
      <c r="D6174" t="s">
        <v>20392</v>
      </c>
      <c r="E6174" t="s">
        <v>20374</v>
      </c>
      <c r="F6174" t="s">
        <v>20393</v>
      </c>
      <c r="G6174" t="s">
        <v>20394</v>
      </c>
      <c r="H6174" t="str">
        <f>HYPERLINK("https://baanknet.com/view-property/286368/005958775A24FFBA0A0547944DE59AAEDBDD6CA3090D78A17C4030CAE0E60831", "https://baanknet.com/view-property/286368/005958775A24FFBA0A0547944DE59AAEDBDD6CA3090D78A17C4030CAE0E60831")</f>
        <v>https://baanknet.com/view-property/286368/005958775A24FFBA0A0547944DE59AAEDBDD6CA3090D78A17C4030CAE0E60831</v>
      </c>
      <c r="I6174" t="str">
        <f>HYPERLINK("https://baanknet.com/view-property/286368/005958775A24FFBA0A0547944DE59AAEDBDD6CA3090D78A17C4030CAE0E60831", "Open")</f>
        <v>Open</v>
      </c>
      <c r="J6174" t="s">
        <v>3803</v>
      </c>
      <c r="L6174">
        <v>4079952</v>
      </c>
      <c r="M6174">
        <v>407995.2</v>
      </c>
    </row>
    <row r="6175" spans="1:13" x14ac:dyDescent="0.25">
      <c r="A6175" t="s">
        <v>20395</v>
      </c>
      <c r="B6175" t="s">
        <v>20396</v>
      </c>
      <c r="C6175" t="s">
        <v>15</v>
      </c>
      <c r="D6175" t="s">
        <v>11059</v>
      </c>
      <c r="E6175" t="s">
        <v>20397</v>
      </c>
      <c r="F6175" t="s">
        <v>20398</v>
      </c>
      <c r="G6175" t="s">
        <v>20399</v>
      </c>
      <c r="H6175" t="str">
        <f>HYPERLINK("https://baanknet.com/view-property/287008/F2165EFD6C3E2BB163903E7C7EBC359B8FA938D2AEDDE9547CD8C6C6562EE10A", "https://baanknet.com/view-property/287008/F2165EFD6C3E2BB163903E7C7EBC359B8FA938D2AEDDE9547CD8C6C6562EE10A")</f>
        <v>https://baanknet.com/view-property/287008/F2165EFD6C3E2BB163903E7C7EBC359B8FA938D2AEDDE9547CD8C6C6562EE10A</v>
      </c>
      <c r="I6175" t="str">
        <f>HYPERLINK("https://baanknet.com/view-property/287008/F2165EFD6C3E2BB163903E7C7EBC359B8FA938D2AEDDE9547CD8C6C6562EE10A", "Open")</f>
        <v>Open</v>
      </c>
      <c r="J6175" t="s">
        <v>3803</v>
      </c>
      <c r="L6175">
        <v>12750000</v>
      </c>
      <c r="M6175">
        <v>1275000</v>
      </c>
    </row>
    <row r="6176" spans="1:13" x14ac:dyDescent="0.25">
      <c r="A6176" t="s">
        <v>20400</v>
      </c>
      <c r="B6176" t="s">
        <v>20401</v>
      </c>
      <c r="C6176" t="s">
        <v>83</v>
      </c>
      <c r="D6176" t="s">
        <v>3344</v>
      </c>
      <c r="E6176" t="s">
        <v>20402</v>
      </c>
      <c r="F6176" t="s">
        <v>642</v>
      </c>
      <c r="G6176" t="s">
        <v>20403</v>
      </c>
      <c r="H6176" t="str">
        <f>HYPERLINK("https://baanknet.com/view-property/285170/F823C66F0D9E48F2E1DFA2B5C33B05AAA0A150A0A7360DA89AC4FEEB7AEED0F1", "https://baanknet.com/view-property/285170/F823C66F0D9E48F2E1DFA2B5C33B05AAA0A150A0A7360DA89AC4FEEB7AEED0F1")</f>
        <v>https://baanknet.com/view-property/285170/F823C66F0D9E48F2E1DFA2B5C33B05AAA0A150A0A7360DA89AC4FEEB7AEED0F1</v>
      </c>
      <c r="I6176" t="str">
        <f>HYPERLINK("https://baanknet.com/view-property/285170/F823C66F0D9E48F2E1DFA2B5C33B05AAA0A150A0A7360DA89AC4FEEB7AEED0F1", "Open")</f>
        <v>Open</v>
      </c>
      <c r="J6176" t="s">
        <v>3803</v>
      </c>
      <c r="L6176">
        <v>8000000</v>
      </c>
      <c r="M6176">
        <v>800000</v>
      </c>
    </row>
    <row r="6177" spans="1:13" x14ac:dyDescent="0.25">
      <c r="A6177" t="s">
        <v>20404</v>
      </c>
      <c r="B6177" t="s">
        <v>20405</v>
      </c>
      <c r="C6177" t="s">
        <v>15</v>
      </c>
      <c r="D6177" t="s">
        <v>608</v>
      </c>
      <c r="E6177" t="s">
        <v>20402</v>
      </c>
      <c r="F6177" t="s">
        <v>20406</v>
      </c>
      <c r="G6177" t="s">
        <v>20407</v>
      </c>
      <c r="H6177" t="str">
        <f>HYPERLINK("https://baanknet.com/view-property/286598/A01331E1463C38FD948E1170CA1B2A27DA0CF4816B125F51A554653F875CA4F7", "https://baanknet.com/view-property/286598/A01331E1463C38FD948E1170CA1B2A27DA0CF4816B125F51A554653F875CA4F7")</f>
        <v>https://baanknet.com/view-property/286598/A01331E1463C38FD948E1170CA1B2A27DA0CF4816B125F51A554653F875CA4F7</v>
      </c>
      <c r="I6177" t="str">
        <f>HYPERLINK("https://baanknet.com/view-property/286598/A01331E1463C38FD948E1170CA1B2A27DA0CF4816B125F51A554653F875CA4F7", "Open")</f>
        <v>Open</v>
      </c>
      <c r="J6177" t="s">
        <v>3803</v>
      </c>
      <c r="L6177">
        <v>2376000000</v>
      </c>
      <c r="M6177">
        <v>237600000</v>
      </c>
    </row>
    <row r="6178" spans="1:13" x14ac:dyDescent="0.25">
      <c r="A6178" t="s">
        <v>20408</v>
      </c>
      <c r="B6178" t="s">
        <v>20409</v>
      </c>
      <c r="C6178" t="s">
        <v>15</v>
      </c>
      <c r="D6178" t="s">
        <v>20410</v>
      </c>
      <c r="E6178" t="s">
        <v>20402</v>
      </c>
      <c r="F6178" t="s">
        <v>20406</v>
      </c>
      <c r="G6178" t="s">
        <v>20411</v>
      </c>
      <c r="H6178" t="str">
        <f>HYPERLINK("https://baanknet.com/view-property/286499/8D1C4491BA457D35E4A3308485B5C26B8F11F653CD98366D76BF8D4ADEA56720", "https://baanknet.com/view-property/286499/8D1C4491BA457D35E4A3308485B5C26B8F11F653CD98366D76BF8D4ADEA56720")</f>
        <v>https://baanknet.com/view-property/286499/8D1C4491BA457D35E4A3308485B5C26B8F11F653CD98366D76BF8D4ADEA56720</v>
      </c>
      <c r="I6178" t="str">
        <f>HYPERLINK("https://baanknet.com/view-property/286499/8D1C4491BA457D35E4A3308485B5C26B8F11F653CD98366D76BF8D4ADEA56720", "Open")</f>
        <v>Open</v>
      </c>
      <c r="J6178" t="s">
        <v>3803</v>
      </c>
      <c r="L6178">
        <v>5084000</v>
      </c>
      <c r="M6178">
        <v>508400</v>
      </c>
    </row>
    <row r="6179" spans="1:13" x14ac:dyDescent="0.25">
      <c r="A6179" t="s">
        <v>20412</v>
      </c>
      <c r="B6179" t="s">
        <v>20413</v>
      </c>
      <c r="C6179" t="s">
        <v>15</v>
      </c>
      <c r="D6179" t="s">
        <v>15818</v>
      </c>
      <c r="E6179" t="s">
        <v>20402</v>
      </c>
      <c r="F6179" t="s">
        <v>20406</v>
      </c>
      <c r="G6179" t="s">
        <v>20414</v>
      </c>
      <c r="H6179" t="str">
        <f>HYPERLINK("https://baanknet.com/view-property/287184/9521116B10D390EF782D70EE7D62AB43711F6EA669F43E390EF1882200540099", "https://baanknet.com/view-property/287184/9521116B10D390EF782D70EE7D62AB43711F6EA669F43E390EF1882200540099")</f>
        <v>https://baanknet.com/view-property/287184/9521116B10D390EF782D70EE7D62AB43711F6EA669F43E390EF1882200540099</v>
      </c>
      <c r="I6179" t="str">
        <f>HYPERLINK("https://baanknet.com/view-property/287184/9521116B10D390EF782D70EE7D62AB43711F6EA669F43E390EF1882200540099", "Open")</f>
        <v>Open</v>
      </c>
      <c r="J6179" t="s">
        <v>3803</v>
      </c>
      <c r="L6179">
        <v>17553000</v>
      </c>
      <c r="M6179">
        <v>1755300</v>
      </c>
    </row>
    <row r="6180" spans="1:13" x14ac:dyDescent="0.25">
      <c r="A6180" t="s">
        <v>20415</v>
      </c>
      <c r="B6180" t="s">
        <v>20416</v>
      </c>
      <c r="C6180" t="s">
        <v>15</v>
      </c>
      <c r="D6180" t="s">
        <v>10639</v>
      </c>
      <c r="E6180" t="s">
        <v>20402</v>
      </c>
      <c r="F6180" t="s">
        <v>20406</v>
      </c>
      <c r="G6180" t="s">
        <v>20417</v>
      </c>
      <c r="H6180" t="str">
        <f>HYPERLINK("https://baanknet.com/view-property/208417/EBA6EAC96E709486A41C21C75B96731E08966AAF40A1A544DE88BA19AACCC4E3", "https://baanknet.com/view-property/208417/EBA6EAC96E709486A41C21C75B96731E08966AAF40A1A544DE88BA19AACCC4E3")</f>
        <v>https://baanknet.com/view-property/208417/EBA6EAC96E709486A41C21C75B96731E08966AAF40A1A544DE88BA19AACCC4E3</v>
      </c>
      <c r="I6180" t="str">
        <f>HYPERLINK("https://baanknet.com/view-property/208417/EBA6EAC96E709486A41C21C75B96731E08966AAF40A1A544DE88BA19AACCC4E3", "Open")</f>
        <v>Open</v>
      </c>
      <c r="J6180" t="s">
        <v>3803</v>
      </c>
      <c r="L6180">
        <v>400000</v>
      </c>
      <c r="M6180">
        <v>40000</v>
      </c>
    </row>
    <row r="6181" spans="1:13" x14ac:dyDescent="0.25">
      <c r="A6181" t="s">
        <v>20418</v>
      </c>
      <c r="B6181" t="s">
        <v>20419</v>
      </c>
      <c r="C6181" t="s">
        <v>15</v>
      </c>
      <c r="D6181" t="s">
        <v>20420</v>
      </c>
      <c r="E6181" t="s">
        <v>20402</v>
      </c>
      <c r="F6181" t="s">
        <v>20406</v>
      </c>
      <c r="G6181" t="s">
        <v>20421</v>
      </c>
      <c r="H6181" t="str">
        <f>HYPERLINK("https://baanknet.com/view-property/246293/ED38BBDC7ED36953EDB87DF9291A0E8A7B4C154145238D37DF152B388913FCC5", "https://baanknet.com/view-property/246293/ED38BBDC7ED36953EDB87DF9291A0E8A7B4C154145238D37DF152B388913FCC5")</f>
        <v>https://baanknet.com/view-property/246293/ED38BBDC7ED36953EDB87DF9291A0E8A7B4C154145238D37DF152B388913FCC5</v>
      </c>
      <c r="I6181" t="str">
        <f>HYPERLINK("https://baanknet.com/view-property/246293/ED38BBDC7ED36953EDB87DF9291A0E8A7B4C154145238D37DF152B388913FCC5", "Open")</f>
        <v>Open</v>
      </c>
      <c r="J6181" t="s">
        <v>3803</v>
      </c>
      <c r="L6181">
        <v>679000</v>
      </c>
      <c r="M6181">
        <v>67900</v>
      </c>
    </row>
    <row r="6182" spans="1:13" x14ac:dyDescent="0.25">
      <c r="A6182" t="s">
        <v>20422</v>
      </c>
      <c r="B6182" t="s">
        <v>20423</v>
      </c>
      <c r="C6182" t="s">
        <v>15</v>
      </c>
      <c r="D6182" t="s">
        <v>20424</v>
      </c>
      <c r="E6182" t="s">
        <v>20402</v>
      </c>
      <c r="F6182" t="s">
        <v>20406</v>
      </c>
      <c r="G6182" t="s">
        <v>20425</v>
      </c>
      <c r="H6182" t="str">
        <f>HYPERLINK("https://baanknet.com/view-property/191284/338C1A2E1AAEC61279BB73352C8EEC20013D71B9368230FFC4399A42C01102C3", "https://baanknet.com/view-property/191284/338C1A2E1AAEC61279BB73352C8EEC20013D71B9368230FFC4399A42C01102C3")</f>
        <v>https://baanknet.com/view-property/191284/338C1A2E1AAEC61279BB73352C8EEC20013D71B9368230FFC4399A42C01102C3</v>
      </c>
      <c r="I6182" t="str">
        <f>HYPERLINK("https://baanknet.com/view-property/191284/338C1A2E1AAEC61279BB73352C8EEC20013D71B9368230FFC4399A42C01102C3", "Open")</f>
        <v>Open</v>
      </c>
      <c r="J6182" t="s">
        <v>3803</v>
      </c>
      <c r="L6182">
        <v>265000</v>
      </c>
      <c r="M6182">
        <v>26500</v>
      </c>
    </row>
    <row r="6183" spans="1:13" x14ac:dyDescent="0.25">
      <c r="A6183" t="s">
        <v>20426</v>
      </c>
      <c r="B6183" t="s">
        <v>20427</v>
      </c>
      <c r="C6183" t="s">
        <v>15</v>
      </c>
      <c r="D6183" t="s">
        <v>20428</v>
      </c>
      <c r="E6183" t="s">
        <v>20402</v>
      </c>
      <c r="F6183" t="s">
        <v>20406</v>
      </c>
      <c r="G6183" t="s">
        <v>20429</v>
      </c>
      <c r="H6183" t="str">
        <f>HYPERLINK("https://baanknet.com/view-property/208345/407B7537A684F220CE065BC823FFBC19BB572B06F585415CB2EFA628C65F7167", "https://baanknet.com/view-property/208345/407B7537A684F220CE065BC823FFBC19BB572B06F585415CB2EFA628C65F7167")</f>
        <v>https://baanknet.com/view-property/208345/407B7537A684F220CE065BC823FFBC19BB572B06F585415CB2EFA628C65F7167</v>
      </c>
      <c r="I6183" t="str">
        <f>HYPERLINK("https://baanknet.com/view-property/208345/407B7537A684F220CE065BC823FFBC19BB572B06F585415CB2EFA628C65F7167", "Open")</f>
        <v>Open</v>
      </c>
      <c r="J6183" t="s">
        <v>3803</v>
      </c>
      <c r="L6183">
        <v>450000</v>
      </c>
      <c r="M6183">
        <v>45000</v>
      </c>
    </row>
    <row r="6184" spans="1:13" x14ac:dyDescent="0.25">
      <c r="A6184" t="s">
        <v>20430</v>
      </c>
      <c r="B6184" t="s">
        <v>20431</v>
      </c>
      <c r="C6184" t="s">
        <v>15</v>
      </c>
      <c r="D6184" t="s">
        <v>20432</v>
      </c>
      <c r="E6184" t="s">
        <v>20402</v>
      </c>
      <c r="F6184" t="s">
        <v>20406</v>
      </c>
      <c r="G6184" t="s">
        <v>20433</v>
      </c>
      <c r="H6184" t="str">
        <f>HYPERLINK("https://baanknet.com/view-property/242528/D1C202123A681ECF4E4EE87F67A3BBBC78516DEFCFEF2FEBC0DE3E795B7AF64B", "https://baanknet.com/view-property/242528/D1C202123A681ECF4E4EE87F67A3BBBC78516DEFCFEF2FEBC0DE3E795B7AF64B")</f>
        <v>https://baanknet.com/view-property/242528/D1C202123A681ECF4E4EE87F67A3BBBC78516DEFCFEF2FEBC0DE3E795B7AF64B</v>
      </c>
      <c r="I6184" t="str">
        <f>HYPERLINK("https://baanknet.com/view-property/242528/D1C202123A681ECF4E4EE87F67A3BBBC78516DEFCFEF2FEBC0DE3E795B7AF64B", "Open")</f>
        <v>Open</v>
      </c>
      <c r="J6184" t="s">
        <v>3803</v>
      </c>
      <c r="L6184">
        <v>800000</v>
      </c>
      <c r="M6184">
        <v>80000</v>
      </c>
    </row>
    <row r="6185" spans="1:13" x14ac:dyDescent="0.25">
      <c r="A6185" t="s">
        <v>20434</v>
      </c>
      <c r="B6185" t="s">
        <v>20435</v>
      </c>
      <c r="C6185" t="s">
        <v>726</v>
      </c>
      <c r="D6185" t="s">
        <v>20436</v>
      </c>
      <c r="E6185" t="s">
        <v>20402</v>
      </c>
      <c r="F6185" t="s">
        <v>20406</v>
      </c>
      <c r="G6185" t="s">
        <v>20437</v>
      </c>
      <c r="H6185" t="str">
        <f>HYPERLINK("https://baanknet.com/view-property/265712/03278AE26069735012254150E87CB6638CD665EDD2C525185298134362379325", "https://baanknet.com/view-property/265712/03278AE26069735012254150E87CB6638CD665EDD2C525185298134362379325")</f>
        <v>https://baanknet.com/view-property/265712/03278AE26069735012254150E87CB6638CD665EDD2C525185298134362379325</v>
      </c>
      <c r="I6185" t="str">
        <f>HYPERLINK("https://baanknet.com/view-property/265712/03278AE26069735012254150E87CB6638CD665EDD2C525185298134362379325", "Open")</f>
        <v>Open</v>
      </c>
      <c r="J6185" t="s">
        <v>3803</v>
      </c>
      <c r="L6185">
        <v>6000000</v>
      </c>
      <c r="M6185">
        <v>600000</v>
      </c>
    </row>
    <row r="6186" spans="1:13" x14ac:dyDescent="0.25">
      <c r="A6186" t="s">
        <v>20438</v>
      </c>
      <c r="B6186" t="s">
        <v>20439</v>
      </c>
      <c r="C6186" t="s">
        <v>726</v>
      </c>
      <c r="D6186" t="s">
        <v>4679</v>
      </c>
      <c r="E6186" t="s">
        <v>20402</v>
      </c>
      <c r="F6186" t="s">
        <v>20406</v>
      </c>
      <c r="G6186" t="s">
        <v>20440</v>
      </c>
      <c r="H6186" t="str">
        <f>HYPERLINK("https://baanknet.com/view-property/232388/3124C6A296DC64DCE8DB6223E5BE85ADF7D9DA1776360AEFD32A5192D950007D", "https://baanknet.com/view-property/232388/3124C6A296DC64DCE8DB6223E5BE85ADF7D9DA1776360AEFD32A5192D950007D")</f>
        <v>https://baanknet.com/view-property/232388/3124C6A296DC64DCE8DB6223E5BE85ADF7D9DA1776360AEFD32A5192D950007D</v>
      </c>
      <c r="I6186" t="str">
        <f>HYPERLINK("https://baanknet.com/view-property/232388/3124C6A296DC64DCE8DB6223E5BE85ADF7D9DA1776360AEFD32A5192D950007D", "Open")</f>
        <v>Open</v>
      </c>
      <c r="J6186" t="s">
        <v>3803</v>
      </c>
      <c r="L6186">
        <v>4191000</v>
      </c>
      <c r="M6186">
        <v>419100</v>
      </c>
    </row>
    <row r="6187" spans="1:13" x14ac:dyDescent="0.25">
      <c r="A6187" t="s">
        <v>20441</v>
      </c>
      <c r="B6187" t="s">
        <v>20442</v>
      </c>
      <c r="C6187" t="s">
        <v>15</v>
      </c>
      <c r="D6187" t="s">
        <v>4587</v>
      </c>
      <c r="E6187" t="s">
        <v>20402</v>
      </c>
      <c r="F6187" t="s">
        <v>20406</v>
      </c>
      <c r="G6187" t="s">
        <v>20443</v>
      </c>
      <c r="H6187" t="str">
        <f>HYPERLINK("https://baanknet.com/view-property/281046/25F92FA7D733FAA14921E2DECF6BA9AF53D948641EA1324BB9D84316C72FA350", "https://baanknet.com/view-property/281046/25F92FA7D733FAA14921E2DECF6BA9AF53D948641EA1324BB9D84316C72FA350")</f>
        <v>https://baanknet.com/view-property/281046/25F92FA7D733FAA14921E2DECF6BA9AF53D948641EA1324BB9D84316C72FA350</v>
      </c>
      <c r="I6187" t="str">
        <f>HYPERLINK("https://baanknet.com/view-property/281046/25F92FA7D733FAA14921E2DECF6BA9AF53D948641EA1324BB9D84316C72FA350", "Open")</f>
        <v>Open</v>
      </c>
      <c r="J6187" t="s">
        <v>3803</v>
      </c>
      <c r="L6187">
        <v>1511000</v>
      </c>
      <c r="M6187">
        <v>151100</v>
      </c>
    </row>
    <row r="6188" spans="1:13" x14ac:dyDescent="0.25">
      <c r="A6188" t="s">
        <v>20444</v>
      </c>
      <c r="B6188" t="s">
        <v>20445</v>
      </c>
      <c r="C6188" t="s">
        <v>15</v>
      </c>
      <c r="D6188" t="s">
        <v>20446</v>
      </c>
      <c r="E6188" t="s">
        <v>20402</v>
      </c>
      <c r="F6188" t="s">
        <v>20406</v>
      </c>
      <c r="G6188" t="s">
        <v>20447</v>
      </c>
      <c r="H6188" t="str">
        <f>HYPERLINK("https://baanknet.com/view-property/248192/40AF983443657F1706638944CDD6D51075CD4018F24704AC5015C6A84C57D57D", "https://baanknet.com/view-property/248192/40AF983443657F1706638944CDD6D51075CD4018F24704AC5015C6A84C57D57D")</f>
        <v>https://baanknet.com/view-property/248192/40AF983443657F1706638944CDD6D51075CD4018F24704AC5015C6A84C57D57D</v>
      </c>
      <c r="I6188" t="str">
        <f>HYPERLINK("https://baanknet.com/view-property/248192/40AF983443657F1706638944CDD6D51075CD4018F24704AC5015C6A84C57D57D", "Open")</f>
        <v>Open</v>
      </c>
      <c r="J6188" t="s">
        <v>3803</v>
      </c>
      <c r="L6188">
        <v>2516000</v>
      </c>
      <c r="M6188">
        <v>251600</v>
      </c>
    </row>
    <row r="6189" spans="1:13" x14ac:dyDescent="0.25">
      <c r="A6189" t="s">
        <v>20448</v>
      </c>
      <c r="B6189" t="s">
        <v>20449</v>
      </c>
      <c r="C6189" t="s">
        <v>15</v>
      </c>
      <c r="D6189" t="s">
        <v>20446</v>
      </c>
      <c r="E6189" t="s">
        <v>20402</v>
      </c>
      <c r="F6189" t="s">
        <v>20406</v>
      </c>
      <c r="G6189" t="s">
        <v>20450</v>
      </c>
      <c r="H6189" t="str">
        <f>HYPERLINK("https://baanknet.com/view-property/248194/52DB84D427427F0B63FA2B0A36B5B37E8944E635A5B6681EB3AD04DE07193F04", "https://baanknet.com/view-property/248194/52DB84D427427F0B63FA2B0A36B5B37E8944E635A5B6681EB3AD04DE07193F04")</f>
        <v>https://baanknet.com/view-property/248194/52DB84D427427F0B63FA2B0A36B5B37E8944E635A5B6681EB3AD04DE07193F04</v>
      </c>
      <c r="I6189" t="str">
        <f>HYPERLINK("https://baanknet.com/view-property/248194/52DB84D427427F0B63FA2B0A36B5B37E8944E635A5B6681EB3AD04DE07193F04", "Open")</f>
        <v>Open</v>
      </c>
      <c r="J6189" t="s">
        <v>3803</v>
      </c>
      <c r="L6189">
        <v>6006000</v>
      </c>
      <c r="M6189">
        <v>600600</v>
      </c>
    </row>
    <row r="6190" spans="1:13" x14ac:dyDescent="0.25">
      <c r="A6190" t="s">
        <v>20451</v>
      </c>
      <c r="B6190" t="s">
        <v>20452</v>
      </c>
      <c r="C6190" t="s">
        <v>15</v>
      </c>
      <c r="D6190" t="s">
        <v>20446</v>
      </c>
      <c r="E6190" t="s">
        <v>20402</v>
      </c>
      <c r="F6190" t="s">
        <v>20406</v>
      </c>
      <c r="G6190" t="s">
        <v>20453</v>
      </c>
      <c r="H6190" t="str">
        <f>HYPERLINK("https://baanknet.com/view-property/248195/7A1DE20F886C914D74A98C6955753AD5C9ADB12F36A405C98489E2827A42BA51", "https://baanknet.com/view-property/248195/7A1DE20F886C914D74A98C6955753AD5C9ADB12F36A405C98489E2827A42BA51")</f>
        <v>https://baanknet.com/view-property/248195/7A1DE20F886C914D74A98C6955753AD5C9ADB12F36A405C98489E2827A42BA51</v>
      </c>
      <c r="I6190" t="str">
        <f>HYPERLINK("https://baanknet.com/view-property/248195/7A1DE20F886C914D74A98C6955753AD5C9ADB12F36A405C98489E2827A42BA51", "Open")</f>
        <v>Open</v>
      </c>
      <c r="J6190" t="s">
        <v>3803</v>
      </c>
      <c r="L6190">
        <v>1714000</v>
      </c>
      <c r="M6190">
        <v>171400</v>
      </c>
    </row>
    <row r="6191" spans="1:13" x14ac:dyDescent="0.25">
      <c r="A6191" t="s">
        <v>20454</v>
      </c>
      <c r="B6191" t="s">
        <v>20455</v>
      </c>
      <c r="C6191" t="s">
        <v>15</v>
      </c>
      <c r="D6191" t="s">
        <v>20446</v>
      </c>
      <c r="E6191" t="s">
        <v>20402</v>
      </c>
      <c r="F6191" t="s">
        <v>20406</v>
      </c>
      <c r="G6191" t="s">
        <v>20456</v>
      </c>
      <c r="H6191" t="str">
        <f>HYPERLINK("https://baanknet.com/view-property/248197/8D13D77DB50030DF2065F78473D6EE2174F589265066FDCF81966990F5F6AB48", "https://baanknet.com/view-property/248197/8D13D77DB50030DF2065F78473D6EE2174F589265066FDCF81966990F5F6AB48")</f>
        <v>https://baanknet.com/view-property/248197/8D13D77DB50030DF2065F78473D6EE2174F589265066FDCF81966990F5F6AB48</v>
      </c>
      <c r="I6191" t="str">
        <f>HYPERLINK("https://baanknet.com/view-property/248197/8D13D77DB50030DF2065F78473D6EE2174F589265066FDCF81966990F5F6AB48", "Open")</f>
        <v>Open</v>
      </c>
      <c r="J6191" t="s">
        <v>3803</v>
      </c>
      <c r="L6191">
        <v>2386000</v>
      </c>
      <c r="M6191">
        <v>238600</v>
      </c>
    </row>
    <row r="6192" spans="1:13" x14ac:dyDescent="0.25">
      <c r="A6192" t="s">
        <v>20457</v>
      </c>
      <c r="B6192" t="s">
        <v>20458</v>
      </c>
      <c r="C6192" t="s">
        <v>15</v>
      </c>
      <c r="D6192" t="s">
        <v>4980</v>
      </c>
      <c r="E6192" t="s">
        <v>642</v>
      </c>
      <c r="F6192" t="s">
        <v>20459</v>
      </c>
      <c r="G6192" t="s">
        <v>20460</v>
      </c>
      <c r="H6192" t="str">
        <f>HYPERLINK("https://baanknet.com/view-property/286405/E1B3C725CD92B67A9E08C56CB1AB207012409D036627B0BA766553660C4384BA", "https://baanknet.com/view-property/286405/E1B3C725CD92B67A9E08C56CB1AB207012409D036627B0BA766553660C4384BA")</f>
        <v>https://baanknet.com/view-property/286405/E1B3C725CD92B67A9E08C56CB1AB207012409D036627B0BA766553660C4384BA</v>
      </c>
      <c r="I6192" t="str">
        <f>HYPERLINK("https://baanknet.com/view-property/286405/E1B3C725CD92B67A9E08C56CB1AB207012409D036627B0BA766553660C4384BA", "Open")</f>
        <v>Open</v>
      </c>
      <c r="J6192" t="s">
        <v>3803</v>
      </c>
      <c r="L6192">
        <v>2915000</v>
      </c>
      <c r="M6192">
        <v>291500</v>
      </c>
    </row>
    <row r="6193" spans="1:13" x14ac:dyDescent="0.25">
      <c r="A6193" t="s">
        <v>20461</v>
      </c>
      <c r="B6193" t="s">
        <v>20462</v>
      </c>
      <c r="C6193" t="s">
        <v>15</v>
      </c>
      <c r="D6193" t="s">
        <v>8155</v>
      </c>
      <c r="E6193" t="s">
        <v>642</v>
      </c>
      <c r="F6193" t="s">
        <v>20459</v>
      </c>
      <c r="G6193" t="s">
        <v>20463</v>
      </c>
      <c r="H6193" t="str">
        <f>HYPERLINK("https://baanknet.com/view-property/280485/DA1134480E2F5504BD7D5154BB1C328A9B2BE9B783C041A1A71E9B321A01022C", "https://baanknet.com/view-property/280485/DA1134480E2F5504BD7D5154BB1C328A9B2BE9B783C041A1A71E9B321A01022C")</f>
        <v>https://baanknet.com/view-property/280485/DA1134480E2F5504BD7D5154BB1C328A9B2BE9B783C041A1A71E9B321A01022C</v>
      </c>
      <c r="I6193" t="str">
        <f>HYPERLINK("https://baanknet.com/view-property/280485/DA1134480E2F5504BD7D5154BB1C328A9B2BE9B783C041A1A71E9B321A01022C", "Open")</f>
        <v>Open</v>
      </c>
      <c r="J6193" t="s">
        <v>3803</v>
      </c>
      <c r="L6193">
        <v>2450000</v>
      </c>
      <c r="M6193">
        <v>245000</v>
      </c>
    </row>
    <row r="6194" spans="1:13" x14ac:dyDescent="0.25">
      <c r="A6194" t="s">
        <v>20464</v>
      </c>
      <c r="B6194" t="s">
        <v>20465</v>
      </c>
      <c r="C6194" t="s">
        <v>15</v>
      </c>
      <c r="D6194" t="s">
        <v>3674</v>
      </c>
      <c r="E6194" t="s">
        <v>642</v>
      </c>
      <c r="F6194" t="s">
        <v>20459</v>
      </c>
      <c r="G6194" t="s">
        <v>20466</v>
      </c>
      <c r="H6194" t="str">
        <f>HYPERLINK("https://baanknet.com/view-property/287498/9C82A2F04DCFFEC1CB79E602726EB3B2A1FFAAEF5C63B0A983B778705D5F4F65", "https://baanknet.com/view-property/287498/9C82A2F04DCFFEC1CB79E602726EB3B2A1FFAAEF5C63B0A983B778705D5F4F65")</f>
        <v>https://baanknet.com/view-property/287498/9C82A2F04DCFFEC1CB79E602726EB3B2A1FFAAEF5C63B0A983B778705D5F4F65</v>
      </c>
      <c r="I6194" t="str">
        <f>HYPERLINK("https://baanknet.com/view-property/287498/9C82A2F04DCFFEC1CB79E602726EB3B2A1FFAAEF5C63B0A983B778705D5F4F65", "Open")</f>
        <v>Open</v>
      </c>
      <c r="J6194" t="s">
        <v>3803</v>
      </c>
      <c r="L6194">
        <v>1090000</v>
      </c>
      <c r="M6194">
        <v>109000</v>
      </c>
    </row>
    <row r="6195" spans="1:13" x14ac:dyDescent="0.25">
      <c r="A6195" t="s">
        <v>20467</v>
      </c>
      <c r="B6195" t="s">
        <v>20468</v>
      </c>
      <c r="C6195" t="s">
        <v>15</v>
      </c>
      <c r="D6195" t="s">
        <v>8155</v>
      </c>
      <c r="E6195" t="s">
        <v>642</v>
      </c>
      <c r="F6195" t="s">
        <v>20459</v>
      </c>
      <c r="G6195" t="s">
        <v>20469</v>
      </c>
      <c r="H6195" t="str">
        <f>HYPERLINK("https://baanknet.com/view-property/287508/A0E7789C8A7ACFB4EA5FDA8561F50AF6B89F6659911D461441D8E86CDC37F70F", "https://baanknet.com/view-property/287508/A0E7789C8A7ACFB4EA5FDA8561F50AF6B89F6659911D461441D8E86CDC37F70F")</f>
        <v>https://baanknet.com/view-property/287508/A0E7789C8A7ACFB4EA5FDA8561F50AF6B89F6659911D461441D8E86CDC37F70F</v>
      </c>
      <c r="I6195" t="str">
        <f>HYPERLINK("https://baanknet.com/view-property/287508/A0E7789C8A7ACFB4EA5FDA8561F50AF6B89F6659911D461441D8E86CDC37F70F", "Open")</f>
        <v>Open</v>
      </c>
      <c r="J6195" t="s">
        <v>3803</v>
      </c>
      <c r="L6195">
        <v>5560000</v>
      </c>
      <c r="M6195">
        <v>556000</v>
      </c>
    </row>
    <row r="6196" spans="1:13" x14ac:dyDescent="0.25">
      <c r="A6196" t="s">
        <v>20470</v>
      </c>
      <c r="B6196" t="s">
        <v>20471</v>
      </c>
      <c r="C6196" t="s">
        <v>15</v>
      </c>
      <c r="D6196" t="s">
        <v>3225</v>
      </c>
      <c r="E6196" t="s">
        <v>642</v>
      </c>
      <c r="F6196" t="s">
        <v>20459</v>
      </c>
      <c r="G6196" t="s">
        <v>20472</v>
      </c>
      <c r="H6196" t="str">
        <f>HYPERLINK("https://baanknet.com/view-property/242699/111299331D2D7FC4057AE351C044B73CF4A6265AB31EE1327970CB1018856B0D", "https://baanknet.com/view-property/242699/111299331D2D7FC4057AE351C044B73CF4A6265AB31EE1327970CB1018856B0D")</f>
        <v>https://baanknet.com/view-property/242699/111299331D2D7FC4057AE351C044B73CF4A6265AB31EE1327970CB1018856B0D</v>
      </c>
      <c r="I6196" t="str">
        <f>HYPERLINK("https://baanknet.com/view-property/242699/111299331D2D7FC4057AE351C044B73CF4A6265AB31EE1327970CB1018856B0D", "Open")</f>
        <v>Open</v>
      </c>
      <c r="J6196" t="s">
        <v>3803</v>
      </c>
      <c r="L6196">
        <v>8800000</v>
      </c>
      <c r="M6196">
        <v>880000</v>
      </c>
    </row>
    <row r="6197" spans="1:13" x14ac:dyDescent="0.25">
      <c r="A6197" t="s">
        <v>20473</v>
      </c>
      <c r="B6197" t="s">
        <v>20474</v>
      </c>
      <c r="C6197" t="s">
        <v>15</v>
      </c>
      <c r="D6197" t="s">
        <v>13420</v>
      </c>
      <c r="E6197" t="s">
        <v>642</v>
      </c>
      <c r="F6197" t="s">
        <v>20459</v>
      </c>
      <c r="G6197" t="s">
        <v>20475</v>
      </c>
      <c r="H6197" t="str">
        <f>HYPERLINK("https://baanknet.com/view-property/257375/A029915B934AB73B28E75FF3A8027CE7E68816AAE8C21343C2D05E3212089A5C", "https://baanknet.com/view-property/257375/A029915B934AB73B28E75FF3A8027CE7E68816AAE8C21343C2D05E3212089A5C")</f>
        <v>https://baanknet.com/view-property/257375/A029915B934AB73B28E75FF3A8027CE7E68816AAE8C21343C2D05E3212089A5C</v>
      </c>
      <c r="I6197" t="str">
        <f>HYPERLINK("https://baanknet.com/view-property/257375/A029915B934AB73B28E75FF3A8027CE7E68816AAE8C21343C2D05E3212089A5C", "Open")</f>
        <v>Open</v>
      </c>
      <c r="J6197" t="s">
        <v>3803</v>
      </c>
      <c r="L6197">
        <v>2351000</v>
      </c>
      <c r="M6197">
        <v>235100</v>
      </c>
    </row>
    <row r="6198" spans="1:13" x14ac:dyDescent="0.25">
      <c r="A6198" t="s">
        <v>20476</v>
      </c>
      <c r="B6198" t="s">
        <v>20477</v>
      </c>
      <c r="C6198" t="s">
        <v>144</v>
      </c>
      <c r="D6198" t="s">
        <v>4955</v>
      </c>
      <c r="E6198" t="s">
        <v>642</v>
      </c>
      <c r="F6198" t="s">
        <v>20375</v>
      </c>
      <c r="G6198" t="s">
        <v>20478</v>
      </c>
      <c r="H6198" t="str">
        <f>HYPERLINK("https://baanknet.com/view-property/273252/B2E1A2F425FD9A87394E41F94CE3BC6B7C693D1FFB6CD77CB270E082F5A9BF5E", "https://baanknet.com/view-property/273252/B2E1A2F425FD9A87394E41F94CE3BC6B7C693D1FFB6CD77CB270E082F5A9BF5E")</f>
        <v>https://baanknet.com/view-property/273252/B2E1A2F425FD9A87394E41F94CE3BC6B7C693D1FFB6CD77CB270E082F5A9BF5E</v>
      </c>
      <c r="I6198" t="str">
        <f>HYPERLINK("https://baanknet.com/view-property/273252/B2E1A2F425FD9A87394E41F94CE3BC6B7C693D1FFB6CD77CB270E082F5A9BF5E", "Open")</f>
        <v>Open</v>
      </c>
      <c r="J6198" t="s">
        <v>3803</v>
      </c>
      <c r="L6198">
        <v>3690000</v>
      </c>
      <c r="M6198">
        <v>369000</v>
      </c>
    </row>
    <row r="6199" spans="1:13" x14ac:dyDescent="0.25">
      <c r="A6199" t="s">
        <v>20479</v>
      </c>
      <c r="B6199" t="s">
        <v>20480</v>
      </c>
      <c r="C6199" t="s">
        <v>332</v>
      </c>
      <c r="D6199" t="s">
        <v>20481</v>
      </c>
      <c r="E6199" t="s">
        <v>642</v>
      </c>
      <c r="F6199" t="s">
        <v>643</v>
      </c>
      <c r="G6199" t="s">
        <v>20482</v>
      </c>
      <c r="H6199" t="str">
        <f>HYPERLINK("https://baanknet.com/view-property/518/C4B4FD2852F0354EAC267BA217E43A188FAD792140F676F4CE68B611E2AC4490", "https://baanknet.com/view-property/518/C4B4FD2852F0354EAC267BA217E43A188FAD792140F676F4CE68B611E2AC4490")</f>
        <v>https://baanknet.com/view-property/518/C4B4FD2852F0354EAC267BA217E43A188FAD792140F676F4CE68B611E2AC4490</v>
      </c>
      <c r="I6199" t="str">
        <f>HYPERLINK("https://baanknet.com/view-property/518/C4B4FD2852F0354EAC267BA217E43A188FAD792140F676F4CE68B611E2AC4490", "Open")</f>
        <v>Open</v>
      </c>
      <c r="J6199" t="s">
        <v>3803</v>
      </c>
      <c r="L6199">
        <v>1547000</v>
      </c>
      <c r="M6199">
        <v>154700</v>
      </c>
    </row>
    <row r="6200" spans="1:13" x14ac:dyDescent="0.25">
      <c r="A6200" t="s">
        <v>20483</v>
      </c>
      <c r="B6200" t="s">
        <v>20484</v>
      </c>
      <c r="C6200" t="s">
        <v>332</v>
      </c>
      <c r="D6200" t="s">
        <v>4884</v>
      </c>
      <c r="E6200" t="s">
        <v>642</v>
      </c>
      <c r="F6200" t="s">
        <v>643</v>
      </c>
      <c r="G6200" t="s">
        <v>20485</v>
      </c>
      <c r="H6200" t="str">
        <f>HYPERLINK("https://baanknet.com/view-property/32810/79855E12A4580282094D44FEF3A11E8181AE1C118987257CE6645C0ECA523504", "https://baanknet.com/view-property/32810/79855E12A4580282094D44FEF3A11E8181AE1C118987257CE6645C0ECA523504")</f>
        <v>https://baanknet.com/view-property/32810/79855E12A4580282094D44FEF3A11E8181AE1C118987257CE6645C0ECA523504</v>
      </c>
      <c r="I6200" t="str">
        <f>HYPERLINK("https://baanknet.com/view-property/32810/79855E12A4580282094D44FEF3A11E8181AE1C118987257CE6645C0ECA523504", "Open")</f>
        <v>Open</v>
      </c>
      <c r="J6200" t="s">
        <v>3803</v>
      </c>
      <c r="L6200">
        <v>5562000</v>
      </c>
      <c r="M6200">
        <v>556200</v>
      </c>
    </row>
    <row r="6201" spans="1:13" x14ac:dyDescent="0.25">
      <c r="A6201" t="s">
        <v>20486</v>
      </c>
      <c r="B6201" t="s">
        <v>20487</v>
      </c>
      <c r="C6201" t="s">
        <v>332</v>
      </c>
      <c r="D6201" t="s">
        <v>7273</v>
      </c>
      <c r="E6201" t="s">
        <v>642</v>
      </c>
      <c r="F6201" t="s">
        <v>643</v>
      </c>
      <c r="G6201" t="s">
        <v>20488</v>
      </c>
      <c r="H6201" t="str">
        <f>HYPERLINK("https://baanknet.com/view-property/271272/3BCA695C791B4E522E20EE8ADA8027B1524A0384F683EFF1A53AD5C0BBD7D76D", "https://baanknet.com/view-property/271272/3BCA695C791B4E522E20EE8ADA8027B1524A0384F683EFF1A53AD5C0BBD7D76D")</f>
        <v>https://baanknet.com/view-property/271272/3BCA695C791B4E522E20EE8ADA8027B1524A0384F683EFF1A53AD5C0BBD7D76D</v>
      </c>
      <c r="I6201" t="str">
        <f>HYPERLINK("https://baanknet.com/view-property/271272/3BCA695C791B4E522E20EE8ADA8027B1524A0384F683EFF1A53AD5C0BBD7D76D", "Open")</f>
        <v>Open</v>
      </c>
      <c r="J6201" t="s">
        <v>3803</v>
      </c>
      <c r="L6201">
        <v>3341000</v>
      </c>
      <c r="M6201">
        <v>334100</v>
      </c>
    </row>
    <row r="6202" spans="1:13" x14ac:dyDescent="0.25">
      <c r="A6202" t="s">
        <v>20489</v>
      </c>
      <c r="B6202" t="s">
        <v>20490</v>
      </c>
      <c r="C6202" t="s">
        <v>121</v>
      </c>
      <c r="D6202" t="s">
        <v>813</v>
      </c>
      <c r="E6202" t="s">
        <v>642</v>
      </c>
      <c r="F6202" t="s">
        <v>643</v>
      </c>
      <c r="G6202" t="s">
        <v>20491</v>
      </c>
      <c r="H6202" t="str">
        <f>HYPERLINK("https://baanknet.com/view-property/287311/4141B6AB600250217C599494AD5BEF6C540695CE158E4A7494C62E7A6A6B9458", "https://baanknet.com/view-property/287311/4141B6AB600250217C599494AD5BEF6C540695CE158E4A7494C62E7A6A6B9458")</f>
        <v>https://baanknet.com/view-property/287311/4141B6AB600250217C599494AD5BEF6C540695CE158E4A7494C62E7A6A6B9458</v>
      </c>
      <c r="I6202" t="str">
        <f>HYPERLINK("https://baanknet.com/view-property/287311/4141B6AB600250217C599494AD5BEF6C540695CE158E4A7494C62E7A6A6B9458", "Open")</f>
        <v>Open</v>
      </c>
      <c r="J6202" t="s">
        <v>3803</v>
      </c>
      <c r="L6202">
        <v>5086000</v>
      </c>
      <c r="M6202">
        <v>508600</v>
      </c>
    </row>
    <row r="6203" spans="1:13" x14ac:dyDescent="0.25">
      <c r="A6203" t="s">
        <v>20492</v>
      </c>
      <c r="B6203" t="s">
        <v>20493</v>
      </c>
      <c r="C6203" t="s">
        <v>589</v>
      </c>
      <c r="D6203" t="s">
        <v>20494</v>
      </c>
      <c r="E6203" t="s">
        <v>642</v>
      </c>
      <c r="F6203" t="s">
        <v>20393</v>
      </c>
      <c r="G6203" t="s">
        <v>20495</v>
      </c>
      <c r="H6203" t="str">
        <f>HYPERLINK("https://baanknet.com/view-property/246217/30F0181608DE27D507AC8B66BD04508DA782A37EBE93C16C94B75EEDE8B96FE3", "https://baanknet.com/view-property/246217/30F0181608DE27D507AC8B66BD04508DA782A37EBE93C16C94B75EEDE8B96FE3")</f>
        <v>https://baanknet.com/view-property/246217/30F0181608DE27D507AC8B66BD04508DA782A37EBE93C16C94B75EEDE8B96FE3</v>
      </c>
      <c r="I6203" t="str">
        <f>HYPERLINK("https://baanknet.com/view-property/246217/30F0181608DE27D507AC8B66BD04508DA782A37EBE93C16C94B75EEDE8B96FE3", "Open")</f>
        <v>Open</v>
      </c>
      <c r="J6203" t="s">
        <v>3803</v>
      </c>
      <c r="L6203">
        <v>3330000</v>
      </c>
      <c r="M6203">
        <v>333000</v>
      </c>
    </row>
    <row r="6204" spans="1:13" x14ac:dyDescent="0.25">
      <c r="A6204" t="s">
        <v>20496</v>
      </c>
      <c r="B6204" t="s">
        <v>20497</v>
      </c>
      <c r="C6204" t="s">
        <v>589</v>
      </c>
      <c r="D6204" t="s">
        <v>20494</v>
      </c>
      <c r="E6204" t="s">
        <v>642</v>
      </c>
      <c r="F6204" t="s">
        <v>20393</v>
      </c>
      <c r="G6204" t="s">
        <v>20498</v>
      </c>
      <c r="H6204" t="str">
        <f>HYPERLINK("https://baanknet.com/view-property/246213/563FEEA187BFC56EE0D17BEB90CEC5176D7262BD1A2EE9BFCA23E6F878C85BD8", "https://baanknet.com/view-property/246213/563FEEA187BFC56EE0D17BEB90CEC5176D7262BD1A2EE9BFCA23E6F878C85BD8")</f>
        <v>https://baanknet.com/view-property/246213/563FEEA187BFC56EE0D17BEB90CEC5176D7262BD1A2EE9BFCA23E6F878C85BD8</v>
      </c>
      <c r="I6204" t="str">
        <f>HYPERLINK("https://baanknet.com/view-property/246213/563FEEA187BFC56EE0D17BEB90CEC5176D7262BD1A2EE9BFCA23E6F878C85BD8", "Open")</f>
        <v>Open</v>
      </c>
      <c r="J6204" t="s">
        <v>3803</v>
      </c>
      <c r="L6204">
        <v>2340000</v>
      </c>
      <c r="M6204">
        <v>234000</v>
      </c>
    </row>
    <row r="6205" spans="1:13" x14ac:dyDescent="0.25">
      <c r="A6205" t="s">
        <v>20499</v>
      </c>
      <c r="B6205" t="s">
        <v>20500</v>
      </c>
      <c r="C6205" t="s">
        <v>332</v>
      </c>
      <c r="D6205" t="s">
        <v>309</v>
      </c>
      <c r="E6205" t="s">
        <v>642</v>
      </c>
      <c r="F6205" t="s">
        <v>20393</v>
      </c>
      <c r="G6205" t="s">
        <v>20501</v>
      </c>
      <c r="H6205" t="str">
        <f>HYPERLINK("https://baanknet.com/view-property/286425/1E87C0C5714BBD4510986EB88FE76F0FBE37C9CAB2F8977D3F92194024604680", "https://baanknet.com/view-property/286425/1E87C0C5714BBD4510986EB88FE76F0FBE37C9CAB2F8977D3F92194024604680")</f>
        <v>https://baanknet.com/view-property/286425/1E87C0C5714BBD4510986EB88FE76F0FBE37C9CAB2F8977D3F92194024604680</v>
      </c>
      <c r="I6205" t="str">
        <f>HYPERLINK("https://baanknet.com/view-property/286425/1E87C0C5714BBD4510986EB88FE76F0FBE37C9CAB2F8977D3F92194024604680", "Open")</f>
        <v>Open</v>
      </c>
      <c r="J6205" t="s">
        <v>3803</v>
      </c>
      <c r="L6205">
        <v>2126000</v>
      </c>
      <c r="M6205">
        <v>212600</v>
      </c>
    </row>
    <row r="6206" spans="1:13" x14ac:dyDescent="0.25">
      <c r="A6206" t="s">
        <v>20502</v>
      </c>
      <c r="B6206" t="s">
        <v>20503</v>
      </c>
      <c r="C6206" t="s">
        <v>589</v>
      </c>
      <c r="D6206" t="s">
        <v>20494</v>
      </c>
      <c r="E6206" t="s">
        <v>642</v>
      </c>
      <c r="F6206" t="s">
        <v>20393</v>
      </c>
      <c r="G6206" t="s">
        <v>20504</v>
      </c>
      <c r="H6206" t="str">
        <f>HYPERLINK("https://baanknet.com/view-property/246216/9844E83CAD587CFF85F1E47743546CDA057963B8234944D1428BEC87791EC47C", "https://baanknet.com/view-property/246216/9844E83CAD587CFF85F1E47743546CDA057963B8234944D1428BEC87791EC47C")</f>
        <v>https://baanknet.com/view-property/246216/9844E83CAD587CFF85F1E47743546CDA057963B8234944D1428BEC87791EC47C</v>
      </c>
      <c r="I6206" t="str">
        <f>HYPERLINK("https://baanknet.com/view-property/246216/9844E83CAD587CFF85F1E47743546CDA057963B8234944D1428BEC87791EC47C", "Open")</f>
        <v>Open</v>
      </c>
      <c r="J6206" t="s">
        <v>3803</v>
      </c>
      <c r="L6206">
        <v>1225000</v>
      </c>
      <c r="M6206">
        <v>122500</v>
      </c>
    </row>
    <row r="6207" spans="1:13" x14ac:dyDescent="0.25">
      <c r="A6207" t="s">
        <v>20505</v>
      </c>
      <c r="B6207" t="s">
        <v>20506</v>
      </c>
      <c r="C6207" t="s">
        <v>15</v>
      </c>
      <c r="D6207" t="s">
        <v>1602</v>
      </c>
      <c r="E6207" t="s">
        <v>20406</v>
      </c>
      <c r="F6207" t="s">
        <v>20398</v>
      </c>
      <c r="G6207" t="s">
        <v>20507</v>
      </c>
      <c r="H6207" t="str">
        <f>HYPERLINK("https://baanknet.com/view-property/285889/171656CAEF16B8602E5208302A5CE21AE8F1EE9CAD5F278776402568EB46E323", "https://baanknet.com/view-property/285889/171656CAEF16B8602E5208302A5CE21AE8F1EE9CAD5F278776402568EB46E323")</f>
        <v>https://baanknet.com/view-property/285889/171656CAEF16B8602E5208302A5CE21AE8F1EE9CAD5F278776402568EB46E323</v>
      </c>
      <c r="I6207" t="str">
        <f>HYPERLINK("https://baanknet.com/view-property/285889/171656CAEF16B8602E5208302A5CE21AE8F1EE9CAD5F278776402568EB46E323", "Open")</f>
        <v>Open</v>
      </c>
      <c r="J6207" t="s">
        <v>3803</v>
      </c>
      <c r="L6207">
        <v>3100000</v>
      </c>
      <c r="M6207">
        <v>310000</v>
      </c>
    </row>
    <row r="6208" spans="1:13" x14ac:dyDescent="0.25">
      <c r="A6208" t="s">
        <v>20508</v>
      </c>
      <c r="B6208" t="s">
        <v>20509</v>
      </c>
      <c r="C6208" t="s">
        <v>15</v>
      </c>
      <c r="D6208" t="s">
        <v>1488</v>
      </c>
      <c r="E6208" t="s">
        <v>20406</v>
      </c>
      <c r="F6208" t="s">
        <v>20398</v>
      </c>
      <c r="G6208" t="s">
        <v>20510</v>
      </c>
      <c r="H6208" t="str">
        <f>HYPERLINK("https://baanknet.com/view-property/286434/7C3629497075C3809EE0E535D01208D329E75F315DAACBDDE8E152BB81961E0F", "https://baanknet.com/view-property/286434/7C3629497075C3809EE0E535D01208D329E75F315DAACBDDE8E152BB81961E0F")</f>
        <v>https://baanknet.com/view-property/286434/7C3629497075C3809EE0E535D01208D329E75F315DAACBDDE8E152BB81961E0F</v>
      </c>
      <c r="I6208" t="str">
        <f>HYPERLINK("https://baanknet.com/view-property/286434/7C3629497075C3809EE0E535D01208D329E75F315DAACBDDE8E152BB81961E0F", "Open")</f>
        <v>Open</v>
      </c>
      <c r="J6208" t="s">
        <v>3803</v>
      </c>
      <c r="L6208">
        <v>15000000</v>
      </c>
      <c r="M6208">
        <v>1500000</v>
      </c>
    </row>
    <row r="6209" spans="1:13" x14ac:dyDescent="0.25">
      <c r="A6209" t="s">
        <v>20511</v>
      </c>
      <c r="B6209" t="s">
        <v>20512</v>
      </c>
      <c r="C6209" t="s">
        <v>15</v>
      </c>
      <c r="D6209" t="s">
        <v>32</v>
      </c>
      <c r="E6209" t="s">
        <v>20406</v>
      </c>
      <c r="F6209" t="s">
        <v>20398</v>
      </c>
      <c r="G6209" t="s">
        <v>20513</v>
      </c>
      <c r="H6209" t="str">
        <f>HYPERLINK("https://baanknet.com/view-property/286782/94794DFD22AFDF928D07E5B67E70A8FF6B454DBF979E5FA4C7F54AE77DD1552E", "https://baanknet.com/view-property/286782/94794DFD22AFDF928D07E5B67E70A8FF6B454DBF979E5FA4C7F54AE77DD1552E")</f>
        <v>https://baanknet.com/view-property/286782/94794DFD22AFDF928D07E5B67E70A8FF6B454DBF979E5FA4C7F54AE77DD1552E</v>
      </c>
      <c r="I6209" t="str">
        <f>HYPERLINK("https://baanknet.com/view-property/286782/94794DFD22AFDF928D07E5B67E70A8FF6B454DBF979E5FA4C7F54AE77DD1552E", "Open")</f>
        <v>Open</v>
      </c>
      <c r="J6209" t="s">
        <v>3803</v>
      </c>
      <c r="L6209">
        <v>7244000</v>
      </c>
      <c r="M6209">
        <v>724400</v>
      </c>
    </row>
    <row r="6210" spans="1:13" x14ac:dyDescent="0.25">
      <c r="A6210" t="s">
        <v>20514</v>
      </c>
      <c r="B6210" t="s">
        <v>20515</v>
      </c>
      <c r="C6210" t="s">
        <v>15</v>
      </c>
      <c r="D6210" t="s">
        <v>20516</v>
      </c>
      <c r="E6210" t="s">
        <v>20406</v>
      </c>
      <c r="F6210" t="s">
        <v>20398</v>
      </c>
      <c r="G6210" t="s">
        <v>20517</v>
      </c>
      <c r="H6210" t="str">
        <f>HYPERLINK("https://baanknet.com/view-property/286797/F1640A737F3649803B4139F3098D400B93FCA290711CE98BB9D5D49DBE0F3173", "https://baanknet.com/view-property/286797/F1640A737F3649803B4139F3098D400B93FCA290711CE98BB9D5D49DBE0F3173")</f>
        <v>https://baanknet.com/view-property/286797/F1640A737F3649803B4139F3098D400B93FCA290711CE98BB9D5D49DBE0F3173</v>
      </c>
      <c r="I6210" t="str">
        <f>HYPERLINK("https://baanknet.com/view-property/286797/F1640A737F3649803B4139F3098D400B93FCA290711CE98BB9D5D49DBE0F3173", "Open")</f>
        <v>Open</v>
      </c>
      <c r="J6210" t="s">
        <v>3803</v>
      </c>
      <c r="L6210">
        <v>8411000</v>
      </c>
      <c r="M6210">
        <v>841100</v>
      </c>
    </row>
    <row r="6211" spans="1:13" x14ac:dyDescent="0.25">
      <c r="A6211" t="s">
        <v>20518</v>
      </c>
      <c r="B6211" t="s">
        <v>20519</v>
      </c>
      <c r="C6211" t="s">
        <v>15</v>
      </c>
      <c r="D6211" t="s">
        <v>1637</v>
      </c>
      <c r="E6211" t="s">
        <v>20406</v>
      </c>
      <c r="F6211" t="s">
        <v>20398</v>
      </c>
      <c r="G6211" t="s">
        <v>20520</v>
      </c>
      <c r="H6211" t="str">
        <f>HYPERLINK("https://baanknet.com/view-property/286988/6446E47C8A26DA4BF8C679621025D002324D4077856960484EF1FFA645F408C8", "https://baanknet.com/view-property/286988/6446E47C8A26DA4BF8C679621025D002324D4077856960484EF1FFA645F408C8")</f>
        <v>https://baanknet.com/view-property/286988/6446E47C8A26DA4BF8C679621025D002324D4077856960484EF1FFA645F408C8</v>
      </c>
      <c r="I6211" t="str">
        <f>HYPERLINK("https://baanknet.com/view-property/286988/6446E47C8A26DA4BF8C679621025D002324D4077856960484EF1FFA645F408C8", "Open")</f>
        <v>Open</v>
      </c>
      <c r="J6211" t="s">
        <v>3803</v>
      </c>
      <c r="L6211">
        <v>11300000</v>
      </c>
      <c r="M6211">
        <v>1130000</v>
      </c>
    </row>
    <row r="6212" spans="1:13" x14ac:dyDescent="0.25">
      <c r="A6212" t="s">
        <v>20521</v>
      </c>
      <c r="B6212" t="s">
        <v>20522</v>
      </c>
      <c r="C6212" t="s">
        <v>15</v>
      </c>
      <c r="D6212" t="s">
        <v>5819</v>
      </c>
      <c r="E6212" t="s">
        <v>20406</v>
      </c>
      <c r="F6212" t="s">
        <v>20398</v>
      </c>
      <c r="G6212" t="s">
        <v>20523</v>
      </c>
      <c r="H6212" t="str">
        <f>HYPERLINK("https://baanknet.com/view-property/267864/DF4A3260FB49E8DC4806F57232FDDF4F412D892E1CD37ABEBE98FCDD55006427", "https://baanknet.com/view-property/267864/DF4A3260FB49E8DC4806F57232FDDF4F412D892E1CD37ABEBE98FCDD55006427")</f>
        <v>https://baanknet.com/view-property/267864/DF4A3260FB49E8DC4806F57232FDDF4F412D892E1CD37ABEBE98FCDD55006427</v>
      </c>
      <c r="I6212" t="str">
        <f>HYPERLINK("https://baanknet.com/view-property/267864/DF4A3260FB49E8DC4806F57232FDDF4F412D892E1CD37ABEBE98FCDD55006427", "Open")</f>
        <v>Open</v>
      </c>
      <c r="J6212" t="s">
        <v>3803</v>
      </c>
      <c r="L6212">
        <v>2025000</v>
      </c>
      <c r="M6212">
        <v>202500</v>
      </c>
    </row>
    <row r="6213" spans="1:13" x14ac:dyDescent="0.25">
      <c r="A6213" t="s">
        <v>20524</v>
      </c>
      <c r="B6213" t="s">
        <v>20525</v>
      </c>
      <c r="C6213" t="s">
        <v>15</v>
      </c>
      <c r="D6213" t="s">
        <v>1246</v>
      </c>
      <c r="E6213" t="s">
        <v>20406</v>
      </c>
      <c r="F6213" t="s">
        <v>20398</v>
      </c>
      <c r="G6213" t="s">
        <v>20526</v>
      </c>
      <c r="H6213" t="str">
        <f>HYPERLINK("https://baanknet.com/view-property/249050/95D95C91B1EE621EE7425BBF03C518E35FA7A43FC59A14260D5DCE31520D3848", "https://baanknet.com/view-property/249050/95D95C91B1EE621EE7425BBF03C518E35FA7A43FC59A14260D5DCE31520D3848")</f>
        <v>https://baanknet.com/view-property/249050/95D95C91B1EE621EE7425BBF03C518E35FA7A43FC59A14260D5DCE31520D3848</v>
      </c>
      <c r="I6213" t="str">
        <f>HYPERLINK("https://baanknet.com/view-property/249050/95D95C91B1EE621EE7425BBF03C518E35FA7A43FC59A14260D5DCE31520D3848", "Open")</f>
        <v>Open</v>
      </c>
      <c r="J6213" t="s">
        <v>3803</v>
      </c>
      <c r="L6213">
        <v>4950000</v>
      </c>
      <c r="M6213">
        <v>495000</v>
      </c>
    </row>
    <row r="6214" spans="1:13" x14ac:dyDescent="0.25">
      <c r="A6214" t="s">
        <v>20527</v>
      </c>
      <c r="B6214" t="s">
        <v>20528</v>
      </c>
      <c r="C6214" t="s">
        <v>15</v>
      </c>
      <c r="D6214" t="s">
        <v>7466</v>
      </c>
      <c r="E6214" t="s">
        <v>20406</v>
      </c>
      <c r="F6214" t="s">
        <v>20398</v>
      </c>
      <c r="G6214" t="s">
        <v>20529</v>
      </c>
      <c r="H6214" t="str">
        <f>HYPERLINK("https://baanknet.com/view-property/255542/DEC1FD969DF34DC181BBF40CAD4FCA2165C9C8D849666DCE04DAACC8FCDA4D09", "https://baanknet.com/view-property/255542/DEC1FD969DF34DC181BBF40CAD4FCA2165C9C8D849666DCE04DAACC8FCDA4D09")</f>
        <v>https://baanknet.com/view-property/255542/DEC1FD969DF34DC181BBF40CAD4FCA2165C9C8D849666DCE04DAACC8FCDA4D09</v>
      </c>
      <c r="I6214" t="str">
        <f>HYPERLINK("https://baanknet.com/view-property/255542/DEC1FD969DF34DC181BBF40CAD4FCA2165C9C8D849666DCE04DAACC8FCDA4D09", "Open")</f>
        <v>Open</v>
      </c>
      <c r="J6214" t="s">
        <v>3803</v>
      </c>
      <c r="L6214">
        <v>6400000</v>
      </c>
      <c r="M6214">
        <v>640000</v>
      </c>
    </row>
    <row r="6215" spans="1:13" x14ac:dyDescent="0.25">
      <c r="A6215" t="s">
        <v>20530</v>
      </c>
      <c r="B6215" t="s">
        <v>20531</v>
      </c>
      <c r="C6215" t="s">
        <v>15</v>
      </c>
      <c r="D6215" t="s">
        <v>1246</v>
      </c>
      <c r="E6215" t="s">
        <v>20406</v>
      </c>
      <c r="F6215" t="s">
        <v>20398</v>
      </c>
      <c r="G6215" t="s">
        <v>20532</v>
      </c>
      <c r="H6215" t="str">
        <f>HYPERLINK("https://baanknet.com/view-property/273874/07B5AA39F8AB5502979C7DD4B842CC409932C70EF36F53994AB8B2735B2D4055", "https://baanknet.com/view-property/273874/07B5AA39F8AB5502979C7DD4B842CC409932C70EF36F53994AB8B2735B2D4055")</f>
        <v>https://baanknet.com/view-property/273874/07B5AA39F8AB5502979C7DD4B842CC409932C70EF36F53994AB8B2735B2D4055</v>
      </c>
      <c r="I6215" t="str">
        <f>HYPERLINK("https://baanknet.com/view-property/273874/07B5AA39F8AB5502979C7DD4B842CC409932C70EF36F53994AB8B2735B2D4055", "Open")</f>
        <v>Open</v>
      </c>
      <c r="J6215" t="s">
        <v>3803</v>
      </c>
      <c r="L6215">
        <v>1520000</v>
      </c>
      <c r="M6215">
        <v>152000</v>
      </c>
    </row>
    <row r="6216" spans="1:13" x14ac:dyDescent="0.25">
      <c r="A6216" t="s">
        <v>20533</v>
      </c>
      <c r="B6216" t="s">
        <v>20534</v>
      </c>
      <c r="C6216" t="s">
        <v>15</v>
      </c>
      <c r="D6216" t="s">
        <v>19043</v>
      </c>
      <c r="E6216" t="s">
        <v>20406</v>
      </c>
      <c r="F6216" t="s">
        <v>20535</v>
      </c>
      <c r="G6216" t="s">
        <v>20536</v>
      </c>
      <c r="H6216" t="str">
        <f>HYPERLINK("https://baanknet.com/view-property/249493/30F6B86DB17A6AA768438ABBD92CF726486357FEDDB09724EA1525DAA31C592A", "https://baanknet.com/view-property/249493/30F6B86DB17A6AA768438ABBD92CF726486357FEDDB09724EA1525DAA31C592A")</f>
        <v>https://baanknet.com/view-property/249493/30F6B86DB17A6AA768438ABBD92CF726486357FEDDB09724EA1525DAA31C592A</v>
      </c>
      <c r="I6216" t="str">
        <f>HYPERLINK("https://baanknet.com/view-property/249493/30F6B86DB17A6AA768438ABBD92CF726486357FEDDB09724EA1525DAA31C592A", "Open")</f>
        <v>Open</v>
      </c>
      <c r="J6216" t="s">
        <v>3803</v>
      </c>
      <c r="L6216">
        <v>4810000</v>
      </c>
      <c r="M6216">
        <v>481000</v>
      </c>
    </row>
    <row r="6217" spans="1:13" x14ac:dyDescent="0.25">
      <c r="A6217" t="s">
        <v>20537</v>
      </c>
      <c r="B6217" t="s">
        <v>20538</v>
      </c>
      <c r="C6217" t="s">
        <v>15</v>
      </c>
      <c r="D6217" t="s">
        <v>19043</v>
      </c>
      <c r="E6217" t="s">
        <v>20406</v>
      </c>
      <c r="F6217" t="s">
        <v>20535</v>
      </c>
      <c r="G6217" t="s">
        <v>20539</v>
      </c>
      <c r="H6217" t="str">
        <f>HYPERLINK("https://baanknet.com/view-property/249490/D7A9D9546617D3FCD5750AFB444F3036FF09EAE843E6AF6C572023BB3BF566F6", "https://baanknet.com/view-property/249490/D7A9D9546617D3FCD5750AFB444F3036FF09EAE843E6AF6C572023BB3BF566F6")</f>
        <v>https://baanknet.com/view-property/249490/D7A9D9546617D3FCD5750AFB444F3036FF09EAE843E6AF6C572023BB3BF566F6</v>
      </c>
      <c r="I6217" t="str">
        <f>HYPERLINK("https://baanknet.com/view-property/249490/D7A9D9546617D3FCD5750AFB444F3036FF09EAE843E6AF6C572023BB3BF566F6", "Open")</f>
        <v>Open</v>
      </c>
      <c r="J6217" t="s">
        <v>3803</v>
      </c>
      <c r="L6217">
        <v>17700000</v>
      </c>
      <c r="M6217">
        <v>1770000</v>
      </c>
    </row>
    <row r="6218" spans="1:13" x14ac:dyDescent="0.25">
      <c r="A6218" t="s">
        <v>20540</v>
      </c>
      <c r="B6218" t="s">
        <v>20541</v>
      </c>
      <c r="C6218" t="s">
        <v>15</v>
      </c>
      <c r="D6218" t="s">
        <v>1598</v>
      </c>
      <c r="E6218" t="s">
        <v>20406</v>
      </c>
      <c r="F6218" t="s">
        <v>20535</v>
      </c>
      <c r="G6218" t="s">
        <v>20542</v>
      </c>
      <c r="H6218" t="str">
        <f>HYPERLINK("https://baanknet.com/view-property/280558/9B64E4C2FE49FD6187EB3B5920B8CEADC98D2AAE474C4F999482EC905F303ABB", "https://baanknet.com/view-property/280558/9B64E4C2FE49FD6187EB3B5920B8CEADC98D2AAE474C4F999482EC905F303ABB")</f>
        <v>https://baanknet.com/view-property/280558/9B64E4C2FE49FD6187EB3B5920B8CEADC98D2AAE474C4F999482EC905F303ABB</v>
      </c>
      <c r="I6218" t="str">
        <f>HYPERLINK("https://baanknet.com/view-property/280558/9B64E4C2FE49FD6187EB3B5920B8CEADC98D2AAE474C4F999482EC905F303ABB", "Open")</f>
        <v>Open</v>
      </c>
      <c r="J6218" t="s">
        <v>3803</v>
      </c>
      <c r="L6218">
        <v>14400000</v>
      </c>
      <c r="M6218">
        <v>1440000</v>
      </c>
    </row>
    <row r="6219" spans="1:13" x14ac:dyDescent="0.25">
      <c r="A6219" t="s">
        <v>20543</v>
      </c>
      <c r="B6219" t="s">
        <v>20544</v>
      </c>
      <c r="C6219" t="s">
        <v>15</v>
      </c>
      <c r="D6219" t="s">
        <v>157</v>
      </c>
      <c r="E6219" t="s">
        <v>20406</v>
      </c>
      <c r="F6219" t="s">
        <v>20535</v>
      </c>
      <c r="G6219" t="s">
        <v>20545</v>
      </c>
      <c r="H6219" t="str">
        <f>HYPERLINK("https://baanknet.com/view-property/280992/16ECB752A66C6805E71F2C497EF65117859441035DC15E6A7F4A297ECA91555C", "https://baanknet.com/view-property/280992/16ECB752A66C6805E71F2C497EF65117859441035DC15E6A7F4A297ECA91555C")</f>
        <v>https://baanknet.com/view-property/280992/16ECB752A66C6805E71F2C497EF65117859441035DC15E6A7F4A297ECA91555C</v>
      </c>
      <c r="I6219" t="str">
        <f>HYPERLINK("https://baanknet.com/view-property/280992/16ECB752A66C6805E71F2C497EF65117859441035DC15E6A7F4A297ECA91555C", "Open")</f>
        <v>Open</v>
      </c>
      <c r="J6219" t="s">
        <v>3803</v>
      </c>
      <c r="L6219">
        <v>2424000</v>
      </c>
      <c r="M6219">
        <v>242400</v>
      </c>
    </row>
    <row r="6220" spans="1:13" x14ac:dyDescent="0.25">
      <c r="A6220" t="s">
        <v>20546</v>
      </c>
      <c r="B6220" t="s">
        <v>20547</v>
      </c>
      <c r="C6220" t="s">
        <v>15</v>
      </c>
      <c r="D6220" t="s">
        <v>191</v>
      </c>
      <c r="E6220" t="s">
        <v>20406</v>
      </c>
      <c r="F6220" t="s">
        <v>20535</v>
      </c>
      <c r="G6220" t="s">
        <v>20548</v>
      </c>
      <c r="H6220" t="str">
        <f>HYPERLINK("https://baanknet.com/view-property/259141/B974A31C690E04FB1D811F2D8CF9E56B73288BC17A78ACA3B429ABA328A9DEEE", "https://baanknet.com/view-property/259141/B974A31C690E04FB1D811F2D8CF9E56B73288BC17A78ACA3B429ABA328A9DEEE")</f>
        <v>https://baanknet.com/view-property/259141/B974A31C690E04FB1D811F2D8CF9E56B73288BC17A78ACA3B429ABA328A9DEEE</v>
      </c>
      <c r="I6220" t="str">
        <f>HYPERLINK("https://baanknet.com/view-property/259141/B974A31C690E04FB1D811F2D8CF9E56B73288BC17A78ACA3B429ABA328A9DEEE", "Open")</f>
        <v>Open</v>
      </c>
      <c r="J6220" t="s">
        <v>3803</v>
      </c>
      <c r="L6220">
        <v>5050000</v>
      </c>
      <c r="M6220">
        <v>505000</v>
      </c>
    </row>
    <row r="6221" spans="1:13" x14ac:dyDescent="0.25">
      <c r="A6221" t="s">
        <v>20549</v>
      </c>
      <c r="B6221" t="s">
        <v>20550</v>
      </c>
      <c r="C6221" t="s">
        <v>15</v>
      </c>
      <c r="D6221" t="s">
        <v>2920</v>
      </c>
      <c r="E6221" t="s">
        <v>20406</v>
      </c>
      <c r="F6221" t="s">
        <v>20535</v>
      </c>
      <c r="G6221" t="s">
        <v>20551</v>
      </c>
      <c r="H6221" t="str">
        <f>HYPERLINK("https://baanknet.com/view-property/245362/4D29F1FF37A9B79F116E32949A3EFE76C9D73B8453D7CF09D33FE8DC0430BA8E", "https://baanknet.com/view-property/245362/4D29F1FF37A9B79F116E32949A3EFE76C9D73B8453D7CF09D33FE8DC0430BA8E")</f>
        <v>https://baanknet.com/view-property/245362/4D29F1FF37A9B79F116E32949A3EFE76C9D73B8453D7CF09D33FE8DC0430BA8E</v>
      </c>
      <c r="I6221" t="str">
        <f>HYPERLINK("https://baanknet.com/view-property/245362/4D29F1FF37A9B79F116E32949A3EFE76C9D73B8453D7CF09D33FE8DC0430BA8E", "Open")</f>
        <v>Open</v>
      </c>
      <c r="J6221" t="s">
        <v>3803</v>
      </c>
      <c r="L6221">
        <v>1480000</v>
      </c>
      <c r="M6221">
        <v>148000</v>
      </c>
    </row>
    <row r="6222" spans="1:13" x14ac:dyDescent="0.25">
      <c r="A6222" t="s">
        <v>20552</v>
      </c>
      <c r="B6222" t="s">
        <v>20553</v>
      </c>
      <c r="C6222" t="s">
        <v>15</v>
      </c>
      <c r="D6222" t="s">
        <v>273</v>
      </c>
      <c r="E6222" t="s">
        <v>20406</v>
      </c>
      <c r="F6222" t="s">
        <v>20535</v>
      </c>
      <c r="G6222" t="s">
        <v>20554</v>
      </c>
      <c r="H6222" t="str">
        <f>HYPERLINK("https://baanknet.com/view-property/264962/B01368BF066CD3E01EE1BC724A6C6B9DDA18179FF45186EFB96E294A5226F7C1", "https://baanknet.com/view-property/264962/B01368BF066CD3E01EE1BC724A6C6B9DDA18179FF45186EFB96E294A5226F7C1")</f>
        <v>https://baanknet.com/view-property/264962/B01368BF066CD3E01EE1BC724A6C6B9DDA18179FF45186EFB96E294A5226F7C1</v>
      </c>
      <c r="I6222" t="str">
        <f>HYPERLINK("https://baanknet.com/view-property/264962/B01368BF066CD3E01EE1BC724A6C6B9DDA18179FF45186EFB96E294A5226F7C1", "Open")</f>
        <v>Open</v>
      </c>
      <c r="J6222" t="s">
        <v>3803</v>
      </c>
      <c r="L6222">
        <v>1865000</v>
      </c>
      <c r="M6222">
        <v>186500</v>
      </c>
    </row>
    <row r="6223" spans="1:13" x14ac:dyDescent="0.25">
      <c r="A6223" t="s">
        <v>20555</v>
      </c>
      <c r="B6223" t="s">
        <v>20556</v>
      </c>
      <c r="C6223" t="s">
        <v>15</v>
      </c>
      <c r="D6223" t="s">
        <v>18506</v>
      </c>
      <c r="E6223" t="s">
        <v>20406</v>
      </c>
      <c r="F6223" t="s">
        <v>20535</v>
      </c>
      <c r="G6223" t="s">
        <v>20557</v>
      </c>
      <c r="H6223" t="str">
        <f>HYPERLINK("https://baanknet.com/view-property/245373/F3D9F6C182E584F61AB6734250CD69C416B05C2604BA3C8E2D069E0685E065C3", "https://baanknet.com/view-property/245373/F3D9F6C182E584F61AB6734250CD69C416B05C2604BA3C8E2D069E0685E065C3")</f>
        <v>https://baanknet.com/view-property/245373/F3D9F6C182E584F61AB6734250CD69C416B05C2604BA3C8E2D069E0685E065C3</v>
      </c>
      <c r="I6223" t="str">
        <f>HYPERLINK("https://baanknet.com/view-property/245373/F3D9F6C182E584F61AB6734250CD69C416B05C2604BA3C8E2D069E0685E065C3", "Open")</f>
        <v>Open</v>
      </c>
      <c r="J6223" t="s">
        <v>3803</v>
      </c>
      <c r="L6223">
        <v>1635000</v>
      </c>
      <c r="M6223">
        <v>163500</v>
      </c>
    </row>
    <row r="6224" spans="1:13" x14ac:dyDescent="0.25">
      <c r="A6224" t="s">
        <v>20558</v>
      </c>
      <c r="B6224" t="s">
        <v>20559</v>
      </c>
      <c r="C6224" t="s">
        <v>15</v>
      </c>
      <c r="D6224" t="s">
        <v>1823</v>
      </c>
      <c r="E6224" t="s">
        <v>20406</v>
      </c>
      <c r="F6224" t="s">
        <v>20535</v>
      </c>
      <c r="G6224" t="s">
        <v>20560</v>
      </c>
      <c r="H6224" t="str">
        <f>HYPERLINK("https://baanknet.com/view-property/253010/04AD1B0C3406E6CD57833D8AFB40AA899A0C5A79FD54F48FB000F72E1BEEA595", "https://baanknet.com/view-property/253010/04AD1B0C3406E6CD57833D8AFB40AA899A0C5A79FD54F48FB000F72E1BEEA595")</f>
        <v>https://baanknet.com/view-property/253010/04AD1B0C3406E6CD57833D8AFB40AA899A0C5A79FD54F48FB000F72E1BEEA595</v>
      </c>
      <c r="I6224" t="str">
        <f>HYPERLINK("https://baanknet.com/view-property/253010/04AD1B0C3406E6CD57833D8AFB40AA899A0C5A79FD54F48FB000F72E1BEEA595", "Open")</f>
        <v>Open</v>
      </c>
      <c r="J6224" t="s">
        <v>3803</v>
      </c>
      <c r="L6224">
        <v>3132000</v>
      </c>
      <c r="M6224">
        <v>313200</v>
      </c>
    </row>
    <row r="6225" spans="1:13" x14ac:dyDescent="0.25">
      <c r="A6225" t="s">
        <v>20561</v>
      </c>
      <c r="B6225" t="s">
        <v>20562</v>
      </c>
      <c r="C6225" t="s">
        <v>15</v>
      </c>
      <c r="D6225" t="s">
        <v>157</v>
      </c>
      <c r="E6225" t="s">
        <v>20406</v>
      </c>
      <c r="F6225" t="s">
        <v>20535</v>
      </c>
      <c r="G6225" t="s">
        <v>20563</v>
      </c>
      <c r="H6225" t="str">
        <f>HYPERLINK("https://baanknet.com/view-property/249878/D940A1A1BE3BE98A65349037707F93A2DD27BB8077456CC7DB8E046CF80F009A", "https://baanknet.com/view-property/249878/D940A1A1BE3BE98A65349037707F93A2DD27BB8077456CC7DB8E046CF80F009A")</f>
        <v>https://baanknet.com/view-property/249878/D940A1A1BE3BE98A65349037707F93A2DD27BB8077456CC7DB8E046CF80F009A</v>
      </c>
      <c r="I6225" t="str">
        <f>HYPERLINK("https://baanknet.com/view-property/249878/D940A1A1BE3BE98A65349037707F93A2DD27BB8077456CC7DB8E046CF80F009A", "Open")</f>
        <v>Open</v>
      </c>
      <c r="J6225" t="s">
        <v>3803</v>
      </c>
      <c r="L6225">
        <v>2400000</v>
      </c>
      <c r="M6225">
        <v>240000</v>
      </c>
    </row>
    <row r="6226" spans="1:13" x14ac:dyDescent="0.25">
      <c r="A6226" t="s">
        <v>20564</v>
      </c>
      <c r="B6226" t="s">
        <v>20565</v>
      </c>
      <c r="C6226" t="s">
        <v>15</v>
      </c>
      <c r="D6226" t="s">
        <v>20566</v>
      </c>
      <c r="E6226" t="s">
        <v>20406</v>
      </c>
      <c r="F6226" t="s">
        <v>20535</v>
      </c>
      <c r="G6226" t="s">
        <v>20567</v>
      </c>
      <c r="H6226" t="str">
        <f>HYPERLINK("https://baanknet.com/view-property/265445/15740CF133B665565DD1CC906BDF1D1C695C10B93EC9BCD1696BF38AD6FFB235", "https://baanknet.com/view-property/265445/15740CF133B665565DD1CC906BDF1D1C695C10B93EC9BCD1696BF38AD6FFB235")</f>
        <v>https://baanknet.com/view-property/265445/15740CF133B665565DD1CC906BDF1D1C695C10B93EC9BCD1696BF38AD6FFB235</v>
      </c>
      <c r="I6226" t="str">
        <f>HYPERLINK("https://baanknet.com/view-property/265445/15740CF133B665565DD1CC906BDF1D1C695C10B93EC9BCD1696BF38AD6FFB235", "Open")</f>
        <v>Open</v>
      </c>
      <c r="J6226" t="s">
        <v>3803</v>
      </c>
      <c r="L6226">
        <v>1451000</v>
      </c>
      <c r="M6226">
        <v>145100</v>
      </c>
    </row>
    <row r="6227" spans="1:13" x14ac:dyDescent="0.25">
      <c r="A6227" t="s">
        <v>20568</v>
      </c>
      <c r="B6227" t="s">
        <v>20569</v>
      </c>
      <c r="C6227" t="s">
        <v>15</v>
      </c>
      <c r="D6227" t="s">
        <v>157</v>
      </c>
      <c r="E6227" t="s">
        <v>20406</v>
      </c>
      <c r="F6227" t="s">
        <v>20535</v>
      </c>
      <c r="G6227" t="s">
        <v>20570</v>
      </c>
      <c r="H6227" t="str">
        <f>HYPERLINK("https://baanknet.com/view-property/245383/EFCF6D5E2AA5D920AE9B5FF0D30EC547C3816F5A21B7D29D201213FD4F204A02", "https://baanknet.com/view-property/245383/EFCF6D5E2AA5D920AE9B5FF0D30EC547C3816F5A21B7D29D201213FD4F204A02")</f>
        <v>https://baanknet.com/view-property/245383/EFCF6D5E2AA5D920AE9B5FF0D30EC547C3816F5A21B7D29D201213FD4F204A02</v>
      </c>
      <c r="I6227" t="str">
        <f>HYPERLINK("https://baanknet.com/view-property/245383/EFCF6D5E2AA5D920AE9B5FF0D30EC547C3816F5A21B7D29D201213FD4F204A02", "Open")</f>
        <v>Open</v>
      </c>
      <c r="J6227" t="s">
        <v>3803</v>
      </c>
      <c r="L6227">
        <v>1545000</v>
      </c>
      <c r="M6227">
        <v>154500</v>
      </c>
    </row>
    <row r="6228" spans="1:13" x14ac:dyDescent="0.25">
      <c r="A6228" t="s">
        <v>20571</v>
      </c>
      <c r="B6228" t="s">
        <v>20572</v>
      </c>
      <c r="C6228" t="s">
        <v>15</v>
      </c>
      <c r="D6228" t="s">
        <v>157</v>
      </c>
      <c r="E6228" t="s">
        <v>20406</v>
      </c>
      <c r="F6228" t="s">
        <v>20535</v>
      </c>
      <c r="G6228" t="s">
        <v>20573</v>
      </c>
      <c r="H6228" t="str">
        <f>HYPERLINK("https://baanknet.com/view-property/261127/C412239D8A5E1080F4EC7DD14D55E64F6F302A80669F379AEAD1B683B86DC024", "https://baanknet.com/view-property/261127/C412239D8A5E1080F4EC7DD14D55E64F6F302A80669F379AEAD1B683B86DC024")</f>
        <v>https://baanknet.com/view-property/261127/C412239D8A5E1080F4EC7DD14D55E64F6F302A80669F379AEAD1B683B86DC024</v>
      </c>
      <c r="I6228" t="str">
        <f>HYPERLINK("https://baanknet.com/view-property/261127/C412239D8A5E1080F4EC7DD14D55E64F6F302A80669F379AEAD1B683B86DC024", "Open")</f>
        <v>Open</v>
      </c>
      <c r="J6228" t="s">
        <v>3803</v>
      </c>
      <c r="L6228">
        <v>4800000</v>
      </c>
      <c r="M6228">
        <v>480000</v>
      </c>
    </row>
    <row r="6229" spans="1:13" x14ac:dyDescent="0.25">
      <c r="A6229" t="s">
        <v>20574</v>
      </c>
      <c r="B6229" t="s">
        <v>20575</v>
      </c>
      <c r="C6229" t="s">
        <v>15</v>
      </c>
      <c r="D6229" t="s">
        <v>157</v>
      </c>
      <c r="E6229" t="s">
        <v>20406</v>
      </c>
      <c r="F6229" t="s">
        <v>20535</v>
      </c>
      <c r="G6229" t="s">
        <v>20576</v>
      </c>
      <c r="H6229" t="str">
        <f>HYPERLINK("https://baanknet.com/view-property/261136/F84F6ED69897F626985652F83C1317A9049CDE5DEECC06CB02C8665F8B587024", "https://baanknet.com/view-property/261136/F84F6ED69897F626985652F83C1317A9049CDE5DEECC06CB02C8665F8B587024")</f>
        <v>https://baanknet.com/view-property/261136/F84F6ED69897F626985652F83C1317A9049CDE5DEECC06CB02C8665F8B587024</v>
      </c>
      <c r="I6229" t="str">
        <f>HYPERLINK("https://baanknet.com/view-property/261136/F84F6ED69897F626985652F83C1317A9049CDE5DEECC06CB02C8665F8B587024", "Open")</f>
        <v>Open</v>
      </c>
      <c r="J6229" t="s">
        <v>3803</v>
      </c>
      <c r="L6229">
        <v>4600000</v>
      </c>
      <c r="M6229">
        <v>460000</v>
      </c>
    </row>
    <row r="6230" spans="1:13" x14ac:dyDescent="0.25">
      <c r="A6230" t="s">
        <v>20577</v>
      </c>
      <c r="B6230" t="s">
        <v>20578</v>
      </c>
      <c r="C6230" t="s">
        <v>15</v>
      </c>
      <c r="D6230" t="s">
        <v>20579</v>
      </c>
      <c r="E6230" t="s">
        <v>20406</v>
      </c>
      <c r="F6230" t="s">
        <v>20535</v>
      </c>
      <c r="G6230" t="s">
        <v>20580</v>
      </c>
      <c r="H6230" t="str">
        <f>HYPERLINK("https://baanknet.com/view-property/251538/D58AEB0BD2FD26D082BD5CA15B139D31EC943240D68AE8D50DAFA1D87D4B6FB5", "https://baanknet.com/view-property/251538/D58AEB0BD2FD26D082BD5CA15B139D31EC943240D68AE8D50DAFA1D87D4B6FB5")</f>
        <v>https://baanknet.com/view-property/251538/D58AEB0BD2FD26D082BD5CA15B139D31EC943240D68AE8D50DAFA1D87D4B6FB5</v>
      </c>
      <c r="I6230" t="str">
        <f>HYPERLINK("https://baanknet.com/view-property/251538/D58AEB0BD2FD26D082BD5CA15B139D31EC943240D68AE8D50DAFA1D87D4B6FB5", "Open")</f>
        <v>Open</v>
      </c>
      <c r="J6230" t="s">
        <v>3803</v>
      </c>
      <c r="L6230">
        <v>1020000</v>
      </c>
      <c r="M6230">
        <v>102000</v>
      </c>
    </row>
    <row r="6231" spans="1:13" x14ac:dyDescent="0.25">
      <c r="A6231" t="s">
        <v>20581</v>
      </c>
      <c r="B6231" t="s">
        <v>20582</v>
      </c>
      <c r="C6231" t="s">
        <v>525</v>
      </c>
      <c r="D6231" t="s">
        <v>4997</v>
      </c>
      <c r="E6231" t="s">
        <v>20459</v>
      </c>
      <c r="F6231" t="s">
        <v>20375</v>
      </c>
      <c r="G6231" t="s">
        <v>20583</v>
      </c>
      <c r="H6231" t="str">
        <f>HYPERLINK("https://baanknet.com/view-property/211299/835FDEDB47398D0252A1FE0B6329290D6AE5D0F1D4916DFEFDC12DA57E9F2090", "https://baanknet.com/view-property/211299/835FDEDB47398D0252A1FE0B6329290D6AE5D0F1D4916DFEFDC12DA57E9F2090")</f>
        <v>https://baanknet.com/view-property/211299/835FDEDB47398D0252A1FE0B6329290D6AE5D0F1D4916DFEFDC12DA57E9F2090</v>
      </c>
      <c r="I6231" t="str">
        <f>HYPERLINK("https://baanknet.com/view-property/211299/835FDEDB47398D0252A1FE0B6329290D6AE5D0F1D4916DFEFDC12DA57E9F2090", "Open")</f>
        <v>Open</v>
      </c>
      <c r="J6231" t="s">
        <v>3803</v>
      </c>
      <c r="L6231">
        <v>283000000</v>
      </c>
      <c r="M6231">
        <v>28300000</v>
      </c>
    </row>
    <row r="6232" spans="1:13" x14ac:dyDescent="0.25">
      <c r="A6232" t="s">
        <v>20584</v>
      </c>
      <c r="B6232" t="s">
        <v>20585</v>
      </c>
      <c r="C6232" t="s">
        <v>525</v>
      </c>
      <c r="D6232" t="s">
        <v>937</v>
      </c>
      <c r="E6232" t="s">
        <v>20459</v>
      </c>
      <c r="F6232" t="s">
        <v>20375</v>
      </c>
      <c r="G6232" t="s">
        <v>20586</v>
      </c>
      <c r="H6232" t="str">
        <f>HYPERLINK("https://baanknet.com/view-property/211297/F52E6A4375418C60E9A1C11A59DADB514B610796449E9731A044DB99673B87BE", "https://baanknet.com/view-property/211297/F52E6A4375418C60E9A1C11A59DADB514B610796449E9731A044DB99673B87BE")</f>
        <v>https://baanknet.com/view-property/211297/F52E6A4375418C60E9A1C11A59DADB514B610796449E9731A044DB99673B87BE</v>
      </c>
      <c r="I6232" t="str">
        <f>HYPERLINK("https://baanknet.com/view-property/211297/F52E6A4375418C60E9A1C11A59DADB514B610796449E9731A044DB99673B87BE", "Open")</f>
        <v>Open</v>
      </c>
      <c r="J6232" t="s">
        <v>3803</v>
      </c>
      <c r="L6232">
        <v>253900000</v>
      </c>
      <c r="M6232">
        <v>25390000</v>
      </c>
    </row>
    <row r="6233" spans="1:13" x14ac:dyDescent="0.25">
      <c r="A6233" t="s">
        <v>20587</v>
      </c>
      <c r="B6233" t="s">
        <v>20588</v>
      </c>
      <c r="C6233" t="s">
        <v>525</v>
      </c>
      <c r="D6233" t="s">
        <v>869</v>
      </c>
      <c r="E6233" t="s">
        <v>20459</v>
      </c>
      <c r="F6233" t="s">
        <v>20375</v>
      </c>
      <c r="G6233" t="s">
        <v>20589</v>
      </c>
      <c r="H6233" t="str">
        <f>HYPERLINK("https://baanknet.com/view-property/211295/C83A6A5BA19202C2FD1053F6FF5A859664229B2D383B23B03B9714DD397740E8", "https://baanknet.com/view-property/211295/C83A6A5BA19202C2FD1053F6FF5A859664229B2D383B23B03B9714DD397740E8")</f>
        <v>https://baanknet.com/view-property/211295/C83A6A5BA19202C2FD1053F6FF5A859664229B2D383B23B03B9714DD397740E8</v>
      </c>
      <c r="I6233" t="str">
        <f>HYPERLINK("https://baanknet.com/view-property/211295/C83A6A5BA19202C2FD1053F6FF5A859664229B2D383B23B03B9714DD397740E8", "Open")</f>
        <v>Open</v>
      </c>
      <c r="J6233" t="s">
        <v>3803</v>
      </c>
      <c r="L6233">
        <v>118700000</v>
      </c>
      <c r="M6233">
        <v>11870000</v>
      </c>
    </row>
    <row r="6234" spans="1:13" x14ac:dyDescent="0.25">
      <c r="A6234" t="s">
        <v>20590</v>
      </c>
      <c r="B6234" t="s">
        <v>20591</v>
      </c>
      <c r="C6234" t="s">
        <v>525</v>
      </c>
      <c r="D6234" t="s">
        <v>1003</v>
      </c>
      <c r="E6234" t="s">
        <v>20459</v>
      </c>
      <c r="F6234" t="s">
        <v>20375</v>
      </c>
      <c r="G6234" t="s">
        <v>20592</v>
      </c>
      <c r="H6234" t="str">
        <f>HYPERLINK("https://baanknet.com/view-property/208630/69046D132D339732A6869F072D9F548D999DD36F899234B207F7588B616B06BB", "https://baanknet.com/view-property/208630/69046D132D339732A6869F072D9F548D999DD36F899234B207F7588B616B06BB")</f>
        <v>https://baanknet.com/view-property/208630/69046D132D339732A6869F072D9F548D999DD36F899234B207F7588B616B06BB</v>
      </c>
      <c r="I6234" t="str">
        <f>HYPERLINK("https://baanknet.com/view-property/208630/69046D132D339732A6869F072D9F548D999DD36F899234B207F7588B616B06BB", "Open")</f>
        <v>Open</v>
      </c>
      <c r="J6234" t="s">
        <v>3803</v>
      </c>
      <c r="L6234">
        <v>1126400000</v>
      </c>
      <c r="M6234">
        <v>112640000</v>
      </c>
    </row>
    <row r="6235" spans="1:13" x14ac:dyDescent="0.25">
      <c r="A6235" t="s">
        <v>20593</v>
      </c>
      <c r="B6235" t="s">
        <v>20594</v>
      </c>
      <c r="C6235" t="s">
        <v>525</v>
      </c>
      <c r="D6235" t="s">
        <v>1003</v>
      </c>
      <c r="E6235" t="s">
        <v>20459</v>
      </c>
      <c r="F6235" t="s">
        <v>20375</v>
      </c>
      <c r="G6235" t="s">
        <v>20595</v>
      </c>
      <c r="H6235" t="str">
        <f>HYPERLINK("https://baanknet.com/view-property/208626/D9611AA8F790071854CDE6CE96DD640C45EFE6632ACFE9BF11C0B34502BD7582", "https://baanknet.com/view-property/208626/D9611AA8F790071854CDE6CE96DD640C45EFE6632ACFE9BF11C0B34502BD7582")</f>
        <v>https://baanknet.com/view-property/208626/D9611AA8F790071854CDE6CE96DD640C45EFE6632ACFE9BF11C0B34502BD7582</v>
      </c>
      <c r="I6235" t="str">
        <f>HYPERLINK("https://baanknet.com/view-property/208626/D9611AA8F790071854CDE6CE96DD640C45EFE6632ACFE9BF11C0B34502BD7582", "Open")</f>
        <v>Open</v>
      </c>
      <c r="J6235" t="s">
        <v>3803</v>
      </c>
      <c r="L6235">
        <v>459600000</v>
      </c>
      <c r="M6235">
        <v>45960000</v>
      </c>
    </row>
    <row r="6236" spans="1:13" x14ac:dyDescent="0.25">
      <c r="A6236" t="s">
        <v>20596</v>
      </c>
      <c r="B6236" t="s">
        <v>20597</v>
      </c>
      <c r="C6236" t="s">
        <v>525</v>
      </c>
      <c r="D6236" t="s">
        <v>1003</v>
      </c>
      <c r="E6236" t="s">
        <v>20459</v>
      </c>
      <c r="F6236" t="s">
        <v>20375</v>
      </c>
      <c r="G6236" t="s">
        <v>20598</v>
      </c>
      <c r="H6236" t="str">
        <f>HYPERLINK("https://baanknet.com/view-property/208593/0DBD07B93147938F6BF50050517E6ECBFE42332F73D7CA62B5EB7486F6A8770E", "https://baanknet.com/view-property/208593/0DBD07B93147938F6BF50050517E6ECBFE42332F73D7CA62B5EB7486F6A8770E")</f>
        <v>https://baanknet.com/view-property/208593/0DBD07B93147938F6BF50050517E6ECBFE42332F73D7CA62B5EB7486F6A8770E</v>
      </c>
      <c r="I6236" t="str">
        <f>HYPERLINK("https://baanknet.com/view-property/208593/0DBD07B93147938F6BF50050517E6ECBFE42332F73D7CA62B5EB7486F6A8770E", "Open")</f>
        <v>Open</v>
      </c>
      <c r="J6236" t="s">
        <v>3803</v>
      </c>
      <c r="L6236">
        <v>101500000</v>
      </c>
      <c r="M6236">
        <v>10150000</v>
      </c>
    </row>
    <row r="6237" spans="1:13" x14ac:dyDescent="0.25">
      <c r="A6237" t="s">
        <v>20599</v>
      </c>
      <c r="B6237" t="s">
        <v>20600</v>
      </c>
      <c r="C6237" t="s">
        <v>525</v>
      </c>
      <c r="D6237" t="s">
        <v>1003</v>
      </c>
      <c r="E6237" t="s">
        <v>20459</v>
      </c>
      <c r="F6237" t="s">
        <v>20375</v>
      </c>
      <c r="G6237" t="s">
        <v>20601</v>
      </c>
      <c r="H6237" t="str">
        <f>HYPERLINK("https://baanknet.com/view-property/208602/02B9D0F5DFCCB48593BD43D89822C0ABA1ECDC733FB45153E47295E229ED6481", "https://baanknet.com/view-property/208602/02B9D0F5DFCCB48593BD43D89822C0ABA1ECDC733FB45153E47295E229ED6481")</f>
        <v>https://baanknet.com/view-property/208602/02B9D0F5DFCCB48593BD43D89822C0ABA1ECDC733FB45153E47295E229ED6481</v>
      </c>
      <c r="I6237" t="str">
        <f>HYPERLINK("https://baanknet.com/view-property/208602/02B9D0F5DFCCB48593BD43D89822C0ABA1ECDC733FB45153E47295E229ED6481", "Open")</f>
        <v>Open</v>
      </c>
      <c r="J6237" t="s">
        <v>3803</v>
      </c>
      <c r="L6237">
        <v>52500000</v>
      </c>
      <c r="M6237">
        <v>5250000</v>
      </c>
    </row>
    <row r="6238" spans="1:13" x14ac:dyDescent="0.25">
      <c r="A6238" t="s">
        <v>20602</v>
      </c>
      <c r="B6238" t="s">
        <v>20603</v>
      </c>
      <c r="C6238" t="s">
        <v>525</v>
      </c>
      <c r="D6238" t="s">
        <v>1003</v>
      </c>
      <c r="E6238" t="s">
        <v>20459</v>
      </c>
      <c r="F6238" t="s">
        <v>20375</v>
      </c>
      <c r="G6238" t="s">
        <v>20604</v>
      </c>
      <c r="H6238" t="str">
        <f>HYPERLINK("https://baanknet.com/view-property/208616/B44F6647FB793AE6FDC14CB2CC2523E54A87599B68E9841A6B66D9D8BC611D64", "https://baanknet.com/view-property/208616/B44F6647FB793AE6FDC14CB2CC2523E54A87599B68E9841A6B66D9D8BC611D64")</f>
        <v>https://baanknet.com/view-property/208616/B44F6647FB793AE6FDC14CB2CC2523E54A87599B68E9841A6B66D9D8BC611D64</v>
      </c>
      <c r="I6238" t="str">
        <f>HYPERLINK("https://baanknet.com/view-property/208616/B44F6647FB793AE6FDC14CB2CC2523E54A87599B68E9841A6B66D9D8BC611D64", "Open")</f>
        <v>Open</v>
      </c>
      <c r="J6238" t="s">
        <v>3803</v>
      </c>
      <c r="L6238">
        <v>117600000</v>
      </c>
      <c r="M6238">
        <v>11760000</v>
      </c>
    </row>
    <row r="6239" spans="1:13" x14ac:dyDescent="0.25">
      <c r="A6239" t="s">
        <v>20605</v>
      </c>
      <c r="B6239" t="s">
        <v>20606</v>
      </c>
      <c r="C6239" t="s">
        <v>15</v>
      </c>
      <c r="D6239" t="s">
        <v>17642</v>
      </c>
      <c r="E6239" t="s">
        <v>20459</v>
      </c>
      <c r="F6239" t="s">
        <v>20375</v>
      </c>
      <c r="G6239" t="s">
        <v>20607</v>
      </c>
      <c r="H6239" t="str">
        <f>HYPERLINK("https://baanknet.com/view-property/286700/181044C4024E9C466F980ECC6D8FAF7A6847F80306CD89113B21196C6E3D937D", "https://baanknet.com/view-property/286700/181044C4024E9C466F980ECC6D8FAF7A6847F80306CD89113B21196C6E3D937D")</f>
        <v>https://baanknet.com/view-property/286700/181044C4024E9C466F980ECC6D8FAF7A6847F80306CD89113B21196C6E3D937D</v>
      </c>
      <c r="I6239" t="str">
        <f>HYPERLINK("https://baanknet.com/view-property/286700/181044C4024E9C466F980ECC6D8FAF7A6847F80306CD89113B21196C6E3D937D", "Open")</f>
        <v>Open</v>
      </c>
      <c r="J6239" t="s">
        <v>3803</v>
      </c>
      <c r="L6239">
        <v>6600000</v>
      </c>
      <c r="M6239">
        <v>660000</v>
      </c>
    </row>
    <row r="6240" spans="1:13" x14ac:dyDescent="0.25">
      <c r="A6240" t="s">
        <v>20608</v>
      </c>
      <c r="B6240" t="s">
        <v>20609</v>
      </c>
      <c r="C6240" t="s">
        <v>15</v>
      </c>
      <c r="D6240" t="s">
        <v>17714</v>
      </c>
      <c r="E6240" t="s">
        <v>20459</v>
      </c>
      <c r="F6240" t="s">
        <v>20610</v>
      </c>
      <c r="G6240" t="s">
        <v>20611</v>
      </c>
      <c r="H6240" t="str">
        <f>HYPERLINK("https://baanknet.com/view-property/253924/20AD340477064F6E0608095C98B3B3414F27266FA499DCDE5E29BF1471777E4B", "https://baanknet.com/view-property/253924/20AD340477064F6E0608095C98B3B3414F27266FA499DCDE5E29BF1471777E4B")</f>
        <v>https://baanknet.com/view-property/253924/20AD340477064F6E0608095C98B3B3414F27266FA499DCDE5E29BF1471777E4B</v>
      </c>
      <c r="I6240" t="str">
        <f>HYPERLINK("https://baanknet.com/view-property/253924/20AD340477064F6E0608095C98B3B3414F27266FA499DCDE5E29BF1471777E4B", "Open")</f>
        <v>Open</v>
      </c>
      <c r="J6240" t="s">
        <v>3803</v>
      </c>
      <c r="L6240">
        <v>2025000</v>
      </c>
      <c r="M6240">
        <v>202500</v>
      </c>
    </row>
    <row r="6241" spans="1:13" x14ac:dyDescent="0.25">
      <c r="A6241" t="s">
        <v>20612</v>
      </c>
      <c r="B6241" t="s">
        <v>20613</v>
      </c>
      <c r="C6241" t="s">
        <v>332</v>
      </c>
      <c r="D6241" t="s">
        <v>2163</v>
      </c>
      <c r="E6241" t="s">
        <v>20459</v>
      </c>
      <c r="F6241" t="s">
        <v>643</v>
      </c>
      <c r="G6241" t="s">
        <v>20614</v>
      </c>
      <c r="H6241" t="str">
        <f>HYPERLINK("https://baanknet.com/view-property/285299/4597C51DE83DA9B6DB7881D192B9C6E32AC6D06E3039AB48F67B495B4AF64B65", "https://baanknet.com/view-property/285299/4597C51DE83DA9B6DB7881D192B9C6E32AC6D06E3039AB48F67B495B4AF64B65")</f>
        <v>https://baanknet.com/view-property/285299/4597C51DE83DA9B6DB7881D192B9C6E32AC6D06E3039AB48F67B495B4AF64B65</v>
      </c>
      <c r="I6241" t="str">
        <f>HYPERLINK("https://baanknet.com/view-property/285299/4597C51DE83DA9B6DB7881D192B9C6E32AC6D06E3039AB48F67B495B4AF64B65", "Open")</f>
        <v>Open</v>
      </c>
      <c r="J6241" t="s">
        <v>3803</v>
      </c>
      <c r="L6241">
        <v>2600000</v>
      </c>
      <c r="M6241">
        <v>260000</v>
      </c>
    </row>
    <row r="6242" spans="1:13" x14ac:dyDescent="0.25">
      <c r="A6242" t="s">
        <v>20615</v>
      </c>
      <c r="B6242" t="s">
        <v>20616</v>
      </c>
      <c r="C6242" t="s">
        <v>332</v>
      </c>
      <c r="D6242" t="s">
        <v>710</v>
      </c>
      <c r="E6242" t="s">
        <v>20459</v>
      </c>
      <c r="F6242" t="s">
        <v>643</v>
      </c>
      <c r="G6242" t="s">
        <v>20617</v>
      </c>
      <c r="H6242" t="str">
        <f>HYPERLINK("https://baanknet.com/view-property/285305/43922C64F3FA7D010FF3B2689632D8BDD40CB4369659669DD23FF9D28ABE8978", "https://baanknet.com/view-property/285305/43922C64F3FA7D010FF3B2689632D8BDD40CB4369659669DD23FF9D28ABE8978")</f>
        <v>https://baanknet.com/view-property/285305/43922C64F3FA7D010FF3B2689632D8BDD40CB4369659669DD23FF9D28ABE8978</v>
      </c>
      <c r="I6242" t="str">
        <f>HYPERLINK("https://baanknet.com/view-property/285305/43922C64F3FA7D010FF3B2689632D8BDD40CB4369659669DD23FF9D28ABE8978", "Open")</f>
        <v>Open</v>
      </c>
      <c r="J6242" t="s">
        <v>3803</v>
      </c>
      <c r="L6242">
        <v>2500000</v>
      </c>
      <c r="M6242">
        <v>250000</v>
      </c>
    </row>
    <row r="6243" spans="1:13" x14ac:dyDescent="0.25">
      <c r="A6243" t="s">
        <v>20618</v>
      </c>
      <c r="B6243" t="s">
        <v>20619</v>
      </c>
      <c r="C6243" t="s">
        <v>15</v>
      </c>
      <c r="D6243" t="s">
        <v>19241</v>
      </c>
      <c r="E6243" t="s">
        <v>20398</v>
      </c>
      <c r="F6243" t="s">
        <v>20535</v>
      </c>
      <c r="G6243" t="s">
        <v>20620</v>
      </c>
      <c r="H6243" t="str">
        <f>HYPERLINK("https://baanknet.com/view-property/287347/6C029F18F3D5CF4756B3F1A0E9E388EBC11D23F2354AB13C488635AEC9397541", "https://baanknet.com/view-property/287347/6C029F18F3D5CF4756B3F1A0E9E388EBC11D23F2354AB13C488635AEC9397541")</f>
        <v>https://baanknet.com/view-property/287347/6C029F18F3D5CF4756B3F1A0E9E388EBC11D23F2354AB13C488635AEC9397541</v>
      </c>
      <c r="I6243" t="str">
        <f>HYPERLINK("https://baanknet.com/view-property/287347/6C029F18F3D5CF4756B3F1A0E9E388EBC11D23F2354AB13C488635AEC9397541", "Open")</f>
        <v>Open</v>
      </c>
      <c r="J6243" t="s">
        <v>3803</v>
      </c>
      <c r="L6243">
        <v>2500000</v>
      </c>
      <c r="M6243">
        <v>250000</v>
      </c>
    </row>
    <row r="6244" spans="1:13" x14ac:dyDescent="0.25">
      <c r="A6244" t="s">
        <v>20621</v>
      </c>
      <c r="B6244" t="s">
        <v>20622</v>
      </c>
      <c r="C6244" t="s">
        <v>144</v>
      </c>
      <c r="D6244" t="s">
        <v>20623</v>
      </c>
      <c r="E6244" t="s">
        <v>20375</v>
      </c>
      <c r="F6244" t="s">
        <v>643</v>
      </c>
      <c r="G6244" t="s">
        <v>20624</v>
      </c>
      <c r="H6244" t="str">
        <f>HYPERLINK("https://baanknet.com/view-property/93289/02D0353A42324D035DAF57C14D6BCDA6C9FDF6D43ED3558326E2A6410CBD5E25", "https://baanknet.com/view-property/93289/02D0353A42324D035DAF57C14D6BCDA6C9FDF6D43ED3558326E2A6410CBD5E25")</f>
        <v>https://baanknet.com/view-property/93289/02D0353A42324D035DAF57C14D6BCDA6C9FDF6D43ED3558326E2A6410CBD5E25</v>
      </c>
      <c r="I6244" t="str">
        <f>HYPERLINK("https://baanknet.com/view-property/93289/02D0353A42324D035DAF57C14D6BCDA6C9FDF6D43ED3558326E2A6410CBD5E25", "Open")</f>
        <v>Open</v>
      </c>
      <c r="J6244" t="s">
        <v>3803</v>
      </c>
      <c r="L6244">
        <v>2580000</v>
      </c>
      <c r="M6244">
        <v>258000</v>
      </c>
    </row>
    <row r="6245" spans="1:13" x14ac:dyDescent="0.25">
      <c r="A6245" t="s">
        <v>20625</v>
      </c>
      <c r="B6245" t="s">
        <v>20626</v>
      </c>
      <c r="C6245" t="s">
        <v>144</v>
      </c>
      <c r="D6245" t="s">
        <v>20627</v>
      </c>
      <c r="E6245" t="s">
        <v>20375</v>
      </c>
      <c r="F6245" t="s">
        <v>643</v>
      </c>
      <c r="G6245" t="s">
        <v>20628</v>
      </c>
      <c r="H6245" t="str">
        <f>HYPERLINK("https://baanknet.com/view-property/203717/5E6A20FB3E224D8A65E8158309BBDB9E5AAFF30C84453DE5E552CE43520DDDE9", "https://baanknet.com/view-property/203717/5E6A20FB3E224D8A65E8158309BBDB9E5AAFF30C84453DE5E552CE43520DDDE9")</f>
        <v>https://baanknet.com/view-property/203717/5E6A20FB3E224D8A65E8158309BBDB9E5AAFF30C84453DE5E552CE43520DDDE9</v>
      </c>
      <c r="I6245" t="str">
        <f>HYPERLINK("https://baanknet.com/view-property/203717/5E6A20FB3E224D8A65E8158309BBDB9E5AAFF30C84453DE5E552CE43520DDDE9", "Open")</f>
        <v>Open</v>
      </c>
      <c r="J6245" t="s">
        <v>3803</v>
      </c>
      <c r="L6245">
        <v>630000</v>
      </c>
      <c r="M6245">
        <v>63000</v>
      </c>
    </row>
    <row r="6246" spans="1:13" x14ac:dyDescent="0.25">
      <c r="A6246" t="s">
        <v>20629</v>
      </c>
      <c r="B6246" t="s">
        <v>20630</v>
      </c>
      <c r="C6246" t="s">
        <v>15</v>
      </c>
      <c r="D6246" t="s">
        <v>497</v>
      </c>
      <c r="E6246" t="s">
        <v>20610</v>
      </c>
      <c r="F6246" t="s">
        <v>20631</v>
      </c>
      <c r="G6246" t="s">
        <v>20632</v>
      </c>
      <c r="H6246" t="str">
        <f>HYPERLINK("https://baanknet.com/view-property/282738/3BCC8555B1801820F463D3FBA6991B260508F2617EC299C88286737A63218B66", "https://baanknet.com/view-property/282738/3BCC8555B1801820F463D3FBA6991B260508F2617EC299C88286737A63218B66")</f>
        <v>https://baanknet.com/view-property/282738/3BCC8555B1801820F463D3FBA6991B260508F2617EC299C88286737A63218B66</v>
      </c>
      <c r="I6246" t="str">
        <f>HYPERLINK("https://baanknet.com/view-property/282738/3BCC8555B1801820F463D3FBA6991B260508F2617EC299C88286737A63218B66", "Open")</f>
        <v>Open</v>
      </c>
      <c r="J6246" t="s">
        <v>3803</v>
      </c>
      <c r="L6246">
        <v>4922000</v>
      </c>
      <c r="M6246">
        <v>492200</v>
      </c>
    </row>
    <row r="6247" spans="1:13" x14ac:dyDescent="0.25">
      <c r="A6247" t="s">
        <v>20633</v>
      </c>
      <c r="B6247" t="s">
        <v>20634</v>
      </c>
      <c r="C6247" t="s">
        <v>83</v>
      </c>
      <c r="D6247" t="s">
        <v>20635</v>
      </c>
      <c r="E6247" t="s">
        <v>20610</v>
      </c>
      <c r="F6247" t="s">
        <v>20636</v>
      </c>
      <c r="G6247" t="s">
        <v>20637</v>
      </c>
      <c r="H6247" t="str">
        <f>HYPERLINK("https://baanknet.com/view-property/286435/4D606171CD1155FF61129E6185DE1FDC4315436B4AB7B88FCA1804B9AC77F0AD", "https://baanknet.com/view-property/286435/4D606171CD1155FF61129E6185DE1FDC4315436B4AB7B88FCA1804B9AC77F0AD")</f>
        <v>https://baanknet.com/view-property/286435/4D606171CD1155FF61129E6185DE1FDC4315436B4AB7B88FCA1804B9AC77F0AD</v>
      </c>
      <c r="I6247" t="str">
        <f>HYPERLINK("https://baanknet.com/view-property/286435/4D606171CD1155FF61129E6185DE1FDC4315436B4AB7B88FCA1804B9AC77F0AD", "Open")</f>
        <v>Open</v>
      </c>
      <c r="J6247" t="s">
        <v>3803</v>
      </c>
      <c r="L6247">
        <v>3058000</v>
      </c>
      <c r="M6247">
        <v>305800</v>
      </c>
    </row>
    <row r="6248" spans="1:13" x14ac:dyDescent="0.25">
      <c r="A6248" t="s">
        <v>20638</v>
      </c>
      <c r="B6248" t="s">
        <v>20639</v>
      </c>
      <c r="C6248" t="s">
        <v>83</v>
      </c>
      <c r="D6248" t="s">
        <v>1246</v>
      </c>
      <c r="E6248" t="s">
        <v>20610</v>
      </c>
      <c r="F6248" t="s">
        <v>20636</v>
      </c>
      <c r="G6248" t="s">
        <v>20640</v>
      </c>
      <c r="H6248" t="str">
        <f>HYPERLINK("https://baanknet.com/view-property/286591/0001E352D4A9FB6EBECE3F971706B22140313F6132A68E4F4ADD4F5D9159B992", "https://baanknet.com/view-property/286591/0001E352D4A9FB6EBECE3F971706B22140313F6132A68E4F4ADD4F5D9159B992")</f>
        <v>https://baanknet.com/view-property/286591/0001E352D4A9FB6EBECE3F971706B22140313F6132A68E4F4ADD4F5D9159B992</v>
      </c>
      <c r="I6248" t="str">
        <f>HYPERLINK("https://baanknet.com/view-property/286591/0001E352D4A9FB6EBECE3F971706B22140313F6132A68E4F4ADD4F5D9159B992", "Open")</f>
        <v>Open</v>
      </c>
      <c r="J6248" t="s">
        <v>3803</v>
      </c>
      <c r="L6248">
        <v>9540000</v>
      </c>
      <c r="M6248">
        <v>954000</v>
      </c>
    </row>
    <row r="6249" spans="1:13" x14ac:dyDescent="0.25">
      <c r="A6249" t="s">
        <v>20641</v>
      </c>
      <c r="B6249" t="s">
        <v>20642</v>
      </c>
      <c r="C6249" t="s">
        <v>83</v>
      </c>
      <c r="D6249" t="s">
        <v>1246</v>
      </c>
      <c r="E6249" t="s">
        <v>20610</v>
      </c>
      <c r="F6249" t="s">
        <v>20636</v>
      </c>
      <c r="G6249" t="s">
        <v>20643</v>
      </c>
      <c r="H6249" t="str">
        <f>HYPERLINK("https://baanknet.com/view-property/286582/4F10A5B5DFC066FE802DE24D12BD012D0C1E0C9E141B9F3C9CCE51F4B6B7461B", "https://baanknet.com/view-property/286582/4F10A5B5DFC066FE802DE24D12BD012D0C1E0C9E141B9F3C9CCE51F4B6B7461B")</f>
        <v>https://baanknet.com/view-property/286582/4F10A5B5DFC066FE802DE24D12BD012D0C1E0C9E141B9F3C9CCE51F4B6B7461B</v>
      </c>
      <c r="I6249" t="str">
        <f>HYPERLINK("https://baanknet.com/view-property/286582/4F10A5B5DFC066FE802DE24D12BD012D0C1E0C9E141B9F3C9CCE51F4B6B7461B", "Open")</f>
        <v>Open</v>
      </c>
      <c r="J6249" t="s">
        <v>3803</v>
      </c>
      <c r="L6249">
        <v>9540000</v>
      </c>
      <c r="M6249">
        <v>954000</v>
      </c>
    </row>
    <row r="6250" spans="1:13" x14ac:dyDescent="0.25">
      <c r="A6250" t="s">
        <v>20644</v>
      </c>
      <c r="B6250" t="s">
        <v>20645</v>
      </c>
      <c r="C6250" t="s">
        <v>83</v>
      </c>
      <c r="D6250" t="s">
        <v>6003</v>
      </c>
      <c r="E6250" t="s">
        <v>20610</v>
      </c>
      <c r="F6250" t="s">
        <v>20636</v>
      </c>
      <c r="G6250" t="s">
        <v>20646</v>
      </c>
      <c r="H6250" t="str">
        <f>HYPERLINK("https://baanknet.com/view-property/286714/F945B7194F8BA0311C14A2A3F18022534DBDFA00E88B227376EA1853207340B6", "https://baanknet.com/view-property/286714/F945B7194F8BA0311C14A2A3F18022534DBDFA00E88B227376EA1853207340B6")</f>
        <v>https://baanknet.com/view-property/286714/F945B7194F8BA0311C14A2A3F18022534DBDFA00E88B227376EA1853207340B6</v>
      </c>
      <c r="I6250" t="str">
        <f>HYPERLINK("https://baanknet.com/view-property/286714/F945B7194F8BA0311C14A2A3F18022534DBDFA00E88B227376EA1853207340B6", "Open")</f>
        <v>Open</v>
      </c>
      <c r="J6250" t="s">
        <v>3803</v>
      </c>
      <c r="L6250">
        <v>13710000</v>
      </c>
      <c r="M6250">
        <v>1371000</v>
      </c>
    </row>
    <row r="6251" spans="1:13" x14ac:dyDescent="0.25">
      <c r="A6251" t="s">
        <v>20647</v>
      </c>
      <c r="B6251" t="s">
        <v>20648</v>
      </c>
      <c r="C6251" t="s">
        <v>15</v>
      </c>
      <c r="D6251" t="s">
        <v>19043</v>
      </c>
      <c r="E6251" t="s">
        <v>20649</v>
      </c>
      <c r="F6251" t="s">
        <v>20650</v>
      </c>
      <c r="G6251" t="s">
        <v>20651</v>
      </c>
      <c r="H6251" t="str">
        <f>HYPERLINK("https://baanknet.com/view-property/279334/1CD5E85DCE102BFC824909319597CECE4F944F3E6A44DC1469098FFE1F0C46E2", "https://baanknet.com/view-property/279334/1CD5E85DCE102BFC824909319597CECE4F944F3E6A44DC1469098FFE1F0C46E2")</f>
        <v>https://baanknet.com/view-property/279334/1CD5E85DCE102BFC824909319597CECE4F944F3E6A44DC1469098FFE1F0C46E2</v>
      </c>
      <c r="I6251" t="str">
        <f>HYPERLINK("https://baanknet.com/view-property/279334/1CD5E85DCE102BFC824909319597CECE4F944F3E6A44DC1469098FFE1F0C46E2", "Open")</f>
        <v>Open</v>
      </c>
      <c r="J6251" t="s">
        <v>3803</v>
      </c>
      <c r="L6251">
        <v>1980000</v>
      </c>
      <c r="M6251">
        <v>198000</v>
      </c>
    </row>
    <row r="6252" spans="1:13" x14ac:dyDescent="0.25">
      <c r="A6252" t="s">
        <v>20652</v>
      </c>
      <c r="B6252" t="s">
        <v>20653</v>
      </c>
      <c r="C6252" t="s">
        <v>15</v>
      </c>
      <c r="D6252" t="s">
        <v>2093</v>
      </c>
      <c r="E6252" t="s">
        <v>20649</v>
      </c>
      <c r="F6252" t="s">
        <v>20650</v>
      </c>
      <c r="G6252" t="s">
        <v>20654</v>
      </c>
      <c r="H6252" t="str">
        <f>HYPERLINK("https://baanknet.com/view-property/283414/F2BA164ECE4AD98FEE10D9574BCC49065A15BE9D9B30E8DC5E9919081711FB8B", "https://baanknet.com/view-property/283414/F2BA164ECE4AD98FEE10D9574BCC49065A15BE9D9B30E8DC5E9919081711FB8B")</f>
        <v>https://baanknet.com/view-property/283414/F2BA164ECE4AD98FEE10D9574BCC49065A15BE9D9B30E8DC5E9919081711FB8B</v>
      </c>
      <c r="I6252" t="str">
        <f>HYPERLINK("https://baanknet.com/view-property/283414/F2BA164ECE4AD98FEE10D9574BCC49065A15BE9D9B30E8DC5E9919081711FB8B", "Open")</f>
        <v>Open</v>
      </c>
      <c r="J6252" t="s">
        <v>3803</v>
      </c>
      <c r="L6252">
        <v>22500000</v>
      </c>
      <c r="M6252">
        <v>2250000</v>
      </c>
    </row>
    <row r="6253" spans="1:13" x14ac:dyDescent="0.25">
      <c r="A6253" t="s">
        <v>20655</v>
      </c>
      <c r="B6253" t="s">
        <v>20656</v>
      </c>
      <c r="C6253" t="s">
        <v>571</v>
      </c>
      <c r="D6253" t="s">
        <v>4305</v>
      </c>
      <c r="E6253" t="s">
        <v>20649</v>
      </c>
      <c r="F6253" t="s">
        <v>20657</v>
      </c>
      <c r="G6253" t="s">
        <v>20658</v>
      </c>
      <c r="H6253" t="str">
        <f>HYPERLINK("https://baanknet.com/view-property/286665/00AF10D6A4F2E26BE3483B730A3C4262D29D0FC1E1CC283647C268BF480F3847", "https://baanknet.com/view-property/286665/00AF10D6A4F2E26BE3483B730A3C4262D29D0FC1E1CC283647C268BF480F3847")</f>
        <v>https://baanknet.com/view-property/286665/00AF10D6A4F2E26BE3483B730A3C4262D29D0FC1E1CC283647C268BF480F3847</v>
      </c>
      <c r="I6253" t="str">
        <f>HYPERLINK("https://baanknet.com/view-property/286665/00AF10D6A4F2E26BE3483B730A3C4262D29D0FC1E1CC283647C268BF480F3847", "Open")</f>
        <v>Open</v>
      </c>
      <c r="J6253" t="s">
        <v>3803</v>
      </c>
      <c r="L6253">
        <v>6680000</v>
      </c>
      <c r="M6253">
        <v>668000</v>
      </c>
    </row>
    <row r="6254" spans="1:13" x14ac:dyDescent="0.25">
      <c r="A6254" t="s">
        <v>20659</v>
      </c>
      <c r="B6254" t="s">
        <v>20660</v>
      </c>
      <c r="C6254" t="s">
        <v>83</v>
      </c>
      <c r="D6254" t="s">
        <v>20661</v>
      </c>
      <c r="E6254" t="s">
        <v>20662</v>
      </c>
      <c r="F6254" t="s">
        <v>20663</v>
      </c>
      <c r="G6254" t="s">
        <v>20664</v>
      </c>
      <c r="H6254" t="str">
        <f>HYPERLINK("https://baanknet.com/view-property/286087/66D1CCC48CD1F022FF9A7168D3D95761E712A3879788C5D67DFB1F512BE58F24", "https://baanknet.com/view-property/286087/66D1CCC48CD1F022FF9A7168D3D95761E712A3879788C5D67DFB1F512BE58F24")</f>
        <v>https://baanknet.com/view-property/286087/66D1CCC48CD1F022FF9A7168D3D95761E712A3879788C5D67DFB1F512BE58F24</v>
      </c>
      <c r="I6254" t="str">
        <f>HYPERLINK("https://baanknet.com/view-property/286087/66D1CCC48CD1F022FF9A7168D3D95761E712A3879788C5D67DFB1F512BE58F24", "Open")</f>
        <v>Open</v>
      </c>
      <c r="J6254" t="s">
        <v>3803</v>
      </c>
      <c r="L6254">
        <v>5994000</v>
      </c>
      <c r="M6254">
        <v>599400</v>
      </c>
    </row>
    <row r="6255" spans="1:13" x14ac:dyDescent="0.25">
      <c r="A6255" t="s">
        <v>20665</v>
      </c>
      <c r="B6255" t="s">
        <v>20666</v>
      </c>
      <c r="C6255" t="s">
        <v>332</v>
      </c>
      <c r="D6255" t="s">
        <v>5025</v>
      </c>
      <c r="E6255" t="s">
        <v>20667</v>
      </c>
      <c r="F6255" t="s">
        <v>20668</v>
      </c>
      <c r="G6255" t="s">
        <v>20669</v>
      </c>
      <c r="H6255" t="str">
        <f>HYPERLINK("https://baanknet.com/view-property/45344/4EAC6D504BAB55B7268C4261F9E45EF42B3EF40F74A56C55886B0D1297D09DFD", "https://baanknet.com/view-property/45344/4EAC6D504BAB55B7268C4261F9E45EF42B3EF40F74A56C55886B0D1297D09DFD")</f>
        <v>https://baanknet.com/view-property/45344/4EAC6D504BAB55B7268C4261F9E45EF42B3EF40F74A56C55886B0D1297D09DFD</v>
      </c>
      <c r="I6255" t="str">
        <f>HYPERLINK("https://baanknet.com/view-property/45344/4EAC6D504BAB55B7268C4261F9E45EF42B3EF40F74A56C55886B0D1297D09DFD", "Open")</f>
        <v>Open</v>
      </c>
      <c r="J6255" t="s">
        <v>3803</v>
      </c>
      <c r="L6255">
        <v>4262000</v>
      </c>
      <c r="M6255">
        <v>426200</v>
      </c>
    </row>
    <row r="6256" spans="1:13" x14ac:dyDescent="0.25">
      <c r="A6256" t="s">
        <v>20670</v>
      </c>
      <c r="B6256" t="s">
        <v>20671</v>
      </c>
      <c r="C6256" t="s">
        <v>332</v>
      </c>
      <c r="D6256" t="s">
        <v>20672</v>
      </c>
      <c r="E6256" t="s">
        <v>20667</v>
      </c>
      <c r="F6256" t="s">
        <v>20668</v>
      </c>
      <c r="G6256" t="s">
        <v>20673</v>
      </c>
      <c r="H6256" t="str">
        <f>HYPERLINK("https://baanknet.com/view-property/261681/B5C125DCFE2F043338DA21D93081BC338C8A339D2EE908D6FF6837E4F93E374D", "https://baanknet.com/view-property/261681/B5C125DCFE2F043338DA21D93081BC338C8A339D2EE908D6FF6837E4F93E374D")</f>
        <v>https://baanknet.com/view-property/261681/B5C125DCFE2F043338DA21D93081BC338C8A339D2EE908D6FF6837E4F93E374D</v>
      </c>
      <c r="I6256" t="str">
        <f>HYPERLINK("https://baanknet.com/view-property/261681/B5C125DCFE2F043338DA21D93081BC338C8A339D2EE908D6FF6837E4F93E374D", "Open")</f>
        <v>Open</v>
      </c>
      <c r="J6256" t="s">
        <v>3803</v>
      </c>
      <c r="L6256">
        <v>2407000</v>
      </c>
      <c r="M6256">
        <v>240700</v>
      </c>
    </row>
    <row r="6257" spans="1:13" x14ac:dyDescent="0.25">
      <c r="A6257" t="s">
        <v>20674</v>
      </c>
      <c r="B6257" t="s">
        <v>20675</v>
      </c>
      <c r="C6257" t="s">
        <v>332</v>
      </c>
      <c r="D6257" t="s">
        <v>13560</v>
      </c>
      <c r="E6257" t="s">
        <v>20667</v>
      </c>
      <c r="F6257" t="s">
        <v>20668</v>
      </c>
      <c r="G6257" t="s">
        <v>20676</v>
      </c>
      <c r="H6257" t="str">
        <f>HYPERLINK("https://baanknet.com/view-property/72700/86B2C3AB9656FE386E791674674E1BB937BCE2CAD5C7DA430F00F29F76FE5175", "https://baanknet.com/view-property/72700/86B2C3AB9656FE386E791674674E1BB937BCE2CAD5C7DA430F00F29F76FE5175")</f>
        <v>https://baanknet.com/view-property/72700/86B2C3AB9656FE386E791674674E1BB937BCE2CAD5C7DA430F00F29F76FE5175</v>
      </c>
      <c r="I6257" t="str">
        <f>HYPERLINK("https://baanknet.com/view-property/72700/86B2C3AB9656FE386E791674674E1BB937BCE2CAD5C7DA430F00F29F76FE5175", "Open")</f>
        <v>Open</v>
      </c>
      <c r="J6257" t="s">
        <v>3803</v>
      </c>
      <c r="L6257">
        <v>3106000</v>
      </c>
      <c r="M6257">
        <v>310600</v>
      </c>
    </row>
    <row r="6258" spans="1:13" x14ac:dyDescent="0.25">
      <c r="A6258" t="s">
        <v>20677</v>
      </c>
      <c r="B6258" t="s">
        <v>20678</v>
      </c>
      <c r="C6258" t="s">
        <v>332</v>
      </c>
      <c r="D6258" t="s">
        <v>13867</v>
      </c>
      <c r="E6258" t="s">
        <v>20667</v>
      </c>
      <c r="F6258" t="s">
        <v>20668</v>
      </c>
      <c r="G6258" t="s">
        <v>20679</v>
      </c>
      <c r="H6258" t="str">
        <f>HYPERLINK("https://baanknet.com/view-property/264994/EE7F5023AC92DAC2D4868DC85D271DB5A2CBEC40C961898697E744E55B634F78", "https://baanknet.com/view-property/264994/EE7F5023AC92DAC2D4868DC85D271DB5A2CBEC40C961898697E744E55B634F78")</f>
        <v>https://baanknet.com/view-property/264994/EE7F5023AC92DAC2D4868DC85D271DB5A2CBEC40C961898697E744E55B634F78</v>
      </c>
      <c r="I6258" t="str">
        <f>HYPERLINK("https://baanknet.com/view-property/264994/EE7F5023AC92DAC2D4868DC85D271DB5A2CBEC40C961898697E744E55B634F78", "Open")</f>
        <v>Open</v>
      </c>
      <c r="J6258" t="s">
        <v>3803</v>
      </c>
      <c r="L6258">
        <v>3434000</v>
      </c>
      <c r="M6258">
        <v>343400</v>
      </c>
    </row>
    <row r="6259" spans="1:13" x14ac:dyDescent="0.25">
      <c r="A6259" t="s">
        <v>20680</v>
      </c>
      <c r="B6259" t="s">
        <v>20681</v>
      </c>
      <c r="C6259" t="s">
        <v>15</v>
      </c>
      <c r="D6259" t="s">
        <v>32</v>
      </c>
      <c r="E6259" t="s">
        <v>20682</v>
      </c>
      <c r="F6259" t="s">
        <v>20683</v>
      </c>
      <c r="G6259" t="s">
        <v>20684</v>
      </c>
      <c r="H6259" t="str">
        <f>HYPERLINK("https://baanknet.com/view-property/286801/4E3502F3CC9E92E41946ED5005F38E7094DDC8B0AE3924B1ABA776773B7FFAD6", "https://baanknet.com/view-property/286801/4E3502F3CC9E92E41946ED5005F38E7094DDC8B0AE3924B1ABA776773B7FFAD6")</f>
        <v>https://baanknet.com/view-property/286801/4E3502F3CC9E92E41946ED5005F38E7094DDC8B0AE3924B1ABA776773B7FFAD6</v>
      </c>
      <c r="I6259" t="str">
        <f>HYPERLINK("https://baanknet.com/view-property/286801/4E3502F3CC9E92E41946ED5005F38E7094DDC8B0AE3924B1ABA776773B7FFAD6", "Open")</f>
        <v>Open</v>
      </c>
      <c r="J6259" t="s">
        <v>3803</v>
      </c>
      <c r="L6259">
        <v>16257000</v>
      </c>
      <c r="M6259">
        <v>1625700</v>
      </c>
    </row>
    <row r="6260" spans="1:13" x14ac:dyDescent="0.25">
      <c r="A6260" t="s">
        <v>20685</v>
      </c>
      <c r="B6260" t="s">
        <v>20686</v>
      </c>
      <c r="C6260" t="s">
        <v>15</v>
      </c>
      <c r="D6260" t="s">
        <v>20687</v>
      </c>
      <c r="E6260" t="s">
        <v>20682</v>
      </c>
      <c r="F6260" t="s">
        <v>20683</v>
      </c>
      <c r="G6260" t="s">
        <v>20688</v>
      </c>
      <c r="H6260" t="str">
        <f>HYPERLINK("https://baanknet.com/view-property/224186/7678831798998896FB54D67D853D2320F2989F76C6656FABDABBA71CFE90CEF1", "https://baanknet.com/view-property/224186/7678831798998896FB54D67D853D2320F2989F76C6656FABDABBA71CFE90CEF1")</f>
        <v>https://baanknet.com/view-property/224186/7678831798998896FB54D67D853D2320F2989F76C6656FABDABBA71CFE90CEF1</v>
      </c>
      <c r="I6260" t="str">
        <f>HYPERLINK("https://baanknet.com/view-property/224186/7678831798998896FB54D67D853D2320F2989F76C6656FABDABBA71CFE90CEF1", "Open")</f>
        <v>Open</v>
      </c>
      <c r="J6260" t="s">
        <v>3803</v>
      </c>
      <c r="L6260">
        <v>680000</v>
      </c>
      <c r="M6260">
        <v>68000</v>
      </c>
    </row>
    <row r="6261" spans="1:13" x14ac:dyDescent="0.25">
      <c r="A6261" t="s">
        <v>20689</v>
      </c>
      <c r="B6261" t="s">
        <v>20690</v>
      </c>
      <c r="C6261" t="s">
        <v>15</v>
      </c>
      <c r="D6261" t="s">
        <v>3806</v>
      </c>
      <c r="E6261" t="s">
        <v>20682</v>
      </c>
      <c r="F6261" t="s">
        <v>20683</v>
      </c>
      <c r="G6261" t="s">
        <v>20691</v>
      </c>
      <c r="H6261" t="str">
        <f>HYPERLINK("https://baanknet.com/view-property/262837/5C2F3FB160230269F3800061F14A5732122F6A74AFF54A769E9D1BFDFD1E88F1", "https://baanknet.com/view-property/262837/5C2F3FB160230269F3800061F14A5732122F6A74AFF54A769E9D1BFDFD1E88F1")</f>
        <v>https://baanknet.com/view-property/262837/5C2F3FB160230269F3800061F14A5732122F6A74AFF54A769E9D1BFDFD1E88F1</v>
      </c>
      <c r="I6261" t="str">
        <f>HYPERLINK("https://baanknet.com/view-property/262837/5C2F3FB160230269F3800061F14A5732122F6A74AFF54A769E9D1BFDFD1E88F1", "Open")</f>
        <v>Open</v>
      </c>
      <c r="J6261" t="s">
        <v>3803</v>
      </c>
      <c r="L6261">
        <v>13700000</v>
      </c>
      <c r="M6261">
        <v>1370000</v>
      </c>
    </row>
    <row r="6262" spans="1:13" x14ac:dyDescent="0.25">
      <c r="A6262" t="s">
        <v>20692</v>
      </c>
      <c r="B6262" t="s">
        <v>20693</v>
      </c>
      <c r="C6262" t="s">
        <v>15</v>
      </c>
      <c r="D6262" t="s">
        <v>4471</v>
      </c>
      <c r="E6262" t="s">
        <v>20683</v>
      </c>
      <c r="F6262" t="s">
        <v>20694</v>
      </c>
      <c r="G6262" t="s">
        <v>20695</v>
      </c>
      <c r="H6262" t="str">
        <f>HYPERLINK("https://baanknet.com/view-property/286560/E5BE2CD53B3B4C502C3A96BD40E074BCB5358B502438134868C519DB1806EBBD", "https://baanknet.com/view-property/286560/E5BE2CD53B3B4C502C3A96BD40E074BCB5358B502438134868C519DB1806EBBD")</f>
        <v>https://baanknet.com/view-property/286560/E5BE2CD53B3B4C502C3A96BD40E074BCB5358B502438134868C519DB1806EBBD</v>
      </c>
      <c r="I6262" t="str">
        <f>HYPERLINK("https://baanknet.com/view-property/286560/E5BE2CD53B3B4C502C3A96BD40E074BCB5358B502438134868C519DB1806EBBD", "Open")</f>
        <v>Open</v>
      </c>
      <c r="J6262" t="s">
        <v>3803</v>
      </c>
      <c r="L6262">
        <v>2886000</v>
      </c>
      <c r="M6262">
        <v>288600</v>
      </c>
    </row>
    <row r="6263" spans="1:13" x14ac:dyDescent="0.25">
      <c r="A6263" t="s">
        <v>20696</v>
      </c>
      <c r="B6263" t="s">
        <v>20697</v>
      </c>
      <c r="C6263" t="s">
        <v>15</v>
      </c>
      <c r="D6263" t="s">
        <v>7328</v>
      </c>
      <c r="E6263" t="s">
        <v>20683</v>
      </c>
      <c r="F6263" t="s">
        <v>20694</v>
      </c>
      <c r="G6263" t="s">
        <v>20698</v>
      </c>
      <c r="H6263" t="str">
        <f>HYPERLINK("https://baanknet.com/view-property/247939/739D6A3A20DB4A6F7625F5C7F448CC756D1937313C026BFC3112BFDF739810B3", "https://baanknet.com/view-property/247939/739D6A3A20DB4A6F7625F5C7F448CC756D1937313C026BFC3112BFDF739810B3")</f>
        <v>https://baanknet.com/view-property/247939/739D6A3A20DB4A6F7625F5C7F448CC756D1937313C026BFC3112BFDF739810B3</v>
      </c>
      <c r="I6263" t="str">
        <f>HYPERLINK("https://baanknet.com/view-property/247939/739D6A3A20DB4A6F7625F5C7F448CC756D1937313C026BFC3112BFDF739810B3", "Open")</f>
        <v>Open</v>
      </c>
      <c r="J6263" t="s">
        <v>3803</v>
      </c>
      <c r="L6263">
        <v>2635000</v>
      </c>
      <c r="M6263">
        <v>263500</v>
      </c>
    </row>
    <row r="6264" spans="1:13" x14ac:dyDescent="0.25">
      <c r="A6264" t="s">
        <v>20699</v>
      </c>
      <c r="B6264" t="s">
        <v>20700</v>
      </c>
      <c r="C6264" t="s">
        <v>15</v>
      </c>
      <c r="D6264" t="s">
        <v>4471</v>
      </c>
      <c r="E6264" t="s">
        <v>20683</v>
      </c>
      <c r="F6264" t="s">
        <v>20694</v>
      </c>
      <c r="G6264" t="s">
        <v>20701</v>
      </c>
      <c r="H6264" t="str">
        <f>HYPERLINK("https://baanknet.com/view-property/263908/ABCB0EA84A00D173F3691927D2493A565762AF7FC565226EC005E1C80EA639DF", "https://baanknet.com/view-property/263908/ABCB0EA84A00D173F3691927D2493A565762AF7FC565226EC005E1C80EA639DF")</f>
        <v>https://baanknet.com/view-property/263908/ABCB0EA84A00D173F3691927D2493A565762AF7FC565226EC005E1C80EA639DF</v>
      </c>
      <c r="I6264" t="str">
        <f>HYPERLINK("https://baanknet.com/view-property/263908/ABCB0EA84A00D173F3691927D2493A565762AF7FC565226EC005E1C80EA639DF", "Open")</f>
        <v>Open</v>
      </c>
      <c r="J6264" t="s">
        <v>3803</v>
      </c>
      <c r="L6264">
        <v>1185000</v>
      </c>
      <c r="M6264">
        <v>118500</v>
      </c>
    </row>
    <row r="6265" spans="1:13" x14ac:dyDescent="0.25">
      <c r="A6265" t="s">
        <v>20702</v>
      </c>
      <c r="B6265" t="s">
        <v>20703</v>
      </c>
      <c r="C6265" t="s">
        <v>15</v>
      </c>
      <c r="D6265" t="s">
        <v>4471</v>
      </c>
      <c r="E6265" t="s">
        <v>20683</v>
      </c>
      <c r="F6265" t="s">
        <v>20694</v>
      </c>
      <c r="G6265" t="s">
        <v>20704</v>
      </c>
      <c r="H6265" t="str">
        <f>HYPERLINK("https://baanknet.com/view-property/204034/7CDD555E78B8D0A4F51C881232F048C2DAEEBD99CBAA38B01BDC917E87A1B9A5", "https://baanknet.com/view-property/204034/7CDD555E78B8D0A4F51C881232F048C2DAEEBD99CBAA38B01BDC917E87A1B9A5")</f>
        <v>https://baanknet.com/view-property/204034/7CDD555E78B8D0A4F51C881232F048C2DAEEBD99CBAA38B01BDC917E87A1B9A5</v>
      </c>
      <c r="I6265" t="str">
        <f>HYPERLINK("https://baanknet.com/view-property/204034/7CDD555E78B8D0A4F51C881232F048C2DAEEBD99CBAA38B01BDC917E87A1B9A5", "Open")</f>
        <v>Open</v>
      </c>
      <c r="J6265" t="s">
        <v>3803</v>
      </c>
      <c r="L6265">
        <v>1505000</v>
      </c>
      <c r="M6265">
        <v>150500</v>
      </c>
    </row>
    <row r="6266" spans="1:13" x14ac:dyDescent="0.25">
      <c r="A6266" t="s">
        <v>20705</v>
      </c>
      <c r="B6266" t="s">
        <v>20706</v>
      </c>
      <c r="C6266" t="s">
        <v>83</v>
      </c>
      <c r="D6266" t="s">
        <v>2425</v>
      </c>
      <c r="E6266" t="s">
        <v>20707</v>
      </c>
      <c r="F6266" t="s">
        <v>20708</v>
      </c>
      <c r="G6266" t="s">
        <v>20709</v>
      </c>
      <c r="H6266" t="str">
        <f>HYPERLINK("https://baanknet.com/view-property/287361/EC06D68CBF4DE3DADA36E19529D67CEBB7227531B2B2CC1B0E012B2E038CADFC", "https://baanknet.com/view-property/287361/EC06D68CBF4DE3DADA36E19529D67CEBB7227531B2B2CC1B0E012B2E038CADFC")</f>
        <v>https://baanknet.com/view-property/287361/EC06D68CBF4DE3DADA36E19529D67CEBB7227531B2B2CC1B0E012B2E038CADFC</v>
      </c>
      <c r="I6266" t="str">
        <f>HYPERLINK("https://baanknet.com/view-property/287361/EC06D68CBF4DE3DADA36E19529D67CEBB7227531B2B2CC1B0E012B2E038CADFC", "Open")</f>
        <v>Open</v>
      </c>
      <c r="J6266" t="s">
        <v>3803</v>
      </c>
      <c r="L6266">
        <v>2300000</v>
      </c>
      <c r="M6266">
        <v>230000</v>
      </c>
    </row>
    <row r="6267" spans="1:13" x14ac:dyDescent="0.25">
      <c r="A6267" t="s">
        <v>20710</v>
      </c>
      <c r="B6267" t="s">
        <v>20711</v>
      </c>
      <c r="C6267" t="s">
        <v>83</v>
      </c>
      <c r="D6267" t="s">
        <v>710</v>
      </c>
      <c r="E6267" t="s">
        <v>20707</v>
      </c>
      <c r="F6267" t="s">
        <v>20708</v>
      </c>
      <c r="G6267" t="s">
        <v>20712</v>
      </c>
      <c r="H6267" t="str">
        <f>HYPERLINK("https://baanknet.com/view-property/287751/D00BAA448B8677CD7BB224ABDE1E165621A66BA121BEF93578E1A6B1891ED47C", "https://baanknet.com/view-property/287751/D00BAA448B8677CD7BB224ABDE1E165621A66BA121BEF93578E1A6B1891ED47C")</f>
        <v>https://baanknet.com/view-property/287751/D00BAA448B8677CD7BB224ABDE1E165621A66BA121BEF93578E1A6B1891ED47C</v>
      </c>
      <c r="I6267" t="str">
        <f>HYPERLINK("https://baanknet.com/view-property/287751/D00BAA448B8677CD7BB224ABDE1E165621A66BA121BEF93578E1A6B1891ED47C", "Open")</f>
        <v>Open</v>
      </c>
      <c r="J6267" t="s">
        <v>3803</v>
      </c>
      <c r="L6267">
        <v>4772000</v>
      </c>
      <c r="M6267">
        <v>477200</v>
      </c>
    </row>
    <row r="6268" spans="1:13" x14ac:dyDescent="0.25">
      <c r="A6268" t="s">
        <v>20713</v>
      </c>
      <c r="B6268" t="s">
        <v>20714</v>
      </c>
      <c r="C6268" t="s">
        <v>83</v>
      </c>
      <c r="D6268" t="s">
        <v>2163</v>
      </c>
      <c r="E6268" t="s">
        <v>20707</v>
      </c>
      <c r="F6268" t="s">
        <v>20708</v>
      </c>
      <c r="G6268" t="s">
        <v>20715</v>
      </c>
      <c r="H6268" t="str">
        <f>HYPERLINK("https://baanknet.com/view-property/287776/716C30C40745757FEFD4A97E96D66A449EE3AE764288419A097BB0BAAEEF5E9E", "https://baanknet.com/view-property/287776/716C30C40745757FEFD4A97E96D66A449EE3AE764288419A097BB0BAAEEF5E9E")</f>
        <v>https://baanknet.com/view-property/287776/716C30C40745757FEFD4A97E96D66A449EE3AE764288419A097BB0BAAEEF5E9E</v>
      </c>
      <c r="I6268" t="str">
        <f>HYPERLINK("https://baanknet.com/view-property/287776/716C30C40745757FEFD4A97E96D66A449EE3AE764288419A097BB0BAAEEF5E9E", "Open")</f>
        <v>Open</v>
      </c>
      <c r="J6268" t="s">
        <v>3803</v>
      </c>
      <c r="L6268">
        <v>2800000</v>
      </c>
      <c r="M6268">
        <v>280000</v>
      </c>
    </row>
    <row r="6269" spans="1:13" x14ac:dyDescent="0.25">
      <c r="A6269" t="s">
        <v>20716</v>
      </c>
      <c r="B6269" t="s">
        <v>20717</v>
      </c>
      <c r="C6269" t="s">
        <v>15</v>
      </c>
      <c r="D6269" t="s">
        <v>338</v>
      </c>
      <c r="E6269" t="s">
        <v>20718</v>
      </c>
      <c r="F6269" t="s">
        <v>20719</v>
      </c>
      <c r="G6269" t="s">
        <v>20720</v>
      </c>
      <c r="H6269" t="str">
        <f>HYPERLINK("https://baanknet.com/view-property/279320/F13DC4E262A78A72D7D4D4CC3377FE22F3B726A01B6D1B9BEF7366F276B44440", "https://baanknet.com/view-property/279320/F13DC4E262A78A72D7D4D4CC3377FE22F3B726A01B6D1B9BEF7366F276B44440")</f>
        <v>https://baanknet.com/view-property/279320/F13DC4E262A78A72D7D4D4CC3377FE22F3B726A01B6D1B9BEF7366F276B44440</v>
      </c>
      <c r="I6269" t="str">
        <f>HYPERLINK("https://baanknet.com/view-property/279320/F13DC4E262A78A72D7D4D4CC3377FE22F3B726A01B6D1B9BEF7366F276B44440", "Open")</f>
        <v>Open</v>
      </c>
      <c r="J6269" t="s">
        <v>3803</v>
      </c>
      <c r="L6269">
        <v>4731000</v>
      </c>
      <c r="M6269">
        <v>473100</v>
      </c>
    </row>
    <row r="6270" spans="1:13" x14ac:dyDescent="0.25">
      <c r="A6270" t="s">
        <v>20721</v>
      </c>
      <c r="B6270" t="s">
        <v>20722</v>
      </c>
      <c r="C6270" t="s">
        <v>15</v>
      </c>
      <c r="D6270" t="s">
        <v>1892</v>
      </c>
      <c r="E6270" t="s">
        <v>20718</v>
      </c>
      <c r="F6270" t="s">
        <v>20719</v>
      </c>
      <c r="G6270" t="s">
        <v>20723</v>
      </c>
      <c r="H6270" t="str">
        <f>HYPERLINK("https://baanknet.com/view-property/282779/9BC6FCCB489E0354746926317FFCC9CD476B8A346BA4B16830BFBC1C04A38B87", "https://baanknet.com/view-property/282779/9BC6FCCB489E0354746926317FFCC9CD476B8A346BA4B16830BFBC1C04A38B87")</f>
        <v>https://baanknet.com/view-property/282779/9BC6FCCB489E0354746926317FFCC9CD476B8A346BA4B16830BFBC1C04A38B87</v>
      </c>
      <c r="I6270" t="str">
        <f>HYPERLINK("https://baanknet.com/view-property/282779/9BC6FCCB489E0354746926317FFCC9CD476B8A346BA4B16830BFBC1C04A38B87", "Open")</f>
        <v>Open</v>
      </c>
      <c r="J6270" t="s">
        <v>3803</v>
      </c>
      <c r="L6270">
        <v>3550000</v>
      </c>
      <c r="M6270">
        <v>355000</v>
      </c>
    </row>
    <row r="6271" spans="1:13" x14ac:dyDescent="0.25">
      <c r="A6271" t="s">
        <v>20724</v>
      </c>
      <c r="B6271" t="s">
        <v>20725</v>
      </c>
      <c r="C6271" t="s">
        <v>15</v>
      </c>
      <c r="D6271" t="s">
        <v>1892</v>
      </c>
      <c r="E6271" t="s">
        <v>20718</v>
      </c>
      <c r="F6271" t="s">
        <v>20719</v>
      </c>
      <c r="G6271" t="s">
        <v>20726</v>
      </c>
      <c r="H6271" t="str">
        <f>HYPERLINK("https://baanknet.com/view-property/279348/BED08E72A801486B800A2A31A6BC5A528A2DC26552EC39CB46B145FD92D6809B", "https://baanknet.com/view-property/279348/BED08E72A801486B800A2A31A6BC5A528A2DC26552EC39CB46B145FD92D6809B")</f>
        <v>https://baanknet.com/view-property/279348/BED08E72A801486B800A2A31A6BC5A528A2DC26552EC39CB46B145FD92D6809B</v>
      </c>
      <c r="I6271" t="str">
        <f>HYPERLINK("https://baanknet.com/view-property/279348/BED08E72A801486B800A2A31A6BC5A528A2DC26552EC39CB46B145FD92D6809B", "Open")</f>
        <v>Open</v>
      </c>
      <c r="J6271" t="s">
        <v>3803</v>
      </c>
      <c r="L6271">
        <v>3960000</v>
      </c>
      <c r="M6271">
        <v>396000</v>
      </c>
    </row>
    <row r="6272" spans="1:13" x14ac:dyDescent="0.25">
      <c r="A6272" t="s">
        <v>20727</v>
      </c>
      <c r="B6272" t="s">
        <v>20728</v>
      </c>
      <c r="C6272" t="s">
        <v>15</v>
      </c>
      <c r="D6272" t="s">
        <v>338</v>
      </c>
      <c r="E6272" t="s">
        <v>20718</v>
      </c>
      <c r="F6272" t="s">
        <v>20719</v>
      </c>
      <c r="G6272" t="s">
        <v>20729</v>
      </c>
      <c r="H6272" t="str">
        <f>HYPERLINK("https://baanknet.com/view-property/208212/126A32055F0CEB36F16F2E2C6B1D630D6F1D6CB73D5AFABFFCD42E006E92A719", "https://baanknet.com/view-property/208212/126A32055F0CEB36F16F2E2C6B1D630D6F1D6CB73D5AFABFFCD42E006E92A719")</f>
        <v>https://baanknet.com/view-property/208212/126A32055F0CEB36F16F2E2C6B1D630D6F1D6CB73D5AFABFFCD42E006E92A719</v>
      </c>
      <c r="I6272" t="str">
        <f>HYPERLINK("https://baanknet.com/view-property/208212/126A32055F0CEB36F16F2E2C6B1D630D6F1D6CB73D5AFABFFCD42E006E92A719", "Open")</f>
        <v>Open</v>
      </c>
      <c r="J6272" t="s">
        <v>3803</v>
      </c>
      <c r="L6272">
        <v>4859000</v>
      </c>
      <c r="M6272">
        <v>485900</v>
      </c>
    </row>
    <row r="6273" spans="1:13" x14ac:dyDescent="0.25">
      <c r="A6273" t="s">
        <v>20730</v>
      </c>
      <c r="B6273" t="s">
        <v>20731</v>
      </c>
      <c r="C6273" t="s">
        <v>15</v>
      </c>
      <c r="D6273" t="s">
        <v>2813</v>
      </c>
      <c r="E6273" t="s">
        <v>20718</v>
      </c>
      <c r="F6273" t="s">
        <v>20719</v>
      </c>
      <c r="G6273" t="s">
        <v>20732</v>
      </c>
      <c r="H6273" t="str">
        <f>HYPERLINK("https://baanknet.com/view-property/275743/8F77EFA5A8633D95DF0FD17DEDE538B4E3B1723D1FEC4B87125BC559A18BB7AA", "https://baanknet.com/view-property/275743/8F77EFA5A8633D95DF0FD17DEDE538B4E3B1723D1FEC4B87125BC559A18BB7AA")</f>
        <v>https://baanknet.com/view-property/275743/8F77EFA5A8633D95DF0FD17DEDE538B4E3B1723D1FEC4B87125BC559A18BB7AA</v>
      </c>
      <c r="I6273" t="str">
        <f>HYPERLINK("https://baanknet.com/view-property/275743/8F77EFA5A8633D95DF0FD17DEDE538B4E3B1723D1FEC4B87125BC559A18BB7AA", "Open")</f>
        <v>Open</v>
      </c>
      <c r="J6273" t="s">
        <v>3803</v>
      </c>
      <c r="L6273">
        <v>1210000</v>
      </c>
      <c r="M6273">
        <v>121000</v>
      </c>
    </row>
    <row r="6274" spans="1:13" x14ac:dyDescent="0.25">
      <c r="A6274" t="s">
        <v>20733</v>
      </c>
      <c r="B6274" t="s">
        <v>20734</v>
      </c>
      <c r="C6274" t="s">
        <v>15</v>
      </c>
      <c r="D6274" t="s">
        <v>338</v>
      </c>
      <c r="E6274" t="s">
        <v>20718</v>
      </c>
      <c r="F6274" t="s">
        <v>20719</v>
      </c>
      <c r="G6274" t="s">
        <v>20735</v>
      </c>
      <c r="H6274" t="str">
        <f>HYPERLINK("https://baanknet.com/view-property/208434/57FA9FABE8A72396ABB68F6226325B0E06939431CD12876A3BDFE43A3F2C3EB5", "https://baanknet.com/view-property/208434/57FA9FABE8A72396ABB68F6226325B0E06939431CD12876A3BDFE43A3F2C3EB5")</f>
        <v>https://baanknet.com/view-property/208434/57FA9FABE8A72396ABB68F6226325B0E06939431CD12876A3BDFE43A3F2C3EB5</v>
      </c>
      <c r="I6274" t="str">
        <f>HYPERLINK("https://baanknet.com/view-property/208434/57FA9FABE8A72396ABB68F6226325B0E06939431CD12876A3BDFE43A3F2C3EB5", "Open")</f>
        <v>Open</v>
      </c>
      <c r="J6274" t="s">
        <v>3803</v>
      </c>
      <c r="L6274">
        <v>3693000</v>
      </c>
      <c r="M6274">
        <v>369300</v>
      </c>
    </row>
    <row r="6275" spans="1:13" x14ac:dyDescent="0.25">
      <c r="A6275" t="s">
        <v>20736</v>
      </c>
      <c r="B6275" t="s">
        <v>20737</v>
      </c>
      <c r="C6275" t="s">
        <v>15</v>
      </c>
      <c r="D6275" t="s">
        <v>20738</v>
      </c>
      <c r="E6275" t="s">
        <v>20718</v>
      </c>
      <c r="F6275" t="s">
        <v>20719</v>
      </c>
      <c r="G6275" t="s">
        <v>20739</v>
      </c>
      <c r="H6275" t="str">
        <f>HYPERLINK("https://baanknet.com/view-property/282739/2AFF66112F807D42BFC90F8BC574596838AFDCB2508F7952786B41C7C7BF52D5", "https://baanknet.com/view-property/282739/2AFF66112F807D42BFC90F8BC574596838AFDCB2508F7952786B41C7C7BF52D5")</f>
        <v>https://baanknet.com/view-property/282739/2AFF66112F807D42BFC90F8BC574596838AFDCB2508F7952786B41C7C7BF52D5</v>
      </c>
      <c r="I6275" t="str">
        <f>HYPERLINK("https://baanknet.com/view-property/282739/2AFF66112F807D42BFC90F8BC574596838AFDCB2508F7952786B41C7C7BF52D5", "Open")</f>
        <v>Open</v>
      </c>
      <c r="J6275" t="s">
        <v>3803</v>
      </c>
      <c r="L6275">
        <v>7167000</v>
      </c>
      <c r="M6275">
        <v>716700</v>
      </c>
    </row>
    <row r="6276" spans="1:13" x14ac:dyDescent="0.25">
      <c r="A6276" t="s">
        <v>20740</v>
      </c>
      <c r="B6276" t="s">
        <v>20741</v>
      </c>
      <c r="C6276" t="s">
        <v>15</v>
      </c>
      <c r="D6276" t="s">
        <v>1839</v>
      </c>
      <c r="E6276" t="s">
        <v>20718</v>
      </c>
      <c r="F6276" t="s">
        <v>20719</v>
      </c>
      <c r="G6276" t="s">
        <v>20742</v>
      </c>
      <c r="H6276" t="str">
        <f>HYPERLINK("https://baanknet.com/view-property/246972/64755062496E51CA32D061A4678731142696C8F988D23AF84479BF9C7FC05140", "https://baanknet.com/view-property/246972/64755062496E51CA32D061A4678731142696C8F988D23AF84479BF9C7FC05140")</f>
        <v>https://baanknet.com/view-property/246972/64755062496E51CA32D061A4678731142696C8F988D23AF84479BF9C7FC05140</v>
      </c>
      <c r="I6276" t="str">
        <f>HYPERLINK("https://baanknet.com/view-property/246972/64755062496E51CA32D061A4678731142696C8F988D23AF84479BF9C7FC05140", "Open")</f>
        <v>Open</v>
      </c>
      <c r="J6276" t="s">
        <v>3803</v>
      </c>
      <c r="L6276">
        <v>3016000</v>
      </c>
      <c r="M6276">
        <v>301600</v>
      </c>
    </row>
    <row r="6277" spans="1:13" x14ac:dyDescent="0.25">
      <c r="A6277" t="s">
        <v>20743</v>
      </c>
      <c r="B6277" t="s">
        <v>20744</v>
      </c>
      <c r="C6277" t="s">
        <v>15</v>
      </c>
      <c r="D6277" t="s">
        <v>4500</v>
      </c>
      <c r="E6277" t="s">
        <v>20718</v>
      </c>
      <c r="F6277" t="s">
        <v>20719</v>
      </c>
      <c r="G6277" t="s">
        <v>20745</v>
      </c>
      <c r="H6277" t="str">
        <f>HYPERLINK("https://baanknet.com/view-property/191197/EC1583F1503DF8D24C5D422A1A9A1A7C9B2BB52B9BDE3F403EF0810722BF9F21", "https://baanknet.com/view-property/191197/EC1583F1503DF8D24C5D422A1A9A1A7C9B2BB52B9BDE3F403EF0810722BF9F21")</f>
        <v>https://baanknet.com/view-property/191197/EC1583F1503DF8D24C5D422A1A9A1A7C9B2BB52B9BDE3F403EF0810722BF9F21</v>
      </c>
      <c r="I6277" t="str">
        <f>HYPERLINK("https://baanknet.com/view-property/191197/EC1583F1503DF8D24C5D422A1A9A1A7C9B2BB52B9BDE3F403EF0810722BF9F21", "Open")</f>
        <v>Open</v>
      </c>
      <c r="J6277" t="s">
        <v>3803</v>
      </c>
      <c r="L6277">
        <v>2893000</v>
      </c>
      <c r="M6277">
        <v>289300</v>
      </c>
    </row>
    <row r="6278" spans="1:13" x14ac:dyDescent="0.25">
      <c r="A6278" t="s">
        <v>20746</v>
      </c>
      <c r="B6278" t="s">
        <v>20747</v>
      </c>
      <c r="C6278" t="s">
        <v>15</v>
      </c>
      <c r="D6278" t="s">
        <v>20748</v>
      </c>
      <c r="E6278" t="s">
        <v>20718</v>
      </c>
      <c r="F6278" t="s">
        <v>20719</v>
      </c>
      <c r="G6278" t="s">
        <v>20749</v>
      </c>
      <c r="H6278" t="str">
        <f>HYPERLINK("https://baanknet.com/view-property/279356/20888EF6380CF45099D54FB1BBE46591029603E2751C632EE54F704D8948EF5C", "https://baanknet.com/view-property/279356/20888EF6380CF45099D54FB1BBE46591029603E2751C632EE54F704D8948EF5C")</f>
        <v>https://baanknet.com/view-property/279356/20888EF6380CF45099D54FB1BBE46591029603E2751C632EE54F704D8948EF5C</v>
      </c>
      <c r="I6278" t="str">
        <f>HYPERLINK("https://baanknet.com/view-property/279356/20888EF6380CF45099D54FB1BBE46591029603E2751C632EE54F704D8948EF5C", "Open")</f>
        <v>Open</v>
      </c>
      <c r="J6278" t="s">
        <v>3803</v>
      </c>
      <c r="L6278">
        <v>4275000</v>
      </c>
      <c r="M6278">
        <v>427500</v>
      </c>
    </row>
    <row r="6279" spans="1:13" x14ac:dyDescent="0.25">
      <c r="A6279" t="s">
        <v>20750</v>
      </c>
      <c r="B6279" t="s">
        <v>20751</v>
      </c>
      <c r="C6279" t="s">
        <v>15</v>
      </c>
      <c r="D6279" t="s">
        <v>578</v>
      </c>
      <c r="E6279" t="s">
        <v>20718</v>
      </c>
      <c r="F6279" t="s">
        <v>20719</v>
      </c>
      <c r="G6279" t="s">
        <v>20752</v>
      </c>
      <c r="H6279" t="str">
        <f>HYPERLINK("https://baanknet.com/view-property/270908/3F69EA85E9F0C510C3892B9FE68E06FA9A69CBB7DBA2D2688A5749C122F5272F", "https://baanknet.com/view-property/270908/3F69EA85E9F0C510C3892B9FE68E06FA9A69CBB7DBA2D2688A5749C122F5272F")</f>
        <v>https://baanknet.com/view-property/270908/3F69EA85E9F0C510C3892B9FE68E06FA9A69CBB7DBA2D2688A5749C122F5272F</v>
      </c>
      <c r="I6279" t="str">
        <f>HYPERLINK("https://baanknet.com/view-property/270908/3F69EA85E9F0C510C3892B9FE68E06FA9A69CBB7DBA2D2688A5749C122F5272F", "Open")</f>
        <v>Open</v>
      </c>
      <c r="J6279" t="s">
        <v>3803</v>
      </c>
      <c r="L6279">
        <v>2372000</v>
      </c>
      <c r="M6279">
        <v>237200</v>
      </c>
    </row>
    <row r="6280" spans="1:13" x14ac:dyDescent="0.25">
      <c r="A6280" t="s">
        <v>20753</v>
      </c>
      <c r="B6280" t="s">
        <v>20754</v>
      </c>
      <c r="C6280" t="s">
        <v>15</v>
      </c>
      <c r="D6280" t="s">
        <v>6934</v>
      </c>
      <c r="E6280" t="s">
        <v>20718</v>
      </c>
      <c r="F6280" t="s">
        <v>20719</v>
      </c>
      <c r="G6280" t="s">
        <v>20755</v>
      </c>
      <c r="H6280" t="str">
        <f>HYPERLINK("https://baanknet.com/view-property/282776/274A69E74B4BDACD9DB6E9BEE9165FCFD6841CB8A10761CA60F14AC0B5A70CF3", "https://baanknet.com/view-property/282776/274A69E74B4BDACD9DB6E9BEE9165FCFD6841CB8A10761CA60F14AC0B5A70CF3")</f>
        <v>https://baanknet.com/view-property/282776/274A69E74B4BDACD9DB6E9BEE9165FCFD6841CB8A10761CA60F14AC0B5A70CF3</v>
      </c>
      <c r="I6280" t="str">
        <f>HYPERLINK("https://baanknet.com/view-property/282776/274A69E74B4BDACD9DB6E9BEE9165FCFD6841CB8A10761CA60F14AC0B5A70CF3", "Open")</f>
        <v>Open</v>
      </c>
      <c r="J6280" t="s">
        <v>3803</v>
      </c>
      <c r="L6280">
        <v>5065000</v>
      </c>
      <c r="M6280">
        <v>506500</v>
      </c>
    </row>
    <row r="6281" spans="1:13" x14ac:dyDescent="0.25">
      <c r="A6281" t="s">
        <v>20756</v>
      </c>
      <c r="B6281" t="s">
        <v>20757</v>
      </c>
      <c r="C6281" t="s">
        <v>15</v>
      </c>
      <c r="D6281" t="s">
        <v>11467</v>
      </c>
      <c r="E6281" t="s">
        <v>20718</v>
      </c>
      <c r="F6281" t="s">
        <v>20719</v>
      </c>
      <c r="G6281" t="s">
        <v>20758</v>
      </c>
      <c r="H6281" t="str">
        <f>HYPERLINK("https://baanknet.com/view-property/266436/1E103A2DE16DC50E81934E845B2CB2620E939FB176C8FA6FE28ADCDC39286C84", "https://baanknet.com/view-property/266436/1E103A2DE16DC50E81934E845B2CB2620E939FB176C8FA6FE28ADCDC39286C84")</f>
        <v>https://baanknet.com/view-property/266436/1E103A2DE16DC50E81934E845B2CB2620E939FB176C8FA6FE28ADCDC39286C84</v>
      </c>
      <c r="I6281" t="str">
        <f>HYPERLINK("https://baanknet.com/view-property/266436/1E103A2DE16DC50E81934E845B2CB2620E939FB176C8FA6FE28ADCDC39286C84", "Open")</f>
        <v>Open</v>
      </c>
      <c r="J6281" t="s">
        <v>3803</v>
      </c>
      <c r="L6281">
        <v>2300000</v>
      </c>
      <c r="M6281">
        <v>230000</v>
      </c>
    </row>
    <row r="6282" spans="1:13" x14ac:dyDescent="0.25">
      <c r="A6282" t="s">
        <v>20759</v>
      </c>
      <c r="B6282" t="s">
        <v>20760</v>
      </c>
      <c r="C6282" t="s">
        <v>15</v>
      </c>
      <c r="D6282" t="s">
        <v>11467</v>
      </c>
      <c r="E6282" t="s">
        <v>20718</v>
      </c>
      <c r="F6282" t="s">
        <v>20719</v>
      </c>
      <c r="G6282" t="s">
        <v>20761</v>
      </c>
      <c r="H6282" t="str">
        <f>HYPERLINK("https://baanknet.com/view-property/266448/D630CA0C44C88094EEF7891CC043340B302CE004E0B686EE2A9A6FC3FE06071C", "https://baanknet.com/view-property/266448/D630CA0C44C88094EEF7891CC043340B302CE004E0B686EE2A9A6FC3FE06071C")</f>
        <v>https://baanknet.com/view-property/266448/D630CA0C44C88094EEF7891CC043340B302CE004E0B686EE2A9A6FC3FE06071C</v>
      </c>
      <c r="I6282" t="str">
        <f>HYPERLINK("https://baanknet.com/view-property/266448/D630CA0C44C88094EEF7891CC043340B302CE004E0B686EE2A9A6FC3FE06071C", "Open")</f>
        <v>Open</v>
      </c>
      <c r="J6282" t="s">
        <v>3803</v>
      </c>
      <c r="L6282">
        <v>1316000</v>
      </c>
      <c r="M6282">
        <v>131600</v>
      </c>
    </row>
    <row r="6283" spans="1:13" x14ac:dyDescent="0.25">
      <c r="A6283" t="s">
        <v>20762</v>
      </c>
      <c r="B6283" t="s">
        <v>20763</v>
      </c>
      <c r="C6283" t="s">
        <v>15</v>
      </c>
      <c r="D6283" t="s">
        <v>1839</v>
      </c>
      <c r="E6283" t="s">
        <v>20718</v>
      </c>
      <c r="F6283" t="s">
        <v>20719</v>
      </c>
      <c r="G6283" t="s">
        <v>20764</v>
      </c>
      <c r="H6283" t="str">
        <f>HYPERLINK("https://baanknet.com/view-property/199233/5E321152D7637B87111F49A04B0A0CA381C25CA24E44D7269B46E0F5EA64EB96", "https://baanknet.com/view-property/199233/5E321152D7637B87111F49A04B0A0CA381C25CA24E44D7269B46E0F5EA64EB96")</f>
        <v>https://baanknet.com/view-property/199233/5E321152D7637B87111F49A04B0A0CA381C25CA24E44D7269B46E0F5EA64EB96</v>
      </c>
      <c r="I6283" t="str">
        <f>HYPERLINK("https://baanknet.com/view-property/199233/5E321152D7637B87111F49A04B0A0CA381C25CA24E44D7269B46E0F5EA64EB96", "Open")</f>
        <v>Open</v>
      </c>
      <c r="J6283" t="s">
        <v>3803</v>
      </c>
      <c r="L6283">
        <v>329000</v>
      </c>
      <c r="M6283">
        <v>32900</v>
      </c>
    </row>
    <row r="6284" spans="1:13" x14ac:dyDescent="0.25">
      <c r="A6284" t="s">
        <v>20765</v>
      </c>
      <c r="B6284" t="s">
        <v>20766</v>
      </c>
      <c r="C6284" t="s">
        <v>15</v>
      </c>
      <c r="D6284" t="s">
        <v>578</v>
      </c>
      <c r="E6284" t="s">
        <v>20718</v>
      </c>
      <c r="F6284" t="s">
        <v>20719</v>
      </c>
      <c r="G6284" t="s">
        <v>20767</v>
      </c>
      <c r="H6284" t="str">
        <f>HYPERLINK("https://baanknet.com/view-property/197790/4528ED4476CF90E0027B3D65C4B97D89B9B2B401C1228C0DABBE7E6AE3703737", "https://baanknet.com/view-property/197790/4528ED4476CF90E0027B3D65C4B97D89B9B2B401C1228C0DABBE7E6AE3703737")</f>
        <v>https://baanknet.com/view-property/197790/4528ED4476CF90E0027B3D65C4B97D89B9B2B401C1228C0DABBE7E6AE3703737</v>
      </c>
      <c r="I6284" t="str">
        <f>HYPERLINK("https://baanknet.com/view-property/197790/4528ED4476CF90E0027B3D65C4B97D89B9B2B401C1228C0DABBE7E6AE3703737", "Open")</f>
        <v>Open</v>
      </c>
      <c r="J6284" t="s">
        <v>3803</v>
      </c>
      <c r="L6284">
        <v>2373000</v>
      </c>
      <c r="M6284">
        <v>237300</v>
      </c>
    </row>
    <row r="6285" spans="1:13" x14ac:dyDescent="0.25">
      <c r="A6285" t="s">
        <v>20768</v>
      </c>
      <c r="B6285" t="s">
        <v>20769</v>
      </c>
      <c r="C6285" t="s">
        <v>15</v>
      </c>
      <c r="D6285" t="s">
        <v>11031</v>
      </c>
      <c r="E6285" t="s">
        <v>20718</v>
      </c>
      <c r="F6285" t="s">
        <v>20719</v>
      </c>
      <c r="G6285" t="s">
        <v>20770</v>
      </c>
      <c r="H6285" t="str">
        <f>HYPERLINK("https://baanknet.com/view-property/264848/1AA44ED417DCF2BD6C0AB18BEC91A17F9C47755F80B3A2D93EF53A96F076A10D", "https://baanknet.com/view-property/264848/1AA44ED417DCF2BD6C0AB18BEC91A17F9C47755F80B3A2D93EF53A96F076A10D")</f>
        <v>https://baanknet.com/view-property/264848/1AA44ED417DCF2BD6C0AB18BEC91A17F9C47755F80B3A2D93EF53A96F076A10D</v>
      </c>
      <c r="I6285" t="str">
        <f>HYPERLINK("https://baanknet.com/view-property/264848/1AA44ED417DCF2BD6C0AB18BEC91A17F9C47755F80B3A2D93EF53A96F076A10D", "Open")</f>
        <v>Open</v>
      </c>
      <c r="J6285" t="s">
        <v>3803</v>
      </c>
      <c r="L6285">
        <v>1674000</v>
      </c>
      <c r="M6285">
        <v>167400</v>
      </c>
    </row>
    <row r="6286" spans="1:13" x14ac:dyDescent="0.25">
      <c r="A6286" t="s">
        <v>20771</v>
      </c>
      <c r="B6286" t="s">
        <v>20772</v>
      </c>
      <c r="C6286" t="s">
        <v>15</v>
      </c>
      <c r="D6286" t="s">
        <v>11134</v>
      </c>
      <c r="E6286" t="s">
        <v>20718</v>
      </c>
      <c r="F6286" t="s">
        <v>20719</v>
      </c>
      <c r="G6286" t="s">
        <v>20773</v>
      </c>
      <c r="H6286" t="str">
        <f>HYPERLINK("https://baanknet.com/view-property/270957/EDB7206BF3B04CE6C97CB3C44F955631510F14E332507FDBD377EE3C06838C29", "https://baanknet.com/view-property/270957/EDB7206BF3B04CE6C97CB3C44F955631510F14E332507FDBD377EE3C06838C29")</f>
        <v>https://baanknet.com/view-property/270957/EDB7206BF3B04CE6C97CB3C44F955631510F14E332507FDBD377EE3C06838C29</v>
      </c>
      <c r="I6286" t="str">
        <f>HYPERLINK("https://baanknet.com/view-property/270957/EDB7206BF3B04CE6C97CB3C44F955631510F14E332507FDBD377EE3C06838C29", "Open")</f>
        <v>Open</v>
      </c>
      <c r="J6286" t="s">
        <v>3803</v>
      </c>
      <c r="L6286">
        <v>2503000</v>
      </c>
      <c r="M6286">
        <v>250300</v>
      </c>
    </row>
    <row r="6287" spans="1:13" x14ac:dyDescent="0.25">
      <c r="A6287" t="s">
        <v>20774</v>
      </c>
      <c r="B6287" t="s">
        <v>20775</v>
      </c>
      <c r="C6287" t="s">
        <v>15</v>
      </c>
      <c r="D6287" t="s">
        <v>18054</v>
      </c>
      <c r="E6287" t="s">
        <v>20718</v>
      </c>
      <c r="F6287" t="s">
        <v>20719</v>
      </c>
      <c r="G6287" t="s">
        <v>20776</v>
      </c>
      <c r="H6287" t="str">
        <f>HYPERLINK("https://baanknet.com/view-property/270920/6C519AE227EAF87789A9FFE9511B8597A9E0D27EB0BC3846DBD0096DF2DB651B", "https://baanknet.com/view-property/270920/6C519AE227EAF87789A9FFE9511B8597A9E0D27EB0BC3846DBD0096DF2DB651B")</f>
        <v>https://baanknet.com/view-property/270920/6C519AE227EAF87789A9FFE9511B8597A9E0D27EB0BC3846DBD0096DF2DB651B</v>
      </c>
      <c r="I6287" t="str">
        <f>HYPERLINK("https://baanknet.com/view-property/270920/6C519AE227EAF87789A9FFE9511B8597A9E0D27EB0BC3846DBD0096DF2DB651B", "Open")</f>
        <v>Open</v>
      </c>
      <c r="J6287" t="s">
        <v>3803</v>
      </c>
      <c r="L6287">
        <v>8050000</v>
      </c>
      <c r="M6287">
        <v>805000</v>
      </c>
    </row>
    <row r="6288" spans="1:13" x14ac:dyDescent="0.25">
      <c r="A6288" t="s">
        <v>20777</v>
      </c>
      <c r="B6288" t="s">
        <v>20778</v>
      </c>
      <c r="C6288" t="s">
        <v>15</v>
      </c>
      <c r="D6288" t="s">
        <v>1968</v>
      </c>
      <c r="E6288" t="s">
        <v>20718</v>
      </c>
      <c r="F6288" t="s">
        <v>20719</v>
      </c>
      <c r="G6288" t="s">
        <v>20779</v>
      </c>
      <c r="H6288" t="str">
        <f>HYPERLINK("https://baanknet.com/view-property/240272/00708BE66388908B959545F828F332B61E735975DFB73BA5AAF89085336B71E5", "https://baanknet.com/view-property/240272/00708BE66388908B959545F828F332B61E735975DFB73BA5AAF89085336B71E5")</f>
        <v>https://baanknet.com/view-property/240272/00708BE66388908B959545F828F332B61E735975DFB73BA5AAF89085336B71E5</v>
      </c>
      <c r="I6288" t="str">
        <f>HYPERLINK("https://baanknet.com/view-property/240272/00708BE66388908B959545F828F332B61E735975DFB73BA5AAF89085336B71E5", "Open")</f>
        <v>Open</v>
      </c>
      <c r="J6288" t="s">
        <v>3803</v>
      </c>
      <c r="L6288">
        <v>1385000</v>
      </c>
      <c r="M6288">
        <v>138500</v>
      </c>
    </row>
    <row r="6289" spans="1:13" x14ac:dyDescent="0.25">
      <c r="A6289" t="s">
        <v>20780</v>
      </c>
      <c r="B6289" t="s">
        <v>20781</v>
      </c>
      <c r="C6289" t="s">
        <v>15</v>
      </c>
      <c r="D6289" t="s">
        <v>20782</v>
      </c>
      <c r="E6289" t="s">
        <v>20718</v>
      </c>
      <c r="F6289" t="s">
        <v>20719</v>
      </c>
      <c r="G6289" t="s">
        <v>20783</v>
      </c>
      <c r="H6289" t="str">
        <f>HYPERLINK("https://baanknet.com/view-property/191738/94296D3923422935175018245826AF0470B15DB249EC30CBEB89AA463CDC5094", "https://baanknet.com/view-property/191738/94296D3923422935175018245826AF0470B15DB249EC30CBEB89AA463CDC5094")</f>
        <v>https://baanknet.com/view-property/191738/94296D3923422935175018245826AF0470B15DB249EC30CBEB89AA463CDC5094</v>
      </c>
      <c r="I6289" t="str">
        <f>HYPERLINK("https://baanknet.com/view-property/191738/94296D3923422935175018245826AF0470B15DB249EC30CBEB89AA463CDC5094", "Open")</f>
        <v>Open</v>
      </c>
      <c r="J6289" t="s">
        <v>3803</v>
      </c>
      <c r="L6289">
        <v>1126000</v>
      </c>
      <c r="M6289">
        <v>112600</v>
      </c>
    </row>
    <row r="6290" spans="1:13" x14ac:dyDescent="0.25">
      <c r="A6290" t="s">
        <v>20784</v>
      </c>
      <c r="B6290" t="s">
        <v>20785</v>
      </c>
      <c r="C6290" t="s">
        <v>15</v>
      </c>
      <c r="D6290" t="s">
        <v>1051</v>
      </c>
      <c r="E6290" t="s">
        <v>20718</v>
      </c>
      <c r="F6290" t="s">
        <v>20719</v>
      </c>
      <c r="G6290" t="s">
        <v>20786</v>
      </c>
      <c r="H6290" t="str">
        <f>HYPERLINK("https://baanknet.com/view-property/240440/E90785150D11CF6633A8C80886F977713A61318BAE218A38858F5CB93353F836", "https://baanknet.com/view-property/240440/E90785150D11CF6633A8C80886F977713A61318BAE218A38858F5CB93353F836")</f>
        <v>https://baanknet.com/view-property/240440/E90785150D11CF6633A8C80886F977713A61318BAE218A38858F5CB93353F836</v>
      </c>
      <c r="I6290" t="str">
        <f>HYPERLINK("https://baanknet.com/view-property/240440/E90785150D11CF6633A8C80886F977713A61318BAE218A38858F5CB93353F836", "Open")</f>
        <v>Open</v>
      </c>
      <c r="J6290" t="s">
        <v>3803</v>
      </c>
      <c r="L6290">
        <v>2205000</v>
      </c>
      <c r="M6290">
        <v>220500</v>
      </c>
    </row>
    <row r="6291" spans="1:13" x14ac:dyDescent="0.25">
      <c r="A6291" t="s">
        <v>20787</v>
      </c>
      <c r="B6291" t="s">
        <v>20788</v>
      </c>
      <c r="C6291" t="s">
        <v>15</v>
      </c>
      <c r="D6291" t="s">
        <v>578</v>
      </c>
      <c r="E6291" t="s">
        <v>20718</v>
      </c>
      <c r="F6291" t="s">
        <v>20719</v>
      </c>
      <c r="G6291" t="s">
        <v>20789</v>
      </c>
      <c r="H6291" t="str">
        <f>HYPERLINK("https://baanknet.com/view-property/255138/5B5A56A64622E93BB850BB8F124EE0BAAB97789950AACAB7BC8B7B6FFA98DD25", "https://baanknet.com/view-property/255138/5B5A56A64622E93BB850BB8F124EE0BAAB97789950AACAB7BC8B7B6FFA98DD25")</f>
        <v>https://baanknet.com/view-property/255138/5B5A56A64622E93BB850BB8F124EE0BAAB97789950AACAB7BC8B7B6FFA98DD25</v>
      </c>
      <c r="I6291" t="str">
        <f>HYPERLINK("https://baanknet.com/view-property/255138/5B5A56A64622E93BB850BB8F124EE0BAAB97789950AACAB7BC8B7B6FFA98DD25", "Open")</f>
        <v>Open</v>
      </c>
      <c r="J6291" t="s">
        <v>3803</v>
      </c>
      <c r="L6291">
        <v>9500000</v>
      </c>
      <c r="M6291">
        <v>950000</v>
      </c>
    </row>
    <row r="6292" spans="1:13" x14ac:dyDescent="0.25">
      <c r="A6292" t="s">
        <v>20790</v>
      </c>
      <c r="B6292" t="s">
        <v>20791</v>
      </c>
      <c r="C6292" t="s">
        <v>15</v>
      </c>
      <c r="D6292" t="s">
        <v>578</v>
      </c>
      <c r="E6292" t="s">
        <v>20718</v>
      </c>
      <c r="F6292" t="s">
        <v>20719</v>
      </c>
      <c r="G6292" t="s">
        <v>20792</v>
      </c>
      <c r="H6292" t="str">
        <f>HYPERLINK("https://baanknet.com/view-property/255152/D6DA5174FCBD698F836CAE5EC953341425849054D7BF76FEC417CD7A5F366709", "https://baanknet.com/view-property/255152/D6DA5174FCBD698F836CAE5EC953341425849054D7BF76FEC417CD7A5F366709")</f>
        <v>https://baanknet.com/view-property/255152/D6DA5174FCBD698F836CAE5EC953341425849054D7BF76FEC417CD7A5F366709</v>
      </c>
      <c r="I6292" t="str">
        <f>HYPERLINK("https://baanknet.com/view-property/255152/D6DA5174FCBD698F836CAE5EC953341425849054D7BF76FEC417CD7A5F366709", "Open")</f>
        <v>Open</v>
      </c>
      <c r="J6292" t="s">
        <v>3803</v>
      </c>
      <c r="L6292">
        <v>9500000</v>
      </c>
      <c r="M6292">
        <v>950000</v>
      </c>
    </row>
    <row r="6293" spans="1:13" x14ac:dyDescent="0.25">
      <c r="A6293" t="s">
        <v>20793</v>
      </c>
      <c r="B6293" t="s">
        <v>20794</v>
      </c>
      <c r="C6293" t="s">
        <v>15</v>
      </c>
      <c r="D6293" t="s">
        <v>578</v>
      </c>
      <c r="E6293" t="s">
        <v>20718</v>
      </c>
      <c r="F6293" t="s">
        <v>20719</v>
      </c>
      <c r="G6293" t="s">
        <v>20795</v>
      </c>
      <c r="H6293" t="str">
        <f>HYPERLINK("https://baanknet.com/view-property/264863/318FB5B7041B91266EB931F237B7023119B962AE3B2575C159FEFC739006EE15", "https://baanknet.com/view-property/264863/318FB5B7041B91266EB931F237B7023119B962AE3B2575C159FEFC739006EE15")</f>
        <v>https://baanknet.com/view-property/264863/318FB5B7041B91266EB931F237B7023119B962AE3B2575C159FEFC739006EE15</v>
      </c>
      <c r="I6293" t="str">
        <f>HYPERLINK("https://baanknet.com/view-property/264863/318FB5B7041B91266EB931F237B7023119B962AE3B2575C159FEFC739006EE15", "Open")</f>
        <v>Open</v>
      </c>
      <c r="J6293" t="s">
        <v>3803</v>
      </c>
      <c r="L6293">
        <v>14698000</v>
      </c>
      <c r="M6293">
        <v>1469800</v>
      </c>
    </row>
    <row r="6294" spans="1:13" x14ac:dyDescent="0.25">
      <c r="A6294" t="s">
        <v>20796</v>
      </c>
      <c r="B6294" t="s">
        <v>20797</v>
      </c>
      <c r="C6294" t="s">
        <v>15</v>
      </c>
      <c r="D6294" t="s">
        <v>338</v>
      </c>
      <c r="E6294" t="s">
        <v>20718</v>
      </c>
      <c r="F6294" t="s">
        <v>20719</v>
      </c>
      <c r="G6294" t="s">
        <v>20798</v>
      </c>
      <c r="H6294" t="str">
        <f>HYPERLINK("https://baanknet.com/view-property/245642/B9C4B22F44DA7022E92EF457021A5ED7EE89A88AC146AFC9BBE6144A9436C469", "https://baanknet.com/view-property/245642/B9C4B22F44DA7022E92EF457021A5ED7EE89A88AC146AFC9BBE6144A9436C469")</f>
        <v>https://baanknet.com/view-property/245642/B9C4B22F44DA7022E92EF457021A5ED7EE89A88AC146AFC9BBE6144A9436C469</v>
      </c>
      <c r="I6294" t="str">
        <f>HYPERLINK("https://baanknet.com/view-property/245642/B9C4B22F44DA7022E92EF457021A5ED7EE89A88AC146AFC9BBE6144A9436C469", "Open")</f>
        <v>Open</v>
      </c>
      <c r="J6294" t="s">
        <v>3803</v>
      </c>
      <c r="L6294">
        <v>3445000</v>
      </c>
      <c r="M6294">
        <v>344500</v>
      </c>
    </row>
    <row r="6295" spans="1:13" x14ac:dyDescent="0.25">
      <c r="A6295" t="s">
        <v>20799</v>
      </c>
      <c r="B6295" t="s">
        <v>20800</v>
      </c>
      <c r="C6295" t="s">
        <v>15</v>
      </c>
      <c r="D6295" t="s">
        <v>6152</v>
      </c>
      <c r="E6295" t="s">
        <v>20718</v>
      </c>
      <c r="F6295" t="s">
        <v>20719</v>
      </c>
      <c r="G6295" t="s">
        <v>20801</v>
      </c>
      <c r="H6295" t="str">
        <f>HYPERLINK("https://baanknet.com/view-property/283920/334F4B1BD0A635389C55C73FD922C4DA7FAE01CEE92A02D97B6DB2ED3EFA71F6", "https://baanknet.com/view-property/283920/334F4B1BD0A635389C55C73FD922C4DA7FAE01CEE92A02D97B6DB2ED3EFA71F6")</f>
        <v>https://baanknet.com/view-property/283920/334F4B1BD0A635389C55C73FD922C4DA7FAE01CEE92A02D97B6DB2ED3EFA71F6</v>
      </c>
      <c r="I6295" t="str">
        <f>HYPERLINK("https://baanknet.com/view-property/283920/334F4B1BD0A635389C55C73FD922C4DA7FAE01CEE92A02D97B6DB2ED3EFA71F6", "Open")</f>
        <v>Open</v>
      </c>
      <c r="J6295" t="s">
        <v>3803</v>
      </c>
      <c r="L6295">
        <v>3694000</v>
      </c>
      <c r="M6295">
        <v>369400</v>
      </c>
    </row>
    <row r="6296" spans="1:13" x14ac:dyDescent="0.25">
      <c r="A6296" t="s">
        <v>20802</v>
      </c>
      <c r="B6296" t="s">
        <v>20803</v>
      </c>
      <c r="C6296" t="s">
        <v>571</v>
      </c>
      <c r="D6296" t="s">
        <v>3061</v>
      </c>
      <c r="E6296" t="s">
        <v>20718</v>
      </c>
      <c r="F6296" t="s">
        <v>20804</v>
      </c>
      <c r="G6296" t="s">
        <v>20805</v>
      </c>
      <c r="H6296" t="str">
        <f>HYPERLINK("https://baanknet.com/view-property/207534/3CE6F323E157950400AB9F447C6D92E38F3E82070DE243AE19775B6A4C8F2609", "https://baanknet.com/view-property/207534/3CE6F323E157950400AB9F447C6D92E38F3E82070DE243AE19775B6A4C8F2609")</f>
        <v>https://baanknet.com/view-property/207534/3CE6F323E157950400AB9F447C6D92E38F3E82070DE243AE19775B6A4C8F2609</v>
      </c>
      <c r="I6296" t="str">
        <f>HYPERLINK("https://baanknet.com/view-property/207534/3CE6F323E157950400AB9F447C6D92E38F3E82070DE243AE19775B6A4C8F2609", "Open")</f>
        <v>Open</v>
      </c>
      <c r="J6296" t="s">
        <v>3803</v>
      </c>
      <c r="L6296">
        <v>2308000</v>
      </c>
      <c r="M6296">
        <v>230800</v>
      </c>
    </row>
    <row r="6297" spans="1:13" x14ac:dyDescent="0.25">
      <c r="A6297" t="s">
        <v>20806</v>
      </c>
      <c r="B6297" t="s">
        <v>20807</v>
      </c>
      <c r="C6297" t="s">
        <v>144</v>
      </c>
      <c r="D6297" t="s">
        <v>1246</v>
      </c>
      <c r="E6297" t="s">
        <v>20718</v>
      </c>
      <c r="F6297" t="s">
        <v>20808</v>
      </c>
      <c r="G6297" t="s">
        <v>20809</v>
      </c>
      <c r="H6297" t="str">
        <f>HYPERLINK("https://baanknet.com/view-property/286916/3C3A3F24FB7ED3E9C99C565DA6778362CEFA25BD59C83C5B4ACB033727308CFE", "https://baanknet.com/view-property/286916/3C3A3F24FB7ED3E9C99C565DA6778362CEFA25BD59C83C5B4ACB033727308CFE")</f>
        <v>https://baanknet.com/view-property/286916/3C3A3F24FB7ED3E9C99C565DA6778362CEFA25BD59C83C5B4ACB033727308CFE</v>
      </c>
      <c r="I6297" t="str">
        <f>HYPERLINK("https://baanknet.com/view-property/286916/3C3A3F24FB7ED3E9C99C565DA6778362CEFA25BD59C83C5B4ACB033727308CFE", "Open")</f>
        <v>Open</v>
      </c>
      <c r="J6297" t="s">
        <v>3803</v>
      </c>
      <c r="L6297">
        <v>8217500</v>
      </c>
      <c r="M6297">
        <v>821750</v>
      </c>
    </row>
    <row r="6298" spans="1:13" x14ac:dyDescent="0.25">
      <c r="A6298" t="s">
        <v>20810</v>
      </c>
      <c r="B6298" t="s">
        <v>20811</v>
      </c>
      <c r="C6298" t="s">
        <v>15</v>
      </c>
      <c r="D6298" t="s">
        <v>857</v>
      </c>
      <c r="E6298" t="s">
        <v>20812</v>
      </c>
      <c r="F6298" t="s">
        <v>20813</v>
      </c>
      <c r="G6298" t="s">
        <v>20814</v>
      </c>
      <c r="H6298" t="str">
        <f>HYPERLINK("https://baanknet.com/view-property/250975/961008D095996763EDA5E686E465A3FB19284BB7A9C40B9CFFA57450453E90ED", "https://baanknet.com/view-property/250975/961008D095996763EDA5E686E465A3FB19284BB7A9C40B9CFFA57450453E90ED")</f>
        <v>https://baanknet.com/view-property/250975/961008D095996763EDA5E686E465A3FB19284BB7A9C40B9CFFA57450453E90ED</v>
      </c>
      <c r="I6298" t="str">
        <f>HYPERLINK("https://baanknet.com/view-property/250975/961008D095996763EDA5E686E465A3FB19284BB7A9C40B9CFFA57450453E90ED", "Open")</f>
        <v>Open</v>
      </c>
      <c r="J6298" t="s">
        <v>3803</v>
      </c>
      <c r="L6298">
        <v>4500000</v>
      </c>
      <c r="M6298">
        <v>450000</v>
      </c>
    </row>
    <row r="6299" spans="1:13" x14ac:dyDescent="0.25">
      <c r="A6299" t="s">
        <v>20815</v>
      </c>
      <c r="B6299" t="s">
        <v>20816</v>
      </c>
      <c r="C6299" t="s">
        <v>15</v>
      </c>
      <c r="D6299" t="s">
        <v>18466</v>
      </c>
      <c r="E6299" t="s">
        <v>20812</v>
      </c>
      <c r="F6299" t="s">
        <v>20813</v>
      </c>
      <c r="G6299" t="s">
        <v>20817</v>
      </c>
      <c r="H6299" t="str">
        <f>HYPERLINK("https://baanknet.com/view-property/286030/0A0CF3F503DA61680650AB54A01304E234993D70D5FD13D985221AC59B276C4D", "https://baanknet.com/view-property/286030/0A0CF3F503DA61680650AB54A01304E234993D70D5FD13D985221AC59B276C4D")</f>
        <v>https://baanknet.com/view-property/286030/0A0CF3F503DA61680650AB54A01304E234993D70D5FD13D985221AC59B276C4D</v>
      </c>
      <c r="I6299" t="str">
        <f>HYPERLINK("https://baanknet.com/view-property/286030/0A0CF3F503DA61680650AB54A01304E234993D70D5FD13D985221AC59B276C4D", "Open")</f>
        <v>Open</v>
      </c>
      <c r="J6299" t="s">
        <v>3803</v>
      </c>
      <c r="L6299">
        <v>675000</v>
      </c>
      <c r="M6299">
        <v>67500</v>
      </c>
    </row>
    <row r="6300" spans="1:13" x14ac:dyDescent="0.25">
      <c r="A6300" t="s">
        <v>20818</v>
      </c>
      <c r="B6300" t="s">
        <v>20819</v>
      </c>
      <c r="C6300" t="s">
        <v>15</v>
      </c>
      <c r="D6300" t="s">
        <v>3524</v>
      </c>
      <c r="E6300" t="s">
        <v>20812</v>
      </c>
      <c r="F6300" t="s">
        <v>20813</v>
      </c>
      <c r="G6300" t="s">
        <v>20820</v>
      </c>
      <c r="H6300" t="str">
        <f>HYPERLINK("https://baanknet.com/view-property/286036/8E18F238CE533E7E301A1EDEA2A3178002724EC09B7CE0A16F8A1FEDCB366A37", "https://baanknet.com/view-property/286036/8E18F238CE533E7E301A1EDEA2A3178002724EC09B7CE0A16F8A1FEDCB366A37")</f>
        <v>https://baanknet.com/view-property/286036/8E18F238CE533E7E301A1EDEA2A3178002724EC09B7CE0A16F8A1FEDCB366A37</v>
      </c>
      <c r="I6300" t="str">
        <f>HYPERLINK("https://baanknet.com/view-property/286036/8E18F238CE533E7E301A1EDEA2A3178002724EC09B7CE0A16F8A1FEDCB366A37", "Open")</f>
        <v>Open</v>
      </c>
      <c r="J6300" t="s">
        <v>3803</v>
      </c>
      <c r="L6300">
        <v>2135000</v>
      </c>
      <c r="M6300">
        <v>213500</v>
      </c>
    </row>
    <row r="6301" spans="1:13" x14ac:dyDescent="0.25">
      <c r="A6301" t="s">
        <v>20821</v>
      </c>
      <c r="B6301" t="s">
        <v>20822</v>
      </c>
      <c r="C6301" t="s">
        <v>15</v>
      </c>
      <c r="D6301" t="s">
        <v>3524</v>
      </c>
      <c r="E6301" t="s">
        <v>20812</v>
      </c>
      <c r="F6301" t="s">
        <v>20813</v>
      </c>
      <c r="G6301" t="s">
        <v>20823</v>
      </c>
      <c r="H6301" t="str">
        <f>HYPERLINK("https://baanknet.com/view-property/262192/14A665E8C26BFF082305FDC9CFEE38F0F8311F88E1E104A6B0DA668C12594F53", "https://baanknet.com/view-property/262192/14A665E8C26BFF082305FDC9CFEE38F0F8311F88E1E104A6B0DA668C12594F53")</f>
        <v>https://baanknet.com/view-property/262192/14A665E8C26BFF082305FDC9CFEE38F0F8311F88E1E104A6B0DA668C12594F53</v>
      </c>
      <c r="I6301" t="str">
        <f>HYPERLINK("https://baanknet.com/view-property/262192/14A665E8C26BFF082305FDC9CFEE38F0F8311F88E1E104A6B0DA668C12594F53", "Open")</f>
        <v>Open</v>
      </c>
      <c r="J6301" t="s">
        <v>3803</v>
      </c>
      <c r="L6301">
        <v>2970000</v>
      </c>
      <c r="M6301">
        <v>297000</v>
      </c>
    </row>
    <row r="6302" spans="1:13" x14ac:dyDescent="0.25">
      <c r="A6302" t="s">
        <v>20824</v>
      </c>
      <c r="B6302" t="s">
        <v>20825</v>
      </c>
      <c r="C6302" t="s">
        <v>15</v>
      </c>
      <c r="D6302" t="s">
        <v>3524</v>
      </c>
      <c r="E6302" t="s">
        <v>20812</v>
      </c>
      <c r="F6302" t="s">
        <v>20813</v>
      </c>
      <c r="G6302" t="s">
        <v>20826</v>
      </c>
      <c r="H6302" t="str">
        <f>HYPERLINK("https://baanknet.com/view-property/287011/BA6403896A67079C1CA2C995AA3CE897D0AFBC55FA88C7F6E381ED7936182C12", "https://baanknet.com/view-property/287011/BA6403896A67079C1CA2C995AA3CE897D0AFBC55FA88C7F6E381ED7936182C12")</f>
        <v>https://baanknet.com/view-property/287011/BA6403896A67079C1CA2C995AA3CE897D0AFBC55FA88C7F6E381ED7936182C12</v>
      </c>
      <c r="I6302" t="str">
        <f>HYPERLINK("https://baanknet.com/view-property/287011/BA6403896A67079C1CA2C995AA3CE897D0AFBC55FA88C7F6E381ED7936182C12", "Open")</f>
        <v>Open</v>
      </c>
      <c r="J6302" t="s">
        <v>3803</v>
      </c>
      <c r="L6302">
        <v>855000</v>
      </c>
      <c r="M6302">
        <v>85500</v>
      </c>
    </row>
    <row r="6303" spans="1:13" x14ac:dyDescent="0.25">
      <c r="A6303" t="s">
        <v>20827</v>
      </c>
      <c r="B6303" t="s">
        <v>20828</v>
      </c>
      <c r="C6303" t="s">
        <v>15</v>
      </c>
      <c r="D6303" t="s">
        <v>6123</v>
      </c>
      <c r="E6303" t="s">
        <v>20829</v>
      </c>
      <c r="F6303" t="s">
        <v>20830</v>
      </c>
      <c r="G6303" t="s">
        <v>20831</v>
      </c>
      <c r="H6303" t="str">
        <f>HYPERLINK("https://baanknet.com/view-property/192240/46C667D47C2FD49952B98E7777804737A24DB5AFA54F75F22085BAA9E01A27F7", "https://baanknet.com/view-property/192240/46C667D47C2FD49952B98E7777804737A24DB5AFA54F75F22085BAA9E01A27F7")</f>
        <v>https://baanknet.com/view-property/192240/46C667D47C2FD49952B98E7777804737A24DB5AFA54F75F22085BAA9E01A27F7</v>
      </c>
      <c r="I6303" t="str">
        <f>HYPERLINK("https://baanknet.com/view-property/192240/46C667D47C2FD49952B98E7777804737A24DB5AFA54F75F22085BAA9E01A27F7", "Open")</f>
        <v>Open</v>
      </c>
      <c r="J6303" t="s">
        <v>3803</v>
      </c>
      <c r="L6303">
        <v>910000</v>
      </c>
      <c r="M6303">
        <v>91000</v>
      </c>
    </row>
    <row r="6304" spans="1:13" x14ac:dyDescent="0.25">
      <c r="A6304" t="s">
        <v>20832</v>
      </c>
      <c r="B6304" t="s">
        <v>20833</v>
      </c>
      <c r="C6304" t="s">
        <v>15</v>
      </c>
      <c r="D6304" t="s">
        <v>873</v>
      </c>
      <c r="E6304" t="s">
        <v>20829</v>
      </c>
      <c r="F6304" t="s">
        <v>20830</v>
      </c>
      <c r="G6304" t="s">
        <v>20834</v>
      </c>
      <c r="H6304" t="str">
        <f>HYPERLINK("https://baanknet.com/view-property/170562/747B9C3E2DFC67C513F53D69D22BAC6AC32BAE7826AED52425B49EA41AB0175D", "https://baanknet.com/view-property/170562/747B9C3E2DFC67C513F53D69D22BAC6AC32BAE7826AED52425B49EA41AB0175D")</f>
        <v>https://baanknet.com/view-property/170562/747B9C3E2DFC67C513F53D69D22BAC6AC32BAE7826AED52425B49EA41AB0175D</v>
      </c>
      <c r="I6304" t="str">
        <f>HYPERLINK("https://baanknet.com/view-property/170562/747B9C3E2DFC67C513F53D69D22BAC6AC32BAE7826AED52425B49EA41AB0175D", "Open")</f>
        <v>Open</v>
      </c>
      <c r="J6304" t="s">
        <v>3803</v>
      </c>
      <c r="L6304">
        <v>673000</v>
      </c>
      <c r="M6304">
        <v>67300</v>
      </c>
    </row>
    <row r="6305" spans="1:13" x14ac:dyDescent="0.25">
      <c r="A6305" t="s">
        <v>20835</v>
      </c>
      <c r="B6305" t="s">
        <v>20836</v>
      </c>
      <c r="C6305" t="s">
        <v>15</v>
      </c>
      <c r="D6305" t="s">
        <v>3368</v>
      </c>
      <c r="E6305" t="s">
        <v>20829</v>
      </c>
      <c r="F6305" t="s">
        <v>20830</v>
      </c>
      <c r="G6305" t="s">
        <v>20837</v>
      </c>
      <c r="H6305" t="str">
        <f>HYPERLINK("https://baanknet.com/view-property/191058/47FCAAC2334952345865E74A4544957BD99E6DD057E111005811862835240873", "https://baanknet.com/view-property/191058/47FCAAC2334952345865E74A4544957BD99E6DD057E111005811862835240873")</f>
        <v>https://baanknet.com/view-property/191058/47FCAAC2334952345865E74A4544957BD99E6DD057E111005811862835240873</v>
      </c>
      <c r="I6305" t="str">
        <f>HYPERLINK("https://baanknet.com/view-property/191058/47FCAAC2334952345865E74A4544957BD99E6DD057E111005811862835240873", "Open")</f>
        <v>Open</v>
      </c>
      <c r="J6305" t="s">
        <v>3803</v>
      </c>
      <c r="L6305">
        <v>600000</v>
      </c>
      <c r="M6305">
        <v>60000</v>
      </c>
    </row>
    <row r="6306" spans="1:13" x14ac:dyDescent="0.25">
      <c r="A6306" t="s">
        <v>20838</v>
      </c>
      <c r="B6306" t="s">
        <v>20839</v>
      </c>
      <c r="C6306" t="s">
        <v>15</v>
      </c>
      <c r="D6306" t="s">
        <v>869</v>
      </c>
      <c r="E6306" t="s">
        <v>20829</v>
      </c>
      <c r="F6306" t="s">
        <v>20830</v>
      </c>
      <c r="G6306" t="s">
        <v>20840</v>
      </c>
      <c r="H6306" t="str">
        <f>HYPERLINK("https://baanknet.com/view-property/223916/BF3BFEA40A8585BC35929D540B61D002448A439E72CBB209D9662FEF3EB98790", "https://baanknet.com/view-property/223916/BF3BFEA40A8585BC35929D540B61D002448A439E72CBB209D9662FEF3EB98790")</f>
        <v>https://baanknet.com/view-property/223916/BF3BFEA40A8585BC35929D540B61D002448A439E72CBB209D9662FEF3EB98790</v>
      </c>
      <c r="I6306" t="str">
        <f>HYPERLINK("https://baanknet.com/view-property/223916/BF3BFEA40A8585BC35929D540B61D002448A439E72CBB209D9662FEF3EB98790", "Open")</f>
        <v>Open</v>
      </c>
      <c r="J6306" t="s">
        <v>3803</v>
      </c>
      <c r="L6306">
        <v>900000</v>
      </c>
      <c r="M6306">
        <v>90000</v>
      </c>
    </row>
    <row r="6307" spans="1:13" x14ac:dyDescent="0.25">
      <c r="A6307" t="s">
        <v>20841</v>
      </c>
      <c r="B6307" t="s">
        <v>20842</v>
      </c>
      <c r="C6307" t="s">
        <v>15</v>
      </c>
      <c r="D6307" t="s">
        <v>20843</v>
      </c>
      <c r="E6307" t="s">
        <v>20829</v>
      </c>
      <c r="F6307" t="s">
        <v>20830</v>
      </c>
      <c r="G6307" t="s">
        <v>20844</v>
      </c>
      <c r="H6307" t="str">
        <f>HYPERLINK("https://baanknet.com/view-property/224544/F8FDA1A603B481E69D9A9DF5BB4B7D6C8B4A324D5FEC6C2FEA6FAEB469CC427C", "https://baanknet.com/view-property/224544/F8FDA1A603B481E69D9A9DF5BB4B7D6C8B4A324D5FEC6C2FEA6FAEB469CC427C")</f>
        <v>https://baanknet.com/view-property/224544/F8FDA1A603B481E69D9A9DF5BB4B7D6C8B4A324D5FEC6C2FEA6FAEB469CC427C</v>
      </c>
      <c r="I6307" t="str">
        <f>HYPERLINK("https://baanknet.com/view-property/224544/F8FDA1A603B481E69D9A9DF5BB4B7D6C8B4A324D5FEC6C2FEA6FAEB469CC427C", "Open")</f>
        <v>Open</v>
      </c>
      <c r="J6307" t="s">
        <v>3803</v>
      </c>
      <c r="L6307">
        <v>5500000</v>
      </c>
      <c r="M6307">
        <v>550000</v>
      </c>
    </row>
    <row r="6308" spans="1:13" x14ac:dyDescent="0.25">
      <c r="A6308" t="s">
        <v>20845</v>
      </c>
      <c r="B6308" t="s">
        <v>20846</v>
      </c>
      <c r="C6308" t="s">
        <v>15</v>
      </c>
      <c r="D6308" t="s">
        <v>873</v>
      </c>
      <c r="E6308" t="s">
        <v>20829</v>
      </c>
      <c r="F6308" t="s">
        <v>20830</v>
      </c>
      <c r="G6308" t="s">
        <v>20847</v>
      </c>
      <c r="H6308" t="str">
        <f>HYPERLINK("https://baanknet.com/view-property/192251/2EED54FA1C0A5C566C352421AEED16298B4DB455EB8E50293D3427518ED1D58C", "https://baanknet.com/view-property/192251/2EED54FA1C0A5C566C352421AEED16298B4DB455EB8E50293D3427518ED1D58C")</f>
        <v>https://baanknet.com/view-property/192251/2EED54FA1C0A5C566C352421AEED16298B4DB455EB8E50293D3427518ED1D58C</v>
      </c>
      <c r="I6308" t="str">
        <f>HYPERLINK("https://baanknet.com/view-property/192251/2EED54FA1C0A5C566C352421AEED16298B4DB455EB8E50293D3427518ED1D58C", "Open")</f>
        <v>Open</v>
      </c>
      <c r="J6308" t="s">
        <v>3803</v>
      </c>
      <c r="L6308">
        <v>1950000</v>
      </c>
      <c r="M6308">
        <v>195000</v>
      </c>
    </row>
    <row r="6309" spans="1:13" x14ac:dyDescent="0.25">
      <c r="A6309" t="s">
        <v>20848</v>
      </c>
      <c r="B6309" t="s">
        <v>20849</v>
      </c>
      <c r="C6309" t="s">
        <v>15</v>
      </c>
      <c r="D6309" t="s">
        <v>5266</v>
      </c>
      <c r="E6309" t="s">
        <v>20829</v>
      </c>
      <c r="F6309" t="s">
        <v>20830</v>
      </c>
      <c r="G6309" t="s">
        <v>20850</v>
      </c>
      <c r="H6309" t="str">
        <f>HYPERLINK("https://baanknet.com/view-property/191085/021CD113D5057356A037B50B8F8C6B67A42392D8125DA45D167ED246CCBE7F3F", "https://baanknet.com/view-property/191085/021CD113D5057356A037B50B8F8C6B67A42392D8125DA45D167ED246CCBE7F3F")</f>
        <v>https://baanknet.com/view-property/191085/021CD113D5057356A037B50B8F8C6B67A42392D8125DA45D167ED246CCBE7F3F</v>
      </c>
      <c r="I6309" t="str">
        <f>HYPERLINK("https://baanknet.com/view-property/191085/021CD113D5057356A037B50B8F8C6B67A42392D8125DA45D167ED246CCBE7F3F", "Open")</f>
        <v>Open</v>
      </c>
      <c r="J6309" t="s">
        <v>3803</v>
      </c>
      <c r="L6309">
        <v>775000</v>
      </c>
      <c r="M6309">
        <v>77500</v>
      </c>
    </row>
    <row r="6310" spans="1:13" x14ac:dyDescent="0.25">
      <c r="A6310" t="s">
        <v>20851</v>
      </c>
      <c r="B6310" t="s">
        <v>20852</v>
      </c>
      <c r="C6310" t="s">
        <v>15</v>
      </c>
      <c r="D6310" t="s">
        <v>5266</v>
      </c>
      <c r="E6310" t="s">
        <v>20829</v>
      </c>
      <c r="F6310" t="s">
        <v>20830</v>
      </c>
      <c r="G6310" t="s">
        <v>20853</v>
      </c>
      <c r="H6310" t="str">
        <f>HYPERLINK("https://baanknet.com/view-property/273235/8C4474C3ADE4B1F7F7C68682AA7D3841CE459C09B58149CAFC49BE920EDE69E3", "https://baanknet.com/view-property/273235/8C4474C3ADE4B1F7F7C68682AA7D3841CE459C09B58149CAFC49BE920EDE69E3")</f>
        <v>https://baanknet.com/view-property/273235/8C4474C3ADE4B1F7F7C68682AA7D3841CE459C09B58149CAFC49BE920EDE69E3</v>
      </c>
      <c r="I6310" t="str">
        <f>HYPERLINK("https://baanknet.com/view-property/273235/8C4474C3ADE4B1F7F7C68682AA7D3841CE459C09B58149CAFC49BE920EDE69E3", "Open")</f>
        <v>Open</v>
      </c>
      <c r="J6310" t="s">
        <v>3803</v>
      </c>
      <c r="L6310">
        <v>1850000</v>
      </c>
      <c r="M6310">
        <v>185000</v>
      </c>
    </row>
    <row r="6311" spans="1:13" x14ac:dyDescent="0.25">
      <c r="A6311" t="s">
        <v>20854</v>
      </c>
      <c r="B6311" t="s">
        <v>20855</v>
      </c>
      <c r="C6311" t="s">
        <v>15</v>
      </c>
      <c r="D6311" t="s">
        <v>873</v>
      </c>
      <c r="E6311" t="s">
        <v>20829</v>
      </c>
      <c r="F6311" t="s">
        <v>20830</v>
      </c>
      <c r="G6311" t="s">
        <v>20856</v>
      </c>
      <c r="H6311" t="str">
        <f>HYPERLINK("https://baanknet.com/view-property/170564/68B6E730E28FCD94D529B435D98217DBC3ABDCD59AF5927F21995DE28A4CEC28", "https://baanknet.com/view-property/170564/68B6E730E28FCD94D529B435D98217DBC3ABDCD59AF5927F21995DE28A4CEC28")</f>
        <v>https://baanknet.com/view-property/170564/68B6E730E28FCD94D529B435D98217DBC3ABDCD59AF5927F21995DE28A4CEC28</v>
      </c>
      <c r="I6311" t="str">
        <f>HYPERLINK("https://baanknet.com/view-property/170564/68B6E730E28FCD94D529B435D98217DBC3ABDCD59AF5927F21995DE28A4CEC28", "Open")</f>
        <v>Open</v>
      </c>
      <c r="J6311" t="s">
        <v>3803</v>
      </c>
      <c r="L6311">
        <v>673000</v>
      </c>
      <c r="M6311">
        <v>67300</v>
      </c>
    </row>
    <row r="6312" spans="1:13" x14ac:dyDescent="0.25">
      <c r="A6312" t="s">
        <v>20857</v>
      </c>
      <c r="B6312" t="s">
        <v>20858</v>
      </c>
      <c r="C6312" t="s">
        <v>15</v>
      </c>
      <c r="D6312" t="s">
        <v>869</v>
      </c>
      <c r="E6312" t="s">
        <v>20829</v>
      </c>
      <c r="F6312" t="s">
        <v>20830</v>
      </c>
      <c r="G6312" t="s">
        <v>20859</v>
      </c>
      <c r="H6312" t="str">
        <f>HYPERLINK("https://baanknet.com/view-property/191862/D4DFD78EAF4C63823439A87399F2E390D250BD20D864760624F85FA5691AAC37", "https://baanknet.com/view-property/191862/D4DFD78EAF4C63823439A87399F2E390D250BD20D864760624F85FA5691AAC37")</f>
        <v>https://baanknet.com/view-property/191862/D4DFD78EAF4C63823439A87399F2E390D250BD20D864760624F85FA5691AAC37</v>
      </c>
      <c r="I6312" t="str">
        <f>HYPERLINK("https://baanknet.com/view-property/191862/D4DFD78EAF4C63823439A87399F2E390D250BD20D864760624F85FA5691AAC37", "Open")</f>
        <v>Open</v>
      </c>
      <c r="J6312" t="s">
        <v>3803</v>
      </c>
      <c r="L6312">
        <v>673000</v>
      </c>
      <c r="M6312">
        <v>67300</v>
      </c>
    </row>
    <row r="6313" spans="1:13" x14ac:dyDescent="0.25">
      <c r="A6313" t="s">
        <v>20860</v>
      </c>
      <c r="B6313" t="s">
        <v>20861</v>
      </c>
      <c r="C6313" t="s">
        <v>15</v>
      </c>
      <c r="D6313" t="s">
        <v>873</v>
      </c>
      <c r="E6313" t="s">
        <v>20829</v>
      </c>
      <c r="F6313" t="s">
        <v>20830</v>
      </c>
      <c r="G6313" t="s">
        <v>20862</v>
      </c>
      <c r="H6313" t="str">
        <f>HYPERLINK("https://baanknet.com/view-property/224576/776FE65F034788167F1A828DF8BB2037AD8D8AB3F5E248AFABC53FBAFED25E60", "https://baanknet.com/view-property/224576/776FE65F034788167F1A828DF8BB2037AD8D8AB3F5E248AFABC53FBAFED25E60")</f>
        <v>https://baanknet.com/view-property/224576/776FE65F034788167F1A828DF8BB2037AD8D8AB3F5E248AFABC53FBAFED25E60</v>
      </c>
      <c r="I6313" t="str">
        <f>HYPERLINK("https://baanknet.com/view-property/224576/776FE65F034788167F1A828DF8BB2037AD8D8AB3F5E248AFABC53FBAFED25E60", "Open")</f>
        <v>Open</v>
      </c>
      <c r="J6313" t="s">
        <v>3803</v>
      </c>
      <c r="L6313">
        <v>1025000</v>
      </c>
      <c r="M6313">
        <v>102500</v>
      </c>
    </row>
    <row r="6314" spans="1:13" x14ac:dyDescent="0.25">
      <c r="A6314" t="s">
        <v>20863</v>
      </c>
      <c r="B6314" t="s">
        <v>20864</v>
      </c>
      <c r="C6314" t="s">
        <v>15</v>
      </c>
      <c r="D6314" t="s">
        <v>869</v>
      </c>
      <c r="E6314" t="s">
        <v>20829</v>
      </c>
      <c r="F6314" t="s">
        <v>20830</v>
      </c>
      <c r="G6314" t="s">
        <v>20865</v>
      </c>
      <c r="H6314" t="str">
        <f>HYPERLINK("https://baanknet.com/view-property/215963/FC30EDB701BF1929BD2CB9AB4052D59C6EBF63E5BA5E3240CC68B9275743C027", "https://baanknet.com/view-property/215963/FC30EDB701BF1929BD2CB9AB4052D59C6EBF63E5BA5E3240CC68B9275743C027")</f>
        <v>https://baanknet.com/view-property/215963/FC30EDB701BF1929BD2CB9AB4052D59C6EBF63E5BA5E3240CC68B9275743C027</v>
      </c>
      <c r="I6314" t="str">
        <f>HYPERLINK("https://baanknet.com/view-property/215963/FC30EDB701BF1929BD2CB9AB4052D59C6EBF63E5BA5E3240CC68B9275743C027", "Open")</f>
        <v>Open</v>
      </c>
      <c r="J6314" t="s">
        <v>3803</v>
      </c>
      <c r="L6314">
        <v>500000</v>
      </c>
      <c r="M6314">
        <v>50000</v>
      </c>
    </row>
    <row r="6315" spans="1:13" x14ac:dyDescent="0.25">
      <c r="A6315" t="s">
        <v>20866</v>
      </c>
      <c r="B6315" t="s">
        <v>20867</v>
      </c>
      <c r="C6315" t="s">
        <v>15</v>
      </c>
      <c r="D6315" t="s">
        <v>869</v>
      </c>
      <c r="E6315" t="s">
        <v>20829</v>
      </c>
      <c r="F6315" t="s">
        <v>20830</v>
      </c>
      <c r="G6315" t="s">
        <v>20868</v>
      </c>
      <c r="H6315" t="str">
        <f>HYPERLINK("https://baanknet.com/view-property/191145/EFAC5A4846A64AD00110FB22DBFC1F8ED36D961623AF50CD153E7B9F957C1C34", "https://baanknet.com/view-property/191145/EFAC5A4846A64AD00110FB22DBFC1F8ED36D961623AF50CD153E7B9F957C1C34")</f>
        <v>https://baanknet.com/view-property/191145/EFAC5A4846A64AD00110FB22DBFC1F8ED36D961623AF50CD153E7B9F957C1C34</v>
      </c>
      <c r="I6315" t="str">
        <f>HYPERLINK("https://baanknet.com/view-property/191145/EFAC5A4846A64AD00110FB22DBFC1F8ED36D961623AF50CD153E7B9F957C1C34", "Open")</f>
        <v>Open</v>
      </c>
      <c r="J6315" t="s">
        <v>3803</v>
      </c>
      <c r="L6315">
        <v>820000</v>
      </c>
      <c r="M6315">
        <v>82000</v>
      </c>
    </row>
    <row r="6316" spans="1:13" x14ac:dyDescent="0.25">
      <c r="A6316" t="s">
        <v>20869</v>
      </c>
      <c r="B6316" t="s">
        <v>20870</v>
      </c>
      <c r="C6316" t="s">
        <v>15</v>
      </c>
      <c r="D6316" t="s">
        <v>869</v>
      </c>
      <c r="E6316" t="s">
        <v>20829</v>
      </c>
      <c r="F6316" t="s">
        <v>20830</v>
      </c>
      <c r="G6316" t="s">
        <v>20871</v>
      </c>
      <c r="H6316" t="str">
        <f>HYPERLINK("https://baanknet.com/view-property/191867/D48358B1F698C183782457BA13906A5E001A5E7DEF9740D9CF00D6C535E39B94", "https://baanknet.com/view-property/191867/D48358B1F698C183782457BA13906A5E001A5E7DEF9740D9CF00D6C535E39B94")</f>
        <v>https://baanknet.com/view-property/191867/D48358B1F698C183782457BA13906A5E001A5E7DEF9740D9CF00D6C535E39B94</v>
      </c>
      <c r="I6316" t="str">
        <f>HYPERLINK("https://baanknet.com/view-property/191867/D48358B1F698C183782457BA13906A5E001A5E7DEF9740D9CF00D6C535E39B94", "Open")</f>
        <v>Open</v>
      </c>
      <c r="J6316" t="s">
        <v>3803</v>
      </c>
      <c r="L6316">
        <v>673000</v>
      </c>
      <c r="M6316">
        <v>67300</v>
      </c>
    </row>
    <row r="6317" spans="1:13" x14ac:dyDescent="0.25">
      <c r="A6317" t="s">
        <v>20872</v>
      </c>
      <c r="B6317" t="s">
        <v>20873</v>
      </c>
      <c r="C6317" t="s">
        <v>15</v>
      </c>
      <c r="D6317" t="s">
        <v>6123</v>
      </c>
      <c r="E6317" t="s">
        <v>20829</v>
      </c>
      <c r="F6317" t="s">
        <v>20830</v>
      </c>
      <c r="G6317" t="s">
        <v>20874</v>
      </c>
      <c r="H6317" t="str">
        <f>HYPERLINK("https://baanknet.com/view-property/192141/C665D3C2515A20EB350744C607DEF8864ECC0CAD119972218FC0829B0D0B870D", "https://baanknet.com/view-property/192141/C665D3C2515A20EB350744C607DEF8864ECC0CAD119972218FC0829B0D0B870D")</f>
        <v>https://baanknet.com/view-property/192141/C665D3C2515A20EB350744C607DEF8864ECC0CAD119972218FC0829B0D0B870D</v>
      </c>
      <c r="I6317" t="str">
        <f>HYPERLINK("https://baanknet.com/view-property/192141/C665D3C2515A20EB350744C607DEF8864ECC0CAD119972218FC0829B0D0B870D", "Open")</f>
        <v>Open</v>
      </c>
      <c r="J6317" t="s">
        <v>3803</v>
      </c>
      <c r="L6317">
        <v>800000</v>
      </c>
      <c r="M6317">
        <v>80000</v>
      </c>
    </row>
    <row r="6318" spans="1:13" x14ac:dyDescent="0.25">
      <c r="A6318" t="s">
        <v>20875</v>
      </c>
      <c r="B6318" t="s">
        <v>20876</v>
      </c>
      <c r="C6318" t="s">
        <v>15</v>
      </c>
      <c r="D6318" t="s">
        <v>16118</v>
      </c>
      <c r="E6318" t="s">
        <v>20829</v>
      </c>
      <c r="F6318" t="s">
        <v>20830</v>
      </c>
      <c r="G6318" t="s">
        <v>20877</v>
      </c>
      <c r="H6318" t="str">
        <f>HYPERLINK("https://baanknet.com/view-property/284619/6B9B0C5393CE23CB37024718CB06493BF6CA82130681C22269EBB379D14F5A48", "https://baanknet.com/view-property/284619/6B9B0C5393CE23CB37024718CB06493BF6CA82130681C22269EBB379D14F5A48")</f>
        <v>https://baanknet.com/view-property/284619/6B9B0C5393CE23CB37024718CB06493BF6CA82130681C22269EBB379D14F5A48</v>
      </c>
      <c r="I6318" t="str">
        <f>HYPERLINK("https://baanknet.com/view-property/284619/6B9B0C5393CE23CB37024718CB06493BF6CA82130681C22269EBB379D14F5A48", "Open")</f>
        <v>Open</v>
      </c>
      <c r="J6318" t="s">
        <v>3803</v>
      </c>
      <c r="L6318">
        <v>6914000</v>
      </c>
      <c r="M6318">
        <v>691400</v>
      </c>
    </row>
    <row r="6319" spans="1:13" x14ac:dyDescent="0.25">
      <c r="A6319" t="s">
        <v>20878</v>
      </c>
      <c r="B6319" t="s">
        <v>20879</v>
      </c>
      <c r="C6319" t="s">
        <v>15</v>
      </c>
      <c r="D6319" t="s">
        <v>792</v>
      </c>
      <c r="E6319" t="s">
        <v>20829</v>
      </c>
      <c r="F6319" t="s">
        <v>20719</v>
      </c>
      <c r="G6319" t="s">
        <v>20880</v>
      </c>
      <c r="H6319" t="str">
        <f>HYPERLINK("https://baanknet.com/view-property/287152/AB9DAA752F6A763EECD11008902214B916CB3089C87B88E67466DAFCD156F39B", "https://baanknet.com/view-property/287152/AB9DAA752F6A763EECD11008902214B916CB3089C87B88E67466DAFCD156F39B")</f>
        <v>https://baanknet.com/view-property/287152/AB9DAA752F6A763EECD11008902214B916CB3089C87B88E67466DAFCD156F39B</v>
      </c>
      <c r="I6319" t="str">
        <f>HYPERLINK("https://baanknet.com/view-property/287152/AB9DAA752F6A763EECD11008902214B916CB3089C87B88E67466DAFCD156F39B", "Open")</f>
        <v>Open</v>
      </c>
      <c r="J6319" t="s">
        <v>3803</v>
      </c>
      <c r="L6319">
        <v>4107000</v>
      </c>
      <c r="M6319">
        <v>410700</v>
      </c>
    </row>
    <row r="6320" spans="1:13" x14ac:dyDescent="0.25">
      <c r="A6320" t="s">
        <v>20881</v>
      </c>
      <c r="B6320" t="s">
        <v>20882</v>
      </c>
      <c r="C6320" t="s">
        <v>15</v>
      </c>
      <c r="D6320" t="s">
        <v>20883</v>
      </c>
      <c r="E6320" t="s">
        <v>20829</v>
      </c>
      <c r="F6320" t="s">
        <v>20719</v>
      </c>
      <c r="G6320" t="s">
        <v>20884</v>
      </c>
      <c r="H6320" t="str">
        <f>HYPERLINK("https://baanknet.com/view-property/258953/3BBD59B40987E14745AEAB335E6D48DFB3DCEE7B17B4ACB3609AC4F1B1EF03BD", "https://baanknet.com/view-property/258953/3BBD59B40987E14745AEAB335E6D48DFB3DCEE7B17B4ACB3609AC4F1B1EF03BD")</f>
        <v>https://baanknet.com/view-property/258953/3BBD59B40987E14745AEAB335E6D48DFB3DCEE7B17B4ACB3609AC4F1B1EF03BD</v>
      </c>
      <c r="I6320" t="str">
        <f>HYPERLINK("https://baanknet.com/view-property/258953/3BBD59B40987E14745AEAB335E6D48DFB3DCEE7B17B4ACB3609AC4F1B1EF03BD", "Open")</f>
        <v>Open</v>
      </c>
      <c r="J6320" t="s">
        <v>3803</v>
      </c>
      <c r="L6320">
        <v>7721000</v>
      </c>
      <c r="M6320">
        <v>772100</v>
      </c>
    </row>
    <row r="6321" spans="1:13" x14ac:dyDescent="0.25">
      <c r="A6321" t="s">
        <v>20885</v>
      </c>
      <c r="B6321" t="s">
        <v>20886</v>
      </c>
      <c r="C6321" t="s">
        <v>15</v>
      </c>
      <c r="D6321" t="s">
        <v>157</v>
      </c>
      <c r="E6321" t="s">
        <v>20829</v>
      </c>
      <c r="F6321" t="s">
        <v>20719</v>
      </c>
      <c r="G6321" t="s">
        <v>20887</v>
      </c>
      <c r="H6321" t="str">
        <f>HYPERLINK("https://baanknet.com/view-property/246170/4B764E02D79CCD61E37BE27910DDE4DCD7F5CBE9BB2D047CC77D35DBBDA3E026", "https://baanknet.com/view-property/246170/4B764E02D79CCD61E37BE27910DDE4DCD7F5CBE9BB2D047CC77D35DBBDA3E026")</f>
        <v>https://baanknet.com/view-property/246170/4B764E02D79CCD61E37BE27910DDE4DCD7F5CBE9BB2D047CC77D35DBBDA3E026</v>
      </c>
      <c r="I6321" t="str">
        <f>HYPERLINK("https://baanknet.com/view-property/246170/4B764E02D79CCD61E37BE27910DDE4DCD7F5CBE9BB2D047CC77D35DBBDA3E026", "Open")</f>
        <v>Open</v>
      </c>
      <c r="J6321" t="s">
        <v>3803</v>
      </c>
      <c r="L6321">
        <v>2191000</v>
      </c>
      <c r="M6321">
        <v>219100</v>
      </c>
    </row>
    <row r="6322" spans="1:13" x14ac:dyDescent="0.25">
      <c r="A6322" t="s">
        <v>20888</v>
      </c>
      <c r="B6322" t="s">
        <v>20889</v>
      </c>
      <c r="C6322" t="s">
        <v>144</v>
      </c>
      <c r="D6322" t="s">
        <v>20890</v>
      </c>
      <c r="E6322" t="s">
        <v>20829</v>
      </c>
      <c r="F6322" t="s">
        <v>20891</v>
      </c>
      <c r="G6322" t="s">
        <v>20892</v>
      </c>
      <c r="H6322" t="str">
        <f>HYPERLINK("https://baanknet.com/view-property/287017/7822199F715B8BFEE41B8E09334CEC25A17EEFB1505E9DFD0902C2C7D787C92C", "https://baanknet.com/view-property/287017/7822199F715B8BFEE41B8E09334CEC25A17EEFB1505E9DFD0902C2C7D787C92C")</f>
        <v>https://baanknet.com/view-property/287017/7822199F715B8BFEE41B8E09334CEC25A17EEFB1505E9DFD0902C2C7D787C92C</v>
      </c>
      <c r="I6322" t="str">
        <f>HYPERLINK("https://baanknet.com/view-property/287017/7822199F715B8BFEE41B8E09334CEC25A17EEFB1505E9DFD0902C2C7D787C92C", "Open")</f>
        <v>Open</v>
      </c>
      <c r="J6322" t="s">
        <v>3803</v>
      </c>
      <c r="L6322">
        <v>3543500</v>
      </c>
      <c r="M6322">
        <v>354350</v>
      </c>
    </row>
    <row r="6323" spans="1:13" x14ac:dyDescent="0.25">
      <c r="A6323" t="s">
        <v>20893</v>
      </c>
      <c r="B6323" t="s">
        <v>20894</v>
      </c>
      <c r="C6323" t="s">
        <v>15</v>
      </c>
      <c r="D6323" t="s">
        <v>20895</v>
      </c>
      <c r="E6323" t="s">
        <v>20829</v>
      </c>
      <c r="F6323" t="s">
        <v>20804</v>
      </c>
      <c r="G6323" t="s">
        <v>20896</v>
      </c>
      <c r="H6323" t="str">
        <f>HYPERLINK("https://baanknet.com/view-property/286671/37DEC302E1C0415243141E82E1CC0A96400DFCD82E70BFBBF7585BAD3A7CBB63", "https://baanknet.com/view-property/286671/37DEC302E1C0415243141E82E1CC0A96400DFCD82E70BFBBF7585BAD3A7CBB63")</f>
        <v>https://baanknet.com/view-property/286671/37DEC302E1C0415243141E82E1CC0A96400DFCD82E70BFBBF7585BAD3A7CBB63</v>
      </c>
      <c r="I6323" t="str">
        <f>HYPERLINK("https://baanknet.com/view-property/286671/37DEC302E1C0415243141E82E1CC0A96400DFCD82E70BFBBF7585BAD3A7CBB63", "Open")</f>
        <v>Open</v>
      </c>
      <c r="J6323" t="s">
        <v>3803</v>
      </c>
      <c r="L6323">
        <v>3087000</v>
      </c>
      <c r="M6323">
        <v>308700</v>
      </c>
    </row>
    <row r="6324" spans="1:13" x14ac:dyDescent="0.25">
      <c r="A6324" t="s">
        <v>20897</v>
      </c>
      <c r="B6324" t="s">
        <v>20898</v>
      </c>
      <c r="C6324" t="s">
        <v>332</v>
      </c>
      <c r="D6324" t="s">
        <v>1218</v>
      </c>
      <c r="E6324" t="s">
        <v>20829</v>
      </c>
      <c r="F6324" t="s">
        <v>20804</v>
      </c>
      <c r="G6324" t="s">
        <v>20899</v>
      </c>
      <c r="H6324" t="str">
        <f>HYPERLINK("https://baanknet.com/view-property/286058/80EBA00ADA9FF960F9D1979FBE5C25270DDB7C205B6B21BD8AB34D45426A836B", "https://baanknet.com/view-property/286058/80EBA00ADA9FF960F9D1979FBE5C25270DDB7C205B6B21BD8AB34D45426A836B")</f>
        <v>https://baanknet.com/view-property/286058/80EBA00ADA9FF960F9D1979FBE5C25270DDB7C205B6B21BD8AB34D45426A836B</v>
      </c>
      <c r="I6324" t="str">
        <f>HYPERLINK("https://baanknet.com/view-property/286058/80EBA00ADA9FF960F9D1979FBE5C25270DDB7C205B6B21BD8AB34D45426A836B", "Open")</f>
        <v>Open</v>
      </c>
      <c r="J6324" t="s">
        <v>3803</v>
      </c>
      <c r="L6324">
        <v>2948000</v>
      </c>
      <c r="M6324">
        <v>294800</v>
      </c>
    </row>
    <row r="6325" spans="1:13" x14ac:dyDescent="0.25">
      <c r="A6325" t="s">
        <v>20900</v>
      </c>
      <c r="B6325" t="s">
        <v>20901</v>
      </c>
      <c r="C6325" t="s">
        <v>571</v>
      </c>
      <c r="D6325" t="s">
        <v>20902</v>
      </c>
      <c r="E6325" t="s">
        <v>20829</v>
      </c>
      <c r="F6325" t="s">
        <v>20808</v>
      </c>
      <c r="G6325" t="s">
        <v>20903</v>
      </c>
      <c r="H6325" t="str">
        <f>HYPERLINK("https://baanknet.com/view-property/286439/79B9114E08F0F7F1783850690D436DCCE8E1391D7D5EF4F1EFE95AEE763353C4", "https://baanknet.com/view-property/286439/79B9114E08F0F7F1783850690D436DCCE8E1391D7D5EF4F1EFE95AEE763353C4")</f>
        <v>https://baanknet.com/view-property/286439/79B9114E08F0F7F1783850690D436DCCE8E1391D7D5EF4F1EFE95AEE763353C4</v>
      </c>
      <c r="I6325" t="str">
        <f>HYPERLINK("https://baanknet.com/view-property/286439/79B9114E08F0F7F1783850690D436DCCE8E1391D7D5EF4F1EFE95AEE763353C4", "Open")</f>
        <v>Open</v>
      </c>
      <c r="J6325" t="s">
        <v>3803</v>
      </c>
      <c r="L6325">
        <v>3651000</v>
      </c>
      <c r="M6325">
        <v>365100</v>
      </c>
    </row>
    <row r="6326" spans="1:13" x14ac:dyDescent="0.25">
      <c r="A6326" t="s">
        <v>20904</v>
      </c>
      <c r="B6326" t="s">
        <v>20905</v>
      </c>
      <c r="C6326" t="s">
        <v>15</v>
      </c>
      <c r="D6326" t="s">
        <v>6974</v>
      </c>
      <c r="E6326" t="s">
        <v>20813</v>
      </c>
      <c r="F6326" t="s">
        <v>20906</v>
      </c>
      <c r="G6326" t="s">
        <v>20907</v>
      </c>
      <c r="H6326" t="str">
        <f>HYPERLINK("https://baanknet.com/view-property/287231/214EA35906C4A01D6EF8EA3A1E38181DAF24035A1668C1A332A0AEA71C00431F", "https://baanknet.com/view-property/287231/214EA35906C4A01D6EF8EA3A1E38181DAF24035A1668C1A332A0AEA71C00431F")</f>
        <v>https://baanknet.com/view-property/287231/214EA35906C4A01D6EF8EA3A1E38181DAF24035A1668C1A332A0AEA71C00431F</v>
      </c>
      <c r="I6326" t="str">
        <f>HYPERLINK("https://baanknet.com/view-property/287231/214EA35906C4A01D6EF8EA3A1E38181DAF24035A1668C1A332A0AEA71C00431F", "Open")</f>
        <v>Open</v>
      </c>
      <c r="J6326" t="s">
        <v>3803</v>
      </c>
      <c r="L6326">
        <v>16200000</v>
      </c>
      <c r="M6326">
        <v>1620000</v>
      </c>
    </row>
    <row r="6327" spans="1:13" x14ac:dyDescent="0.25">
      <c r="A6327" t="s">
        <v>20908</v>
      </c>
      <c r="B6327" t="s">
        <v>20909</v>
      </c>
      <c r="C6327" t="s">
        <v>15</v>
      </c>
      <c r="D6327" t="s">
        <v>6974</v>
      </c>
      <c r="E6327" t="s">
        <v>20813</v>
      </c>
      <c r="F6327" t="s">
        <v>20906</v>
      </c>
      <c r="G6327" t="s">
        <v>20910</v>
      </c>
      <c r="H6327" t="str">
        <f>HYPERLINK("https://baanknet.com/view-property/287185/02CB5396BDAA851B4BB7D3AC657251628EE006C9B039F8CE64ECE2F05B330AEF", "https://baanknet.com/view-property/287185/02CB5396BDAA851B4BB7D3AC657251628EE006C9B039F8CE64ECE2F05B330AEF")</f>
        <v>https://baanknet.com/view-property/287185/02CB5396BDAA851B4BB7D3AC657251628EE006C9B039F8CE64ECE2F05B330AEF</v>
      </c>
      <c r="I6327" t="str">
        <f>HYPERLINK("https://baanknet.com/view-property/287185/02CB5396BDAA851B4BB7D3AC657251628EE006C9B039F8CE64ECE2F05B330AEF", "Open")</f>
        <v>Open</v>
      </c>
      <c r="J6327" t="s">
        <v>3803</v>
      </c>
      <c r="L6327">
        <v>14100000</v>
      </c>
      <c r="M6327">
        <v>1410000</v>
      </c>
    </row>
    <row r="6328" spans="1:13" x14ac:dyDescent="0.25">
      <c r="A6328" t="s">
        <v>20911</v>
      </c>
      <c r="B6328" t="s">
        <v>20912</v>
      </c>
      <c r="C6328" t="s">
        <v>15</v>
      </c>
      <c r="D6328" t="s">
        <v>20913</v>
      </c>
      <c r="E6328" t="s">
        <v>20830</v>
      </c>
      <c r="F6328" t="s">
        <v>20719</v>
      </c>
      <c r="G6328" t="s">
        <v>20914</v>
      </c>
      <c r="H6328" t="str">
        <f>HYPERLINK("https://baanknet.com/view-property/287468/E95402DDBEB4B2A9EB888091BEA90399E820E012AE9659B62382076790F764C5", "https://baanknet.com/view-property/287468/E95402DDBEB4B2A9EB888091BEA90399E820E012AE9659B62382076790F764C5")</f>
        <v>https://baanknet.com/view-property/287468/E95402DDBEB4B2A9EB888091BEA90399E820E012AE9659B62382076790F764C5</v>
      </c>
      <c r="I6328" t="str">
        <f>HYPERLINK("https://baanknet.com/view-property/287468/E95402DDBEB4B2A9EB888091BEA90399E820E012AE9659B62382076790F764C5", "Open")</f>
        <v>Open</v>
      </c>
      <c r="J6328" t="s">
        <v>3803</v>
      </c>
      <c r="L6328">
        <v>2600000</v>
      </c>
      <c r="M6328">
        <v>260000</v>
      </c>
    </row>
    <row r="6329" spans="1:13" x14ac:dyDescent="0.25">
      <c r="A6329" t="s">
        <v>20915</v>
      </c>
      <c r="B6329" t="s">
        <v>20916</v>
      </c>
      <c r="C6329" t="s">
        <v>15</v>
      </c>
      <c r="D6329" t="s">
        <v>383</v>
      </c>
      <c r="E6329" t="s">
        <v>20830</v>
      </c>
      <c r="F6329" t="s">
        <v>20891</v>
      </c>
      <c r="G6329" t="s">
        <v>20917</v>
      </c>
      <c r="H6329" t="str">
        <f>HYPERLINK("https://baanknet.com/view-property/283627/22D686C19E04444CBEFFEFE0CE1EFBDA3680427E278695F9923DB7CECA6CF5DB", "https://baanknet.com/view-property/283627/22D686C19E04444CBEFFEFE0CE1EFBDA3680427E278695F9923DB7CECA6CF5DB")</f>
        <v>https://baanknet.com/view-property/283627/22D686C19E04444CBEFFEFE0CE1EFBDA3680427E278695F9923DB7CECA6CF5DB</v>
      </c>
      <c r="I6329" t="str">
        <f>HYPERLINK("https://baanknet.com/view-property/283627/22D686C19E04444CBEFFEFE0CE1EFBDA3680427E278695F9923DB7CECA6CF5DB", "Open")</f>
        <v>Open</v>
      </c>
      <c r="J6329" t="s">
        <v>3803</v>
      </c>
      <c r="L6329">
        <v>1100000</v>
      </c>
      <c r="M6329">
        <v>110000</v>
      </c>
    </row>
    <row r="6330" spans="1:13" x14ac:dyDescent="0.25">
      <c r="A6330" t="s">
        <v>20918</v>
      </c>
      <c r="B6330" t="s">
        <v>20919</v>
      </c>
      <c r="C6330" t="s">
        <v>15</v>
      </c>
      <c r="D6330" t="s">
        <v>383</v>
      </c>
      <c r="E6330" t="s">
        <v>20830</v>
      </c>
      <c r="F6330" t="s">
        <v>20891</v>
      </c>
      <c r="G6330" t="s">
        <v>20920</v>
      </c>
      <c r="H6330" t="str">
        <f>HYPERLINK("https://baanknet.com/view-property/283626/E7C7AA91B5FD0253233213C44515D9FF87909F3B81AC69225741B8FF16BB4AD2", "https://baanknet.com/view-property/283626/E7C7AA91B5FD0253233213C44515D9FF87909F3B81AC69225741B8FF16BB4AD2")</f>
        <v>https://baanknet.com/view-property/283626/E7C7AA91B5FD0253233213C44515D9FF87909F3B81AC69225741B8FF16BB4AD2</v>
      </c>
      <c r="I6330" t="str">
        <f>HYPERLINK("https://baanknet.com/view-property/283626/E7C7AA91B5FD0253233213C44515D9FF87909F3B81AC69225741B8FF16BB4AD2", "Open")</f>
        <v>Open</v>
      </c>
      <c r="J6330" t="s">
        <v>3803</v>
      </c>
      <c r="L6330">
        <v>1650000</v>
      </c>
      <c r="M6330">
        <v>165000</v>
      </c>
    </row>
    <row r="6331" spans="1:13" x14ac:dyDescent="0.25">
      <c r="A6331" t="s">
        <v>20921</v>
      </c>
      <c r="B6331" t="s">
        <v>20922</v>
      </c>
      <c r="C6331" t="s">
        <v>15</v>
      </c>
      <c r="D6331" t="s">
        <v>383</v>
      </c>
      <c r="E6331" t="s">
        <v>20830</v>
      </c>
      <c r="F6331" t="s">
        <v>20891</v>
      </c>
      <c r="G6331" t="s">
        <v>20923</v>
      </c>
      <c r="H6331" t="str">
        <f>HYPERLINK("https://baanknet.com/view-property/283625/AF65BB234D80B31DEAEDC13404BDD06B217BC94EF9B13574F601752649E15A94", "https://baanknet.com/view-property/283625/AF65BB234D80B31DEAEDC13404BDD06B217BC94EF9B13574F601752649E15A94")</f>
        <v>https://baanknet.com/view-property/283625/AF65BB234D80B31DEAEDC13404BDD06B217BC94EF9B13574F601752649E15A94</v>
      </c>
      <c r="I6331" t="str">
        <f>HYPERLINK("https://baanknet.com/view-property/283625/AF65BB234D80B31DEAEDC13404BDD06B217BC94EF9B13574F601752649E15A94", "Open")</f>
        <v>Open</v>
      </c>
      <c r="J6331" t="s">
        <v>3803</v>
      </c>
      <c r="L6331">
        <v>2350000</v>
      </c>
      <c r="M6331">
        <v>235000</v>
      </c>
    </row>
    <row r="6332" spans="1:13" x14ac:dyDescent="0.25">
      <c r="A6332" t="s">
        <v>20924</v>
      </c>
      <c r="B6332" t="s">
        <v>20925</v>
      </c>
      <c r="C6332" t="s">
        <v>332</v>
      </c>
      <c r="D6332" t="s">
        <v>1481</v>
      </c>
      <c r="E6332" t="s">
        <v>20830</v>
      </c>
      <c r="F6332" t="s">
        <v>20804</v>
      </c>
      <c r="G6332" t="s">
        <v>20926</v>
      </c>
      <c r="H6332" t="str">
        <f>HYPERLINK("https://baanknet.com/view-property/274283/BA6B88E8C721FC5773778832579CE0DDA7E261E5E1676597B88843D49BA0AEE1", "https://baanknet.com/view-property/274283/BA6B88E8C721FC5773778832579CE0DDA7E261E5E1676597B88843D49BA0AEE1")</f>
        <v>https://baanknet.com/view-property/274283/BA6B88E8C721FC5773778832579CE0DDA7E261E5E1676597B88843D49BA0AEE1</v>
      </c>
      <c r="I6332" t="str">
        <f>HYPERLINK("https://baanknet.com/view-property/274283/BA6B88E8C721FC5773778832579CE0DDA7E261E5E1676597B88843D49BA0AEE1", "Open")</f>
        <v>Open</v>
      </c>
      <c r="J6332" t="s">
        <v>3803</v>
      </c>
      <c r="L6332">
        <v>10300000</v>
      </c>
      <c r="M6332">
        <v>1030000</v>
      </c>
    </row>
    <row r="6333" spans="1:13" x14ac:dyDescent="0.25">
      <c r="A6333" t="s">
        <v>20927</v>
      </c>
      <c r="B6333" t="s">
        <v>20928</v>
      </c>
      <c r="C6333" t="s">
        <v>332</v>
      </c>
      <c r="D6333" t="s">
        <v>710</v>
      </c>
      <c r="E6333" t="s">
        <v>20830</v>
      </c>
      <c r="F6333" t="s">
        <v>20804</v>
      </c>
      <c r="G6333" t="s">
        <v>20929</v>
      </c>
      <c r="H6333" t="str">
        <f>HYPERLINK("https://baanknet.com/view-property/286019/3B6473F9F7DEC933F0688F0434FAA3AE1DDBC8D84FC3E495AEA0BEF293FF7B7A", "https://baanknet.com/view-property/286019/3B6473F9F7DEC933F0688F0434FAA3AE1DDBC8D84FC3E495AEA0BEF293FF7B7A")</f>
        <v>https://baanknet.com/view-property/286019/3B6473F9F7DEC933F0688F0434FAA3AE1DDBC8D84FC3E495AEA0BEF293FF7B7A</v>
      </c>
      <c r="I6333" t="str">
        <f>HYPERLINK("https://baanknet.com/view-property/286019/3B6473F9F7DEC933F0688F0434FAA3AE1DDBC8D84FC3E495AEA0BEF293FF7B7A", "Open")</f>
        <v>Open</v>
      </c>
      <c r="J6333" t="s">
        <v>3803</v>
      </c>
      <c r="L6333">
        <v>8000000</v>
      </c>
      <c r="M6333">
        <v>800000</v>
      </c>
    </row>
    <row r="6334" spans="1:13" x14ac:dyDescent="0.25">
      <c r="A6334" t="s">
        <v>20930</v>
      </c>
      <c r="B6334" t="s">
        <v>20931</v>
      </c>
      <c r="C6334" t="s">
        <v>332</v>
      </c>
      <c r="D6334" t="s">
        <v>20932</v>
      </c>
      <c r="E6334" t="s">
        <v>20830</v>
      </c>
      <c r="F6334" t="s">
        <v>20804</v>
      </c>
      <c r="G6334" t="s">
        <v>20933</v>
      </c>
      <c r="H6334" t="str">
        <f>HYPERLINK("https://baanknet.com/view-property/287081/218DB73FBB38872587FC4FCDC8C17CE64A0E5B30B4244A696CB909FADB388436", "https://baanknet.com/view-property/287081/218DB73FBB38872587FC4FCDC8C17CE64A0E5B30B4244A696CB909FADB388436")</f>
        <v>https://baanknet.com/view-property/287081/218DB73FBB38872587FC4FCDC8C17CE64A0E5B30B4244A696CB909FADB388436</v>
      </c>
      <c r="I6334" t="str">
        <f>HYPERLINK("https://baanknet.com/view-property/287081/218DB73FBB38872587FC4FCDC8C17CE64A0E5B30B4244A696CB909FADB388436", "Open")</f>
        <v>Open</v>
      </c>
      <c r="J6334" t="s">
        <v>3803</v>
      </c>
      <c r="L6334">
        <v>5100000</v>
      </c>
      <c r="M6334">
        <v>510000</v>
      </c>
    </row>
    <row r="6335" spans="1:13" x14ac:dyDescent="0.25">
      <c r="A6335" t="s">
        <v>20934</v>
      </c>
      <c r="B6335" t="s">
        <v>20935</v>
      </c>
      <c r="C6335" t="s">
        <v>594</v>
      </c>
      <c r="D6335" t="s">
        <v>20936</v>
      </c>
      <c r="E6335" t="s">
        <v>20830</v>
      </c>
      <c r="F6335" t="s">
        <v>20808</v>
      </c>
      <c r="G6335" t="s">
        <v>20937</v>
      </c>
      <c r="H6335" t="str">
        <f>HYPERLINK("https://baanknet.com/view-property/44664/6609D3C1D30E0584D59EDCC29A38A943F56761DFF71AB3C73BDCA38AA7A916B1", "https://baanknet.com/view-property/44664/6609D3C1D30E0584D59EDCC29A38A943F56761DFF71AB3C73BDCA38AA7A916B1")</f>
        <v>https://baanknet.com/view-property/44664/6609D3C1D30E0584D59EDCC29A38A943F56761DFF71AB3C73BDCA38AA7A916B1</v>
      </c>
      <c r="I6335" t="str">
        <f>HYPERLINK("https://baanknet.com/view-property/44664/6609D3C1D30E0584D59EDCC29A38A943F56761DFF71AB3C73BDCA38AA7A916B1", "Open")</f>
        <v>Open</v>
      </c>
      <c r="J6335" t="s">
        <v>3803</v>
      </c>
      <c r="L6335">
        <v>495360</v>
      </c>
      <c r="M6335">
        <v>49536</v>
      </c>
    </row>
    <row r="6336" spans="1:13" x14ac:dyDescent="0.25">
      <c r="A6336" t="s">
        <v>20938</v>
      </c>
      <c r="B6336" t="s">
        <v>20939</v>
      </c>
      <c r="C6336" t="s">
        <v>594</v>
      </c>
      <c r="D6336" t="s">
        <v>20940</v>
      </c>
      <c r="E6336" t="s">
        <v>20830</v>
      </c>
      <c r="F6336" t="s">
        <v>20808</v>
      </c>
      <c r="G6336" t="s">
        <v>20941</v>
      </c>
      <c r="H6336" t="str">
        <f>HYPERLINK("https://baanknet.com/view-property/190984/4C54691D9D60BA7899416E9E92F2819E00812FFCB6DE8299ADC9ED71AF7E7EBF", "https://baanknet.com/view-property/190984/4C54691D9D60BA7899416E9E92F2819E00812FFCB6DE8299ADC9ED71AF7E7EBF")</f>
        <v>https://baanknet.com/view-property/190984/4C54691D9D60BA7899416E9E92F2819E00812FFCB6DE8299ADC9ED71AF7E7EBF</v>
      </c>
      <c r="I6336" t="str">
        <f>HYPERLINK("https://baanknet.com/view-property/190984/4C54691D9D60BA7899416E9E92F2819E00812FFCB6DE8299ADC9ED71AF7E7EBF", "Open")</f>
        <v>Open</v>
      </c>
      <c r="J6336" t="s">
        <v>3803</v>
      </c>
      <c r="L6336">
        <v>1530000</v>
      </c>
      <c r="M6336">
        <v>153000</v>
      </c>
    </row>
    <row r="6337" spans="1:13" x14ac:dyDescent="0.25">
      <c r="A6337" t="s">
        <v>20942</v>
      </c>
      <c r="B6337" t="s">
        <v>20943</v>
      </c>
      <c r="C6337" t="s">
        <v>594</v>
      </c>
      <c r="D6337" t="s">
        <v>9350</v>
      </c>
      <c r="E6337" t="s">
        <v>20830</v>
      </c>
      <c r="F6337" t="s">
        <v>20808</v>
      </c>
      <c r="G6337" t="s">
        <v>20944</v>
      </c>
      <c r="H6337" t="str">
        <f>HYPERLINK("https://baanknet.com/view-property/286457/84A8D506379162CA77AAE6F724521596286F6A29B76A3892C4BEE21B40E1220D", "https://baanknet.com/view-property/286457/84A8D506379162CA77AAE6F724521596286F6A29B76A3892C4BEE21B40E1220D")</f>
        <v>https://baanknet.com/view-property/286457/84A8D506379162CA77AAE6F724521596286F6A29B76A3892C4BEE21B40E1220D</v>
      </c>
      <c r="I6337" t="str">
        <f>HYPERLINK("https://baanknet.com/view-property/286457/84A8D506379162CA77AAE6F724521596286F6A29B76A3892C4BEE21B40E1220D", "Open")</f>
        <v>Open</v>
      </c>
      <c r="J6337" t="s">
        <v>3803</v>
      </c>
      <c r="L6337">
        <v>1427000</v>
      </c>
      <c r="M6337">
        <v>142700</v>
      </c>
    </row>
    <row r="6338" spans="1:13" x14ac:dyDescent="0.25">
      <c r="A6338" t="s">
        <v>20945</v>
      </c>
      <c r="B6338" t="s">
        <v>20946</v>
      </c>
      <c r="C6338" t="s">
        <v>594</v>
      </c>
      <c r="D6338" t="s">
        <v>4180</v>
      </c>
      <c r="E6338" t="s">
        <v>20830</v>
      </c>
      <c r="F6338" t="s">
        <v>20808</v>
      </c>
      <c r="G6338" t="s">
        <v>20947</v>
      </c>
      <c r="H6338" t="str">
        <f>HYPERLINK("https://baanknet.com/view-property/46422/43E6A712C2061266558F62B1936BA17B1CFDADF22A3D59542D4B286309BAB92E", "https://baanknet.com/view-property/46422/43E6A712C2061266558F62B1936BA17B1CFDADF22A3D59542D4B286309BAB92E")</f>
        <v>https://baanknet.com/view-property/46422/43E6A712C2061266558F62B1936BA17B1CFDADF22A3D59542D4B286309BAB92E</v>
      </c>
      <c r="I6338" t="str">
        <f>HYPERLINK("https://baanknet.com/view-property/46422/43E6A712C2061266558F62B1936BA17B1CFDADF22A3D59542D4B286309BAB92E", "Open")</f>
        <v>Open</v>
      </c>
      <c r="J6338" t="s">
        <v>3803</v>
      </c>
      <c r="L6338">
        <v>860000</v>
      </c>
      <c r="M6338">
        <v>86000</v>
      </c>
    </row>
    <row r="6339" spans="1:13" x14ac:dyDescent="0.25">
      <c r="A6339" t="s">
        <v>20948</v>
      </c>
      <c r="B6339" t="s">
        <v>20949</v>
      </c>
      <c r="C6339" t="s">
        <v>594</v>
      </c>
      <c r="D6339" t="s">
        <v>32</v>
      </c>
      <c r="E6339" t="s">
        <v>20830</v>
      </c>
      <c r="F6339" t="s">
        <v>20808</v>
      </c>
      <c r="G6339" t="s">
        <v>20950</v>
      </c>
      <c r="H6339" t="str">
        <f>HYPERLINK("https://baanknet.com/view-property/286877/EC312C370D636AF575B65EF7E0DE76280DA684BA5928C1A26CFB5A2874600135", "https://baanknet.com/view-property/286877/EC312C370D636AF575B65EF7E0DE76280DA684BA5928C1A26CFB5A2874600135")</f>
        <v>https://baanknet.com/view-property/286877/EC312C370D636AF575B65EF7E0DE76280DA684BA5928C1A26CFB5A2874600135</v>
      </c>
      <c r="I6339" t="str">
        <f>HYPERLINK("https://baanknet.com/view-property/286877/EC312C370D636AF575B65EF7E0DE76280DA684BA5928C1A26CFB5A2874600135", "Open")</f>
        <v>Open</v>
      </c>
      <c r="J6339" t="s">
        <v>3803</v>
      </c>
      <c r="L6339">
        <v>35200000</v>
      </c>
      <c r="M6339">
        <v>3520000</v>
      </c>
    </row>
    <row r="6340" spans="1:13" x14ac:dyDescent="0.25">
      <c r="A6340" t="s">
        <v>20951</v>
      </c>
      <c r="B6340" t="s">
        <v>20952</v>
      </c>
      <c r="C6340" t="s">
        <v>594</v>
      </c>
      <c r="D6340" t="s">
        <v>553</v>
      </c>
      <c r="E6340" t="s">
        <v>20830</v>
      </c>
      <c r="F6340" t="s">
        <v>20808</v>
      </c>
      <c r="G6340" t="s">
        <v>20953</v>
      </c>
      <c r="H6340" t="str">
        <f>HYPERLINK("https://baanknet.com/view-property/286785/7AC89910A899DE4634DEEB4313CB7412B8F6CBDEEF6B4048111A6F284704CBA4", "https://baanknet.com/view-property/286785/7AC89910A899DE4634DEEB4313CB7412B8F6CBDEEF6B4048111A6F284704CBA4")</f>
        <v>https://baanknet.com/view-property/286785/7AC89910A899DE4634DEEB4313CB7412B8F6CBDEEF6B4048111A6F284704CBA4</v>
      </c>
      <c r="I6340" t="str">
        <f>HYPERLINK("https://baanknet.com/view-property/286785/7AC89910A899DE4634DEEB4313CB7412B8F6CBDEEF6B4048111A6F284704CBA4", "Open")</f>
        <v>Open</v>
      </c>
      <c r="J6340" t="s">
        <v>3803</v>
      </c>
      <c r="L6340">
        <v>3626500</v>
      </c>
      <c r="M6340">
        <v>362650</v>
      </c>
    </row>
    <row r="6341" spans="1:13" x14ac:dyDescent="0.25">
      <c r="A6341" t="s">
        <v>20954</v>
      </c>
      <c r="B6341" t="s">
        <v>20955</v>
      </c>
      <c r="C6341" t="s">
        <v>594</v>
      </c>
      <c r="D6341" t="s">
        <v>937</v>
      </c>
      <c r="E6341" t="s">
        <v>20830</v>
      </c>
      <c r="F6341" t="s">
        <v>20808</v>
      </c>
      <c r="G6341" t="s">
        <v>20956</v>
      </c>
      <c r="H6341" t="str">
        <f>HYPERLINK("https://baanknet.com/view-property/286996/3B55216993C4C94A9620E41742F82F1692ED54161E7838E02FBAA5B2FD225D91", "https://baanknet.com/view-property/286996/3B55216993C4C94A9620E41742F82F1692ED54161E7838E02FBAA5B2FD225D91")</f>
        <v>https://baanknet.com/view-property/286996/3B55216993C4C94A9620E41742F82F1692ED54161E7838E02FBAA5B2FD225D91</v>
      </c>
      <c r="I6341" t="str">
        <f>HYPERLINK("https://baanknet.com/view-property/286996/3B55216993C4C94A9620E41742F82F1692ED54161E7838E02FBAA5B2FD225D91", "Open")</f>
        <v>Open</v>
      </c>
      <c r="J6341" t="s">
        <v>3803</v>
      </c>
      <c r="L6341">
        <v>3559000</v>
      </c>
      <c r="M6341">
        <v>355900</v>
      </c>
    </row>
    <row r="6342" spans="1:13" x14ac:dyDescent="0.25">
      <c r="A6342" t="s">
        <v>20957</v>
      </c>
      <c r="B6342" t="s">
        <v>20958</v>
      </c>
      <c r="C6342" t="s">
        <v>594</v>
      </c>
      <c r="D6342" t="s">
        <v>937</v>
      </c>
      <c r="E6342" t="s">
        <v>20830</v>
      </c>
      <c r="F6342" t="s">
        <v>20808</v>
      </c>
      <c r="G6342" t="s">
        <v>20959</v>
      </c>
      <c r="H6342" t="str">
        <f>HYPERLINK("https://baanknet.com/view-property/286993/E8B69576FF280D0B4896C54DD5202C2C2635B5C53682B29BEA66A0D6763F2C2E", "https://baanknet.com/view-property/286993/E8B69576FF280D0B4896C54DD5202C2C2635B5C53682B29BEA66A0D6763F2C2E")</f>
        <v>https://baanknet.com/view-property/286993/E8B69576FF280D0B4896C54DD5202C2C2635B5C53682B29BEA66A0D6763F2C2E</v>
      </c>
      <c r="I6342" t="str">
        <f>HYPERLINK("https://baanknet.com/view-property/286993/E8B69576FF280D0B4896C54DD5202C2C2635B5C53682B29BEA66A0D6763F2C2E", "Open")</f>
        <v>Open</v>
      </c>
      <c r="J6342" t="s">
        <v>3803</v>
      </c>
      <c r="L6342">
        <v>5792000</v>
      </c>
      <c r="M6342">
        <v>579200</v>
      </c>
    </row>
    <row r="6343" spans="1:13" x14ac:dyDescent="0.25">
      <c r="A6343" t="s">
        <v>20960</v>
      </c>
      <c r="B6343" t="s">
        <v>20961</v>
      </c>
      <c r="C6343" t="s">
        <v>594</v>
      </c>
      <c r="D6343" t="s">
        <v>6644</v>
      </c>
      <c r="E6343" t="s">
        <v>20830</v>
      </c>
      <c r="F6343" t="s">
        <v>20808</v>
      </c>
      <c r="G6343" t="s">
        <v>20962</v>
      </c>
      <c r="H6343" t="str">
        <f>HYPERLINK("https://baanknet.com/view-property/287013/0FBE19CD19CAF97F4718F2CCE749041B0087337B8BC15CACA8FE93B7BD655881", "https://baanknet.com/view-property/287013/0FBE19CD19CAF97F4718F2CCE749041B0087337B8BC15CACA8FE93B7BD655881")</f>
        <v>https://baanknet.com/view-property/287013/0FBE19CD19CAF97F4718F2CCE749041B0087337B8BC15CACA8FE93B7BD655881</v>
      </c>
      <c r="I6343" t="str">
        <f>HYPERLINK("https://baanknet.com/view-property/287013/0FBE19CD19CAF97F4718F2CCE749041B0087337B8BC15CACA8FE93B7BD655881", "Open")</f>
        <v>Open</v>
      </c>
      <c r="J6343" t="s">
        <v>3803</v>
      </c>
      <c r="L6343">
        <v>2160000</v>
      </c>
      <c r="M6343">
        <v>216000</v>
      </c>
    </row>
    <row r="6344" spans="1:13" x14ac:dyDescent="0.25">
      <c r="A6344" t="s">
        <v>20963</v>
      </c>
      <c r="B6344" t="s">
        <v>20964</v>
      </c>
      <c r="C6344" t="s">
        <v>594</v>
      </c>
      <c r="D6344" t="s">
        <v>20965</v>
      </c>
      <c r="E6344" t="s">
        <v>20830</v>
      </c>
      <c r="F6344" t="s">
        <v>20808</v>
      </c>
      <c r="G6344" t="s">
        <v>20966</v>
      </c>
      <c r="H6344" t="str">
        <f>HYPERLINK("https://baanknet.com/view-property/287116/379E2FBD6C81CB8D1E78825455D5CB731E6254911E1D2B2322BCDEA9E3E50753", "https://baanknet.com/view-property/287116/379E2FBD6C81CB8D1E78825455D5CB731E6254911E1D2B2322BCDEA9E3E50753")</f>
        <v>https://baanknet.com/view-property/287116/379E2FBD6C81CB8D1E78825455D5CB731E6254911E1D2B2322BCDEA9E3E50753</v>
      </c>
      <c r="I6344" t="str">
        <f>HYPERLINK("https://baanknet.com/view-property/287116/379E2FBD6C81CB8D1E78825455D5CB731E6254911E1D2B2322BCDEA9E3E50753", "Open")</f>
        <v>Open</v>
      </c>
      <c r="J6344" t="s">
        <v>3803</v>
      </c>
      <c r="L6344">
        <v>7315100</v>
      </c>
      <c r="M6344">
        <v>731510</v>
      </c>
    </row>
    <row r="6345" spans="1:13" x14ac:dyDescent="0.25">
      <c r="A6345" t="s">
        <v>20967</v>
      </c>
      <c r="B6345" t="s">
        <v>20968</v>
      </c>
      <c r="C6345" t="s">
        <v>594</v>
      </c>
      <c r="D6345" t="s">
        <v>20965</v>
      </c>
      <c r="E6345" t="s">
        <v>20830</v>
      </c>
      <c r="F6345" t="s">
        <v>20808</v>
      </c>
      <c r="G6345" t="s">
        <v>20969</v>
      </c>
      <c r="H6345" t="str">
        <f>HYPERLINK("https://baanknet.com/view-property/287119/49EDAD5FECEF028250BE6DF4D3317FD4B11332C43FB3515A05E439421DCD4647", "https://baanknet.com/view-property/287119/49EDAD5FECEF028250BE6DF4D3317FD4B11332C43FB3515A05E439421DCD4647")</f>
        <v>https://baanknet.com/view-property/287119/49EDAD5FECEF028250BE6DF4D3317FD4B11332C43FB3515A05E439421DCD4647</v>
      </c>
      <c r="I6345" t="str">
        <f>HYPERLINK("https://baanknet.com/view-property/287119/49EDAD5FECEF028250BE6DF4D3317FD4B11332C43FB3515A05E439421DCD4647", "Open")</f>
        <v>Open</v>
      </c>
      <c r="J6345" t="s">
        <v>3803</v>
      </c>
      <c r="L6345">
        <v>7315100</v>
      </c>
      <c r="M6345">
        <v>731510</v>
      </c>
    </row>
    <row r="6346" spans="1:13" x14ac:dyDescent="0.25">
      <c r="A6346" t="s">
        <v>20970</v>
      </c>
      <c r="B6346" t="s">
        <v>20971</v>
      </c>
      <c r="C6346" t="s">
        <v>594</v>
      </c>
      <c r="D6346" t="s">
        <v>3968</v>
      </c>
      <c r="E6346" t="s">
        <v>20830</v>
      </c>
      <c r="F6346" t="s">
        <v>20808</v>
      </c>
      <c r="G6346" t="s">
        <v>20972</v>
      </c>
      <c r="H6346" t="str">
        <f>HYPERLINK("https://baanknet.com/view-property/287040/C0407B5106DD91DC86FB6BFBADC006E20655C0D1090875AD63AB570663B4EA79", "https://baanknet.com/view-property/287040/C0407B5106DD91DC86FB6BFBADC006E20655C0D1090875AD63AB570663B4EA79")</f>
        <v>https://baanknet.com/view-property/287040/C0407B5106DD91DC86FB6BFBADC006E20655C0D1090875AD63AB570663B4EA79</v>
      </c>
      <c r="I6346" t="str">
        <f>HYPERLINK("https://baanknet.com/view-property/287040/C0407B5106DD91DC86FB6BFBADC006E20655C0D1090875AD63AB570663B4EA79", "Open")</f>
        <v>Open</v>
      </c>
      <c r="J6346" t="s">
        <v>3803</v>
      </c>
      <c r="L6346">
        <v>1275000</v>
      </c>
      <c r="M6346">
        <v>127500</v>
      </c>
    </row>
    <row r="6347" spans="1:13" x14ac:dyDescent="0.25">
      <c r="A6347" t="s">
        <v>20973</v>
      </c>
      <c r="B6347" t="s">
        <v>20974</v>
      </c>
      <c r="C6347" t="s">
        <v>594</v>
      </c>
      <c r="D6347" t="s">
        <v>20975</v>
      </c>
      <c r="E6347" t="s">
        <v>20830</v>
      </c>
      <c r="F6347" t="s">
        <v>20808</v>
      </c>
      <c r="G6347" t="s">
        <v>20976</v>
      </c>
      <c r="H6347" t="str">
        <f>HYPERLINK("https://baanknet.com/view-property/287047/2BA36F65AB64D57D66D7757FA7305FDB8B45D4DE90A06F2DC73C5EF4569F5D9D", "https://baanknet.com/view-property/287047/2BA36F65AB64D57D66D7757FA7305FDB8B45D4DE90A06F2DC73C5EF4569F5D9D")</f>
        <v>https://baanknet.com/view-property/287047/2BA36F65AB64D57D66D7757FA7305FDB8B45D4DE90A06F2DC73C5EF4569F5D9D</v>
      </c>
      <c r="I6347" t="str">
        <f>HYPERLINK("https://baanknet.com/view-property/287047/2BA36F65AB64D57D66D7757FA7305FDB8B45D4DE90A06F2DC73C5EF4569F5D9D", "Open")</f>
        <v>Open</v>
      </c>
      <c r="J6347" t="s">
        <v>3803</v>
      </c>
      <c r="L6347">
        <v>4822000</v>
      </c>
      <c r="M6347">
        <v>482200</v>
      </c>
    </row>
    <row r="6348" spans="1:13" x14ac:dyDescent="0.25">
      <c r="A6348" t="s">
        <v>20977</v>
      </c>
      <c r="B6348" t="s">
        <v>20978</v>
      </c>
      <c r="C6348" t="s">
        <v>594</v>
      </c>
      <c r="D6348" t="s">
        <v>20979</v>
      </c>
      <c r="E6348" t="s">
        <v>20830</v>
      </c>
      <c r="F6348" t="s">
        <v>20808</v>
      </c>
      <c r="G6348" t="s">
        <v>20980</v>
      </c>
      <c r="H6348" t="str">
        <f>HYPERLINK("https://baanknet.com/view-property/287354/90093273A0B0765D76B07AF36036C338CCEF5F2351C4EAEB240137DFE1DE3819", "https://baanknet.com/view-property/287354/90093273A0B0765D76B07AF36036C338CCEF5F2351C4EAEB240137DFE1DE3819")</f>
        <v>https://baanknet.com/view-property/287354/90093273A0B0765D76B07AF36036C338CCEF5F2351C4EAEB240137DFE1DE3819</v>
      </c>
      <c r="I6348" t="str">
        <f>HYPERLINK("https://baanknet.com/view-property/287354/90093273A0B0765D76B07AF36036C338CCEF5F2351C4EAEB240137DFE1DE3819", "Open")</f>
        <v>Open</v>
      </c>
      <c r="J6348" t="s">
        <v>3803</v>
      </c>
      <c r="L6348">
        <v>15800000</v>
      </c>
      <c r="M6348">
        <v>1580000</v>
      </c>
    </row>
    <row r="6349" spans="1:13" x14ac:dyDescent="0.25">
      <c r="A6349" t="s">
        <v>20981</v>
      </c>
      <c r="B6349" t="s">
        <v>20982</v>
      </c>
      <c r="C6349" t="s">
        <v>594</v>
      </c>
      <c r="D6349" t="s">
        <v>20979</v>
      </c>
      <c r="E6349" t="s">
        <v>20830</v>
      </c>
      <c r="F6349" t="s">
        <v>20808</v>
      </c>
      <c r="G6349" t="s">
        <v>20983</v>
      </c>
      <c r="H6349" t="str">
        <f>HYPERLINK("https://baanknet.com/view-property/287328/172C3A0E51CF40A5114D70482A96367045FC65F25D0DA946A8E58591CBE47264", "https://baanknet.com/view-property/287328/172C3A0E51CF40A5114D70482A96367045FC65F25D0DA946A8E58591CBE47264")</f>
        <v>https://baanknet.com/view-property/287328/172C3A0E51CF40A5114D70482A96367045FC65F25D0DA946A8E58591CBE47264</v>
      </c>
      <c r="I6349" t="str">
        <f>HYPERLINK("https://baanknet.com/view-property/287328/172C3A0E51CF40A5114D70482A96367045FC65F25D0DA946A8E58591CBE47264", "Open")</f>
        <v>Open</v>
      </c>
      <c r="J6349" t="s">
        <v>3803</v>
      </c>
      <c r="L6349">
        <v>10050000</v>
      </c>
      <c r="M6349">
        <v>1005000</v>
      </c>
    </row>
    <row r="6350" spans="1:13" x14ac:dyDescent="0.25">
      <c r="A6350" t="s">
        <v>20984</v>
      </c>
      <c r="B6350" t="s">
        <v>20985</v>
      </c>
      <c r="C6350" t="s">
        <v>594</v>
      </c>
      <c r="D6350" t="s">
        <v>20979</v>
      </c>
      <c r="E6350" t="s">
        <v>20830</v>
      </c>
      <c r="F6350" t="s">
        <v>20808</v>
      </c>
      <c r="G6350" t="s">
        <v>20986</v>
      </c>
      <c r="H6350" t="str">
        <f>HYPERLINK("https://baanknet.com/view-property/287330/E01CF16E821B906E0F2E923625F9F4C1BFFA2CD19F444058137459C6EC5C0C5A", "https://baanknet.com/view-property/287330/E01CF16E821B906E0F2E923625F9F4C1BFFA2CD19F444058137459C6EC5C0C5A")</f>
        <v>https://baanknet.com/view-property/287330/E01CF16E821B906E0F2E923625F9F4C1BFFA2CD19F444058137459C6EC5C0C5A</v>
      </c>
      <c r="I6350" t="str">
        <f>HYPERLINK("https://baanknet.com/view-property/287330/E01CF16E821B906E0F2E923625F9F4C1BFFA2CD19F444058137459C6EC5C0C5A", "Open")</f>
        <v>Open</v>
      </c>
      <c r="J6350" t="s">
        <v>3803</v>
      </c>
      <c r="L6350">
        <v>9250000</v>
      </c>
      <c r="M6350">
        <v>925000</v>
      </c>
    </row>
    <row r="6351" spans="1:13" x14ac:dyDescent="0.25">
      <c r="A6351" t="s">
        <v>20987</v>
      </c>
      <c r="B6351" t="s">
        <v>20988</v>
      </c>
      <c r="C6351" t="s">
        <v>594</v>
      </c>
      <c r="D6351" t="s">
        <v>4997</v>
      </c>
      <c r="E6351" t="s">
        <v>20830</v>
      </c>
      <c r="F6351" t="s">
        <v>20808</v>
      </c>
      <c r="G6351" t="s">
        <v>20989</v>
      </c>
      <c r="H6351" t="str">
        <f>HYPERLINK("https://baanknet.com/view-property/34353/9A31F4735E8DBC84FBE16C53916E7C157B63CE47715687FECBD05EA2572D1290", "https://baanknet.com/view-property/34353/9A31F4735E8DBC84FBE16C53916E7C157B63CE47715687FECBD05EA2572D1290")</f>
        <v>https://baanknet.com/view-property/34353/9A31F4735E8DBC84FBE16C53916E7C157B63CE47715687FECBD05EA2572D1290</v>
      </c>
      <c r="I6351" t="str">
        <f>HYPERLINK("https://baanknet.com/view-property/34353/9A31F4735E8DBC84FBE16C53916E7C157B63CE47715687FECBD05EA2572D1290", "Open")</f>
        <v>Open</v>
      </c>
      <c r="J6351" t="s">
        <v>3803</v>
      </c>
      <c r="L6351">
        <v>34400000</v>
      </c>
      <c r="M6351">
        <v>3440000</v>
      </c>
    </row>
    <row r="6352" spans="1:13" x14ac:dyDescent="0.25">
      <c r="A6352" t="s">
        <v>20990</v>
      </c>
      <c r="B6352" t="s">
        <v>20991</v>
      </c>
      <c r="C6352" t="s">
        <v>594</v>
      </c>
      <c r="D6352" t="s">
        <v>4375</v>
      </c>
      <c r="E6352" t="s">
        <v>20830</v>
      </c>
      <c r="F6352" t="s">
        <v>20808</v>
      </c>
      <c r="G6352" t="s">
        <v>20992</v>
      </c>
      <c r="H6352" t="str">
        <f>HYPERLINK("https://baanknet.com/view-property/191532/D763A3DC0D8C7888BBC8FD9BE89D2297C12BF7368A8FF91D651D0B767C888CBD", "https://baanknet.com/view-property/191532/D763A3DC0D8C7888BBC8FD9BE89D2297C12BF7368A8FF91D651D0B767C888CBD")</f>
        <v>https://baanknet.com/view-property/191532/D763A3DC0D8C7888BBC8FD9BE89D2297C12BF7368A8FF91D651D0B767C888CBD</v>
      </c>
      <c r="I6352" t="str">
        <f>HYPERLINK("https://baanknet.com/view-property/191532/D763A3DC0D8C7888BBC8FD9BE89D2297C12BF7368A8FF91D651D0B767C888CBD", "Open")</f>
        <v>Open</v>
      </c>
      <c r="J6352" t="s">
        <v>3803</v>
      </c>
      <c r="L6352">
        <v>1216000</v>
      </c>
      <c r="M6352">
        <v>121600</v>
      </c>
    </row>
    <row r="6353" spans="1:13" x14ac:dyDescent="0.25">
      <c r="A6353" t="s">
        <v>20993</v>
      </c>
      <c r="B6353" t="s">
        <v>20994</v>
      </c>
      <c r="C6353" t="s">
        <v>594</v>
      </c>
      <c r="D6353" t="s">
        <v>4375</v>
      </c>
      <c r="E6353" t="s">
        <v>20830</v>
      </c>
      <c r="F6353" t="s">
        <v>20808</v>
      </c>
      <c r="G6353" t="s">
        <v>20995</v>
      </c>
      <c r="H6353" t="str">
        <f>HYPERLINK("https://baanknet.com/view-property/212317/78033B5E823EF3FB182B0172674BB8FF9964DB505282A3CBF3506B542828DEC9", "https://baanknet.com/view-property/212317/78033B5E823EF3FB182B0172674BB8FF9964DB505282A3CBF3506B542828DEC9")</f>
        <v>https://baanknet.com/view-property/212317/78033B5E823EF3FB182B0172674BB8FF9964DB505282A3CBF3506B542828DEC9</v>
      </c>
      <c r="I6353" t="str">
        <f>HYPERLINK("https://baanknet.com/view-property/212317/78033B5E823EF3FB182B0172674BB8FF9964DB505282A3CBF3506B542828DEC9", "Open")</f>
        <v>Open</v>
      </c>
      <c r="J6353" t="s">
        <v>3803</v>
      </c>
      <c r="L6353">
        <v>1290000</v>
      </c>
      <c r="M6353">
        <v>129000</v>
      </c>
    </row>
    <row r="6354" spans="1:13" x14ac:dyDescent="0.25">
      <c r="A6354" t="s">
        <v>20996</v>
      </c>
      <c r="B6354" t="s">
        <v>20997</v>
      </c>
      <c r="C6354" t="s">
        <v>594</v>
      </c>
      <c r="D6354" t="s">
        <v>4375</v>
      </c>
      <c r="E6354" t="s">
        <v>20830</v>
      </c>
      <c r="F6354" t="s">
        <v>20808</v>
      </c>
      <c r="G6354" t="s">
        <v>20998</v>
      </c>
      <c r="H6354" t="str">
        <f>HYPERLINK("https://baanknet.com/view-property/212315/3EFBD643DE93FD94FACD0436237A0AD03CAFD59534A3A70396BFD98A2D787580", "https://baanknet.com/view-property/212315/3EFBD643DE93FD94FACD0436237A0AD03CAFD59534A3A70396BFD98A2D787580")</f>
        <v>https://baanknet.com/view-property/212315/3EFBD643DE93FD94FACD0436237A0AD03CAFD59534A3A70396BFD98A2D787580</v>
      </c>
      <c r="I6354" t="str">
        <f>HYPERLINK("https://baanknet.com/view-property/212315/3EFBD643DE93FD94FACD0436237A0AD03CAFD59534A3A70396BFD98A2D787580", "Open")</f>
        <v>Open</v>
      </c>
      <c r="J6354" t="s">
        <v>3803</v>
      </c>
      <c r="L6354">
        <v>1790000</v>
      </c>
      <c r="M6354">
        <v>179000</v>
      </c>
    </row>
    <row r="6355" spans="1:13" x14ac:dyDescent="0.25">
      <c r="A6355" t="s">
        <v>20999</v>
      </c>
      <c r="B6355" t="s">
        <v>21000</v>
      </c>
      <c r="C6355" t="s">
        <v>594</v>
      </c>
      <c r="D6355" t="s">
        <v>282</v>
      </c>
      <c r="E6355" t="s">
        <v>20830</v>
      </c>
      <c r="F6355" t="s">
        <v>20808</v>
      </c>
      <c r="G6355" t="s">
        <v>21001</v>
      </c>
      <c r="H6355" t="str">
        <f>HYPERLINK("https://baanknet.com/view-property/214355/035724BC83432CE652DBAE814A743283F13F2FEBE8B5C5FBB55902DBF2F79A18", "https://baanknet.com/view-property/214355/035724BC83432CE652DBAE814A743283F13F2FEBE8B5C5FBB55902DBF2F79A18")</f>
        <v>https://baanknet.com/view-property/214355/035724BC83432CE652DBAE814A743283F13F2FEBE8B5C5FBB55902DBF2F79A18</v>
      </c>
      <c r="I6355" t="str">
        <f>HYPERLINK("https://baanknet.com/view-property/214355/035724BC83432CE652DBAE814A743283F13F2FEBE8B5C5FBB55902DBF2F79A18", "Open")</f>
        <v>Open</v>
      </c>
      <c r="J6355" t="s">
        <v>3803</v>
      </c>
      <c r="L6355">
        <v>1106000</v>
      </c>
      <c r="M6355">
        <v>110600</v>
      </c>
    </row>
    <row r="6356" spans="1:13" x14ac:dyDescent="0.25">
      <c r="A6356" t="s">
        <v>21002</v>
      </c>
      <c r="B6356" t="s">
        <v>21003</v>
      </c>
      <c r="C6356" t="s">
        <v>594</v>
      </c>
      <c r="D6356" t="s">
        <v>282</v>
      </c>
      <c r="E6356" t="s">
        <v>20830</v>
      </c>
      <c r="F6356" t="s">
        <v>20808</v>
      </c>
      <c r="G6356" t="s">
        <v>21004</v>
      </c>
      <c r="H6356" t="str">
        <f>HYPERLINK("https://baanknet.com/view-property/102961/9C201D90879385761C8A1721F8073786F1087EDF6625B614D3F437FEC4EC5A2C", "https://baanknet.com/view-property/102961/9C201D90879385761C8A1721F8073786F1087EDF6625B614D3F437FEC4EC5A2C")</f>
        <v>https://baanknet.com/view-property/102961/9C201D90879385761C8A1721F8073786F1087EDF6625B614D3F437FEC4EC5A2C</v>
      </c>
      <c r="I6356" t="str">
        <f>HYPERLINK("https://baanknet.com/view-property/102961/9C201D90879385761C8A1721F8073786F1087EDF6625B614D3F437FEC4EC5A2C", "Open")</f>
        <v>Open</v>
      </c>
      <c r="J6356" t="s">
        <v>3803</v>
      </c>
      <c r="L6356">
        <v>3040000</v>
      </c>
      <c r="M6356">
        <v>304000</v>
      </c>
    </row>
    <row r="6357" spans="1:13" x14ac:dyDescent="0.25">
      <c r="A6357" t="s">
        <v>21005</v>
      </c>
      <c r="B6357" t="s">
        <v>21006</v>
      </c>
      <c r="C6357" t="s">
        <v>594</v>
      </c>
      <c r="D6357" t="s">
        <v>960</v>
      </c>
      <c r="E6357" t="s">
        <v>20830</v>
      </c>
      <c r="F6357" t="s">
        <v>20808</v>
      </c>
      <c r="G6357" t="s">
        <v>21007</v>
      </c>
      <c r="H6357" t="str">
        <f>HYPERLINK("https://baanknet.com/view-property/287522/8EFD514BC3907EDB8B9A75F6E0B3D374FA33C564245D9DA6695661D82F66EFAA", "https://baanknet.com/view-property/287522/8EFD514BC3907EDB8B9A75F6E0B3D374FA33C564245D9DA6695661D82F66EFAA")</f>
        <v>https://baanknet.com/view-property/287522/8EFD514BC3907EDB8B9A75F6E0B3D374FA33C564245D9DA6695661D82F66EFAA</v>
      </c>
      <c r="I6357" t="str">
        <f>HYPERLINK("https://baanknet.com/view-property/287522/8EFD514BC3907EDB8B9A75F6E0B3D374FA33C564245D9DA6695661D82F66EFAA", "Open")</f>
        <v>Open</v>
      </c>
      <c r="J6357" t="s">
        <v>3803</v>
      </c>
      <c r="L6357">
        <v>1406000</v>
      </c>
      <c r="M6357">
        <v>140600</v>
      </c>
    </row>
    <row r="6358" spans="1:13" x14ac:dyDescent="0.25">
      <c r="A6358" t="s">
        <v>21008</v>
      </c>
      <c r="B6358" t="s">
        <v>21009</v>
      </c>
      <c r="C6358" t="s">
        <v>594</v>
      </c>
      <c r="D6358" t="s">
        <v>21010</v>
      </c>
      <c r="E6358" t="s">
        <v>20830</v>
      </c>
      <c r="F6358" t="s">
        <v>20808</v>
      </c>
      <c r="G6358" t="s">
        <v>21011</v>
      </c>
      <c r="H6358" t="str">
        <f>HYPERLINK("https://baanknet.com/view-property/287482/FB89AE18BD9841F37D5998590D260B10BB39E399BA4A8D1E329534FCAC191CBA", "https://baanknet.com/view-property/287482/FB89AE18BD9841F37D5998590D260B10BB39E399BA4A8D1E329534FCAC191CBA")</f>
        <v>https://baanknet.com/view-property/287482/FB89AE18BD9841F37D5998590D260B10BB39E399BA4A8D1E329534FCAC191CBA</v>
      </c>
      <c r="I6358" t="str">
        <f>HYPERLINK("https://baanknet.com/view-property/287482/FB89AE18BD9841F37D5998590D260B10BB39E399BA4A8D1E329534FCAC191CBA", "Open")</f>
        <v>Open</v>
      </c>
      <c r="J6358" t="s">
        <v>3803</v>
      </c>
      <c r="L6358">
        <v>7710000</v>
      </c>
      <c r="M6358">
        <v>771000</v>
      </c>
    </row>
    <row r="6359" spans="1:13" x14ac:dyDescent="0.25">
      <c r="A6359" t="s">
        <v>21012</v>
      </c>
      <c r="B6359" t="s">
        <v>21013</v>
      </c>
      <c r="C6359" t="s">
        <v>594</v>
      </c>
      <c r="D6359" t="s">
        <v>4990</v>
      </c>
      <c r="E6359" t="s">
        <v>20830</v>
      </c>
      <c r="F6359" t="s">
        <v>20808</v>
      </c>
      <c r="G6359" t="s">
        <v>21014</v>
      </c>
      <c r="H6359" t="str">
        <f>HYPERLINK("https://baanknet.com/view-property/287644/DC0E4C7066601E202739E01D07265D4A844D186BEA15A00298D9062485E3C287", "https://baanknet.com/view-property/287644/DC0E4C7066601E202739E01D07265D4A844D186BEA15A00298D9062485E3C287")</f>
        <v>https://baanknet.com/view-property/287644/DC0E4C7066601E202739E01D07265D4A844D186BEA15A00298D9062485E3C287</v>
      </c>
      <c r="I6359" t="str">
        <f>HYPERLINK("https://baanknet.com/view-property/287644/DC0E4C7066601E202739E01D07265D4A844D186BEA15A00298D9062485E3C287", "Open")</f>
        <v>Open</v>
      </c>
      <c r="J6359" t="s">
        <v>3803</v>
      </c>
      <c r="L6359">
        <v>5339000</v>
      </c>
      <c r="M6359">
        <v>533900</v>
      </c>
    </row>
    <row r="6360" spans="1:13" x14ac:dyDescent="0.25">
      <c r="A6360" t="s">
        <v>21015</v>
      </c>
      <c r="B6360" t="s">
        <v>21016</v>
      </c>
      <c r="C6360" t="s">
        <v>594</v>
      </c>
      <c r="D6360" t="s">
        <v>497</v>
      </c>
      <c r="E6360" t="s">
        <v>20830</v>
      </c>
      <c r="F6360" t="s">
        <v>20808</v>
      </c>
      <c r="G6360" t="s">
        <v>21017</v>
      </c>
      <c r="H6360" t="str">
        <f>HYPERLINK("https://baanknet.com/view-property/287964/9B67E897E61F27D5037477DFECDAD6B5998E5140D75869F7E9738891EBA88D53", "https://baanknet.com/view-property/287964/9B67E897E61F27D5037477DFECDAD6B5998E5140D75869F7E9738891EBA88D53")</f>
        <v>https://baanknet.com/view-property/287964/9B67E897E61F27D5037477DFECDAD6B5998E5140D75869F7E9738891EBA88D53</v>
      </c>
      <c r="I6360" t="str">
        <f>HYPERLINK("https://baanknet.com/view-property/287964/9B67E897E61F27D5037477DFECDAD6B5998E5140D75869F7E9738891EBA88D53", "Open")</f>
        <v>Open</v>
      </c>
      <c r="J6360" t="s">
        <v>3803</v>
      </c>
      <c r="L6360">
        <v>3366000</v>
      </c>
      <c r="M6360">
        <v>336600</v>
      </c>
    </row>
    <row r="6361" spans="1:13" x14ac:dyDescent="0.25">
      <c r="A6361" t="s">
        <v>21018</v>
      </c>
      <c r="B6361" t="s">
        <v>21019</v>
      </c>
      <c r="C6361" t="s">
        <v>594</v>
      </c>
      <c r="D6361" t="s">
        <v>1310</v>
      </c>
      <c r="E6361" t="s">
        <v>20830</v>
      </c>
      <c r="F6361" t="s">
        <v>20808</v>
      </c>
      <c r="G6361" t="s">
        <v>21020</v>
      </c>
      <c r="H6361" t="str">
        <f>HYPERLINK("https://baanknet.com/view-property/287427/79F5AE2CDE9BAAE56CED7205C296A55A58C4F1D9D88126116F04D396B82230B4", "https://baanknet.com/view-property/287427/79F5AE2CDE9BAAE56CED7205C296A55A58C4F1D9D88126116F04D396B82230B4")</f>
        <v>https://baanknet.com/view-property/287427/79F5AE2CDE9BAAE56CED7205C296A55A58C4F1D9D88126116F04D396B82230B4</v>
      </c>
      <c r="I6361" t="str">
        <f>HYPERLINK("https://baanknet.com/view-property/287427/79F5AE2CDE9BAAE56CED7205C296A55A58C4F1D9D88126116F04D396B82230B4", "Open")</f>
        <v>Open</v>
      </c>
      <c r="J6361" t="s">
        <v>3803</v>
      </c>
      <c r="L6361">
        <v>55900000</v>
      </c>
      <c r="M6361">
        <v>5590000</v>
      </c>
    </row>
    <row r="6362" spans="1:13" x14ac:dyDescent="0.25">
      <c r="A6362" t="s">
        <v>21021</v>
      </c>
      <c r="B6362" t="s">
        <v>21022</v>
      </c>
      <c r="C6362" t="s">
        <v>594</v>
      </c>
      <c r="D6362" t="s">
        <v>15345</v>
      </c>
      <c r="E6362" t="s">
        <v>20830</v>
      </c>
      <c r="F6362" t="s">
        <v>20808</v>
      </c>
      <c r="G6362" t="s">
        <v>21023</v>
      </c>
      <c r="H6362" t="str">
        <f>HYPERLINK("https://baanknet.com/view-property/274139/E2FEE2E4F6A282F074A73F4C295953C2480946AE36E8DFA8D98F3AEE8CEC6C62", "https://baanknet.com/view-property/274139/E2FEE2E4F6A282F074A73F4C295953C2480946AE36E8DFA8D98F3AEE8CEC6C62")</f>
        <v>https://baanknet.com/view-property/274139/E2FEE2E4F6A282F074A73F4C295953C2480946AE36E8DFA8D98F3AEE8CEC6C62</v>
      </c>
      <c r="I6362" t="str">
        <f>HYPERLINK("https://baanknet.com/view-property/274139/E2FEE2E4F6A282F074A73F4C295953C2480946AE36E8DFA8D98F3AEE8CEC6C62", "Open")</f>
        <v>Open</v>
      </c>
      <c r="J6362" t="s">
        <v>3803</v>
      </c>
      <c r="L6362">
        <v>2169000</v>
      </c>
      <c r="M6362">
        <v>216900</v>
      </c>
    </row>
    <row r="6363" spans="1:13" x14ac:dyDescent="0.25">
      <c r="A6363" t="s">
        <v>21024</v>
      </c>
      <c r="B6363" t="s">
        <v>21025</v>
      </c>
      <c r="C6363" t="s">
        <v>594</v>
      </c>
      <c r="D6363" t="s">
        <v>422</v>
      </c>
      <c r="E6363" t="s">
        <v>20830</v>
      </c>
      <c r="F6363" t="s">
        <v>20808</v>
      </c>
      <c r="G6363" t="s">
        <v>21026</v>
      </c>
      <c r="H6363" t="str">
        <f>HYPERLINK("https://baanknet.com/view-property/284751/BFE9D93B86E20068429AC64D3A3A34285F710F9C300124EA94015813AC0ED139", "https://baanknet.com/view-property/284751/BFE9D93B86E20068429AC64D3A3A34285F710F9C300124EA94015813AC0ED139")</f>
        <v>https://baanknet.com/view-property/284751/BFE9D93B86E20068429AC64D3A3A34285F710F9C300124EA94015813AC0ED139</v>
      </c>
      <c r="I6363" t="str">
        <f>HYPERLINK("https://baanknet.com/view-property/284751/BFE9D93B86E20068429AC64D3A3A34285F710F9C300124EA94015813AC0ED139", "Open")</f>
        <v>Open</v>
      </c>
      <c r="J6363" t="s">
        <v>3803</v>
      </c>
      <c r="L6363">
        <v>7290000</v>
      </c>
      <c r="M6363">
        <v>729000</v>
      </c>
    </row>
    <row r="6364" spans="1:13" x14ac:dyDescent="0.25">
      <c r="A6364" t="s">
        <v>21027</v>
      </c>
      <c r="B6364" t="s">
        <v>21028</v>
      </c>
      <c r="C6364" t="s">
        <v>594</v>
      </c>
      <c r="D6364" t="s">
        <v>1310</v>
      </c>
      <c r="E6364" t="s">
        <v>20830</v>
      </c>
      <c r="F6364" t="s">
        <v>21029</v>
      </c>
      <c r="G6364" t="s">
        <v>21030</v>
      </c>
      <c r="H6364" t="str">
        <f>HYPERLINK("https://baanknet.com/view-property/268719/4224FFC696DBD5D477440A82241EB1119488F1B8091DD2AEBC325BBA374C4C5C", "https://baanknet.com/view-property/268719/4224FFC696DBD5D477440A82241EB1119488F1B8091DD2AEBC325BBA374C4C5C")</f>
        <v>https://baanknet.com/view-property/268719/4224FFC696DBD5D477440A82241EB1119488F1B8091DD2AEBC325BBA374C4C5C</v>
      </c>
      <c r="I6364" t="str">
        <f>HYPERLINK("https://baanknet.com/view-property/268719/4224FFC696DBD5D477440A82241EB1119488F1B8091DD2AEBC325BBA374C4C5C", "Open")</f>
        <v>Open</v>
      </c>
      <c r="J6364" t="s">
        <v>3803</v>
      </c>
      <c r="L6364">
        <v>11931000</v>
      </c>
      <c r="M6364">
        <v>1193100</v>
      </c>
    </row>
    <row r="6365" spans="1:13" x14ac:dyDescent="0.25">
      <c r="A6365" t="s">
        <v>21031</v>
      </c>
      <c r="B6365" t="s">
        <v>21032</v>
      </c>
      <c r="C6365" t="s">
        <v>332</v>
      </c>
      <c r="D6365" t="s">
        <v>1344</v>
      </c>
      <c r="E6365" t="s">
        <v>20719</v>
      </c>
      <c r="F6365" t="s">
        <v>20891</v>
      </c>
      <c r="G6365" t="s">
        <v>21033</v>
      </c>
      <c r="H6365" t="str">
        <f>HYPERLINK("https://baanknet.com/view-property/281646/D0A035801FD24655D3B16AC19D741B448AD9030FC73EC4886837C929BC66EE8F", "https://baanknet.com/view-property/281646/D0A035801FD24655D3B16AC19D741B448AD9030FC73EC4886837C929BC66EE8F")</f>
        <v>https://baanknet.com/view-property/281646/D0A035801FD24655D3B16AC19D741B448AD9030FC73EC4886837C929BC66EE8F</v>
      </c>
      <c r="I6365" t="str">
        <f>HYPERLINK("https://baanknet.com/view-property/281646/D0A035801FD24655D3B16AC19D741B448AD9030FC73EC4886837C929BC66EE8F", "Open")</f>
        <v>Open</v>
      </c>
      <c r="J6365" t="s">
        <v>3803</v>
      </c>
      <c r="L6365">
        <v>2442150</v>
      </c>
      <c r="M6365">
        <v>244215</v>
      </c>
    </row>
    <row r="6366" spans="1:13" x14ac:dyDescent="0.25">
      <c r="A6366" t="s">
        <v>21034</v>
      </c>
      <c r="B6366" t="s">
        <v>21035</v>
      </c>
      <c r="C6366" t="s">
        <v>83</v>
      </c>
      <c r="D6366" t="s">
        <v>2577</v>
      </c>
      <c r="E6366" t="s">
        <v>21036</v>
      </c>
      <c r="F6366" t="s">
        <v>21037</v>
      </c>
      <c r="G6366" t="s">
        <v>21038</v>
      </c>
      <c r="H6366" t="str">
        <f>HYPERLINK("https://baanknet.com/view-property/287585/120B93FDEA9A426688541C361B9A879DA5D80E1BA258B57E2660331C56FC07B4", "https://baanknet.com/view-property/287585/120B93FDEA9A426688541C361B9A879DA5D80E1BA258B57E2660331C56FC07B4")</f>
        <v>https://baanknet.com/view-property/287585/120B93FDEA9A426688541C361B9A879DA5D80E1BA258B57E2660331C56FC07B4</v>
      </c>
      <c r="I6366" t="str">
        <f>HYPERLINK("https://baanknet.com/view-property/287585/120B93FDEA9A426688541C361B9A879DA5D80E1BA258B57E2660331C56FC07B4", "Open")</f>
        <v>Open</v>
      </c>
      <c r="J6366" t="s">
        <v>3803</v>
      </c>
      <c r="L6366">
        <v>6570000</v>
      </c>
      <c r="M6366">
        <v>657000</v>
      </c>
    </row>
    <row r="6367" spans="1:13" x14ac:dyDescent="0.25">
      <c r="A6367" t="s">
        <v>21039</v>
      </c>
      <c r="B6367" t="s">
        <v>21040</v>
      </c>
      <c r="C6367" t="s">
        <v>387</v>
      </c>
      <c r="D6367" t="s">
        <v>102</v>
      </c>
      <c r="E6367" t="s">
        <v>21036</v>
      </c>
      <c r="F6367" t="s">
        <v>21041</v>
      </c>
      <c r="G6367" t="s">
        <v>21042</v>
      </c>
      <c r="H6367" t="str">
        <f>HYPERLINK("https://baanknet.com/view-property/287807/CF870B073B439B1AAC03D23D4A4DF14586954702AFD2F970D0CFEC51672A8464", "https://baanknet.com/view-property/287807/CF870B073B439B1AAC03D23D4A4DF14586954702AFD2F970D0CFEC51672A8464")</f>
        <v>https://baanknet.com/view-property/287807/CF870B073B439B1AAC03D23D4A4DF14586954702AFD2F970D0CFEC51672A8464</v>
      </c>
      <c r="I6367" t="str">
        <f>HYPERLINK("https://baanknet.com/view-property/287807/CF870B073B439B1AAC03D23D4A4DF14586954702AFD2F970D0CFEC51672A8464", "Open")</f>
        <v>Open</v>
      </c>
      <c r="J6367" t="s">
        <v>3803</v>
      </c>
      <c r="L6367">
        <v>4394000</v>
      </c>
      <c r="M6367">
        <v>450000</v>
      </c>
    </row>
    <row r="6368" spans="1:13" x14ac:dyDescent="0.25">
      <c r="A6368" t="s">
        <v>21043</v>
      </c>
      <c r="B6368" t="s">
        <v>21044</v>
      </c>
      <c r="C6368" t="s">
        <v>83</v>
      </c>
      <c r="D6368" t="s">
        <v>15261</v>
      </c>
      <c r="E6368" t="s">
        <v>21036</v>
      </c>
      <c r="F6368" t="s">
        <v>21045</v>
      </c>
      <c r="G6368" t="s">
        <v>21046</v>
      </c>
      <c r="H6368" t="str">
        <f>HYPERLINK("https://baanknet.com/view-property/285086/5CE48A56EA8D8C6588DAEC3CD6024CB390625704BF8EB218F047978DDE558EA0", "https://baanknet.com/view-property/285086/5CE48A56EA8D8C6588DAEC3CD6024CB390625704BF8EB218F047978DDE558EA0")</f>
        <v>https://baanknet.com/view-property/285086/5CE48A56EA8D8C6588DAEC3CD6024CB390625704BF8EB218F047978DDE558EA0</v>
      </c>
      <c r="I6368" t="str">
        <f>HYPERLINK("https://baanknet.com/view-property/285086/5CE48A56EA8D8C6588DAEC3CD6024CB390625704BF8EB218F047978DDE558EA0", "Open")</f>
        <v>Open</v>
      </c>
      <c r="J6368" t="s">
        <v>3803</v>
      </c>
      <c r="L6368">
        <v>4226000</v>
      </c>
      <c r="M6368">
        <v>422600</v>
      </c>
    </row>
    <row r="6369" spans="1:13" x14ac:dyDescent="0.25">
      <c r="A6369" t="s">
        <v>21047</v>
      </c>
      <c r="B6369" t="s">
        <v>21048</v>
      </c>
      <c r="C6369" t="s">
        <v>83</v>
      </c>
      <c r="D6369" t="s">
        <v>21049</v>
      </c>
      <c r="E6369" t="s">
        <v>21036</v>
      </c>
      <c r="F6369" t="s">
        <v>21045</v>
      </c>
      <c r="G6369" t="s">
        <v>21050</v>
      </c>
      <c r="H6369" t="str">
        <f>HYPERLINK("https://baanknet.com/view-property/285098/B2F2D818C59619E5DDFA3A73BED0E2E6B0E0136EACF02AE3296A6F30A8626AA6", "https://baanknet.com/view-property/285098/B2F2D818C59619E5DDFA3A73BED0E2E6B0E0136EACF02AE3296A6F30A8626AA6")</f>
        <v>https://baanknet.com/view-property/285098/B2F2D818C59619E5DDFA3A73BED0E2E6B0E0136EACF02AE3296A6F30A8626AA6</v>
      </c>
      <c r="I6369" t="str">
        <f>HYPERLINK("https://baanknet.com/view-property/285098/B2F2D818C59619E5DDFA3A73BED0E2E6B0E0136EACF02AE3296A6F30A8626AA6", "Open")</f>
        <v>Open</v>
      </c>
      <c r="J6369" t="s">
        <v>3803</v>
      </c>
      <c r="L6369">
        <v>4069000</v>
      </c>
      <c r="M6369">
        <v>406900</v>
      </c>
    </row>
    <row r="6370" spans="1:13" x14ac:dyDescent="0.25">
      <c r="A6370" t="s">
        <v>21051</v>
      </c>
      <c r="B6370" t="s">
        <v>21052</v>
      </c>
      <c r="C6370" t="s">
        <v>15</v>
      </c>
      <c r="D6370" t="s">
        <v>7857</v>
      </c>
      <c r="E6370" t="s">
        <v>21053</v>
      </c>
      <c r="F6370" t="s">
        <v>21054</v>
      </c>
      <c r="G6370" t="s">
        <v>21055</v>
      </c>
      <c r="H6370" t="str">
        <f>HYPERLINK("https://baanknet.com/view-property/279162/2EBD7BA8BAFD60F7BBCEE067CBCCEE256FD59D2E43883FBBD1449F1563B36046", "https://baanknet.com/view-property/279162/2EBD7BA8BAFD60F7BBCEE067CBCCEE256FD59D2E43883FBBD1449F1563B36046")</f>
        <v>https://baanknet.com/view-property/279162/2EBD7BA8BAFD60F7BBCEE067CBCCEE256FD59D2E43883FBBD1449F1563B36046</v>
      </c>
      <c r="I6370" t="str">
        <f>HYPERLINK("https://baanknet.com/view-property/279162/2EBD7BA8BAFD60F7BBCEE067CBCCEE256FD59D2E43883FBBD1449F1563B36046", "Open")</f>
        <v>Open</v>
      </c>
      <c r="J6370" t="s">
        <v>3803</v>
      </c>
      <c r="L6370">
        <v>20200000</v>
      </c>
      <c r="M6370">
        <v>2020000</v>
      </c>
    </row>
    <row r="6371" spans="1:13" x14ac:dyDescent="0.25">
      <c r="A6371" t="s">
        <v>21056</v>
      </c>
      <c r="B6371" t="s">
        <v>21057</v>
      </c>
      <c r="C6371" t="s">
        <v>15</v>
      </c>
      <c r="D6371" t="s">
        <v>5829</v>
      </c>
      <c r="E6371" t="s">
        <v>21053</v>
      </c>
      <c r="F6371" t="s">
        <v>21054</v>
      </c>
      <c r="G6371" t="s">
        <v>21058</v>
      </c>
      <c r="H6371" t="str">
        <f>HYPERLINK("https://baanknet.com/view-property/283346/E3B797E7A088D824606B2C133277C572F6F7485B6582EFB6CF519F98B19AB523", "https://baanknet.com/view-property/283346/E3B797E7A088D824606B2C133277C572F6F7485B6582EFB6CF519F98B19AB523")</f>
        <v>https://baanknet.com/view-property/283346/E3B797E7A088D824606B2C133277C572F6F7485B6582EFB6CF519F98B19AB523</v>
      </c>
      <c r="I6371" t="str">
        <f>HYPERLINK("https://baanknet.com/view-property/283346/E3B797E7A088D824606B2C133277C572F6F7485B6582EFB6CF519F98B19AB523", "Open")</f>
        <v>Open</v>
      </c>
      <c r="J6371" t="s">
        <v>3803</v>
      </c>
      <c r="L6371">
        <v>1964000</v>
      </c>
      <c r="M6371">
        <v>196400</v>
      </c>
    </row>
    <row r="6372" spans="1:13" x14ac:dyDescent="0.25">
      <c r="A6372" t="s">
        <v>21059</v>
      </c>
      <c r="B6372" t="s">
        <v>21060</v>
      </c>
      <c r="C6372" t="s">
        <v>15</v>
      </c>
      <c r="D6372" t="s">
        <v>5829</v>
      </c>
      <c r="E6372" t="s">
        <v>21053</v>
      </c>
      <c r="F6372" t="s">
        <v>21054</v>
      </c>
      <c r="G6372" t="s">
        <v>21061</v>
      </c>
      <c r="H6372" t="str">
        <f>HYPERLINK("https://baanknet.com/view-property/286899/0338470A128405FEC95FA9AF93BDC6F7AA6A59F5737D28851E35734D84507B3F", "https://baanknet.com/view-property/286899/0338470A128405FEC95FA9AF93BDC6F7AA6A59F5737D28851E35734D84507B3F")</f>
        <v>https://baanknet.com/view-property/286899/0338470A128405FEC95FA9AF93BDC6F7AA6A59F5737D28851E35734D84507B3F</v>
      </c>
      <c r="I6372" t="str">
        <f>HYPERLINK("https://baanknet.com/view-property/286899/0338470A128405FEC95FA9AF93BDC6F7AA6A59F5737D28851E35734D84507B3F", "Open")</f>
        <v>Open</v>
      </c>
      <c r="J6372" t="s">
        <v>3803</v>
      </c>
      <c r="L6372">
        <v>1490000</v>
      </c>
      <c r="M6372">
        <v>149000</v>
      </c>
    </row>
    <row r="6373" spans="1:13" x14ac:dyDescent="0.25">
      <c r="A6373" t="s">
        <v>21062</v>
      </c>
      <c r="B6373" t="s">
        <v>21063</v>
      </c>
      <c r="C6373" t="s">
        <v>15</v>
      </c>
      <c r="D6373" t="s">
        <v>6688</v>
      </c>
      <c r="E6373" t="s">
        <v>21053</v>
      </c>
      <c r="F6373" t="s">
        <v>21054</v>
      </c>
      <c r="G6373" t="s">
        <v>21064</v>
      </c>
      <c r="H6373" t="str">
        <f>HYPERLINK("https://baanknet.com/view-property/287194/64D7C9F6E7A8839CE78AC568B8AF918D264D979BFA88D18566B687C32CE759BF", "https://baanknet.com/view-property/287194/64D7C9F6E7A8839CE78AC568B8AF918D264D979BFA88D18566B687C32CE759BF")</f>
        <v>https://baanknet.com/view-property/287194/64D7C9F6E7A8839CE78AC568B8AF918D264D979BFA88D18566B687C32CE759BF</v>
      </c>
      <c r="I6373" t="str">
        <f>HYPERLINK("https://baanknet.com/view-property/287194/64D7C9F6E7A8839CE78AC568B8AF918D264D979BFA88D18566B687C32CE759BF", "Open")</f>
        <v>Open</v>
      </c>
      <c r="J6373" t="s">
        <v>3803</v>
      </c>
      <c r="L6373">
        <v>10018000</v>
      </c>
      <c r="M6373">
        <v>1001800</v>
      </c>
    </row>
    <row r="6374" spans="1:13" x14ac:dyDescent="0.25">
      <c r="A6374" t="s">
        <v>21065</v>
      </c>
      <c r="B6374" t="s">
        <v>21066</v>
      </c>
      <c r="C6374" t="s">
        <v>15</v>
      </c>
      <c r="D6374" t="s">
        <v>21067</v>
      </c>
      <c r="E6374" t="s">
        <v>21053</v>
      </c>
      <c r="F6374" t="s">
        <v>21054</v>
      </c>
      <c r="G6374" t="s">
        <v>21068</v>
      </c>
      <c r="H6374" t="str">
        <f>HYPERLINK("https://baanknet.com/view-property/287389/2369EF6CE2431983E2DC3F107D1B10999323862CDF6473D5CDA60979B2DC9440", "https://baanknet.com/view-property/287389/2369EF6CE2431983E2DC3F107D1B10999323862CDF6473D5CDA60979B2DC9440")</f>
        <v>https://baanknet.com/view-property/287389/2369EF6CE2431983E2DC3F107D1B10999323862CDF6473D5CDA60979B2DC9440</v>
      </c>
      <c r="I6374" t="str">
        <f>HYPERLINK("https://baanknet.com/view-property/287389/2369EF6CE2431983E2DC3F107D1B10999323862CDF6473D5CDA60979B2DC9440", "Open")</f>
        <v>Open</v>
      </c>
      <c r="J6374" t="s">
        <v>3803</v>
      </c>
      <c r="L6374">
        <v>1658000</v>
      </c>
      <c r="M6374">
        <v>165800</v>
      </c>
    </row>
    <row r="6375" spans="1:13" x14ac:dyDescent="0.25">
      <c r="A6375" t="s">
        <v>21069</v>
      </c>
      <c r="B6375" t="s">
        <v>21070</v>
      </c>
      <c r="C6375" t="s">
        <v>15</v>
      </c>
      <c r="D6375" t="s">
        <v>1246</v>
      </c>
      <c r="E6375" t="s">
        <v>21053</v>
      </c>
      <c r="F6375" t="s">
        <v>21054</v>
      </c>
      <c r="G6375" t="s">
        <v>21071</v>
      </c>
      <c r="H6375" t="str">
        <f>HYPERLINK("https://baanknet.com/view-property/287056/6F5876E5FA402926FF8EE26097526A535CEBDB43B5E65B290441E752BC3D23D3", "https://baanknet.com/view-property/287056/6F5876E5FA402926FF8EE26097526A535CEBDB43B5E65B290441E752BC3D23D3")</f>
        <v>https://baanknet.com/view-property/287056/6F5876E5FA402926FF8EE26097526A535CEBDB43B5E65B290441E752BC3D23D3</v>
      </c>
      <c r="I6375" t="str">
        <f>HYPERLINK("https://baanknet.com/view-property/287056/6F5876E5FA402926FF8EE26097526A535CEBDB43B5E65B290441E752BC3D23D3", "Open")</f>
        <v>Open</v>
      </c>
      <c r="J6375" t="s">
        <v>3803</v>
      </c>
      <c r="L6375">
        <v>20500000</v>
      </c>
      <c r="M6375">
        <v>2050000</v>
      </c>
    </row>
    <row r="6376" spans="1:13" x14ac:dyDescent="0.25">
      <c r="A6376" t="s">
        <v>21072</v>
      </c>
      <c r="B6376" t="s">
        <v>21073</v>
      </c>
      <c r="C6376" t="s">
        <v>15</v>
      </c>
      <c r="D6376" t="s">
        <v>3225</v>
      </c>
      <c r="E6376" t="s">
        <v>21053</v>
      </c>
      <c r="F6376" t="s">
        <v>21054</v>
      </c>
      <c r="G6376" t="s">
        <v>21074</v>
      </c>
      <c r="H6376" t="str">
        <f>HYPERLINK("https://baanknet.com/view-property/256486/B39E3D377737963C3C204F66255C088DBEFF486D1E02D307E6D8F22C4AEFC99B", "https://baanknet.com/view-property/256486/B39E3D377737963C3C204F66255C088DBEFF486D1E02D307E6D8F22C4AEFC99B")</f>
        <v>https://baanknet.com/view-property/256486/B39E3D377737963C3C204F66255C088DBEFF486D1E02D307E6D8F22C4AEFC99B</v>
      </c>
      <c r="I6376" t="str">
        <f>HYPERLINK("https://baanknet.com/view-property/256486/B39E3D377737963C3C204F66255C088DBEFF486D1E02D307E6D8F22C4AEFC99B", "Open")</f>
        <v>Open</v>
      </c>
      <c r="J6376" t="s">
        <v>3803</v>
      </c>
      <c r="L6376">
        <v>3350000</v>
      </c>
      <c r="M6376">
        <v>335000</v>
      </c>
    </row>
    <row r="6377" spans="1:13" x14ac:dyDescent="0.25">
      <c r="A6377" t="s">
        <v>21075</v>
      </c>
      <c r="B6377" t="s">
        <v>21076</v>
      </c>
      <c r="C6377" t="s">
        <v>15</v>
      </c>
      <c r="D6377" t="s">
        <v>1246</v>
      </c>
      <c r="E6377" t="s">
        <v>21077</v>
      </c>
      <c r="F6377" t="s">
        <v>21078</v>
      </c>
      <c r="G6377" t="s">
        <v>21079</v>
      </c>
      <c r="H6377" t="str">
        <f>HYPERLINK("https://baanknet.com/view-property/244407/5F2D914A9D5D4E8016136ED238A7A49F8E229A24E0B849A3923C671844C6C419", "https://baanknet.com/view-property/244407/5F2D914A9D5D4E8016136ED238A7A49F8E229A24E0B849A3923C671844C6C419")</f>
        <v>https://baanknet.com/view-property/244407/5F2D914A9D5D4E8016136ED238A7A49F8E229A24E0B849A3923C671844C6C419</v>
      </c>
      <c r="I6377" t="str">
        <f>HYPERLINK("https://baanknet.com/view-property/244407/5F2D914A9D5D4E8016136ED238A7A49F8E229A24E0B849A3923C671844C6C419", "Open")</f>
        <v>Open</v>
      </c>
      <c r="J6377" t="s">
        <v>3803</v>
      </c>
      <c r="L6377">
        <v>4455000</v>
      </c>
      <c r="M6377">
        <v>445500</v>
      </c>
    </row>
    <row r="6378" spans="1:13" x14ac:dyDescent="0.25">
      <c r="A6378" t="s">
        <v>21080</v>
      </c>
      <c r="B6378" t="s">
        <v>21081</v>
      </c>
      <c r="C6378" t="s">
        <v>15</v>
      </c>
      <c r="D6378" t="s">
        <v>1246</v>
      </c>
      <c r="E6378" t="s">
        <v>21077</v>
      </c>
      <c r="F6378" t="s">
        <v>21078</v>
      </c>
      <c r="G6378" t="s">
        <v>21082</v>
      </c>
      <c r="H6378" t="str">
        <f>HYPERLINK("https://baanknet.com/view-property/244408/A1921CB03B47BCDB515BEC1850B112D477DFB3A0D905E31C2F9A58B9D7CBAE66", "https://baanknet.com/view-property/244408/A1921CB03B47BCDB515BEC1850B112D477DFB3A0D905E31C2F9A58B9D7CBAE66")</f>
        <v>https://baanknet.com/view-property/244408/A1921CB03B47BCDB515BEC1850B112D477DFB3A0D905E31C2F9A58B9D7CBAE66</v>
      </c>
      <c r="I6378" t="str">
        <f>HYPERLINK("https://baanknet.com/view-property/244408/A1921CB03B47BCDB515BEC1850B112D477DFB3A0D905E31C2F9A58B9D7CBAE66", "Open")</f>
        <v>Open</v>
      </c>
      <c r="J6378" t="s">
        <v>3803</v>
      </c>
      <c r="L6378">
        <v>4455000</v>
      </c>
      <c r="M6378">
        <v>445500</v>
      </c>
    </row>
    <row r="6379" spans="1:13" x14ac:dyDescent="0.25">
      <c r="A6379" t="s">
        <v>21083</v>
      </c>
      <c r="B6379" t="s">
        <v>21084</v>
      </c>
      <c r="C6379" t="s">
        <v>332</v>
      </c>
      <c r="D6379" t="s">
        <v>102</v>
      </c>
      <c r="E6379" t="s">
        <v>21077</v>
      </c>
      <c r="F6379" t="s">
        <v>21085</v>
      </c>
      <c r="G6379" t="s">
        <v>21086</v>
      </c>
      <c r="H6379" t="str">
        <f>HYPERLINK("https://baanknet.com/view-property/229327/1D57F4127C504440207C1D8992F0D334D06834CD9AC72C37D015AB33EC350A86", "https://baanknet.com/view-property/229327/1D57F4127C504440207C1D8992F0D334D06834CD9AC72C37D015AB33EC350A86")</f>
        <v>https://baanknet.com/view-property/229327/1D57F4127C504440207C1D8992F0D334D06834CD9AC72C37D015AB33EC350A86</v>
      </c>
      <c r="I6379" t="str">
        <f>HYPERLINK("https://baanknet.com/view-property/229327/1D57F4127C504440207C1D8992F0D334D06834CD9AC72C37D015AB33EC350A86", "Open")</f>
        <v>Open</v>
      </c>
      <c r="J6379" t="s">
        <v>3803</v>
      </c>
      <c r="L6379">
        <v>1600000</v>
      </c>
      <c r="M6379">
        <v>160000</v>
      </c>
    </row>
    <row r="6380" spans="1:13" x14ac:dyDescent="0.25">
      <c r="A6380" t="s">
        <v>21087</v>
      </c>
      <c r="B6380" t="s">
        <v>21088</v>
      </c>
      <c r="C6380" t="s">
        <v>144</v>
      </c>
      <c r="D6380" t="s">
        <v>16406</v>
      </c>
      <c r="E6380" t="s">
        <v>21077</v>
      </c>
      <c r="F6380" t="s">
        <v>21085</v>
      </c>
      <c r="G6380" t="s">
        <v>21089</v>
      </c>
      <c r="H6380" t="str">
        <f>HYPERLINK("https://baanknet.com/view-property/287912/F00F1CE32161820EBB97AE9F8C1F9A575DB151259054545C7F271C5802BB6297", "https://baanknet.com/view-property/287912/F00F1CE32161820EBB97AE9F8C1F9A575DB151259054545C7F271C5802BB6297")</f>
        <v>https://baanknet.com/view-property/287912/F00F1CE32161820EBB97AE9F8C1F9A575DB151259054545C7F271C5802BB6297</v>
      </c>
      <c r="I6380" t="str">
        <f>HYPERLINK("https://baanknet.com/view-property/287912/F00F1CE32161820EBB97AE9F8C1F9A575DB151259054545C7F271C5802BB6297", "Open")</f>
        <v>Open</v>
      </c>
      <c r="J6380" t="s">
        <v>3803</v>
      </c>
      <c r="L6380">
        <v>4240000</v>
      </c>
      <c r="M6380">
        <v>424000</v>
      </c>
    </row>
    <row r="6381" spans="1:13" x14ac:dyDescent="0.25">
      <c r="A6381" t="s">
        <v>21090</v>
      </c>
      <c r="B6381" t="s">
        <v>21091</v>
      </c>
      <c r="C6381" t="s">
        <v>144</v>
      </c>
      <c r="D6381" t="s">
        <v>21092</v>
      </c>
      <c r="E6381" t="s">
        <v>21077</v>
      </c>
      <c r="F6381" t="s">
        <v>21085</v>
      </c>
      <c r="G6381" t="s">
        <v>21093</v>
      </c>
      <c r="H6381" t="str">
        <f>HYPERLINK("https://baanknet.com/view-property/287916/24BB480646B5478EAE153D540F1F8EF6D1ABD3E8A6C641AE8FAC26B5B7DF2397", "https://baanknet.com/view-property/287916/24BB480646B5478EAE153D540F1F8EF6D1ABD3E8A6C641AE8FAC26B5B7DF2397")</f>
        <v>https://baanknet.com/view-property/287916/24BB480646B5478EAE153D540F1F8EF6D1ABD3E8A6C641AE8FAC26B5B7DF2397</v>
      </c>
      <c r="I6381" t="str">
        <f>HYPERLINK("https://baanknet.com/view-property/287916/24BB480646B5478EAE153D540F1F8EF6D1ABD3E8A6C641AE8FAC26B5B7DF2397", "Open")</f>
        <v>Open</v>
      </c>
      <c r="J6381" t="s">
        <v>3803</v>
      </c>
      <c r="L6381">
        <v>1087000</v>
      </c>
      <c r="M6381">
        <v>108700</v>
      </c>
    </row>
    <row r="6382" spans="1:13" x14ac:dyDescent="0.25">
      <c r="A6382" t="s">
        <v>21094</v>
      </c>
      <c r="B6382" t="s">
        <v>21095</v>
      </c>
      <c r="C6382" t="s">
        <v>144</v>
      </c>
      <c r="D6382" t="s">
        <v>4430</v>
      </c>
      <c r="E6382" t="s">
        <v>21077</v>
      </c>
      <c r="F6382" t="s">
        <v>21096</v>
      </c>
      <c r="G6382" t="s">
        <v>21097</v>
      </c>
      <c r="H6382" t="str">
        <f>HYPERLINK("https://baanknet.com/view-property/287004/F8CC6B8EC78B08DD0055887F405AF196EE8A292976F8EC7DCDEFF6937FD3D1A0", "https://baanknet.com/view-property/287004/F8CC6B8EC78B08DD0055887F405AF196EE8A292976F8EC7DCDEFF6937FD3D1A0")</f>
        <v>https://baanknet.com/view-property/287004/F8CC6B8EC78B08DD0055887F405AF196EE8A292976F8EC7DCDEFF6937FD3D1A0</v>
      </c>
      <c r="I6382" t="str">
        <f>HYPERLINK("https://baanknet.com/view-property/287004/F8CC6B8EC78B08DD0055887F405AF196EE8A292976F8EC7DCDEFF6937FD3D1A0", "Open")</f>
        <v>Open</v>
      </c>
      <c r="J6382" t="s">
        <v>3803</v>
      </c>
      <c r="L6382">
        <v>3135000</v>
      </c>
      <c r="M6382">
        <v>313500</v>
      </c>
    </row>
    <row r="6383" spans="1:13" x14ac:dyDescent="0.25">
      <c r="A6383" t="s">
        <v>21098</v>
      </c>
      <c r="B6383" t="s">
        <v>21099</v>
      </c>
      <c r="C6383" t="s">
        <v>144</v>
      </c>
      <c r="D6383" t="s">
        <v>1246</v>
      </c>
      <c r="E6383" t="s">
        <v>21077</v>
      </c>
      <c r="F6383" t="s">
        <v>21096</v>
      </c>
      <c r="G6383" t="s">
        <v>21100</v>
      </c>
      <c r="H6383" t="str">
        <f>HYPERLINK("https://baanknet.com/view-property/286997/E202972570FCCE5312217F06889FB19F80426A9FD135EC9750119A0B758EC085", "https://baanknet.com/view-property/286997/E202972570FCCE5312217F06889FB19F80426A9FD135EC9750119A0B758EC085")</f>
        <v>https://baanknet.com/view-property/286997/E202972570FCCE5312217F06889FB19F80426A9FD135EC9750119A0B758EC085</v>
      </c>
      <c r="I6383" t="str">
        <f>HYPERLINK("https://baanknet.com/view-property/286997/E202972570FCCE5312217F06889FB19F80426A9FD135EC9750119A0B758EC085", "Open")</f>
        <v>Open</v>
      </c>
      <c r="J6383" t="s">
        <v>3803</v>
      </c>
      <c r="L6383">
        <v>5130000</v>
      </c>
      <c r="M6383">
        <v>513000</v>
      </c>
    </row>
    <row r="6384" spans="1:13" x14ac:dyDescent="0.25">
      <c r="A6384" t="s">
        <v>21101</v>
      </c>
      <c r="B6384" t="s">
        <v>21102</v>
      </c>
      <c r="C6384" t="s">
        <v>144</v>
      </c>
      <c r="D6384" t="s">
        <v>1246</v>
      </c>
      <c r="E6384" t="s">
        <v>21077</v>
      </c>
      <c r="F6384" t="s">
        <v>21096</v>
      </c>
      <c r="G6384" t="s">
        <v>21103</v>
      </c>
      <c r="H6384" t="str">
        <f>HYPERLINK("https://baanknet.com/view-property/287012/75B8E3A26622DC70F6C24FEBE967EDB55B8B321927DB4141834B379E8C88994D", "https://baanknet.com/view-property/287012/75B8E3A26622DC70F6C24FEBE967EDB55B8B321927DB4141834B379E8C88994D")</f>
        <v>https://baanknet.com/view-property/287012/75B8E3A26622DC70F6C24FEBE967EDB55B8B321927DB4141834B379E8C88994D</v>
      </c>
      <c r="I6384" t="str">
        <f>HYPERLINK("https://baanknet.com/view-property/287012/75B8E3A26622DC70F6C24FEBE967EDB55B8B321927DB4141834B379E8C88994D", "Open")</f>
        <v>Open</v>
      </c>
      <c r="J6384" t="s">
        <v>3803</v>
      </c>
      <c r="L6384">
        <v>3585000</v>
      </c>
      <c r="M6384">
        <v>358500</v>
      </c>
    </row>
    <row r="6385" spans="1:13" x14ac:dyDescent="0.25">
      <c r="A6385" t="s">
        <v>21104</v>
      </c>
      <c r="B6385" t="s">
        <v>21105</v>
      </c>
      <c r="C6385" t="s">
        <v>83</v>
      </c>
      <c r="D6385" t="s">
        <v>12578</v>
      </c>
      <c r="E6385" t="s">
        <v>21077</v>
      </c>
      <c r="F6385" t="s">
        <v>21096</v>
      </c>
      <c r="G6385" t="s">
        <v>21106</v>
      </c>
      <c r="H6385" t="str">
        <f>HYPERLINK("https://baanknet.com/view-property/287018/2061B1FB5B4AF71C6E0FB541F5CCD8060912A036926B9F81E97656F495F8FA43", "https://baanknet.com/view-property/287018/2061B1FB5B4AF71C6E0FB541F5CCD8060912A036926B9F81E97656F495F8FA43")</f>
        <v>https://baanknet.com/view-property/287018/2061B1FB5B4AF71C6E0FB541F5CCD8060912A036926B9F81E97656F495F8FA43</v>
      </c>
      <c r="I6385" t="str">
        <f>HYPERLINK("https://baanknet.com/view-property/287018/2061B1FB5B4AF71C6E0FB541F5CCD8060912A036926B9F81E97656F495F8FA43", "Open")</f>
        <v>Open</v>
      </c>
      <c r="J6385" t="s">
        <v>3803</v>
      </c>
      <c r="L6385">
        <v>7700000</v>
      </c>
      <c r="M6385">
        <v>770000</v>
      </c>
    </row>
    <row r="6386" spans="1:13" x14ac:dyDescent="0.25">
      <c r="A6386" t="s">
        <v>21107</v>
      </c>
      <c r="B6386" t="s">
        <v>21108</v>
      </c>
      <c r="C6386" t="s">
        <v>144</v>
      </c>
      <c r="D6386" t="s">
        <v>1246</v>
      </c>
      <c r="E6386" t="s">
        <v>21077</v>
      </c>
      <c r="F6386" t="s">
        <v>21096</v>
      </c>
      <c r="G6386" t="s">
        <v>21109</v>
      </c>
      <c r="H6386" t="str">
        <f>HYPERLINK("https://baanknet.com/view-property/287007/69810F133D118E94A794632AF970ED895FBFC8C275AFDA984C86CAB739CE846E", "https://baanknet.com/view-property/287007/69810F133D118E94A794632AF970ED895FBFC8C275AFDA984C86CAB739CE846E")</f>
        <v>https://baanknet.com/view-property/287007/69810F133D118E94A794632AF970ED895FBFC8C275AFDA984C86CAB739CE846E</v>
      </c>
      <c r="I6386" t="str">
        <f>HYPERLINK("https://baanknet.com/view-property/287007/69810F133D118E94A794632AF970ED895FBFC8C275AFDA984C86CAB739CE846E", "Open")</f>
        <v>Open</v>
      </c>
      <c r="J6386" t="s">
        <v>3803</v>
      </c>
      <c r="L6386">
        <v>3585000</v>
      </c>
      <c r="M6386">
        <v>358500</v>
      </c>
    </row>
    <row r="6387" spans="1:13" x14ac:dyDescent="0.25">
      <c r="A6387" t="s">
        <v>21110</v>
      </c>
      <c r="B6387" t="s">
        <v>21111</v>
      </c>
      <c r="C6387" t="s">
        <v>832</v>
      </c>
      <c r="D6387" t="s">
        <v>7867</v>
      </c>
      <c r="E6387" t="s">
        <v>21077</v>
      </c>
      <c r="F6387" t="s">
        <v>21096</v>
      </c>
      <c r="G6387" t="s">
        <v>21112</v>
      </c>
      <c r="H6387" t="str">
        <f>HYPERLINK("https://baanknet.com/view-property/286810/877DBCF0C1AA48D74D88791E180A96027AD26367350ACBF453309545B12E9E57", "https://baanknet.com/view-property/286810/877DBCF0C1AA48D74D88791E180A96027AD26367350ACBF453309545B12E9E57")</f>
        <v>https://baanknet.com/view-property/286810/877DBCF0C1AA48D74D88791E180A96027AD26367350ACBF453309545B12E9E57</v>
      </c>
      <c r="I6387" t="str">
        <f>HYPERLINK("https://baanknet.com/view-property/286810/877DBCF0C1AA48D74D88791E180A96027AD26367350ACBF453309545B12E9E57", "Open")</f>
        <v>Open</v>
      </c>
      <c r="J6387" t="s">
        <v>3803</v>
      </c>
      <c r="L6387">
        <v>2230000</v>
      </c>
      <c r="M6387">
        <v>223000</v>
      </c>
    </row>
    <row r="6388" spans="1:13" x14ac:dyDescent="0.25">
      <c r="A6388" t="s">
        <v>21113</v>
      </c>
      <c r="B6388" t="s">
        <v>21114</v>
      </c>
      <c r="C6388" t="s">
        <v>832</v>
      </c>
      <c r="D6388" t="s">
        <v>3607</v>
      </c>
      <c r="E6388" t="s">
        <v>21077</v>
      </c>
      <c r="F6388" t="s">
        <v>21096</v>
      </c>
      <c r="G6388" t="s">
        <v>21115</v>
      </c>
      <c r="H6388" t="str">
        <f>HYPERLINK("https://baanknet.com/view-property/287167/D22C89266D08F77FF0C4ABF1D7B12330CE4BFFD468DC7B3FA6955F5A51F0AE74", "https://baanknet.com/view-property/287167/D22C89266D08F77FF0C4ABF1D7B12330CE4BFFD468DC7B3FA6955F5A51F0AE74")</f>
        <v>https://baanknet.com/view-property/287167/D22C89266D08F77FF0C4ABF1D7B12330CE4BFFD468DC7B3FA6955F5A51F0AE74</v>
      </c>
      <c r="I6388" t="str">
        <f>HYPERLINK("https://baanknet.com/view-property/287167/D22C89266D08F77FF0C4ABF1D7B12330CE4BFFD468DC7B3FA6955F5A51F0AE74", "Open")</f>
        <v>Open</v>
      </c>
      <c r="J6388" t="s">
        <v>3803</v>
      </c>
      <c r="L6388">
        <v>1850000</v>
      </c>
      <c r="M6388">
        <v>185000</v>
      </c>
    </row>
    <row r="6389" spans="1:13" x14ac:dyDescent="0.25">
      <c r="A6389" t="s">
        <v>21116</v>
      </c>
      <c r="B6389" t="s">
        <v>21117</v>
      </c>
      <c r="C6389" t="s">
        <v>332</v>
      </c>
      <c r="D6389" t="s">
        <v>4679</v>
      </c>
      <c r="E6389" t="s">
        <v>21077</v>
      </c>
      <c r="F6389" t="s">
        <v>21041</v>
      </c>
      <c r="G6389" t="s">
        <v>21118</v>
      </c>
      <c r="H6389" t="str">
        <f>HYPERLINK("https://baanknet.com/view-property/217920/F7C8937D8619C480BF1B025E9737D532D108F319F3C8A70421F3E98C4BB0BAB1", "https://baanknet.com/view-property/217920/F7C8937D8619C480BF1B025E9737D532D108F319F3C8A70421F3E98C4BB0BAB1")</f>
        <v>https://baanknet.com/view-property/217920/F7C8937D8619C480BF1B025E9737D532D108F319F3C8A70421F3E98C4BB0BAB1</v>
      </c>
      <c r="I6389" t="str">
        <f>HYPERLINK("https://baanknet.com/view-property/217920/F7C8937D8619C480BF1B025E9737D532D108F319F3C8A70421F3E98C4BB0BAB1", "Open")</f>
        <v>Open</v>
      </c>
      <c r="J6389" t="s">
        <v>3803</v>
      </c>
      <c r="L6389">
        <v>6750000</v>
      </c>
      <c r="M6389">
        <v>675000</v>
      </c>
    </row>
    <row r="6390" spans="1:13" x14ac:dyDescent="0.25">
      <c r="A6390" t="s">
        <v>21119</v>
      </c>
      <c r="B6390" t="s">
        <v>21120</v>
      </c>
      <c r="C6390" t="s">
        <v>121</v>
      </c>
      <c r="D6390" t="s">
        <v>4542</v>
      </c>
      <c r="E6390" t="s">
        <v>21077</v>
      </c>
      <c r="F6390" t="s">
        <v>21041</v>
      </c>
      <c r="G6390" t="s">
        <v>21121</v>
      </c>
      <c r="H6390" t="str">
        <f>HYPERLINK("https://baanknet.com/view-property/286497/4936893618ACCF08F465A27A05B896250F01CC51EED9A0FE95275311D126D8AA", "https://baanknet.com/view-property/286497/4936893618ACCF08F465A27A05B896250F01CC51EED9A0FE95275311D126D8AA")</f>
        <v>https://baanknet.com/view-property/286497/4936893618ACCF08F465A27A05B896250F01CC51EED9A0FE95275311D126D8AA</v>
      </c>
      <c r="I6390" t="str">
        <f>HYPERLINK("https://baanknet.com/view-property/286497/4936893618ACCF08F465A27A05B896250F01CC51EED9A0FE95275311D126D8AA", "Open")</f>
        <v>Open</v>
      </c>
      <c r="J6390" t="s">
        <v>3803</v>
      </c>
      <c r="L6390">
        <v>18900000</v>
      </c>
      <c r="M6390">
        <v>1890000</v>
      </c>
    </row>
    <row r="6391" spans="1:13" x14ac:dyDescent="0.25">
      <c r="A6391" t="s">
        <v>21122</v>
      </c>
      <c r="B6391" t="s">
        <v>21123</v>
      </c>
      <c r="C6391" t="s">
        <v>121</v>
      </c>
      <c r="D6391" t="s">
        <v>608</v>
      </c>
      <c r="E6391" t="s">
        <v>21077</v>
      </c>
      <c r="F6391" t="s">
        <v>21041</v>
      </c>
      <c r="G6391" t="s">
        <v>21124</v>
      </c>
      <c r="H6391" t="str">
        <f>HYPERLINK("https://baanknet.com/view-property/286573/77112745DC37544F739868706E73E094CC9C0F4C07C6968352FC2B33B0CF1890", "https://baanknet.com/view-property/286573/77112745DC37544F739868706E73E094CC9C0F4C07C6968352FC2B33B0CF1890")</f>
        <v>https://baanknet.com/view-property/286573/77112745DC37544F739868706E73E094CC9C0F4C07C6968352FC2B33B0CF1890</v>
      </c>
      <c r="I6391" t="str">
        <f>HYPERLINK("https://baanknet.com/view-property/286573/77112745DC37544F739868706E73E094CC9C0F4C07C6968352FC2B33B0CF1890", "Open")</f>
        <v>Open</v>
      </c>
      <c r="J6391" t="s">
        <v>3803</v>
      </c>
      <c r="L6391">
        <v>42800000</v>
      </c>
      <c r="M6391">
        <v>4280000</v>
      </c>
    </row>
    <row r="6392" spans="1:13" x14ac:dyDescent="0.25">
      <c r="A6392" t="s">
        <v>21125</v>
      </c>
      <c r="B6392" t="s">
        <v>21126</v>
      </c>
      <c r="C6392" t="s">
        <v>332</v>
      </c>
      <c r="D6392" t="s">
        <v>1003</v>
      </c>
      <c r="E6392" t="s">
        <v>21077</v>
      </c>
      <c r="F6392" t="s">
        <v>21041</v>
      </c>
      <c r="G6392" t="s">
        <v>21127</v>
      </c>
      <c r="H6392" t="str">
        <f>HYPERLINK("https://baanknet.com/view-property/286424/5E8AB36037F9407BA556F3CC9A787A7FE4D4F2000879D172D549AC7142B73BE4", "https://baanknet.com/view-property/286424/5E8AB36037F9407BA556F3CC9A787A7FE4D4F2000879D172D549AC7142B73BE4")</f>
        <v>https://baanknet.com/view-property/286424/5E8AB36037F9407BA556F3CC9A787A7FE4D4F2000879D172D549AC7142B73BE4</v>
      </c>
      <c r="I6392" t="str">
        <f>HYPERLINK("https://baanknet.com/view-property/286424/5E8AB36037F9407BA556F3CC9A787A7FE4D4F2000879D172D549AC7142B73BE4", "Open")</f>
        <v>Open</v>
      </c>
      <c r="J6392" t="s">
        <v>3803</v>
      </c>
      <c r="L6392">
        <v>3100000</v>
      </c>
      <c r="M6392">
        <v>310000</v>
      </c>
    </row>
    <row r="6393" spans="1:13" x14ac:dyDescent="0.25">
      <c r="A6393" t="s">
        <v>21128</v>
      </c>
      <c r="B6393" t="s">
        <v>21129</v>
      </c>
      <c r="C6393" t="s">
        <v>332</v>
      </c>
      <c r="D6393" t="s">
        <v>1003</v>
      </c>
      <c r="E6393" t="s">
        <v>21077</v>
      </c>
      <c r="F6393" t="s">
        <v>21041</v>
      </c>
      <c r="G6393" t="s">
        <v>21130</v>
      </c>
      <c r="H6393" t="str">
        <f>HYPERLINK("https://baanknet.com/view-property/286433/82722B66DEAAF5E599307BF296DD4844DB8A1D183FB7523185DF40C9A89888C0", "https://baanknet.com/view-property/286433/82722B66DEAAF5E599307BF296DD4844DB8A1D183FB7523185DF40C9A89888C0")</f>
        <v>https://baanknet.com/view-property/286433/82722B66DEAAF5E599307BF296DD4844DB8A1D183FB7523185DF40C9A89888C0</v>
      </c>
      <c r="I6393" t="str">
        <f>HYPERLINK("https://baanknet.com/view-property/286433/82722B66DEAAF5E599307BF296DD4844DB8A1D183FB7523185DF40C9A89888C0", "Open")</f>
        <v>Open</v>
      </c>
      <c r="J6393" t="s">
        <v>3803</v>
      </c>
      <c r="L6393">
        <v>3100000</v>
      </c>
      <c r="M6393">
        <v>310000</v>
      </c>
    </row>
    <row r="6394" spans="1:13" x14ac:dyDescent="0.25">
      <c r="A6394" t="s">
        <v>21131</v>
      </c>
      <c r="B6394" t="s">
        <v>21132</v>
      </c>
      <c r="C6394" t="s">
        <v>332</v>
      </c>
      <c r="D6394" t="s">
        <v>518</v>
      </c>
      <c r="E6394" t="s">
        <v>21077</v>
      </c>
      <c r="F6394" t="s">
        <v>21041</v>
      </c>
      <c r="G6394" t="s">
        <v>21133</v>
      </c>
      <c r="H6394" t="str">
        <f>HYPERLINK("https://baanknet.com/view-property/28337/E104E40C186D16E18FE97CDE80F685DDFD67EBDECF7B2FDE72084314612C35F3", "https://baanknet.com/view-property/28337/E104E40C186D16E18FE97CDE80F685DDFD67EBDECF7B2FDE72084314612C35F3")</f>
        <v>https://baanknet.com/view-property/28337/E104E40C186D16E18FE97CDE80F685DDFD67EBDECF7B2FDE72084314612C35F3</v>
      </c>
      <c r="I6394" t="str">
        <f>HYPERLINK("https://baanknet.com/view-property/28337/E104E40C186D16E18FE97CDE80F685DDFD67EBDECF7B2FDE72084314612C35F3", "Open")</f>
        <v>Open</v>
      </c>
      <c r="J6394" t="s">
        <v>3803</v>
      </c>
    </row>
    <row r="6395" spans="1:13" x14ac:dyDescent="0.25">
      <c r="A6395" t="s">
        <v>21134</v>
      </c>
      <c r="B6395" t="s">
        <v>21135</v>
      </c>
      <c r="C6395" t="s">
        <v>332</v>
      </c>
      <c r="D6395" t="s">
        <v>282</v>
      </c>
      <c r="E6395" t="s">
        <v>21077</v>
      </c>
      <c r="F6395" t="s">
        <v>21041</v>
      </c>
      <c r="G6395" t="s">
        <v>21136</v>
      </c>
      <c r="H6395" t="str">
        <f>HYPERLINK("https://baanknet.com/view-property/213443/C44EF9E439FAFA2D28724FDB714634656701030F8C757185EC40C5D8EAB69A3D", "https://baanknet.com/view-property/213443/C44EF9E439FAFA2D28724FDB714634656701030F8C757185EC40C5D8EAB69A3D")</f>
        <v>https://baanknet.com/view-property/213443/C44EF9E439FAFA2D28724FDB714634656701030F8C757185EC40C5D8EAB69A3D</v>
      </c>
      <c r="I6395" t="str">
        <f>HYPERLINK("https://baanknet.com/view-property/213443/C44EF9E439FAFA2D28724FDB714634656701030F8C757185EC40C5D8EAB69A3D", "Open")</f>
        <v>Open</v>
      </c>
      <c r="J6395" t="s">
        <v>3803</v>
      </c>
      <c r="L6395">
        <v>3750000</v>
      </c>
      <c r="M6395">
        <v>375000</v>
      </c>
    </row>
    <row r="6396" spans="1:13" x14ac:dyDescent="0.25">
      <c r="A6396" t="s">
        <v>21137</v>
      </c>
      <c r="B6396" t="s">
        <v>21138</v>
      </c>
      <c r="C6396" t="s">
        <v>332</v>
      </c>
      <c r="D6396" t="s">
        <v>282</v>
      </c>
      <c r="E6396" t="s">
        <v>21077</v>
      </c>
      <c r="F6396" t="s">
        <v>21041</v>
      </c>
      <c r="G6396" t="s">
        <v>21139</v>
      </c>
      <c r="H6396" t="str">
        <f>HYPERLINK("https://baanknet.com/view-property/200088/310FA21A88D431875871799E0F4A4865655DA88EDA8A274700016500763A7DAD", "https://baanknet.com/view-property/200088/310FA21A88D431875871799E0F4A4865655DA88EDA8A274700016500763A7DAD")</f>
        <v>https://baanknet.com/view-property/200088/310FA21A88D431875871799E0F4A4865655DA88EDA8A274700016500763A7DAD</v>
      </c>
      <c r="I6396" t="str">
        <f>HYPERLINK("https://baanknet.com/view-property/200088/310FA21A88D431875871799E0F4A4865655DA88EDA8A274700016500763A7DAD", "Open")</f>
        <v>Open</v>
      </c>
      <c r="J6396" t="s">
        <v>3803</v>
      </c>
      <c r="L6396">
        <v>8700000</v>
      </c>
      <c r="M6396">
        <v>870000</v>
      </c>
    </row>
    <row r="6397" spans="1:13" x14ac:dyDescent="0.25">
      <c r="A6397" t="s">
        <v>21140</v>
      </c>
      <c r="B6397" t="s">
        <v>21141</v>
      </c>
      <c r="C6397" t="s">
        <v>332</v>
      </c>
      <c r="D6397" t="s">
        <v>282</v>
      </c>
      <c r="E6397" t="s">
        <v>21077</v>
      </c>
      <c r="F6397" t="s">
        <v>21041</v>
      </c>
      <c r="G6397" t="s">
        <v>21142</v>
      </c>
      <c r="H6397" t="str">
        <f>HYPERLINK("https://baanknet.com/view-property/200077/959D2B81516FC7912CC3DC9CA0E63D17F0ADE7A067A7CBE2FA4DC02DA9A4C64F", "https://baanknet.com/view-property/200077/959D2B81516FC7912CC3DC9CA0E63D17F0ADE7A067A7CBE2FA4DC02DA9A4C64F")</f>
        <v>https://baanknet.com/view-property/200077/959D2B81516FC7912CC3DC9CA0E63D17F0ADE7A067A7CBE2FA4DC02DA9A4C64F</v>
      </c>
      <c r="I6397" t="str">
        <f>HYPERLINK("https://baanknet.com/view-property/200077/959D2B81516FC7912CC3DC9CA0E63D17F0ADE7A067A7CBE2FA4DC02DA9A4C64F", "Open")</f>
        <v>Open</v>
      </c>
      <c r="J6397" t="s">
        <v>3803</v>
      </c>
      <c r="L6397">
        <v>7700000</v>
      </c>
      <c r="M6397">
        <v>770000</v>
      </c>
    </row>
    <row r="6398" spans="1:13" x14ac:dyDescent="0.25">
      <c r="A6398" t="s">
        <v>21143</v>
      </c>
      <c r="B6398" t="s">
        <v>21144</v>
      </c>
      <c r="C6398" t="s">
        <v>332</v>
      </c>
      <c r="D6398" t="s">
        <v>6068</v>
      </c>
      <c r="E6398" t="s">
        <v>21077</v>
      </c>
      <c r="F6398" t="s">
        <v>21041</v>
      </c>
      <c r="G6398" t="s">
        <v>21145</v>
      </c>
      <c r="H6398" t="str">
        <f>HYPERLINK("https://baanknet.com/view-property/236167/E1C3C3F22B5EFBBCCD0C60C025DB9E00F1A0D7EFD2B2FFCB940C0EFAA1C59D11", "https://baanknet.com/view-property/236167/E1C3C3F22B5EFBBCCD0C60C025DB9E00F1A0D7EFD2B2FFCB940C0EFAA1C59D11")</f>
        <v>https://baanknet.com/view-property/236167/E1C3C3F22B5EFBBCCD0C60C025DB9E00F1A0D7EFD2B2FFCB940C0EFAA1C59D11</v>
      </c>
      <c r="I6398" t="str">
        <f>HYPERLINK("https://baanknet.com/view-property/236167/E1C3C3F22B5EFBBCCD0C60C025DB9E00F1A0D7EFD2B2FFCB940C0EFAA1C59D11", "Open")</f>
        <v>Open</v>
      </c>
      <c r="J6398" t="s">
        <v>3803</v>
      </c>
      <c r="L6398">
        <v>2250000</v>
      </c>
      <c r="M6398">
        <v>225000</v>
      </c>
    </row>
    <row r="6399" spans="1:13" x14ac:dyDescent="0.25">
      <c r="A6399" t="s">
        <v>21146</v>
      </c>
      <c r="B6399" t="s">
        <v>21147</v>
      </c>
      <c r="C6399" t="s">
        <v>332</v>
      </c>
      <c r="D6399" t="s">
        <v>6068</v>
      </c>
      <c r="E6399" t="s">
        <v>21077</v>
      </c>
      <c r="F6399" t="s">
        <v>21041</v>
      </c>
      <c r="G6399" t="s">
        <v>21148</v>
      </c>
      <c r="H6399" t="str">
        <f>HYPERLINK("https://baanknet.com/view-property/236165/928435EC0A712C667CD59B871206FEC70DB61C702EA9D7E7B57E02388F34A1E2", "https://baanknet.com/view-property/236165/928435EC0A712C667CD59B871206FEC70DB61C702EA9D7E7B57E02388F34A1E2")</f>
        <v>https://baanknet.com/view-property/236165/928435EC0A712C667CD59B871206FEC70DB61C702EA9D7E7B57E02388F34A1E2</v>
      </c>
      <c r="I6399" t="str">
        <f>HYPERLINK("https://baanknet.com/view-property/236165/928435EC0A712C667CD59B871206FEC70DB61C702EA9D7E7B57E02388F34A1E2", "Open")</f>
        <v>Open</v>
      </c>
      <c r="J6399" t="s">
        <v>3803</v>
      </c>
      <c r="L6399">
        <v>2250000</v>
      </c>
      <c r="M6399">
        <v>225000</v>
      </c>
    </row>
    <row r="6400" spans="1:13" x14ac:dyDescent="0.25">
      <c r="A6400" t="s">
        <v>21149</v>
      </c>
      <c r="B6400" t="s">
        <v>21150</v>
      </c>
      <c r="C6400" t="s">
        <v>332</v>
      </c>
      <c r="D6400" t="s">
        <v>4085</v>
      </c>
      <c r="E6400" t="s">
        <v>21077</v>
      </c>
      <c r="F6400" t="s">
        <v>21041</v>
      </c>
      <c r="G6400" t="s">
        <v>21151</v>
      </c>
      <c r="H6400" t="str">
        <f>HYPERLINK("https://baanknet.com/view-property/285998/940F58015F329DFE5D00992357082045D3424A526840E88ED9D6780C0F6A4285", "https://baanknet.com/view-property/285998/940F58015F329DFE5D00992357082045D3424A526840E88ED9D6780C0F6A4285")</f>
        <v>https://baanknet.com/view-property/285998/940F58015F329DFE5D00992357082045D3424A526840E88ED9D6780C0F6A4285</v>
      </c>
      <c r="I6400" t="str">
        <f>HYPERLINK("https://baanknet.com/view-property/285998/940F58015F329DFE5D00992357082045D3424A526840E88ED9D6780C0F6A4285", "Open")</f>
        <v>Open</v>
      </c>
      <c r="J6400" t="s">
        <v>3803</v>
      </c>
      <c r="L6400">
        <v>9600000</v>
      </c>
      <c r="M6400">
        <v>960000</v>
      </c>
    </row>
    <row r="6401" spans="1:13" x14ac:dyDescent="0.25">
      <c r="A6401" t="s">
        <v>21152</v>
      </c>
      <c r="B6401" t="s">
        <v>21153</v>
      </c>
      <c r="C6401" t="s">
        <v>332</v>
      </c>
      <c r="D6401" t="s">
        <v>526</v>
      </c>
      <c r="E6401" t="s">
        <v>21077</v>
      </c>
      <c r="F6401" t="s">
        <v>21041</v>
      </c>
      <c r="G6401" t="s">
        <v>21154</v>
      </c>
      <c r="H6401" t="str">
        <f>HYPERLINK("https://baanknet.com/view-property/282730/475718DFF28B724FD05963814DBA880DBEC6E0F9BA22888C620BBFC55132C2E7", "https://baanknet.com/view-property/282730/475718DFF28B724FD05963814DBA880DBEC6E0F9BA22888C620BBFC55132C2E7")</f>
        <v>https://baanknet.com/view-property/282730/475718DFF28B724FD05963814DBA880DBEC6E0F9BA22888C620BBFC55132C2E7</v>
      </c>
      <c r="I6401" t="str">
        <f>HYPERLINK("https://baanknet.com/view-property/282730/475718DFF28B724FD05963814DBA880DBEC6E0F9BA22888C620BBFC55132C2E7", "Open")</f>
        <v>Open</v>
      </c>
      <c r="J6401" t="s">
        <v>3803</v>
      </c>
      <c r="L6401">
        <v>3763000</v>
      </c>
      <c r="M6401">
        <v>376300</v>
      </c>
    </row>
    <row r="6402" spans="1:13" x14ac:dyDescent="0.25">
      <c r="A6402" t="s">
        <v>21155</v>
      </c>
      <c r="B6402" t="s">
        <v>21156</v>
      </c>
      <c r="C6402" t="s">
        <v>571</v>
      </c>
      <c r="D6402" t="s">
        <v>21157</v>
      </c>
      <c r="E6402" t="s">
        <v>21077</v>
      </c>
      <c r="F6402" t="s">
        <v>21158</v>
      </c>
      <c r="G6402" t="s">
        <v>21159</v>
      </c>
      <c r="H6402" t="str">
        <f>HYPERLINK("https://baanknet.com/view-property/286867/F8902C4E1F51FB7EFBB6DC9B8C0650FA85404698DF5688E66B97B7A24A129434", "https://baanknet.com/view-property/286867/F8902C4E1F51FB7EFBB6DC9B8C0650FA85404698DF5688E66B97B7A24A129434")</f>
        <v>https://baanknet.com/view-property/286867/F8902C4E1F51FB7EFBB6DC9B8C0650FA85404698DF5688E66B97B7A24A129434</v>
      </c>
      <c r="I6402" t="str">
        <f>HYPERLINK("https://baanknet.com/view-property/286867/F8902C4E1F51FB7EFBB6DC9B8C0650FA85404698DF5688E66B97B7A24A129434", "Open")</f>
        <v>Open</v>
      </c>
      <c r="J6402" t="s">
        <v>3803</v>
      </c>
      <c r="L6402">
        <v>2050000</v>
      </c>
      <c r="M6402">
        <v>205000</v>
      </c>
    </row>
    <row r="6403" spans="1:13" x14ac:dyDescent="0.25">
      <c r="A6403" t="s">
        <v>21160</v>
      </c>
      <c r="B6403" t="s">
        <v>21161</v>
      </c>
      <c r="C6403" t="s">
        <v>571</v>
      </c>
      <c r="D6403" t="s">
        <v>6872</v>
      </c>
      <c r="E6403" t="s">
        <v>21077</v>
      </c>
      <c r="F6403" t="s">
        <v>21158</v>
      </c>
      <c r="G6403" t="s">
        <v>21162</v>
      </c>
      <c r="H6403" t="str">
        <f>HYPERLINK("https://baanknet.com/view-property/286876/5A2A5705935BF053A1050E5D3C2D7DB9C29B21AE7663607BB611ADE1D68044E2", "https://baanknet.com/view-property/286876/5A2A5705935BF053A1050E5D3C2D7DB9C29B21AE7663607BB611ADE1D68044E2")</f>
        <v>https://baanknet.com/view-property/286876/5A2A5705935BF053A1050E5D3C2D7DB9C29B21AE7663607BB611ADE1D68044E2</v>
      </c>
      <c r="I6403" t="str">
        <f>HYPERLINK("https://baanknet.com/view-property/286876/5A2A5705935BF053A1050E5D3C2D7DB9C29B21AE7663607BB611ADE1D68044E2", "Open")</f>
        <v>Open</v>
      </c>
      <c r="J6403" t="s">
        <v>3803</v>
      </c>
      <c r="L6403">
        <v>3600000</v>
      </c>
      <c r="M6403">
        <v>360000</v>
      </c>
    </row>
    <row r="6404" spans="1:13" x14ac:dyDescent="0.25">
      <c r="A6404" t="s">
        <v>21163</v>
      </c>
      <c r="B6404" t="s">
        <v>21164</v>
      </c>
      <c r="C6404" t="s">
        <v>387</v>
      </c>
      <c r="D6404" t="s">
        <v>1003</v>
      </c>
      <c r="E6404" t="s">
        <v>21077</v>
      </c>
      <c r="F6404" t="s">
        <v>21045</v>
      </c>
      <c r="G6404" t="s">
        <v>21165</v>
      </c>
      <c r="H6404" t="str">
        <f>HYPERLINK("https://baanknet.com/view-property/286421/AF63B7AF63E504FE0CA8C84B3AF140D1D5B34F8CFD2C97B6AD717EBD5108E312", "https://baanknet.com/view-property/286421/AF63B7AF63E504FE0CA8C84B3AF140D1D5B34F8CFD2C97B6AD717EBD5108E312")</f>
        <v>https://baanknet.com/view-property/286421/AF63B7AF63E504FE0CA8C84B3AF140D1D5B34F8CFD2C97B6AD717EBD5108E312</v>
      </c>
      <c r="I6404" t="str">
        <f>HYPERLINK("https://baanknet.com/view-property/286421/AF63B7AF63E504FE0CA8C84B3AF140D1D5B34F8CFD2C97B6AD717EBD5108E312", "Open")</f>
        <v>Open</v>
      </c>
      <c r="J6404" t="s">
        <v>3803</v>
      </c>
      <c r="L6404">
        <v>443700</v>
      </c>
      <c r="M6404">
        <v>44370</v>
      </c>
    </row>
    <row r="6405" spans="1:13" x14ac:dyDescent="0.25">
      <c r="A6405" t="s">
        <v>21166</v>
      </c>
      <c r="B6405" t="s">
        <v>21167</v>
      </c>
      <c r="C6405" t="s">
        <v>387</v>
      </c>
      <c r="D6405" t="s">
        <v>4917</v>
      </c>
      <c r="E6405" t="s">
        <v>21077</v>
      </c>
      <c r="F6405" t="s">
        <v>21045</v>
      </c>
      <c r="G6405" t="s">
        <v>21168</v>
      </c>
      <c r="H6405" t="str">
        <f>HYPERLINK("https://baanknet.com/view-property/286411/8C1429ABFBF160BB007782891D7F85E11CD314058B51898A3B07F51D23CE8A21", "https://baanknet.com/view-property/286411/8C1429ABFBF160BB007782891D7F85E11CD314058B51898A3B07F51D23CE8A21")</f>
        <v>https://baanknet.com/view-property/286411/8C1429ABFBF160BB007782891D7F85E11CD314058B51898A3B07F51D23CE8A21</v>
      </c>
      <c r="I6405" t="str">
        <f>HYPERLINK("https://baanknet.com/view-property/286411/8C1429ABFBF160BB007782891D7F85E11CD314058B51898A3B07F51D23CE8A21", "Open")</f>
        <v>Open</v>
      </c>
      <c r="J6405" t="s">
        <v>3803</v>
      </c>
      <c r="L6405">
        <v>281700</v>
      </c>
      <c r="M6405">
        <v>28170</v>
      </c>
    </row>
    <row r="6406" spans="1:13" x14ac:dyDescent="0.25">
      <c r="A6406" t="s">
        <v>21169</v>
      </c>
      <c r="B6406" t="s">
        <v>21170</v>
      </c>
      <c r="C6406" t="s">
        <v>15</v>
      </c>
      <c r="D6406" t="s">
        <v>17099</v>
      </c>
      <c r="E6406" t="s">
        <v>21054</v>
      </c>
      <c r="F6406" t="s">
        <v>21171</v>
      </c>
      <c r="G6406" t="s">
        <v>21172</v>
      </c>
      <c r="H6406" t="str">
        <f>HYPERLINK("https://baanknet.com/view-property/287024/258DB79C5ED6892BE3B9D98BC8E1FAC5B56945F390E80CF6B2F8D46830085A73", "https://baanknet.com/view-property/287024/258DB79C5ED6892BE3B9D98BC8E1FAC5B56945F390E80CF6B2F8D46830085A73")</f>
        <v>https://baanknet.com/view-property/287024/258DB79C5ED6892BE3B9D98BC8E1FAC5B56945F390E80CF6B2F8D46830085A73</v>
      </c>
      <c r="I6406" t="str">
        <f>HYPERLINK("https://baanknet.com/view-property/287024/258DB79C5ED6892BE3B9D98BC8E1FAC5B56945F390E80CF6B2F8D46830085A73", "Open")</f>
        <v>Open</v>
      </c>
      <c r="J6406" t="s">
        <v>3803</v>
      </c>
      <c r="L6406">
        <v>3523000</v>
      </c>
      <c r="M6406">
        <v>352300</v>
      </c>
    </row>
    <row r="6407" spans="1:13" x14ac:dyDescent="0.25">
      <c r="A6407" t="s">
        <v>21173</v>
      </c>
      <c r="B6407" t="s">
        <v>21174</v>
      </c>
      <c r="C6407" t="s">
        <v>832</v>
      </c>
      <c r="D6407" t="s">
        <v>1520</v>
      </c>
      <c r="E6407" t="s">
        <v>21054</v>
      </c>
      <c r="F6407" t="s">
        <v>21096</v>
      </c>
      <c r="G6407" t="s">
        <v>21175</v>
      </c>
      <c r="H6407" t="str">
        <f>HYPERLINK("https://baanknet.com/view-property/286429/802F541B7ACB92DD5306FC90CBE43A55772910928B532BED3DD66A116E6290E0", "https://baanknet.com/view-property/286429/802F541B7ACB92DD5306FC90CBE43A55772910928B532BED3DD66A116E6290E0")</f>
        <v>https://baanknet.com/view-property/286429/802F541B7ACB92DD5306FC90CBE43A55772910928B532BED3DD66A116E6290E0</v>
      </c>
      <c r="I6407" t="str">
        <f>HYPERLINK("https://baanknet.com/view-property/286429/802F541B7ACB92DD5306FC90CBE43A55772910928B532BED3DD66A116E6290E0", "Open")</f>
        <v>Open</v>
      </c>
      <c r="J6407" t="s">
        <v>3803</v>
      </c>
      <c r="L6407">
        <v>6300000</v>
      </c>
      <c r="M6407">
        <v>630000</v>
      </c>
    </row>
    <row r="6408" spans="1:13" x14ac:dyDescent="0.25">
      <c r="A6408" t="s">
        <v>21176</v>
      </c>
      <c r="B6408" t="s">
        <v>21177</v>
      </c>
      <c r="C6408" t="s">
        <v>832</v>
      </c>
      <c r="D6408" t="s">
        <v>21178</v>
      </c>
      <c r="E6408" t="s">
        <v>21054</v>
      </c>
      <c r="F6408" t="s">
        <v>21096</v>
      </c>
      <c r="G6408" t="s">
        <v>21179</v>
      </c>
      <c r="H6408" t="str">
        <f>HYPERLINK("https://baanknet.com/view-property/286476/BB83E67F2D3629E4100161B42BC34EC1D01A78A6BC5EB0E57021509E948938D5", "https://baanknet.com/view-property/286476/BB83E67F2D3629E4100161B42BC34EC1D01A78A6BC5EB0E57021509E948938D5")</f>
        <v>https://baanknet.com/view-property/286476/BB83E67F2D3629E4100161B42BC34EC1D01A78A6BC5EB0E57021509E948938D5</v>
      </c>
      <c r="I6408" t="str">
        <f>HYPERLINK("https://baanknet.com/view-property/286476/BB83E67F2D3629E4100161B42BC34EC1D01A78A6BC5EB0E57021509E948938D5", "Open")</f>
        <v>Open</v>
      </c>
      <c r="J6408" t="s">
        <v>3803</v>
      </c>
      <c r="L6408">
        <v>23000000</v>
      </c>
      <c r="M6408">
        <v>2300000</v>
      </c>
    </row>
    <row r="6409" spans="1:13" x14ac:dyDescent="0.25">
      <c r="A6409" t="s">
        <v>21180</v>
      </c>
      <c r="B6409" t="s">
        <v>21181</v>
      </c>
      <c r="C6409" t="s">
        <v>832</v>
      </c>
      <c r="D6409" t="s">
        <v>21178</v>
      </c>
      <c r="E6409" t="s">
        <v>21054</v>
      </c>
      <c r="F6409" t="s">
        <v>21096</v>
      </c>
      <c r="G6409" t="s">
        <v>21182</v>
      </c>
      <c r="H6409" t="str">
        <f>HYPERLINK("https://baanknet.com/view-property/286482/5F7B014C2514312056B727DDDA26AB0073419FD48C2DB5DFB84A0AABAF1315B4", "https://baanknet.com/view-property/286482/5F7B014C2514312056B727DDDA26AB0073419FD48C2DB5DFB84A0AABAF1315B4")</f>
        <v>https://baanknet.com/view-property/286482/5F7B014C2514312056B727DDDA26AB0073419FD48C2DB5DFB84A0AABAF1315B4</v>
      </c>
      <c r="I6409" t="str">
        <f>HYPERLINK("https://baanknet.com/view-property/286482/5F7B014C2514312056B727DDDA26AB0073419FD48C2DB5DFB84A0AABAF1315B4", "Open")</f>
        <v>Open</v>
      </c>
      <c r="J6409" t="s">
        <v>3803</v>
      </c>
      <c r="L6409">
        <v>12000000</v>
      </c>
      <c r="M6409">
        <v>1200000</v>
      </c>
    </row>
    <row r="6410" spans="1:13" x14ac:dyDescent="0.25">
      <c r="A6410" t="s">
        <v>21183</v>
      </c>
      <c r="B6410" t="s">
        <v>21184</v>
      </c>
      <c r="C6410" t="s">
        <v>832</v>
      </c>
      <c r="D6410" t="s">
        <v>21185</v>
      </c>
      <c r="E6410" t="s">
        <v>21054</v>
      </c>
      <c r="F6410" t="s">
        <v>21096</v>
      </c>
      <c r="G6410" t="s">
        <v>21186</v>
      </c>
      <c r="H6410" t="str">
        <f>HYPERLINK("https://baanknet.com/view-property/286484/1A7A9CA1D6026AB6B089E5589A3A2B1EEB7C35B9AF924FA136F665DEBA75738F", "https://baanknet.com/view-property/286484/1A7A9CA1D6026AB6B089E5589A3A2B1EEB7C35B9AF924FA136F665DEBA75738F")</f>
        <v>https://baanknet.com/view-property/286484/1A7A9CA1D6026AB6B089E5589A3A2B1EEB7C35B9AF924FA136F665DEBA75738F</v>
      </c>
      <c r="I6410" t="str">
        <f>HYPERLINK("https://baanknet.com/view-property/286484/1A7A9CA1D6026AB6B089E5589A3A2B1EEB7C35B9AF924FA136F665DEBA75738F", "Open")</f>
        <v>Open</v>
      </c>
      <c r="J6410" t="s">
        <v>3803</v>
      </c>
      <c r="L6410">
        <v>32000000</v>
      </c>
      <c r="M6410">
        <v>3200000</v>
      </c>
    </row>
    <row r="6411" spans="1:13" x14ac:dyDescent="0.25">
      <c r="A6411" t="s">
        <v>21187</v>
      </c>
      <c r="B6411" t="s">
        <v>21188</v>
      </c>
      <c r="C6411" t="s">
        <v>832</v>
      </c>
      <c r="D6411" t="s">
        <v>21189</v>
      </c>
      <c r="E6411" t="s">
        <v>21054</v>
      </c>
      <c r="F6411" t="s">
        <v>21096</v>
      </c>
      <c r="G6411" t="s">
        <v>21190</v>
      </c>
      <c r="H6411" t="str">
        <f>HYPERLINK("https://baanknet.com/view-property/286489/866D2455C3054D34795CF5D63E9D3AC15791A23E114406A32F5689DC915C28D0", "https://baanknet.com/view-property/286489/866D2455C3054D34795CF5D63E9D3AC15791A23E114406A32F5689DC915C28D0")</f>
        <v>https://baanknet.com/view-property/286489/866D2455C3054D34795CF5D63E9D3AC15791A23E114406A32F5689DC915C28D0</v>
      </c>
      <c r="I6411" t="str">
        <f>HYPERLINK("https://baanknet.com/view-property/286489/866D2455C3054D34795CF5D63E9D3AC15791A23E114406A32F5689DC915C28D0", "Open")</f>
        <v>Open</v>
      </c>
      <c r="J6411" t="s">
        <v>3803</v>
      </c>
      <c r="L6411">
        <v>18000000</v>
      </c>
      <c r="M6411">
        <v>1800000</v>
      </c>
    </row>
    <row r="6412" spans="1:13" x14ac:dyDescent="0.25">
      <c r="A6412" t="s">
        <v>21191</v>
      </c>
      <c r="B6412" t="s">
        <v>21192</v>
      </c>
      <c r="C6412" t="s">
        <v>15</v>
      </c>
      <c r="D6412" t="s">
        <v>937</v>
      </c>
      <c r="E6412" t="s">
        <v>21078</v>
      </c>
      <c r="F6412" t="s">
        <v>21085</v>
      </c>
      <c r="G6412" t="s">
        <v>21193</v>
      </c>
      <c r="H6412" t="str">
        <f>HYPERLINK("https://baanknet.com/view-property/286357/956941E669D665025663AE25B9746C891D60D569A9CAF5DDE921CAA865DDAD50", "https://baanknet.com/view-property/286357/956941E669D665025663AE25B9746C891D60D569A9CAF5DDE921CAA865DDAD50")</f>
        <v>https://baanknet.com/view-property/286357/956941E669D665025663AE25B9746C891D60D569A9CAF5DDE921CAA865DDAD50</v>
      </c>
      <c r="I6412" t="str">
        <f>HYPERLINK("https://baanknet.com/view-property/286357/956941E669D665025663AE25B9746C891D60D569A9CAF5DDE921CAA865DDAD50", "Open")</f>
        <v>Open</v>
      </c>
      <c r="J6412" t="s">
        <v>3803</v>
      </c>
      <c r="L6412">
        <v>3914000</v>
      </c>
      <c r="M6412">
        <v>391400</v>
      </c>
    </row>
    <row r="6413" spans="1:13" x14ac:dyDescent="0.25">
      <c r="A6413" t="s">
        <v>21194</v>
      </c>
      <c r="B6413" t="s">
        <v>21195</v>
      </c>
      <c r="C6413" t="s">
        <v>15</v>
      </c>
      <c r="D6413" t="s">
        <v>4471</v>
      </c>
      <c r="E6413" t="s">
        <v>21078</v>
      </c>
      <c r="F6413" t="s">
        <v>21085</v>
      </c>
      <c r="G6413" t="s">
        <v>21196</v>
      </c>
      <c r="H6413" t="str">
        <f>HYPERLINK("https://baanknet.com/view-property/239368/D4C11522EED2D0423B6843A93F7EBB4AC37BBF3968E5DF475CEF97DF6A85FBA5", "https://baanknet.com/view-property/239368/D4C11522EED2D0423B6843A93F7EBB4AC37BBF3968E5DF475CEF97DF6A85FBA5")</f>
        <v>https://baanknet.com/view-property/239368/D4C11522EED2D0423B6843A93F7EBB4AC37BBF3968E5DF475CEF97DF6A85FBA5</v>
      </c>
      <c r="I6413" t="str">
        <f>HYPERLINK("https://baanknet.com/view-property/239368/D4C11522EED2D0423B6843A93F7EBB4AC37BBF3968E5DF475CEF97DF6A85FBA5", "Open")</f>
        <v>Open</v>
      </c>
      <c r="J6413" t="s">
        <v>3803</v>
      </c>
      <c r="L6413">
        <v>2360000</v>
      </c>
      <c r="M6413">
        <v>236000</v>
      </c>
    </row>
    <row r="6414" spans="1:13" x14ac:dyDescent="0.25">
      <c r="A6414" t="s">
        <v>21197</v>
      </c>
      <c r="B6414" t="s">
        <v>21198</v>
      </c>
      <c r="C6414" t="s">
        <v>387</v>
      </c>
      <c r="D6414" t="s">
        <v>21199</v>
      </c>
      <c r="E6414" t="s">
        <v>21078</v>
      </c>
      <c r="F6414" t="s">
        <v>21041</v>
      </c>
      <c r="G6414" t="s">
        <v>21200</v>
      </c>
      <c r="H6414" t="str">
        <f>HYPERLINK("https://baanknet.com/view-property/287324/E41225BFF692BAC2C5315C1F72FEB2DDF1FFAF6A4F029C894B4E0CB0C8AFDB14", "https://baanknet.com/view-property/287324/E41225BFF692BAC2C5315C1F72FEB2DDF1FFAF6A4F029C894B4E0CB0C8AFDB14")</f>
        <v>https://baanknet.com/view-property/287324/E41225BFF692BAC2C5315C1F72FEB2DDF1FFAF6A4F029C894B4E0CB0C8AFDB14</v>
      </c>
      <c r="I6414" t="str">
        <f>HYPERLINK("https://baanknet.com/view-property/287324/E41225BFF692BAC2C5315C1F72FEB2DDF1FFAF6A4F029C894B4E0CB0C8AFDB14", "Open")</f>
        <v>Open</v>
      </c>
      <c r="J6414" t="s">
        <v>3803</v>
      </c>
      <c r="L6414">
        <v>548000</v>
      </c>
      <c r="M6414">
        <v>55000</v>
      </c>
    </row>
    <row r="6415" spans="1:13" x14ac:dyDescent="0.25">
      <c r="A6415" t="s">
        <v>21201</v>
      </c>
      <c r="B6415" t="s">
        <v>21202</v>
      </c>
      <c r="C6415" t="s">
        <v>387</v>
      </c>
      <c r="D6415" t="s">
        <v>21203</v>
      </c>
      <c r="E6415" t="s">
        <v>21078</v>
      </c>
      <c r="F6415" t="s">
        <v>21041</v>
      </c>
      <c r="G6415" t="s">
        <v>21204</v>
      </c>
      <c r="H6415" t="str">
        <f>HYPERLINK("https://baanknet.com/view-property/287320/2768D6F97229777D51CB7222B064B0CD157F349616F63AFBEDB0621AD0446695", "https://baanknet.com/view-property/287320/2768D6F97229777D51CB7222B064B0CD157F349616F63AFBEDB0621AD0446695")</f>
        <v>https://baanknet.com/view-property/287320/2768D6F97229777D51CB7222B064B0CD157F349616F63AFBEDB0621AD0446695</v>
      </c>
      <c r="I6415" t="str">
        <f>HYPERLINK("https://baanknet.com/view-property/287320/2768D6F97229777D51CB7222B064B0CD157F349616F63AFBEDB0621AD0446695", "Open")</f>
        <v>Open</v>
      </c>
      <c r="J6415" t="s">
        <v>3803</v>
      </c>
      <c r="L6415">
        <v>2247000</v>
      </c>
      <c r="M6415">
        <v>225000</v>
      </c>
    </row>
    <row r="6416" spans="1:13" x14ac:dyDescent="0.25">
      <c r="A6416" t="s">
        <v>21205</v>
      </c>
      <c r="B6416" t="s">
        <v>21206</v>
      </c>
      <c r="C6416" t="s">
        <v>387</v>
      </c>
      <c r="D6416" t="s">
        <v>14294</v>
      </c>
      <c r="E6416" t="s">
        <v>21078</v>
      </c>
      <c r="F6416" t="s">
        <v>21041</v>
      </c>
      <c r="G6416" t="s">
        <v>21207</v>
      </c>
      <c r="H6416" t="str">
        <f>HYPERLINK("https://baanknet.com/view-property/287317/082824F4041DF21A9B8F6037057050A503BEBE527FCAF0B70DA8C3C0DC947426", "https://baanknet.com/view-property/287317/082824F4041DF21A9B8F6037057050A503BEBE527FCAF0B70DA8C3C0DC947426")</f>
        <v>https://baanknet.com/view-property/287317/082824F4041DF21A9B8F6037057050A503BEBE527FCAF0B70DA8C3C0DC947426</v>
      </c>
      <c r="I6416" t="str">
        <f>HYPERLINK("https://baanknet.com/view-property/287317/082824F4041DF21A9B8F6037057050A503BEBE527FCAF0B70DA8C3C0DC947426", "Open")</f>
        <v>Open</v>
      </c>
      <c r="J6416" t="s">
        <v>3803</v>
      </c>
      <c r="L6416">
        <v>1092000</v>
      </c>
      <c r="M6416">
        <v>110000</v>
      </c>
    </row>
    <row r="6417" spans="1:13" x14ac:dyDescent="0.25">
      <c r="A6417" t="s">
        <v>21208</v>
      </c>
      <c r="B6417" t="s">
        <v>21209</v>
      </c>
      <c r="C6417" t="s">
        <v>387</v>
      </c>
      <c r="D6417" t="s">
        <v>14294</v>
      </c>
      <c r="E6417" t="s">
        <v>21078</v>
      </c>
      <c r="F6417" t="s">
        <v>21041</v>
      </c>
      <c r="G6417" t="s">
        <v>21210</v>
      </c>
      <c r="H6417" t="str">
        <f>HYPERLINK("https://baanknet.com/view-property/287316/0EA5DEFFEB682D4DC06AC6CB1F3C238EA138D0C4399BD0350837E52964D5109E", "https://baanknet.com/view-property/287316/0EA5DEFFEB682D4DC06AC6CB1F3C238EA138D0C4399BD0350837E52964D5109E")</f>
        <v>https://baanknet.com/view-property/287316/0EA5DEFFEB682D4DC06AC6CB1F3C238EA138D0C4399BD0350837E52964D5109E</v>
      </c>
      <c r="I6417" t="str">
        <f>HYPERLINK("https://baanknet.com/view-property/287316/0EA5DEFFEB682D4DC06AC6CB1F3C238EA138D0C4399BD0350837E52964D5109E", "Open")</f>
        <v>Open</v>
      </c>
      <c r="J6417" t="s">
        <v>3803</v>
      </c>
      <c r="L6417">
        <v>564000</v>
      </c>
      <c r="M6417">
        <v>57000</v>
      </c>
    </row>
    <row r="6418" spans="1:13" x14ac:dyDescent="0.25">
      <c r="A6418" t="s">
        <v>21211</v>
      </c>
      <c r="B6418" t="s">
        <v>21212</v>
      </c>
      <c r="C6418" t="s">
        <v>387</v>
      </c>
      <c r="D6418" t="s">
        <v>14294</v>
      </c>
      <c r="E6418" t="s">
        <v>21078</v>
      </c>
      <c r="F6418" t="s">
        <v>21041</v>
      </c>
      <c r="G6418" t="s">
        <v>21213</v>
      </c>
      <c r="H6418" t="str">
        <f>HYPERLINK("https://baanknet.com/view-property/287216/D88B875A4687A2F8CCACB2C5E7279B663CBA744668E1863472ED399A819E91CA", "https://baanknet.com/view-property/287216/D88B875A4687A2F8CCACB2C5E7279B663CBA744668E1863472ED399A819E91CA")</f>
        <v>https://baanknet.com/view-property/287216/D88B875A4687A2F8CCACB2C5E7279B663CBA744668E1863472ED399A819E91CA</v>
      </c>
      <c r="I6418" t="str">
        <f>HYPERLINK("https://baanknet.com/view-property/287216/D88B875A4687A2F8CCACB2C5E7279B663CBA744668E1863472ED399A819E91CA", "Open")</f>
        <v>Open</v>
      </c>
      <c r="J6418" t="s">
        <v>3803</v>
      </c>
      <c r="L6418">
        <v>2030000</v>
      </c>
      <c r="M6418">
        <v>203000</v>
      </c>
    </row>
    <row r="6419" spans="1:13" x14ac:dyDescent="0.25">
      <c r="A6419" t="s">
        <v>21214</v>
      </c>
      <c r="B6419" t="s">
        <v>21215</v>
      </c>
      <c r="C6419" t="s">
        <v>15</v>
      </c>
      <c r="D6419" t="s">
        <v>282</v>
      </c>
      <c r="E6419" t="s">
        <v>21085</v>
      </c>
      <c r="F6419" t="s">
        <v>21096</v>
      </c>
      <c r="G6419" t="s">
        <v>21216</v>
      </c>
      <c r="H6419" t="str">
        <f>HYPERLINK("https://baanknet.com/view-property/286786/CBD829F976803E06CBB54214D0EC09824DD9B49BE86DA49044086A9C38425AD6", "https://baanknet.com/view-property/286786/CBD829F976803E06CBB54214D0EC09824DD9B49BE86DA49044086A9C38425AD6")</f>
        <v>https://baanknet.com/view-property/286786/CBD829F976803E06CBB54214D0EC09824DD9B49BE86DA49044086A9C38425AD6</v>
      </c>
      <c r="I6419" t="str">
        <f>HYPERLINK("https://baanknet.com/view-property/286786/CBD829F976803E06CBB54214D0EC09824DD9B49BE86DA49044086A9C38425AD6", "Open")</f>
        <v>Open</v>
      </c>
      <c r="J6419" t="s">
        <v>3803</v>
      </c>
      <c r="L6419">
        <v>2762000</v>
      </c>
      <c r="M6419">
        <v>276200</v>
      </c>
    </row>
    <row r="6420" spans="1:13" x14ac:dyDescent="0.25">
      <c r="A6420" t="s">
        <v>21217</v>
      </c>
      <c r="B6420" t="s">
        <v>21218</v>
      </c>
      <c r="C6420" t="s">
        <v>15</v>
      </c>
      <c r="D6420" t="s">
        <v>21219</v>
      </c>
      <c r="E6420" t="s">
        <v>21085</v>
      </c>
      <c r="F6420" t="s">
        <v>21096</v>
      </c>
      <c r="G6420" t="s">
        <v>21220</v>
      </c>
      <c r="H6420" t="str">
        <f>HYPERLINK("https://baanknet.com/view-property/203372/80295AC6CC6CF6903CC0553B1E87C5A812FFD74FF732480B06E7FD949753811E", "https://baanknet.com/view-property/203372/80295AC6CC6CF6903CC0553B1E87C5A812FFD74FF732480B06E7FD949753811E")</f>
        <v>https://baanknet.com/view-property/203372/80295AC6CC6CF6903CC0553B1E87C5A812FFD74FF732480B06E7FD949753811E</v>
      </c>
      <c r="I6420" t="str">
        <f>HYPERLINK("https://baanknet.com/view-property/203372/80295AC6CC6CF6903CC0553B1E87C5A812FFD74FF732480B06E7FD949753811E", "Open")</f>
        <v>Open</v>
      </c>
      <c r="J6420" t="s">
        <v>3803</v>
      </c>
      <c r="L6420">
        <v>9353000</v>
      </c>
      <c r="M6420">
        <v>935300</v>
      </c>
    </row>
    <row r="6421" spans="1:13" x14ac:dyDescent="0.25">
      <c r="A6421" t="s">
        <v>21221</v>
      </c>
      <c r="B6421" t="s">
        <v>21222</v>
      </c>
      <c r="C6421" t="s">
        <v>15</v>
      </c>
      <c r="D6421" t="s">
        <v>5556</v>
      </c>
      <c r="E6421" t="s">
        <v>21085</v>
      </c>
      <c r="F6421" t="s">
        <v>21096</v>
      </c>
      <c r="G6421" t="s">
        <v>21223</v>
      </c>
      <c r="H6421" t="str">
        <f>HYPERLINK("https://baanknet.com/view-property/287253/43E23FE36FCED9DF8CB312E0501D544839D9DD20A4B7DBA05FF52D2B329397EC", "https://baanknet.com/view-property/287253/43E23FE36FCED9DF8CB312E0501D544839D9DD20A4B7DBA05FF52D2B329397EC")</f>
        <v>https://baanknet.com/view-property/287253/43E23FE36FCED9DF8CB312E0501D544839D9DD20A4B7DBA05FF52D2B329397EC</v>
      </c>
      <c r="I6421" t="str">
        <f>HYPERLINK("https://baanknet.com/view-property/287253/43E23FE36FCED9DF8CB312E0501D544839D9DD20A4B7DBA05FF52D2B329397EC", "Open")</f>
        <v>Open</v>
      </c>
      <c r="J6421" t="s">
        <v>3803</v>
      </c>
      <c r="L6421">
        <v>2932000</v>
      </c>
      <c r="M6421">
        <v>293200</v>
      </c>
    </row>
    <row r="6422" spans="1:13" x14ac:dyDescent="0.25">
      <c r="A6422" t="s">
        <v>21224</v>
      </c>
      <c r="B6422" t="s">
        <v>21225</v>
      </c>
      <c r="C6422" t="s">
        <v>15</v>
      </c>
      <c r="D6422" t="s">
        <v>733</v>
      </c>
      <c r="E6422" t="s">
        <v>21085</v>
      </c>
      <c r="F6422" t="s">
        <v>21096</v>
      </c>
      <c r="G6422" t="s">
        <v>21226</v>
      </c>
      <c r="H6422" t="str">
        <f>HYPERLINK("https://baanknet.com/view-property/287246/DFD96AF5E5C963EC4BD28AD8676287AF8014141382191431E07E277770F626BB", "https://baanknet.com/view-property/287246/DFD96AF5E5C963EC4BD28AD8676287AF8014141382191431E07E277770F626BB")</f>
        <v>https://baanknet.com/view-property/287246/DFD96AF5E5C963EC4BD28AD8676287AF8014141382191431E07E277770F626BB</v>
      </c>
      <c r="I6422" t="str">
        <f>HYPERLINK("https://baanknet.com/view-property/287246/DFD96AF5E5C963EC4BD28AD8676287AF8014141382191431E07E277770F626BB", "Open")</f>
        <v>Open</v>
      </c>
      <c r="J6422" t="s">
        <v>3803</v>
      </c>
      <c r="L6422">
        <v>1135000</v>
      </c>
      <c r="M6422">
        <v>113500</v>
      </c>
    </row>
    <row r="6423" spans="1:13" x14ac:dyDescent="0.25">
      <c r="A6423" t="s">
        <v>21227</v>
      </c>
      <c r="B6423" t="s">
        <v>21228</v>
      </c>
      <c r="C6423" t="s">
        <v>15</v>
      </c>
      <c r="D6423" t="s">
        <v>518</v>
      </c>
      <c r="E6423" t="s">
        <v>21085</v>
      </c>
      <c r="F6423" t="s">
        <v>21096</v>
      </c>
      <c r="G6423" t="s">
        <v>21229</v>
      </c>
      <c r="H6423" t="str">
        <f>HYPERLINK("https://baanknet.com/view-property/287251/A24FAD6F6939E9D3539401A114FD938BC962E279F00E3F9F6F26D324E3012F24", "https://baanknet.com/view-property/287251/A24FAD6F6939E9D3539401A114FD938BC962E279F00E3F9F6F26D324E3012F24")</f>
        <v>https://baanknet.com/view-property/287251/A24FAD6F6939E9D3539401A114FD938BC962E279F00E3F9F6F26D324E3012F24</v>
      </c>
      <c r="I6423" t="str">
        <f>HYPERLINK("https://baanknet.com/view-property/287251/A24FAD6F6939E9D3539401A114FD938BC962E279F00E3F9F6F26D324E3012F24", "Open")</f>
        <v>Open</v>
      </c>
      <c r="J6423" t="s">
        <v>3803</v>
      </c>
      <c r="L6423">
        <v>1413000</v>
      </c>
      <c r="M6423">
        <v>141300</v>
      </c>
    </row>
    <row r="6424" spans="1:13" x14ac:dyDescent="0.25">
      <c r="A6424" t="s">
        <v>21230</v>
      </c>
      <c r="B6424" t="s">
        <v>21231</v>
      </c>
      <c r="C6424" t="s">
        <v>144</v>
      </c>
      <c r="D6424" t="s">
        <v>21232</v>
      </c>
      <c r="E6424" t="s">
        <v>21085</v>
      </c>
      <c r="F6424" t="s">
        <v>21041</v>
      </c>
      <c r="G6424" t="s">
        <v>21233</v>
      </c>
      <c r="H6424" t="str">
        <f>HYPERLINK("https://baanknet.com/view-property/286496/CD397C6E434E8563294DF67B6EDA5983A6D3333BEAB4548256B7EB31FF3769D8", "https://baanknet.com/view-property/286496/CD397C6E434E8563294DF67B6EDA5983A6D3333BEAB4548256B7EB31FF3769D8")</f>
        <v>https://baanknet.com/view-property/286496/CD397C6E434E8563294DF67B6EDA5983A6D3333BEAB4548256B7EB31FF3769D8</v>
      </c>
      <c r="I6424" t="str">
        <f>HYPERLINK("https://baanknet.com/view-property/286496/CD397C6E434E8563294DF67B6EDA5983A6D3333BEAB4548256B7EB31FF3769D8", "Open")</f>
        <v>Open</v>
      </c>
      <c r="J6424" t="s">
        <v>3803</v>
      </c>
      <c r="L6424">
        <v>375000</v>
      </c>
      <c r="M6424">
        <v>37500</v>
      </c>
    </row>
    <row r="6425" spans="1:13" x14ac:dyDescent="0.25">
      <c r="A6425" t="s">
        <v>21234</v>
      </c>
      <c r="B6425" t="s">
        <v>21235</v>
      </c>
      <c r="C6425" t="s">
        <v>832</v>
      </c>
      <c r="D6425" t="s">
        <v>21236</v>
      </c>
      <c r="E6425" t="s">
        <v>21085</v>
      </c>
      <c r="F6425" t="s">
        <v>21158</v>
      </c>
      <c r="G6425" t="s">
        <v>21237</v>
      </c>
      <c r="H6425" t="str">
        <f>HYPERLINK("https://baanknet.com/view-property/288015/DB245FD07CC4E64ED7230F1D20D64695AA5D51A86F0D924A7D3504F8F5CECB2E", "https://baanknet.com/view-property/288015/DB245FD07CC4E64ED7230F1D20D64695AA5D51A86F0D924A7D3504F8F5CECB2E")</f>
        <v>https://baanknet.com/view-property/288015/DB245FD07CC4E64ED7230F1D20D64695AA5D51A86F0D924A7D3504F8F5CECB2E</v>
      </c>
      <c r="I6425" t="str">
        <f>HYPERLINK("https://baanknet.com/view-property/288015/DB245FD07CC4E64ED7230F1D20D64695AA5D51A86F0D924A7D3504F8F5CECB2E", "Open")</f>
        <v>Open</v>
      </c>
      <c r="J6425" t="s">
        <v>3803</v>
      </c>
      <c r="L6425">
        <v>1630000</v>
      </c>
      <c r="M6425">
        <v>163000</v>
      </c>
    </row>
    <row r="6426" spans="1:13" x14ac:dyDescent="0.25">
      <c r="A6426" t="s">
        <v>21238</v>
      </c>
      <c r="B6426" t="s">
        <v>21239</v>
      </c>
      <c r="C6426" t="s">
        <v>832</v>
      </c>
      <c r="D6426" t="s">
        <v>14050</v>
      </c>
      <c r="E6426" t="s">
        <v>21085</v>
      </c>
      <c r="F6426" t="s">
        <v>21158</v>
      </c>
      <c r="G6426" t="s">
        <v>21240</v>
      </c>
      <c r="H6426" t="str">
        <f>HYPERLINK("https://baanknet.com/view-property/287660/423E12FE21866BFB1ACFED911F80C3DD5D1B6C3673EA63CF9030EBB716C0EAA4", "https://baanknet.com/view-property/287660/423E12FE21866BFB1ACFED911F80C3DD5D1B6C3673EA63CF9030EBB716C0EAA4")</f>
        <v>https://baanknet.com/view-property/287660/423E12FE21866BFB1ACFED911F80C3DD5D1B6C3673EA63CF9030EBB716C0EAA4</v>
      </c>
      <c r="I6426" t="str">
        <f>HYPERLINK("https://baanknet.com/view-property/287660/423E12FE21866BFB1ACFED911F80C3DD5D1B6C3673EA63CF9030EBB716C0EAA4", "Open")</f>
        <v>Open</v>
      </c>
      <c r="J6426" t="s">
        <v>3803</v>
      </c>
      <c r="L6426">
        <v>2850000</v>
      </c>
      <c r="M6426">
        <v>285000</v>
      </c>
    </row>
    <row r="6427" spans="1:13" x14ac:dyDescent="0.25">
      <c r="A6427" t="s">
        <v>21241</v>
      </c>
      <c r="B6427" t="s">
        <v>21242</v>
      </c>
      <c r="C6427" t="s">
        <v>832</v>
      </c>
      <c r="D6427" t="s">
        <v>98</v>
      </c>
      <c r="E6427" t="s">
        <v>21085</v>
      </c>
      <c r="F6427" t="s">
        <v>21158</v>
      </c>
      <c r="G6427" t="s">
        <v>21243</v>
      </c>
      <c r="H6427" t="str">
        <f>HYPERLINK("https://baanknet.com/view-property/287945/6EB6F4F2A2DE5996803456DDE16C282944CDD4048CF33E03AB4A1AD0459C895A", "https://baanknet.com/view-property/287945/6EB6F4F2A2DE5996803456DDE16C282944CDD4048CF33E03AB4A1AD0459C895A")</f>
        <v>https://baanknet.com/view-property/287945/6EB6F4F2A2DE5996803456DDE16C282944CDD4048CF33E03AB4A1AD0459C895A</v>
      </c>
      <c r="I6427" t="str">
        <f>HYPERLINK("https://baanknet.com/view-property/287945/6EB6F4F2A2DE5996803456DDE16C282944CDD4048CF33E03AB4A1AD0459C895A", "Open")</f>
        <v>Open</v>
      </c>
      <c r="J6427" t="s">
        <v>3803</v>
      </c>
      <c r="L6427">
        <v>7771000</v>
      </c>
      <c r="M6427">
        <v>777100</v>
      </c>
    </row>
    <row r="6428" spans="1:13" x14ac:dyDescent="0.25">
      <c r="A6428" t="s">
        <v>21244</v>
      </c>
      <c r="B6428" t="s">
        <v>21245</v>
      </c>
      <c r="C6428" t="s">
        <v>832</v>
      </c>
      <c r="D6428" t="s">
        <v>21246</v>
      </c>
      <c r="E6428" t="s">
        <v>21085</v>
      </c>
      <c r="F6428" t="s">
        <v>21158</v>
      </c>
      <c r="G6428" t="s">
        <v>21247</v>
      </c>
      <c r="H6428" t="str">
        <f>HYPERLINK("https://baanknet.com/view-property/287577/15FC9FC22EF53C1CB93C24690E163F4D3C4471974E548C45E813BF01CACB0823", "https://baanknet.com/view-property/287577/15FC9FC22EF53C1CB93C24690E163F4D3C4471974E548C45E813BF01CACB0823")</f>
        <v>https://baanknet.com/view-property/287577/15FC9FC22EF53C1CB93C24690E163F4D3C4471974E548C45E813BF01CACB0823</v>
      </c>
      <c r="I6428" t="str">
        <f>HYPERLINK("https://baanknet.com/view-property/287577/15FC9FC22EF53C1CB93C24690E163F4D3C4471974E548C45E813BF01CACB0823", "Open")</f>
        <v>Open</v>
      </c>
      <c r="J6428" t="s">
        <v>3803</v>
      </c>
      <c r="L6428">
        <v>11487000</v>
      </c>
      <c r="M6428">
        <v>1148700</v>
      </c>
    </row>
    <row r="6429" spans="1:13" x14ac:dyDescent="0.25">
      <c r="A6429" t="s">
        <v>21248</v>
      </c>
      <c r="B6429" t="s">
        <v>21249</v>
      </c>
      <c r="C6429" t="s">
        <v>832</v>
      </c>
      <c r="D6429" t="s">
        <v>21250</v>
      </c>
      <c r="E6429" t="s">
        <v>21085</v>
      </c>
      <c r="F6429" t="s">
        <v>21158</v>
      </c>
      <c r="G6429" t="s">
        <v>21251</v>
      </c>
      <c r="H6429" t="str">
        <f>HYPERLINK("https://baanknet.com/view-property/287539/AA1B89445DE37EA8EF4D6225A2CE440CF6EE61D2D6797738F41DA984EE7A827F", "https://baanknet.com/view-property/287539/AA1B89445DE37EA8EF4D6225A2CE440CF6EE61D2D6797738F41DA984EE7A827F")</f>
        <v>https://baanknet.com/view-property/287539/AA1B89445DE37EA8EF4D6225A2CE440CF6EE61D2D6797738F41DA984EE7A827F</v>
      </c>
      <c r="I6429" t="str">
        <f>HYPERLINK("https://baanknet.com/view-property/287539/AA1B89445DE37EA8EF4D6225A2CE440CF6EE61D2D6797738F41DA984EE7A827F", "Open")</f>
        <v>Open</v>
      </c>
      <c r="J6429" t="s">
        <v>3803</v>
      </c>
      <c r="L6429">
        <v>1993000</v>
      </c>
      <c r="M6429">
        <v>199300</v>
      </c>
    </row>
    <row r="6430" spans="1:13" x14ac:dyDescent="0.25">
      <c r="A6430" t="s">
        <v>21252</v>
      </c>
      <c r="B6430" t="s">
        <v>21253</v>
      </c>
      <c r="C6430" t="s">
        <v>832</v>
      </c>
      <c r="D6430" t="s">
        <v>4065</v>
      </c>
      <c r="E6430" t="s">
        <v>21085</v>
      </c>
      <c r="F6430" t="s">
        <v>21158</v>
      </c>
      <c r="G6430" t="s">
        <v>21254</v>
      </c>
      <c r="H6430" t="str">
        <f>HYPERLINK("https://baanknet.com/view-property/287518/8D4AE4ECF0EF5C4D846E7B6D1CBB3EEC6B03EE858D2812872234AE5286BFF257", "https://baanknet.com/view-property/287518/8D4AE4ECF0EF5C4D846E7B6D1CBB3EEC6B03EE858D2812872234AE5286BFF257")</f>
        <v>https://baanknet.com/view-property/287518/8D4AE4ECF0EF5C4D846E7B6D1CBB3EEC6B03EE858D2812872234AE5286BFF257</v>
      </c>
      <c r="I6430" t="str">
        <f>HYPERLINK("https://baanknet.com/view-property/287518/8D4AE4ECF0EF5C4D846E7B6D1CBB3EEC6B03EE858D2812872234AE5286BFF257", "Open")</f>
        <v>Open</v>
      </c>
      <c r="J6430" t="s">
        <v>3803</v>
      </c>
      <c r="L6430">
        <v>3715000</v>
      </c>
      <c r="M6430">
        <v>371500</v>
      </c>
    </row>
    <row r="6431" spans="1:13" x14ac:dyDescent="0.25">
      <c r="A6431" t="s">
        <v>21255</v>
      </c>
      <c r="B6431" t="s">
        <v>21256</v>
      </c>
      <c r="C6431" t="s">
        <v>832</v>
      </c>
      <c r="D6431" t="s">
        <v>4679</v>
      </c>
      <c r="E6431" t="s">
        <v>21085</v>
      </c>
      <c r="F6431" t="s">
        <v>21158</v>
      </c>
      <c r="G6431" t="s">
        <v>21257</v>
      </c>
      <c r="H6431" t="str">
        <f>HYPERLINK("https://baanknet.com/view-property/287472/6135049B958408F125F9537C90EE1A27019A5C38F06531BC4C4E22E88E50713F", "https://baanknet.com/view-property/287472/6135049B958408F125F9537C90EE1A27019A5C38F06531BC4C4E22E88E50713F")</f>
        <v>https://baanknet.com/view-property/287472/6135049B958408F125F9537C90EE1A27019A5C38F06531BC4C4E22E88E50713F</v>
      </c>
      <c r="I6431" t="str">
        <f>HYPERLINK("https://baanknet.com/view-property/287472/6135049B958408F125F9537C90EE1A27019A5C38F06531BC4C4E22E88E50713F", "Open")</f>
        <v>Open</v>
      </c>
      <c r="J6431" t="s">
        <v>3803</v>
      </c>
      <c r="L6431">
        <v>1875000</v>
      </c>
      <c r="M6431">
        <v>187500</v>
      </c>
    </row>
    <row r="6432" spans="1:13" x14ac:dyDescent="0.25">
      <c r="A6432" t="s">
        <v>21258</v>
      </c>
      <c r="B6432" t="s">
        <v>21259</v>
      </c>
      <c r="C6432" t="s">
        <v>15</v>
      </c>
      <c r="D6432" t="s">
        <v>3790</v>
      </c>
      <c r="E6432" t="s">
        <v>21037</v>
      </c>
      <c r="F6432" t="s">
        <v>21041</v>
      </c>
      <c r="G6432" t="s">
        <v>21260</v>
      </c>
      <c r="H6432" t="str">
        <f>HYPERLINK("https://baanknet.com/view-property/249057/287E4B58DB888CB8C76461FABEEA3D749D07CF570419D5A2CA7034B70B2DB406", "https://baanknet.com/view-property/249057/287E4B58DB888CB8C76461FABEEA3D749D07CF570419D5A2CA7034B70B2DB406")</f>
        <v>https://baanknet.com/view-property/249057/287E4B58DB888CB8C76461FABEEA3D749D07CF570419D5A2CA7034B70B2DB406</v>
      </c>
      <c r="I6432" t="str">
        <f>HYPERLINK("https://baanknet.com/view-property/249057/287E4B58DB888CB8C76461FABEEA3D749D07CF570419D5A2CA7034B70B2DB406", "Open")</f>
        <v>Open</v>
      </c>
      <c r="J6432" t="s">
        <v>3803</v>
      </c>
      <c r="L6432">
        <v>1880000</v>
      </c>
      <c r="M6432">
        <v>188000</v>
      </c>
    </row>
    <row r="6433" spans="1:13" x14ac:dyDescent="0.25">
      <c r="A6433" t="s">
        <v>21261</v>
      </c>
      <c r="B6433" t="s">
        <v>21262</v>
      </c>
      <c r="C6433" t="s">
        <v>15</v>
      </c>
      <c r="D6433" t="s">
        <v>3584</v>
      </c>
      <c r="E6433" t="s">
        <v>21037</v>
      </c>
      <c r="F6433" t="s">
        <v>21041</v>
      </c>
      <c r="G6433" t="s">
        <v>21263</v>
      </c>
      <c r="H6433" t="str">
        <f>HYPERLINK("https://baanknet.com/view-property/282866/28736DE59B169395C99562178454E29C80FA7F36218FFEEF36FD7EA558562C5A", "https://baanknet.com/view-property/282866/28736DE59B169395C99562178454E29C80FA7F36218FFEEF36FD7EA558562C5A")</f>
        <v>https://baanknet.com/view-property/282866/28736DE59B169395C99562178454E29C80FA7F36218FFEEF36FD7EA558562C5A</v>
      </c>
      <c r="I6433" t="str">
        <f>HYPERLINK("https://baanknet.com/view-property/282866/28736DE59B169395C99562178454E29C80FA7F36218FFEEF36FD7EA558562C5A", "Open")</f>
        <v>Open</v>
      </c>
      <c r="J6433" t="s">
        <v>3803</v>
      </c>
      <c r="L6433">
        <v>3300000</v>
      </c>
      <c r="M6433">
        <v>330000</v>
      </c>
    </row>
    <row r="6434" spans="1:13" x14ac:dyDescent="0.25">
      <c r="A6434" t="s">
        <v>21264</v>
      </c>
      <c r="B6434" t="s">
        <v>21265</v>
      </c>
      <c r="C6434" t="s">
        <v>15</v>
      </c>
      <c r="D6434" t="s">
        <v>17998</v>
      </c>
      <c r="E6434" t="s">
        <v>21037</v>
      </c>
      <c r="F6434" t="s">
        <v>21041</v>
      </c>
      <c r="G6434" t="s">
        <v>21266</v>
      </c>
      <c r="H6434" t="str">
        <f>HYPERLINK("https://baanknet.com/view-property/200456/86E80F08B92B6823A5D4CC774E50EE31AF4DDB00DA426A6D801851FAB9A4927E", "https://baanknet.com/view-property/200456/86E80F08B92B6823A5D4CC774E50EE31AF4DDB00DA426A6D801851FAB9A4927E")</f>
        <v>https://baanknet.com/view-property/200456/86E80F08B92B6823A5D4CC774E50EE31AF4DDB00DA426A6D801851FAB9A4927E</v>
      </c>
      <c r="I6434" t="str">
        <f>HYPERLINK("https://baanknet.com/view-property/200456/86E80F08B92B6823A5D4CC774E50EE31AF4DDB00DA426A6D801851FAB9A4927E", "Open")</f>
        <v>Open</v>
      </c>
      <c r="J6434" t="s">
        <v>3803</v>
      </c>
      <c r="L6434">
        <v>1503000</v>
      </c>
      <c r="M6434">
        <v>150300</v>
      </c>
    </row>
    <row r="6435" spans="1:13" x14ac:dyDescent="0.25">
      <c r="A6435" t="s">
        <v>21267</v>
      </c>
      <c r="B6435" t="s">
        <v>21268</v>
      </c>
      <c r="C6435" t="s">
        <v>83</v>
      </c>
      <c r="D6435" t="s">
        <v>1023</v>
      </c>
      <c r="E6435" t="s">
        <v>21037</v>
      </c>
      <c r="F6435" t="s">
        <v>21045</v>
      </c>
      <c r="G6435" t="s">
        <v>21269</v>
      </c>
      <c r="H6435" t="str">
        <f>HYPERLINK("https://baanknet.com/view-property/287006/669C9D221872A0AD3435AF30CBDD7FC772435061958444793563E09EB579091A", "https://baanknet.com/view-property/287006/669C9D221872A0AD3435AF30CBDD7FC772435061958444793563E09EB579091A")</f>
        <v>https://baanknet.com/view-property/287006/669C9D221872A0AD3435AF30CBDD7FC772435061958444793563E09EB579091A</v>
      </c>
      <c r="I6435" t="str">
        <f>HYPERLINK("https://baanknet.com/view-property/287006/669C9D221872A0AD3435AF30CBDD7FC772435061958444793563E09EB579091A", "Open")</f>
        <v>Open</v>
      </c>
      <c r="J6435" t="s">
        <v>3803</v>
      </c>
      <c r="L6435">
        <v>1759500</v>
      </c>
      <c r="M6435">
        <v>175950</v>
      </c>
    </row>
    <row r="6436" spans="1:13" x14ac:dyDescent="0.25">
      <c r="A6436" t="s">
        <v>21270</v>
      </c>
      <c r="B6436" t="s">
        <v>21271</v>
      </c>
      <c r="C6436" t="s">
        <v>83</v>
      </c>
      <c r="D6436" t="s">
        <v>1003</v>
      </c>
      <c r="E6436" t="s">
        <v>21096</v>
      </c>
      <c r="F6436" t="s">
        <v>21158</v>
      </c>
      <c r="G6436" t="s">
        <v>21272</v>
      </c>
      <c r="H6436" t="str">
        <f>HYPERLINK("https://baanknet.com/view-property/287308/F7D26565126AB994708F29CB600F3BA726F05F5A8E63001189421A515D8020A9", "https://baanknet.com/view-property/287308/F7D26565126AB994708F29CB600F3BA726F05F5A8E63001189421A515D8020A9")</f>
        <v>https://baanknet.com/view-property/287308/F7D26565126AB994708F29CB600F3BA726F05F5A8E63001189421A515D8020A9</v>
      </c>
      <c r="I6436" t="str">
        <f>HYPERLINK("https://baanknet.com/view-property/287308/F7D26565126AB994708F29CB600F3BA726F05F5A8E63001189421A515D8020A9", "Open")</f>
        <v>Open</v>
      </c>
      <c r="J6436" t="s">
        <v>3803</v>
      </c>
      <c r="L6436">
        <v>2428200</v>
      </c>
      <c r="M6436">
        <v>242820</v>
      </c>
    </row>
    <row r="6437" spans="1:13" x14ac:dyDescent="0.25">
      <c r="A6437" t="s">
        <v>21273</v>
      </c>
      <c r="B6437" t="s">
        <v>21274</v>
      </c>
      <c r="C6437" t="s">
        <v>15</v>
      </c>
      <c r="D6437" t="s">
        <v>4430</v>
      </c>
      <c r="E6437" t="s">
        <v>3516</v>
      </c>
      <c r="F6437" t="s">
        <v>17</v>
      </c>
      <c r="G6437" t="s">
        <v>21275</v>
      </c>
      <c r="H6437" t="str">
        <f>HYPERLINK("https://baanknet.com/view-property/244270/319C910D319B676E3E81CD140C72C59451D571AFA6C140865722B07712DC90D8", "https://baanknet.com/view-property/244270/319C910D319B676E3E81CD140C72C59451D571AFA6C140865722B07712DC90D8")</f>
        <v>https://baanknet.com/view-property/244270/319C910D319B676E3E81CD140C72C59451D571AFA6C140865722B07712DC90D8</v>
      </c>
      <c r="I6437" t="str">
        <f>HYPERLINK("https://baanknet.com/view-property/244270/319C910D319B676E3E81CD140C72C59451D571AFA6C140865722B07712DC90D8", "Open")</f>
        <v>Open</v>
      </c>
      <c r="J6437" t="s">
        <v>20</v>
      </c>
      <c r="K6437" t="s">
        <v>21</v>
      </c>
      <c r="L6437">
        <v>29600000</v>
      </c>
      <c r="M6437">
        <v>2960000</v>
      </c>
    </row>
    <row r="6438" spans="1:13" x14ac:dyDescent="0.25">
      <c r="A6438" t="s">
        <v>21276</v>
      </c>
      <c r="B6438" t="s">
        <v>21277</v>
      </c>
      <c r="C6438" t="s">
        <v>571</v>
      </c>
      <c r="D6438" t="s">
        <v>21278</v>
      </c>
      <c r="E6438" t="s">
        <v>21279</v>
      </c>
      <c r="F6438" t="s">
        <v>21280</v>
      </c>
      <c r="G6438" t="s">
        <v>21281</v>
      </c>
      <c r="H6438" t="str">
        <f>HYPERLINK("https://baanknet.com/view-property/286803/2DF6C7F5067246D678A4CC720CB4450B67888878DD72451CE507F70E6FE33F72", "https://baanknet.com/view-property/286803/2DF6C7F5067246D678A4CC720CB4450B67888878DD72451CE507F70E6FE33F72")</f>
        <v>https://baanknet.com/view-property/286803/2DF6C7F5067246D678A4CC720CB4450B67888878DD72451CE507F70E6FE33F72</v>
      </c>
      <c r="I6438" t="str">
        <f>HYPERLINK("https://baanknet.com/view-property/286803/2DF6C7F5067246D678A4CC720CB4450B67888878DD72451CE507F70E6FE33F72", "Open")</f>
        <v>Open</v>
      </c>
      <c r="J6438" t="s">
        <v>3803</v>
      </c>
      <c r="L6438">
        <v>8308000</v>
      </c>
      <c r="M6438">
        <v>831000</v>
      </c>
    </row>
    <row r="6439" spans="1:13" x14ac:dyDescent="0.25">
      <c r="A6439" t="s">
        <v>21282</v>
      </c>
      <c r="B6439" t="s">
        <v>21283</v>
      </c>
      <c r="C6439" t="s">
        <v>15</v>
      </c>
      <c r="D6439" t="s">
        <v>3736</v>
      </c>
      <c r="E6439" t="s">
        <v>21284</v>
      </c>
      <c r="F6439" t="s">
        <v>21285</v>
      </c>
      <c r="G6439" t="s">
        <v>21286</v>
      </c>
      <c r="H6439" t="str">
        <f>HYPERLINK("https://baanknet.com/view-property/283555/3013AF6A41B9F9A77949103CC8422BEDDC24BA04D818339005FA7BB177940E32", "https://baanknet.com/view-property/283555/3013AF6A41B9F9A77949103CC8422BEDDC24BA04D818339005FA7BB177940E32")</f>
        <v>https://baanknet.com/view-property/283555/3013AF6A41B9F9A77949103CC8422BEDDC24BA04D818339005FA7BB177940E32</v>
      </c>
      <c r="I6439" t="str">
        <f>HYPERLINK("https://baanknet.com/view-property/283555/3013AF6A41B9F9A77949103CC8422BEDDC24BA04D818339005FA7BB177940E32", "Open")</f>
        <v>Open</v>
      </c>
      <c r="J6439" t="s">
        <v>3803</v>
      </c>
      <c r="L6439">
        <v>3500000</v>
      </c>
      <c r="M6439">
        <v>350000</v>
      </c>
    </row>
    <row r="6440" spans="1:13" x14ac:dyDescent="0.25">
      <c r="A6440" t="s">
        <v>21287</v>
      </c>
      <c r="B6440" t="s">
        <v>21288</v>
      </c>
      <c r="C6440" t="s">
        <v>15</v>
      </c>
      <c r="D6440" t="s">
        <v>21289</v>
      </c>
      <c r="E6440" t="s">
        <v>21284</v>
      </c>
      <c r="F6440" t="s">
        <v>21285</v>
      </c>
      <c r="G6440" t="s">
        <v>21290</v>
      </c>
      <c r="H6440" t="str">
        <f>HYPERLINK("https://baanknet.com/view-property/287322/CBD3F08FEA600C114C6EF802646A5387A6C11EFECD423F8FD137DEFB432EC536", "https://baanknet.com/view-property/287322/CBD3F08FEA600C114C6EF802646A5387A6C11EFECD423F8FD137DEFB432EC536")</f>
        <v>https://baanknet.com/view-property/287322/CBD3F08FEA600C114C6EF802646A5387A6C11EFECD423F8FD137DEFB432EC536</v>
      </c>
      <c r="I6440" t="str">
        <f>HYPERLINK("https://baanknet.com/view-property/287322/CBD3F08FEA600C114C6EF802646A5387A6C11EFECD423F8FD137DEFB432EC536", "Open")</f>
        <v>Open</v>
      </c>
      <c r="J6440" t="s">
        <v>3803</v>
      </c>
      <c r="L6440">
        <v>3706000</v>
      </c>
      <c r="M6440">
        <v>370600</v>
      </c>
    </row>
    <row r="6441" spans="1:13" x14ac:dyDescent="0.25">
      <c r="A6441" t="s">
        <v>21291</v>
      </c>
      <c r="B6441" t="s">
        <v>21292</v>
      </c>
      <c r="C6441" t="s">
        <v>15</v>
      </c>
      <c r="D6441" t="s">
        <v>21289</v>
      </c>
      <c r="E6441" t="s">
        <v>21284</v>
      </c>
      <c r="F6441" t="s">
        <v>21285</v>
      </c>
      <c r="G6441" t="s">
        <v>21293</v>
      </c>
      <c r="H6441" t="str">
        <f>HYPERLINK("https://baanknet.com/view-property/287336/42033633AAB5212CBC6F1520FAD1360B6F64D71A32463975AD188CD4C9A20772", "https://baanknet.com/view-property/287336/42033633AAB5212CBC6F1520FAD1360B6F64D71A32463975AD188CD4C9A20772")</f>
        <v>https://baanknet.com/view-property/287336/42033633AAB5212CBC6F1520FAD1360B6F64D71A32463975AD188CD4C9A20772</v>
      </c>
      <c r="I6441" t="str">
        <f>HYPERLINK("https://baanknet.com/view-property/287336/42033633AAB5212CBC6F1520FAD1360B6F64D71A32463975AD188CD4C9A20772", "Open")</f>
        <v>Open</v>
      </c>
      <c r="J6441" t="s">
        <v>3803</v>
      </c>
      <c r="L6441">
        <v>5200000</v>
      </c>
      <c r="M6441">
        <v>520000</v>
      </c>
    </row>
    <row r="6442" spans="1:13" x14ac:dyDescent="0.25">
      <c r="A6442" t="s">
        <v>21294</v>
      </c>
      <c r="B6442" t="s">
        <v>21295</v>
      </c>
      <c r="C6442" t="s">
        <v>726</v>
      </c>
      <c r="D6442" t="s">
        <v>1267</v>
      </c>
      <c r="E6442" t="s">
        <v>21296</v>
      </c>
      <c r="F6442" t="s">
        <v>21297</v>
      </c>
      <c r="G6442" t="s">
        <v>21298</v>
      </c>
      <c r="H6442" t="str">
        <f>HYPERLINK("https://baanknet.com/view-property/287617/8C84FD88A98CDABF683E959BEABB461BF6DD9359EF79CC8BAF4A959E5411717F", "https://baanknet.com/view-property/287617/8C84FD88A98CDABF683E959BEABB461BF6DD9359EF79CC8BAF4A959E5411717F")</f>
        <v>https://baanknet.com/view-property/287617/8C84FD88A98CDABF683E959BEABB461BF6DD9359EF79CC8BAF4A959E5411717F</v>
      </c>
      <c r="I6442" t="str">
        <f>HYPERLINK("https://baanknet.com/view-property/287617/8C84FD88A98CDABF683E959BEABB461BF6DD9359EF79CC8BAF4A959E5411717F", "Open")</f>
        <v>Open</v>
      </c>
      <c r="J6442" t="s">
        <v>3803</v>
      </c>
      <c r="L6442">
        <v>1687000</v>
      </c>
      <c r="M6442">
        <v>168700</v>
      </c>
    </row>
    <row r="6443" spans="1:13" x14ac:dyDescent="0.25">
      <c r="A6443" t="s">
        <v>21299</v>
      </c>
      <c r="B6443" t="s">
        <v>21300</v>
      </c>
      <c r="C6443" t="s">
        <v>144</v>
      </c>
      <c r="D6443" t="s">
        <v>3191</v>
      </c>
      <c r="E6443" t="s">
        <v>21296</v>
      </c>
      <c r="F6443" t="s">
        <v>21301</v>
      </c>
      <c r="G6443" t="s">
        <v>21302</v>
      </c>
      <c r="H6443" t="str">
        <f>HYPERLINK("https://baanknet.com/view-property/287051/A880CA8BBB3507491FAF903C32F5A9727B176479CE3043F6DAD4EA1DF4DCDF7A", "https://baanknet.com/view-property/287051/A880CA8BBB3507491FAF903C32F5A9727B176479CE3043F6DAD4EA1DF4DCDF7A")</f>
        <v>https://baanknet.com/view-property/287051/A880CA8BBB3507491FAF903C32F5A9727B176479CE3043F6DAD4EA1DF4DCDF7A</v>
      </c>
      <c r="I6443" t="str">
        <f>HYPERLINK("https://baanknet.com/view-property/287051/A880CA8BBB3507491FAF903C32F5A9727B176479CE3043F6DAD4EA1DF4DCDF7A", "Open")</f>
        <v>Open</v>
      </c>
      <c r="J6443" t="s">
        <v>3803</v>
      </c>
      <c r="L6443">
        <v>7796750</v>
      </c>
      <c r="M6443">
        <v>779675</v>
      </c>
    </row>
    <row r="6444" spans="1:13" x14ac:dyDescent="0.25">
      <c r="A6444" t="s">
        <v>21303</v>
      </c>
      <c r="B6444" t="s">
        <v>21304</v>
      </c>
      <c r="C6444" t="s">
        <v>332</v>
      </c>
      <c r="D6444" t="s">
        <v>937</v>
      </c>
      <c r="E6444" t="s">
        <v>21296</v>
      </c>
      <c r="F6444" t="s">
        <v>21305</v>
      </c>
      <c r="G6444" t="s">
        <v>21306</v>
      </c>
      <c r="H6444" t="str">
        <f>HYPERLINK("https://baanknet.com/view-property/285732/7C379E9E9ECF2F41A9D76F1820EA44F69A775C324B24372CA4B2BD3C4036703E", "https://baanknet.com/view-property/285732/7C379E9E9ECF2F41A9D76F1820EA44F69A775C324B24372CA4B2BD3C4036703E")</f>
        <v>https://baanknet.com/view-property/285732/7C379E9E9ECF2F41A9D76F1820EA44F69A775C324B24372CA4B2BD3C4036703E</v>
      </c>
      <c r="I6444" t="str">
        <f>HYPERLINK("https://baanknet.com/view-property/285732/7C379E9E9ECF2F41A9D76F1820EA44F69A775C324B24372CA4B2BD3C4036703E", "Open")</f>
        <v>Open</v>
      </c>
      <c r="J6444" t="s">
        <v>3803</v>
      </c>
      <c r="L6444">
        <v>8932000</v>
      </c>
      <c r="M6444">
        <v>893200</v>
      </c>
    </row>
    <row r="6445" spans="1:13" x14ac:dyDescent="0.25">
      <c r="A6445" t="s">
        <v>21307</v>
      </c>
      <c r="B6445" t="s">
        <v>21308</v>
      </c>
      <c r="C6445" t="s">
        <v>332</v>
      </c>
      <c r="D6445" t="s">
        <v>937</v>
      </c>
      <c r="E6445" t="s">
        <v>21296</v>
      </c>
      <c r="F6445" t="s">
        <v>21305</v>
      </c>
      <c r="G6445" t="s">
        <v>21309</v>
      </c>
      <c r="H6445" t="str">
        <f>HYPERLINK("https://baanknet.com/view-property/285662/369C4069C44B3D9B98B0C05AEC4377F832024E6A45490CCFD24240FB52F7B77E", "https://baanknet.com/view-property/285662/369C4069C44B3D9B98B0C05AEC4377F832024E6A45490CCFD24240FB52F7B77E")</f>
        <v>https://baanknet.com/view-property/285662/369C4069C44B3D9B98B0C05AEC4377F832024E6A45490CCFD24240FB52F7B77E</v>
      </c>
      <c r="I6445" t="str">
        <f>HYPERLINK("https://baanknet.com/view-property/285662/369C4069C44B3D9B98B0C05AEC4377F832024E6A45490CCFD24240FB52F7B77E", "Open")</f>
        <v>Open</v>
      </c>
      <c r="J6445" t="s">
        <v>3803</v>
      </c>
      <c r="L6445">
        <v>9355500</v>
      </c>
      <c r="M6445">
        <v>935550</v>
      </c>
    </row>
    <row r="6446" spans="1:13" x14ac:dyDescent="0.25">
      <c r="A6446" t="s">
        <v>21310</v>
      </c>
      <c r="B6446" t="s">
        <v>21311</v>
      </c>
      <c r="C6446" t="s">
        <v>332</v>
      </c>
      <c r="D6446" t="s">
        <v>4679</v>
      </c>
      <c r="E6446" t="s">
        <v>21296</v>
      </c>
      <c r="F6446" t="s">
        <v>21305</v>
      </c>
      <c r="G6446" t="s">
        <v>21312</v>
      </c>
      <c r="H6446" t="str">
        <f>HYPERLINK("https://baanknet.com/view-property/286898/87A041604F06D68DFCD02196F1691EBE7F4CAC93840B1927A8A40E5C5D55DE63", "https://baanknet.com/view-property/286898/87A041604F06D68DFCD02196F1691EBE7F4CAC93840B1927A8A40E5C5D55DE63")</f>
        <v>https://baanknet.com/view-property/286898/87A041604F06D68DFCD02196F1691EBE7F4CAC93840B1927A8A40E5C5D55DE63</v>
      </c>
      <c r="I6446" t="str">
        <f>HYPERLINK("https://baanknet.com/view-property/286898/87A041604F06D68DFCD02196F1691EBE7F4CAC93840B1927A8A40E5C5D55DE63", "Open")</f>
        <v>Open</v>
      </c>
      <c r="J6446" t="s">
        <v>3803</v>
      </c>
      <c r="L6446">
        <v>7635000</v>
      </c>
      <c r="M6446">
        <v>763500</v>
      </c>
    </row>
    <row r="6447" spans="1:13" x14ac:dyDescent="0.25">
      <c r="A6447" t="s">
        <v>21313</v>
      </c>
      <c r="B6447" t="s">
        <v>21314</v>
      </c>
      <c r="C6447" t="s">
        <v>332</v>
      </c>
      <c r="D6447" t="s">
        <v>4679</v>
      </c>
      <c r="E6447" t="s">
        <v>21296</v>
      </c>
      <c r="F6447" t="s">
        <v>21305</v>
      </c>
      <c r="G6447" t="s">
        <v>21315</v>
      </c>
      <c r="H6447" t="str">
        <f>HYPERLINK("https://baanknet.com/view-property/287002/2AC19835ABBEF8F41E13842698515C446753D8DFDAADDCA3778CD18B48C4048F", "https://baanknet.com/view-property/287002/2AC19835ABBEF8F41E13842698515C446753D8DFDAADDCA3778CD18B48C4048F")</f>
        <v>https://baanknet.com/view-property/287002/2AC19835ABBEF8F41E13842698515C446753D8DFDAADDCA3778CD18B48C4048F</v>
      </c>
      <c r="I6447" t="str">
        <f>HYPERLINK("https://baanknet.com/view-property/287002/2AC19835ABBEF8F41E13842698515C446753D8DFDAADDCA3778CD18B48C4048F", "Open")</f>
        <v>Open</v>
      </c>
      <c r="J6447" t="s">
        <v>3803</v>
      </c>
      <c r="L6447">
        <v>4970000</v>
      </c>
      <c r="M6447">
        <v>497000</v>
      </c>
    </row>
    <row r="6448" spans="1:13" x14ac:dyDescent="0.25">
      <c r="A6448" t="s">
        <v>21316</v>
      </c>
      <c r="B6448" t="s">
        <v>21317</v>
      </c>
      <c r="C6448" t="s">
        <v>83</v>
      </c>
      <c r="D6448" t="s">
        <v>282</v>
      </c>
      <c r="E6448" t="s">
        <v>21297</v>
      </c>
      <c r="F6448" t="s">
        <v>21318</v>
      </c>
      <c r="G6448" t="s">
        <v>21319</v>
      </c>
      <c r="H6448" t="str">
        <f>HYPERLINK("https://baanknet.com/view-property/277008/DD1ED44C665209F03E8C2849BA2D0F947775E4530093716D4BF7D25A79B6C8C6", "https://baanknet.com/view-property/277008/DD1ED44C665209F03E8C2849BA2D0F947775E4530093716D4BF7D25A79B6C8C6")</f>
        <v>https://baanknet.com/view-property/277008/DD1ED44C665209F03E8C2849BA2D0F947775E4530093716D4BF7D25A79B6C8C6</v>
      </c>
      <c r="I6448" t="str">
        <f>HYPERLINK("https://baanknet.com/view-property/277008/DD1ED44C665209F03E8C2849BA2D0F947775E4530093716D4BF7D25A79B6C8C6", "Open")</f>
        <v>Open</v>
      </c>
      <c r="J6448" t="s">
        <v>3803</v>
      </c>
      <c r="L6448">
        <v>11500000</v>
      </c>
      <c r="M6448">
        <v>1150000</v>
      </c>
    </row>
    <row r="6449" spans="1:13" x14ac:dyDescent="0.25">
      <c r="A6449" t="s">
        <v>21320</v>
      </c>
      <c r="B6449" t="s">
        <v>21321</v>
      </c>
      <c r="C6449" t="s">
        <v>594</v>
      </c>
      <c r="D6449" t="s">
        <v>21322</v>
      </c>
      <c r="E6449" t="s">
        <v>21297</v>
      </c>
      <c r="F6449" t="s">
        <v>21318</v>
      </c>
      <c r="G6449" t="s">
        <v>21323</v>
      </c>
      <c r="H6449" t="str">
        <f>HYPERLINK("https://baanknet.com/view-property/287351/3C4CA37B9D74BF048C408F6B583FB6A39E09C11C5BB2253B1DA17408A3D9CA68", "https://baanknet.com/view-property/287351/3C4CA37B9D74BF048C408F6B583FB6A39E09C11C5BB2253B1DA17408A3D9CA68")</f>
        <v>https://baanknet.com/view-property/287351/3C4CA37B9D74BF048C408F6B583FB6A39E09C11C5BB2253B1DA17408A3D9CA68</v>
      </c>
      <c r="I6449" t="str">
        <f>HYPERLINK("https://baanknet.com/view-property/287351/3C4CA37B9D74BF048C408F6B583FB6A39E09C11C5BB2253B1DA17408A3D9CA68", "Open")</f>
        <v>Open</v>
      </c>
      <c r="J6449" t="s">
        <v>3803</v>
      </c>
      <c r="L6449">
        <v>36550000</v>
      </c>
      <c r="M6449">
        <v>3655000</v>
      </c>
    </row>
    <row r="6450" spans="1:13" x14ac:dyDescent="0.25">
      <c r="A6450" t="s">
        <v>21324</v>
      </c>
      <c r="B6450" t="s">
        <v>21325</v>
      </c>
      <c r="C6450" t="s">
        <v>83</v>
      </c>
      <c r="D6450" t="s">
        <v>1246</v>
      </c>
      <c r="E6450" t="s">
        <v>21326</v>
      </c>
      <c r="F6450" t="s">
        <v>21327</v>
      </c>
      <c r="G6450" t="s">
        <v>21328</v>
      </c>
      <c r="H6450" t="str">
        <f>HYPERLINK("https://baanknet.com/view-property/45245/CF793E1D7FEA722C49F92CA4F2697211215909549629C063061F2C4B005AA2E4", "https://baanknet.com/view-property/45245/CF793E1D7FEA722C49F92CA4F2697211215909549629C063061F2C4B005AA2E4")</f>
        <v>https://baanknet.com/view-property/45245/CF793E1D7FEA722C49F92CA4F2697211215909549629C063061F2C4B005AA2E4</v>
      </c>
      <c r="I6450" t="str">
        <f>HYPERLINK("https://baanknet.com/view-property/45245/CF793E1D7FEA722C49F92CA4F2697211215909549629C063061F2C4B005AA2E4", "Open")</f>
        <v>Open</v>
      </c>
      <c r="J6450" t="s">
        <v>3803</v>
      </c>
      <c r="L6450">
        <v>5500000</v>
      </c>
      <c r="M6450">
        <v>550000</v>
      </c>
    </row>
    <row r="6451" spans="1:13" x14ac:dyDescent="0.25">
      <c r="A6451" t="s">
        <v>21329</v>
      </c>
      <c r="B6451" t="s">
        <v>21330</v>
      </c>
      <c r="C6451" t="s">
        <v>83</v>
      </c>
      <c r="D6451" t="s">
        <v>1246</v>
      </c>
      <c r="E6451" t="s">
        <v>21326</v>
      </c>
      <c r="F6451" t="s">
        <v>21327</v>
      </c>
      <c r="G6451" t="s">
        <v>21331</v>
      </c>
      <c r="H6451" t="str">
        <f>HYPERLINK("https://baanknet.com/view-property/212106/F2AD749A43BE4E63FE310FF6911176070A6713745A046EDD0BECDB0ECF5D16C0", "https://baanknet.com/view-property/212106/F2AD749A43BE4E63FE310FF6911176070A6713745A046EDD0BECDB0ECF5D16C0")</f>
        <v>https://baanknet.com/view-property/212106/F2AD749A43BE4E63FE310FF6911176070A6713745A046EDD0BECDB0ECF5D16C0</v>
      </c>
      <c r="I6451" t="str">
        <f>HYPERLINK("https://baanknet.com/view-property/212106/F2AD749A43BE4E63FE310FF6911176070A6713745A046EDD0BECDB0ECF5D16C0", "Open")</f>
        <v>Open</v>
      </c>
      <c r="J6451" t="s">
        <v>3803</v>
      </c>
      <c r="L6451">
        <v>16200000</v>
      </c>
      <c r="M6451">
        <v>1620000</v>
      </c>
    </row>
    <row r="6452" spans="1:13" x14ac:dyDescent="0.25">
      <c r="A6452" t="s">
        <v>21332</v>
      </c>
      <c r="B6452" t="s">
        <v>21333</v>
      </c>
      <c r="C6452" t="s">
        <v>121</v>
      </c>
      <c r="D6452" t="s">
        <v>5811</v>
      </c>
      <c r="E6452" t="s">
        <v>21334</v>
      </c>
      <c r="F6452" t="s">
        <v>649</v>
      </c>
      <c r="G6452" t="s">
        <v>21335</v>
      </c>
      <c r="H6452" t="str">
        <f>HYPERLINK("https://baanknet.com/view-property/287144/A7B86D955500F674692BB287FFE598D06188910AFE309B173D2AEADBA4BE1401", "https://baanknet.com/view-property/287144/A7B86D955500F674692BB287FFE598D06188910AFE309B173D2AEADBA4BE1401")</f>
        <v>https://baanknet.com/view-property/287144/A7B86D955500F674692BB287FFE598D06188910AFE309B173D2AEADBA4BE1401</v>
      </c>
      <c r="I6452" t="str">
        <f>HYPERLINK("https://baanknet.com/view-property/287144/A7B86D955500F674692BB287FFE598D06188910AFE309B173D2AEADBA4BE1401", "Open")</f>
        <v>Open</v>
      </c>
      <c r="J6452" t="s">
        <v>3803</v>
      </c>
      <c r="L6452">
        <v>3600000</v>
      </c>
      <c r="M6452">
        <v>360000</v>
      </c>
    </row>
    <row r="6453" spans="1:13" x14ac:dyDescent="0.25">
      <c r="A6453" t="s">
        <v>21336</v>
      </c>
      <c r="B6453" t="s">
        <v>21337</v>
      </c>
      <c r="C6453" t="s">
        <v>83</v>
      </c>
      <c r="D6453" t="s">
        <v>1310</v>
      </c>
      <c r="E6453" t="s">
        <v>648</v>
      </c>
      <c r="F6453" t="s">
        <v>21338</v>
      </c>
      <c r="G6453" t="s">
        <v>21339</v>
      </c>
      <c r="H6453" t="str">
        <f>HYPERLINK("https://baanknet.com/view-property/281862/742AAE6328FD5B79C27298865D1C281708BE04C5BBA9A002D6BAFC7D66D957A7", "https://baanknet.com/view-property/281862/742AAE6328FD5B79C27298865D1C281708BE04C5BBA9A002D6BAFC7D66D957A7")</f>
        <v>https://baanknet.com/view-property/281862/742AAE6328FD5B79C27298865D1C281708BE04C5BBA9A002D6BAFC7D66D957A7</v>
      </c>
      <c r="I6453" t="str">
        <f>HYPERLINK("https://baanknet.com/view-property/281862/742AAE6328FD5B79C27298865D1C281708BE04C5BBA9A002D6BAFC7D66D957A7", "Open")</f>
        <v>Open</v>
      </c>
      <c r="J6453" t="s">
        <v>3803</v>
      </c>
      <c r="L6453">
        <v>12670000</v>
      </c>
      <c r="M6453">
        <v>1267000</v>
      </c>
    </row>
    <row r="6454" spans="1:13" x14ac:dyDescent="0.25">
      <c r="A6454" t="s">
        <v>21340</v>
      </c>
      <c r="B6454" t="s">
        <v>21341</v>
      </c>
      <c r="C6454" t="s">
        <v>726</v>
      </c>
      <c r="D6454" t="s">
        <v>1896</v>
      </c>
      <c r="E6454" t="s">
        <v>648</v>
      </c>
      <c r="F6454" t="s">
        <v>21342</v>
      </c>
      <c r="G6454" t="s">
        <v>21343</v>
      </c>
      <c r="H6454" t="str">
        <f>HYPERLINK("https://baanknet.com/view-property/280532/5335CD5F6D1FDB847E6E3162C7455AEB6771237B7B1C5AB26A03D872DCF03E42", "https://baanknet.com/view-property/280532/5335CD5F6D1FDB847E6E3162C7455AEB6771237B7B1C5AB26A03D872DCF03E42")</f>
        <v>https://baanknet.com/view-property/280532/5335CD5F6D1FDB847E6E3162C7455AEB6771237B7B1C5AB26A03D872DCF03E42</v>
      </c>
      <c r="I6454" t="str">
        <f>HYPERLINK("https://baanknet.com/view-property/280532/5335CD5F6D1FDB847E6E3162C7455AEB6771237B7B1C5AB26A03D872DCF03E42", "Open")</f>
        <v>Open</v>
      </c>
      <c r="J6454" t="s">
        <v>3803</v>
      </c>
      <c r="L6454">
        <v>4371000</v>
      </c>
      <c r="M6454">
        <v>437100</v>
      </c>
    </row>
    <row r="6455" spans="1:13" x14ac:dyDescent="0.25">
      <c r="A6455" t="s">
        <v>21344</v>
      </c>
      <c r="B6455" t="s">
        <v>21345</v>
      </c>
      <c r="C6455" t="s">
        <v>332</v>
      </c>
      <c r="D6455" t="s">
        <v>3225</v>
      </c>
      <c r="E6455" t="s">
        <v>648</v>
      </c>
      <c r="F6455" t="s">
        <v>649</v>
      </c>
      <c r="G6455" t="s">
        <v>21346</v>
      </c>
      <c r="H6455" t="str">
        <f>HYPERLINK("https://baanknet.com/view-property/273057/06C8DA2C1F6498AD2126F4BD0A5448D673834FB76CB613727EAA6E236C2291EE", "https://baanknet.com/view-property/273057/06C8DA2C1F6498AD2126F4BD0A5448D673834FB76CB613727EAA6E236C2291EE")</f>
        <v>https://baanknet.com/view-property/273057/06C8DA2C1F6498AD2126F4BD0A5448D673834FB76CB613727EAA6E236C2291EE</v>
      </c>
      <c r="I6455" t="str">
        <f>HYPERLINK("https://baanknet.com/view-property/273057/06C8DA2C1F6498AD2126F4BD0A5448D673834FB76CB613727EAA6E236C2291EE", "Open")</f>
        <v>Open</v>
      </c>
      <c r="J6455" t="s">
        <v>3803</v>
      </c>
      <c r="L6455">
        <v>7600000</v>
      </c>
      <c r="M6455">
        <v>760000</v>
      </c>
    </row>
    <row r="6456" spans="1:13" x14ac:dyDescent="0.25">
      <c r="A6456" t="s">
        <v>21347</v>
      </c>
      <c r="B6456" t="s">
        <v>21348</v>
      </c>
      <c r="C6456" t="s">
        <v>121</v>
      </c>
      <c r="D6456" t="s">
        <v>157</v>
      </c>
      <c r="E6456" t="s">
        <v>648</v>
      </c>
      <c r="F6456" t="s">
        <v>649</v>
      </c>
      <c r="G6456" t="s">
        <v>21349</v>
      </c>
      <c r="H6456" t="str">
        <f>HYPERLINK("https://baanknet.com/view-property/286477/CEAAD873D50380C9AFE08CAB61980458E268F4B8375367739293F23839DAF156", "https://baanknet.com/view-property/286477/CEAAD873D50380C9AFE08CAB61980458E268F4B8375367739293F23839DAF156")</f>
        <v>https://baanknet.com/view-property/286477/CEAAD873D50380C9AFE08CAB61980458E268F4B8375367739293F23839DAF156</v>
      </c>
      <c r="I6456" t="str">
        <f>HYPERLINK("https://baanknet.com/view-property/286477/CEAAD873D50380C9AFE08CAB61980458E268F4B8375367739293F23839DAF156", "Open")</f>
        <v>Open</v>
      </c>
      <c r="J6456" t="s">
        <v>3803</v>
      </c>
      <c r="L6456">
        <v>5510000</v>
      </c>
      <c r="M6456">
        <v>551000</v>
      </c>
    </row>
    <row r="6457" spans="1:13" x14ac:dyDescent="0.25">
      <c r="A6457" t="s">
        <v>21350</v>
      </c>
      <c r="B6457" t="s">
        <v>21351</v>
      </c>
      <c r="C6457" t="s">
        <v>121</v>
      </c>
      <c r="D6457" t="s">
        <v>1909</v>
      </c>
      <c r="E6457" t="s">
        <v>648</v>
      </c>
      <c r="F6457" t="s">
        <v>649</v>
      </c>
      <c r="G6457" t="s">
        <v>21352</v>
      </c>
      <c r="H6457" t="str">
        <f>HYPERLINK("https://baanknet.com/view-property/287240/331D54E1F6B34C2B668312A3B712966C49EEF2089D3618306C29F7C13E04B77F", "https://baanknet.com/view-property/287240/331D54E1F6B34C2B668312A3B712966C49EEF2089D3618306C29F7C13E04B77F")</f>
        <v>https://baanknet.com/view-property/287240/331D54E1F6B34C2B668312A3B712966C49EEF2089D3618306C29F7C13E04B77F</v>
      </c>
      <c r="I6457" t="str">
        <f>HYPERLINK("https://baanknet.com/view-property/287240/331D54E1F6B34C2B668312A3B712966C49EEF2089D3618306C29F7C13E04B77F", "Open")</f>
        <v>Open</v>
      </c>
      <c r="J6457" t="s">
        <v>3803</v>
      </c>
      <c r="L6457">
        <v>5503000</v>
      </c>
      <c r="M6457">
        <v>550300</v>
      </c>
    </row>
    <row r="6458" spans="1:13" x14ac:dyDescent="0.25">
      <c r="A6458" t="s">
        <v>21353</v>
      </c>
      <c r="B6458" t="s">
        <v>21354</v>
      </c>
      <c r="C6458" t="s">
        <v>121</v>
      </c>
      <c r="D6458" t="s">
        <v>1481</v>
      </c>
      <c r="E6458" t="s">
        <v>648</v>
      </c>
      <c r="F6458" t="s">
        <v>649</v>
      </c>
      <c r="G6458" t="s">
        <v>21355</v>
      </c>
      <c r="H6458" t="str">
        <f>HYPERLINK("https://baanknet.com/view-property/186544/D5C943A03A683700D0838DA634C2F88FD729CE781B8B67683871EA5E1BAA35AB", "https://baanknet.com/view-property/186544/D5C943A03A683700D0838DA634C2F88FD729CE781B8B67683871EA5E1BAA35AB")</f>
        <v>https://baanknet.com/view-property/186544/D5C943A03A683700D0838DA634C2F88FD729CE781B8B67683871EA5E1BAA35AB</v>
      </c>
      <c r="I6458" t="str">
        <f>HYPERLINK("https://baanknet.com/view-property/186544/D5C943A03A683700D0838DA634C2F88FD729CE781B8B67683871EA5E1BAA35AB", "Open")</f>
        <v>Open</v>
      </c>
      <c r="J6458" t="s">
        <v>3803</v>
      </c>
      <c r="L6458">
        <v>4385000</v>
      </c>
      <c r="M6458">
        <v>438500</v>
      </c>
    </row>
    <row r="6459" spans="1:13" x14ac:dyDescent="0.25">
      <c r="A6459" t="s">
        <v>21356</v>
      </c>
      <c r="B6459" t="s">
        <v>21357</v>
      </c>
      <c r="C6459" t="s">
        <v>121</v>
      </c>
      <c r="D6459" t="s">
        <v>2163</v>
      </c>
      <c r="E6459" t="s">
        <v>648</v>
      </c>
      <c r="F6459" t="s">
        <v>649</v>
      </c>
      <c r="G6459" t="s">
        <v>21358</v>
      </c>
      <c r="H6459" t="str">
        <f>HYPERLINK("https://baanknet.com/view-property/266593/8166321A60553263DE447B74AD44CACDF9D8059C09ACDB029E6C8852652A1029", "https://baanknet.com/view-property/266593/8166321A60553263DE447B74AD44CACDF9D8059C09ACDB029E6C8852652A1029")</f>
        <v>https://baanknet.com/view-property/266593/8166321A60553263DE447B74AD44CACDF9D8059C09ACDB029E6C8852652A1029</v>
      </c>
      <c r="I6459" t="str">
        <f>HYPERLINK("https://baanknet.com/view-property/266593/8166321A60553263DE447B74AD44CACDF9D8059C09ACDB029E6C8852652A1029", "Open")</f>
        <v>Open</v>
      </c>
      <c r="J6459" t="s">
        <v>3803</v>
      </c>
      <c r="L6459">
        <v>15000000</v>
      </c>
      <c r="M6459">
        <v>1500000</v>
      </c>
    </row>
    <row r="6460" spans="1:13" x14ac:dyDescent="0.25">
      <c r="A6460" t="s">
        <v>21359</v>
      </c>
      <c r="B6460" t="s">
        <v>21360</v>
      </c>
      <c r="C6460" t="s">
        <v>121</v>
      </c>
      <c r="D6460" t="s">
        <v>1481</v>
      </c>
      <c r="E6460" t="s">
        <v>648</v>
      </c>
      <c r="F6460" t="s">
        <v>649</v>
      </c>
      <c r="G6460" t="s">
        <v>21361</v>
      </c>
      <c r="H6460" t="str">
        <f>HYPERLINK("https://baanknet.com/view-property/177993/6F7F348BCEF1D756A60D642B1B98E81F6434AB6C2FC7598961F524D0A0A42FE9", "https://baanknet.com/view-property/177993/6F7F348BCEF1D756A60D642B1B98E81F6434AB6C2FC7598961F524D0A0A42FE9")</f>
        <v>https://baanknet.com/view-property/177993/6F7F348BCEF1D756A60D642B1B98E81F6434AB6C2FC7598961F524D0A0A42FE9</v>
      </c>
      <c r="I6460" t="str">
        <f>HYPERLINK("https://baanknet.com/view-property/177993/6F7F348BCEF1D756A60D642B1B98E81F6434AB6C2FC7598961F524D0A0A42FE9", "Open")</f>
        <v>Open</v>
      </c>
      <c r="J6460" t="s">
        <v>3803</v>
      </c>
      <c r="L6460">
        <v>6900000</v>
      </c>
      <c r="M6460">
        <v>690000</v>
      </c>
    </row>
    <row r="6461" spans="1:13" x14ac:dyDescent="0.25">
      <c r="A6461" t="s">
        <v>21362</v>
      </c>
      <c r="B6461" t="s">
        <v>21363</v>
      </c>
      <c r="C6461" t="s">
        <v>121</v>
      </c>
      <c r="D6461" t="s">
        <v>1488</v>
      </c>
      <c r="E6461" t="s">
        <v>648</v>
      </c>
      <c r="F6461" t="s">
        <v>649</v>
      </c>
      <c r="G6461" t="s">
        <v>21364</v>
      </c>
      <c r="H6461" t="str">
        <f>HYPERLINK("https://baanknet.com/view-property/173078/D370374874A898551ECC1B5C766260D081AE54596A63D6532D9A3CC56B9A814C", "https://baanknet.com/view-property/173078/D370374874A898551ECC1B5C766260D081AE54596A63D6532D9A3CC56B9A814C")</f>
        <v>https://baanknet.com/view-property/173078/D370374874A898551ECC1B5C766260D081AE54596A63D6532D9A3CC56B9A814C</v>
      </c>
      <c r="I6461" t="str">
        <f>HYPERLINK("https://baanknet.com/view-property/173078/D370374874A898551ECC1B5C766260D081AE54596A63D6532D9A3CC56B9A814C", "Open")</f>
        <v>Open</v>
      </c>
      <c r="J6461" t="s">
        <v>3803</v>
      </c>
      <c r="L6461">
        <v>2292000</v>
      </c>
      <c r="M6461">
        <v>229200</v>
      </c>
    </row>
    <row r="6462" spans="1:13" x14ac:dyDescent="0.25">
      <c r="A6462" t="s">
        <v>21365</v>
      </c>
      <c r="B6462" t="s">
        <v>21366</v>
      </c>
      <c r="C6462" t="s">
        <v>332</v>
      </c>
      <c r="D6462" t="s">
        <v>497</v>
      </c>
      <c r="E6462" t="s">
        <v>648</v>
      </c>
      <c r="F6462" t="s">
        <v>649</v>
      </c>
      <c r="G6462" t="s">
        <v>21367</v>
      </c>
      <c r="H6462" t="str">
        <f>HYPERLINK("https://baanknet.com/view-property/286796/1D6E540350FFCDB29A46B1D37C081B8BF5450D25C7D9099912534B717356153E", "https://baanknet.com/view-property/286796/1D6E540350FFCDB29A46B1D37C081B8BF5450D25C7D9099912534B717356153E")</f>
        <v>https://baanknet.com/view-property/286796/1D6E540350FFCDB29A46B1D37C081B8BF5450D25C7D9099912534B717356153E</v>
      </c>
      <c r="I6462" t="str">
        <f>HYPERLINK("https://baanknet.com/view-property/286796/1D6E540350FFCDB29A46B1D37C081B8BF5450D25C7D9099912534B717356153E", "Open")</f>
        <v>Open</v>
      </c>
      <c r="J6462" t="s">
        <v>3803</v>
      </c>
      <c r="L6462">
        <v>2585000</v>
      </c>
      <c r="M6462">
        <v>258500</v>
      </c>
    </row>
    <row r="6463" spans="1:13" x14ac:dyDescent="0.25">
      <c r="A6463" t="s">
        <v>21368</v>
      </c>
      <c r="B6463" t="s">
        <v>21369</v>
      </c>
      <c r="C6463" t="s">
        <v>121</v>
      </c>
      <c r="D6463" t="s">
        <v>9523</v>
      </c>
      <c r="E6463" t="s">
        <v>648</v>
      </c>
      <c r="F6463" t="s">
        <v>649</v>
      </c>
      <c r="G6463" t="s">
        <v>21370</v>
      </c>
      <c r="H6463" t="str">
        <f>HYPERLINK("https://baanknet.com/view-property/287289/C8A35414A9E388320EA90E0869C7DA71E23BD09541E2718AB92DEA11A0FEE389", "https://baanknet.com/view-property/287289/C8A35414A9E388320EA90E0869C7DA71E23BD09541E2718AB92DEA11A0FEE389")</f>
        <v>https://baanknet.com/view-property/287289/C8A35414A9E388320EA90E0869C7DA71E23BD09541E2718AB92DEA11A0FEE389</v>
      </c>
      <c r="I6463" t="str">
        <f>HYPERLINK("https://baanknet.com/view-property/287289/C8A35414A9E388320EA90E0869C7DA71E23BD09541E2718AB92DEA11A0FEE389", "Open")</f>
        <v>Open</v>
      </c>
      <c r="J6463" t="s">
        <v>3803</v>
      </c>
      <c r="L6463">
        <v>1600000</v>
      </c>
      <c r="M6463">
        <v>160000</v>
      </c>
    </row>
    <row r="6464" spans="1:13" x14ac:dyDescent="0.25">
      <c r="A6464" t="s">
        <v>21371</v>
      </c>
      <c r="B6464" t="s">
        <v>21372</v>
      </c>
      <c r="C6464" t="s">
        <v>121</v>
      </c>
      <c r="D6464" t="s">
        <v>9523</v>
      </c>
      <c r="E6464" t="s">
        <v>648</v>
      </c>
      <c r="F6464" t="s">
        <v>649</v>
      </c>
      <c r="G6464" t="s">
        <v>21373</v>
      </c>
      <c r="H6464" t="str">
        <f>HYPERLINK("https://baanknet.com/view-property/287272/5FE3B1F000438FB65BC881B5A47EAF25E9F951892C35350F255B1B1CC747975F", "https://baanknet.com/view-property/287272/5FE3B1F000438FB65BC881B5A47EAF25E9F951892C35350F255B1B1CC747975F")</f>
        <v>https://baanknet.com/view-property/287272/5FE3B1F000438FB65BC881B5A47EAF25E9F951892C35350F255B1B1CC747975F</v>
      </c>
      <c r="I6464" t="str">
        <f>HYPERLINK("https://baanknet.com/view-property/287272/5FE3B1F000438FB65BC881B5A47EAF25E9F951892C35350F255B1B1CC747975F", "Open")</f>
        <v>Open</v>
      </c>
      <c r="J6464" t="s">
        <v>3803</v>
      </c>
      <c r="L6464">
        <v>1900000</v>
      </c>
      <c r="M6464">
        <v>190000</v>
      </c>
    </row>
    <row r="6465" spans="1:13" x14ac:dyDescent="0.25">
      <c r="A6465" t="s">
        <v>21374</v>
      </c>
      <c r="B6465" t="s">
        <v>21375</v>
      </c>
      <c r="C6465" t="s">
        <v>121</v>
      </c>
      <c r="D6465" t="s">
        <v>1277</v>
      </c>
      <c r="E6465" t="s">
        <v>648</v>
      </c>
      <c r="F6465" t="s">
        <v>649</v>
      </c>
      <c r="G6465" t="s">
        <v>21376</v>
      </c>
      <c r="H6465" t="str">
        <f>HYPERLINK("https://baanknet.com/view-property/249868/53F54316A5587F7B795C5602D83BD20ABBCE8849E8953D99E467D0C8DA5B6F92", "https://baanknet.com/view-property/249868/53F54316A5587F7B795C5602D83BD20ABBCE8849E8953D99E467D0C8DA5B6F92")</f>
        <v>https://baanknet.com/view-property/249868/53F54316A5587F7B795C5602D83BD20ABBCE8849E8953D99E467D0C8DA5B6F92</v>
      </c>
      <c r="I6465" t="str">
        <f>HYPERLINK("https://baanknet.com/view-property/249868/53F54316A5587F7B795C5602D83BD20ABBCE8849E8953D99E467D0C8DA5B6F92", "Open")</f>
        <v>Open</v>
      </c>
      <c r="J6465" t="s">
        <v>3803</v>
      </c>
      <c r="L6465">
        <v>2800000</v>
      </c>
      <c r="M6465">
        <v>280000</v>
      </c>
    </row>
    <row r="6466" spans="1:13" x14ac:dyDescent="0.25">
      <c r="A6466" t="s">
        <v>21377</v>
      </c>
      <c r="B6466" t="s">
        <v>21378</v>
      </c>
      <c r="C6466" t="s">
        <v>332</v>
      </c>
      <c r="D6466" t="s">
        <v>6245</v>
      </c>
      <c r="E6466" t="s">
        <v>648</v>
      </c>
      <c r="F6466" t="s">
        <v>649</v>
      </c>
      <c r="G6466" t="s">
        <v>21379</v>
      </c>
      <c r="H6466" t="str">
        <f>HYPERLINK("https://baanknet.com/view-property/287376/FA63A6A5470B06913A33BC126E5A86841EB698F483F842044DB956D714210F0D", "https://baanknet.com/view-property/287376/FA63A6A5470B06913A33BC126E5A86841EB698F483F842044DB956D714210F0D")</f>
        <v>https://baanknet.com/view-property/287376/FA63A6A5470B06913A33BC126E5A86841EB698F483F842044DB956D714210F0D</v>
      </c>
      <c r="I6466" t="str">
        <f>HYPERLINK("https://baanknet.com/view-property/287376/FA63A6A5470B06913A33BC126E5A86841EB698F483F842044DB956D714210F0D", "Open")</f>
        <v>Open</v>
      </c>
      <c r="J6466" t="s">
        <v>3803</v>
      </c>
      <c r="L6466">
        <v>18900000</v>
      </c>
      <c r="M6466">
        <v>1890000</v>
      </c>
    </row>
    <row r="6467" spans="1:13" x14ac:dyDescent="0.25">
      <c r="A6467" t="s">
        <v>21380</v>
      </c>
      <c r="B6467" t="s">
        <v>21381</v>
      </c>
      <c r="C6467" t="s">
        <v>121</v>
      </c>
      <c r="D6467" t="s">
        <v>5239</v>
      </c>
      <c r="E6467" t="s">
        <v>648</v>
      </c>
      <c r="F6467" t="s">
        <v>649</v>
      </c>
      <c r="G6467" t="s">
        <v>21382</v>
      </c>
      <c r="H6467" t="str">
        <f>HYPERLINK("https://baanknet.com/view-property/274418/948B005F461F95A533378B0EE478A808BA47B87E18F07D0ED7A2CC8A7C90491B", "https://baanknet.com/view-property/274418/948B005F461F95A533378B0EE478A808BA47B87E18F07D0ED7A2CC8A7C90491B")</f>
        <v>https://baanknet.com/view-property/274418/948B005F461F95A533378B0EE478A808BA47B87E18F07D0ED7A2CC8A7C90491B</v>
      </c>
      <c r="I6467" t="str">
        <f>HYPERLINK("https://baanknet.com/view-property/274418/948B005F461F95A533378B0EE478A808BA47B87E18F07D0ED7A2CC8A7C90491B", "Open")</f>
        <v>Open</v>
      </c>
      <c r="J6467" t="s">
        <v>3803</v>
      </c>
      <c r="L6467">
        <v>1200000</v>
      </c>
      <c r="M6467">
        <v>120000</v>
      </c>
    </row>
    <row r="6468" spans="1:13" x14ac:dyDescent="0.25">
      <c r="A6468" t="s">
        <v>21383</v>
      </c>
      <c r="B6468" t="s">
        <v>21384</v>
      </c>
      <c r="C6468" t="s">
        <v>121</v>
      </c>
      <c r="D6468" t="s">
        <v>4799</v>
      </c>
      <c r="E6468" t="s">
        <v>648</v>
      </c>
      <c r="F6468" t="s">
        <v>649</v>
      </c>
      <c r="G6468" t="s">
        <v>21385</v>
      </c>
      <c r="H6468" t="str">
        <f>HYPERLINK("https://baanknet.com/view-property/274428/6B6F10B33330318FB31E6A8B2294CE025350E9556929C3274636993443435797", "https://baanknet.com/view-property/274428/6B6F10B33330318FB31E6A8B2294CE025350E9556929C3274636993443435797")</f>
        <v>https://baanknet.com/view-property/274428/6B6F10B33330318FB31E6A8B2294CE025350E9556929C3274636993443435797</v>
      </c>
      <c r="I6468" t="str">
        <f>HYPERLINK("https://baanknet.com/view-property/274428/6B6F10B33330318FB31E6A8B2294CE025350E9556929C3274636993443435797", "Open")</f>
        <v>Open</v>
      </c>
      <c r="J6468" t="s">
        <v>3803</v>
      </c>
      <c r="L6468">
        <v>2070000</v>
      </c>
      <c r="M6468">
        <v>207000</v>
      </c>
    </row>
    <row r="6469" spans="1:13" x14ac:dyDescent="0.25">
      <c r="A6469" t="s">
        <v>21386</v>
      </c>
      <c r="B6469" t="s">
        <v>21387</v>
      </c>
      <c r="C6469" t="s">
        <v>121</v>
      </c>
      <c r="D6469" t="s">
        <v>21388</v>
      </c>
      <c r="E6469" t="s">
        <v>648</v>
      </c>
      <c r="F6469" t="s">
        <v>649</v>
      </c>
      <c r="G6469" t="s">
        <v>21389</v>
      </c>
      <c r="H6469" t="str">
        <f>HYPERLINK("https://baanknet.com/view-property/267064/B81F14B59532FBE6ABB481658139A052500A975C8512F74017CBFDDDD0B33D5A", "https://baanknet.com/view-property/267064/B81F14B59532FBE6ABB481658139A052500A975C8512F74017CBFDDDD0B33D5A")</f>
        <v>https://baanknet.com/view-property/267064/B81F14B59532FBE6ABB481658139A052500A975C8512F74017CBFDDDD0B33D5A</v>
      </c>
      <c r="I6469" t="str">
        <f>HYPERLINK("https://baanknet.com/view-property/267064/B81F14B59532FBE6ABB481658139A052500A975C8512F74017CBFDDDD0B33D5A", "Open")</f>
        <v>Open</v>
      </c>
      <c r="J6469" t="s">
        <v>3803</v>
      </c>
      <c r="L6469">
        <v>1131000</v>
      </c>
      <c r="M6469">
        <v>113100</v>
      </c>
    </row>
    <row r="6470" spans="1:13" x14ac:dyDescent="0.25">
      <c r="A6470" t="s">
        <v>21390</v>
      </c>
      <c r="B6470" t="s">
        <v>21391</v>
      </c>
      <c r="C6470" t="s">
        <v>121</v>
      </c>
      <c r="D6470" t="s">
        <v>1744</v>
      </c>
      <c r="E6470" t="s">
        <v>648</v>
      </c>
      <c r="F6470" t="s">
        <v>649</v>
      </c>
      <c r="G6470" t="s">
        <v>21392</v>
      </c>
      <c r="H6470" t="str">
        <f>HYPERLINK("https://baanknet.com/view-property/279569/7557F8EE9F279820814CC177802F2F33AA0CF2AE8997F23E32187C380B96D405", "https://baanknet.com/view-property/279569/7557F8EE9F279820814CC177802F2F33AA0CF2AE8997F23E32187C380B96D405")</f>
        <v>https://baanknet.com/view-property/279569/7557F8EE9F279820814CC177802F2F33AA0CF2AE8997F23E32187C380B96D405</v>
      </c>
      <c r="I6470" t="str">
        <f>HYPERLINK("https://baanknet.com/view-property/279569/7557F8EE9F279820814CC177802F2F33AA0CF2AE8997F23E32187C380B96D405", "Open")</f>
        <v>Open</v>
      </c>
      <c r="J6470" t="s">
        <v>3803</v>
      </c>
      <c r="L6470">
        <v>1539000</v>
      </c>
      <c r="M6470">
        <v>153900</v>
      </c>
    </row>
    <row r="6471" spans="1:13" x14ac:dyDescent="0.25">
      <c r="A6471" t="s">
        <v>21393</v>
      </c>
      <c r="B6471" t="s">
        <v>21394</v>
      </c>
      <c r="C6471" t="s">
        <v>121</v>
      </c>
      <c r="D6471" t="s">
        <v>5239</v>
      </c>
      <c r="E6471" t="s">
        <v>648</v>
      </c>
      <c r="F6471" t="s">
        <v>649</v>
      </c>
      <c r="G6471" t="s">
        <v>21395</v>
      </c>
      <c r="H6471" t="str">
        <f>HYPERLINK("https://baanknet.com/view-property/275403/52B4D5F44276C6FD86748A489C406333A08843BDF32AC8B40A975430FD5F3B9C", "https://baanknet.com/view-property/275403/52B4D5F44276C6FD86748A489C406333A08843BDF32AC8B40A975430FD5F3B9C")</f>
        <v>https://baanknet.com/view-property/275403/52B4D5F44276C6FD86748A489C406333A08843BDF32AC8B40A975430FD5F3B9C</v>
      </c>
      <c r="I6471" t="str">
        <f>HYPERLINK("https://baanknet.com/view-property/275403/52B4D5F44276C6FD86748A489C406333A08843BDF32AC8B40A975430FD5F3B9C", "Open")</f>
        <v>Open</v>
      </c>
      <c r="J6471" t="s">
        <v>3803</v>
      </c>
      <c r="L6471">
        <v>1881000</v>
      </c>
      <c r="M6471">
        <v>188100</v>
      </c>
    </row>
    <row r="6472" spans="1:13" x14ac:dyDescent="0.25">
      <c r="A6472" t="s">
        <v>21396</v>
      </c>
      <c r="B6472" t="s">
        <v>21397</v>
      </c>
      <c r="C6472" t="s">
        <v>121</v>
      </c>
      <c r="D6472" t="s">
        <v>5239</v>
      </c>
      <c r="E6472" t="s">
        <v>648</v>
      </c>
      <c r="F6472" t="s">
        <v>649</v>
      </c>
      <c r="G6472" t="s">
        <v>21398</v>
      </c>
      <c r="H6472" t="str">
        <f>HYPERLINK("https://baanknet.com/view-property/206916/DA5DB7F3FD09A077A01340F795532EAA2F1F906E87EAB7D9FD21BCD2847F27A7", "https://baanknet.com/view-property/206916/DA5DB7F3FD09A077A01340F795532EAA2F1F906E87EAB7D9FD21BCD2847F27A7")</f>
        <v>https://baanknet.com/view-property/206916/DA5DB7F3FD09A077A01340F795532EAA2F1F906E87EAB7D9FD21BCD2847F27A7</v>
      </c>
      <c r="I6472" t="str">
        <f>HYPERLINK("https://baanknet.com/view-property/206916/DA5DB7F3FD09A077A01340F795532EAA2F1F906E87EAB7D9FD21BCD2847F27A7", "Open")</f>
        <v>Open</v>
      </c>
      <c r="J6472" t="s">
        <v>3803</v>
      </c>
      <c r="L6472">
        <v>1942000</v>
      </c>
      <c r="M6472">
        <v>194200</v>
      </c>
    </row>
    <row r="6473" spans="1:13" x14ac:dyDescent="0.25">
      <c r="A6473" t="s">
        <v>21399</v>
      </c>
      <c r="B6473" t="s">
        <v>21400</v>
      </c>
      <c r="C6473" t="s">
        <v>121</v>
      </c>
      <c r="D6473" t="s">
        <v>357</v>
      </c>
      <c r="E6473" t="s">
        <v>648</v>
      </c>
      <c r="F6473" t="s">
        <v>649</v>
      </c>
      <c r="G6473" t="s">
        <v>21401</v>
      </c>
      <c r="H6473" t="str">
        <f>HYPERLINK("https://baanknet.com/view-property/287761/F6C5F1DF4F05782CAB5E212F3E113B8E91987351C7B18B8C3865A8C611662004", "https://baanknet.com/view-property/287761/F6C5F1DF4F05782CAB5E212F3E113B8E91987351C7B18B8C3865A8C611662004")</f>
        <v>https://baanknet.com/view-property/287761/F6C5F1DF4F05782CAB5E212F3E113B8E91987351C7B18B8C3865A8C611662004</v>
      </c>
      <c r="I6473" t="str">
        <f>HYPERLINK("https://baanknet.com/view-property/287761/F6C5F1DF4F05782CAB5E212F3E113B8E91987351C7B18B8C3865A8C611662004", "Open")</f>
        <v>Open</v>
      </c>
      <c r="J6473" t="s">
        <v>3803</v>
      </c>
      <c r="L6473">
        <v>53600000</v>
      </c>
      <c r="M6473">
        <v>5360000</v>
      </c>
    </row>
    <row r="6474" spans="1:13" x14ac:dyDescent="0.25">
      <c r="A6474" t="s">
        <v>21402</v>
      </c>
      <c r="B6474" t="s">
        <v>21403</v>
      </c>
      <c r="C6474" t="s">
        <v>121</v>
      </c>
      <c r="D6474" t="s">
        <v>21404</v>
      </c>
      <c r="E6474" t="s">
        <v>648</v>
      </c>
      <c r="F6474" t="s">
        <v>649</v>
      </c>
      <c r="G6474" t="s">
        <v>21405</v>
      </c>
      <c r="H6474" t="str">
        <f>HYPERLINK("https://baanknet.com/view-property/186469/93E365AC1FE56E30F70FB38FEFCFD903B31DA3F30DFB11999EB5E592E6D7DE37", "https://baanknet.com/view-property/186469/93E365AC1FE56E30F70FB38FEFCFD903B31DA3F30DFB11999EB5E592E6D7DE37")</f>
        <v>https://baanknet.com/view-property/186469/93E365AC1FE56E30F70FB38FEFCFD903B31DA3F30DFB11999EB5E592E6D7DE37</v>
      </c>
      <c r="I6474" t="str">
        <f>HYPERLINK("https://baanknet.com/view-property/186469/93E365AC1FE56E30F70FB38FEFCFD903B31DA3F30DFB11999EB5E592E6D7DE37", "Open")</f>
        <v>Open</v>
      </c>
      <c r="J6474" t="s">
        <v>3803</v>
      </c>
      <c r="L6474">
        <v>9790000</v>
      </c>
      <c r="M6474">
        <v>979000</v>
      </c>
    </row>
    <row r="6475" spans="1:13" x14ac:dyDescent="0.25">
      <c r="A6475" t="s">
        <v>21406</v>
      </c>
      <c r="B6475" t="s">
        <v>21407</v>
      </c>
      <c r="C6475" t="s">
        <v>121</v>
      </c>
      <c r="D6475" t="s">
        <v>21404</v>
      </c>
      <c r="E6475" t="s">
        <v>648</v>
      </c>
      <c r="F6475" t="s">
        <v>649</v>
      </c>
      <c r="G6475" t="s">
        <v>21408</v>
      </c>
      <c r="H6475" t="str">
        <f>HYPERLINK("https://baanknet.com/view-property/186487/BFA907048B44DEBDDE7D3BF34EF8C19F248B08D3AC23FAD8D5AD3E7AE4B08937", "https://baanknet.com/view-property/186487/BFA907048B44DEBDDE7D3BF34EF8C19F248B08D3AC23FAD8D5AD3E7AE4B08937")</f>
        <v>https://baanknet.com/view-property/186487/BFA907048B44DEBDDE7D3BF34EF8C19F248B08D3AC23FAD8D5AD3E7AE4B08937</v>
      </c>
      <c r="I6475" t="str">
        <f>HYPERLINK("https://baanknet.com/view-property/186487/BFA907048B44DEBDDE7D3BF34EF8C19F248B08D3AC23FAD8D5AD3E7AE4B08937", "Open")</f>
        <v>Open</v>
      </c>
      <c r="J6475" t="s">
        <v>3803</v>
      </c>
      <c r="L6475">
        <v>10720000</v>
      </c>
      <c r="M6475">
        <v>1072000</v>
      </c>
    </row>
    <row r="6476" spans="1:13" x14ac:dyDescent="0.25">
      <c r="A6476" t="s">
        <v>21409</v>
      </c>
      <c r="B6476" t="s">
        <v>21410</v>
      </c>
      <c r="C6476" t="s">
        <v>121</v>
      </c>
      <c r="D6476" t="s">
        <v>7328</v>
      </c>
      <c r="E6476" t="s">
        <v>648</v>
      </c>
      <c r="F6476" t="s">
        <v>649</v>
      </c>
      <c r="G6476" t="s">
        <v>21411</v>
      </c>
      <c r="H6476" t="str">
        <f>HYPERLINK("https://baanknet.com/view-property/182597/482878DD911DD15B179A7BE1840F606CE72835F940A7F6DEDEB34F27099B3B72", "https://baanknet.com/view-property/182597/482878DD911DD15B179A7BE1840F606CE72835F940A7F6DEDEB34F27099B3B72")</f>
        <v>https://baanknet.com/view-property/182597/482878DD911DD15B179A7BE1840F606CE72835F940A7F6DEDEB34F27099B3B72</v>
      </c>
      <c r="I6476" t="str">
        <f>HYPERLINK("https://baanknet.com/view-property/182597/482878DD911DD15B179A7BE1840F606CE72835F940A7F6DEDEB34F27099B3B72", "Open")</f>
        <v>Open</v>
      </c>
      <c r="J6476" t="s">
        <v>3803</v>
      </c>
      <c r="L6476">
        <v>3182000</v>
      </c>
      <c r="M6476">
        <v>318200</v>
      </c>
    </row>
    <row r="6477" spans="1:13" x14ac:dyDescent="0.25">
      <c r="A6477" t="s">
        <v>21412</v>
      </c>
      <c r="B6477" t="s">
        <v>21413</v>
      </c>
      <c r="C6477" t="s">
        <v>121</v>
      </c>
      <c r="D6477" t="s">
        <v>5316</v>
      </c>
      <c r="E6477" t="s">
        <v>648</v>
      </c>
      <c r="F6477" t="s">
        <v>649</v>
      </c>
      <c r="G6477" t="s">
        <v>21414</v>
      </c>
      <c r="H6477" t="str">
        <f>HYPERLINK("https://baanknet.com/view-property/275022/BB90E6D9D2E67CA5A86ADCE720330DF27A96B939B6F90908815A382E260A13D7", "https://baanknet.com/view-property/275022/BB90E6D9D2E67CA5A86ADCE720330DF27A96B939B6F90908815A382E260A13D7")</f>
        <v>https://baanknet.com/view-property/275022/BB90E6D9D2E67CA5A86ADCE720330DF27A96B939B6F90908815A382E260A13D7</v>
      </c>
      <c r="I6477" t="str">
        <f>HYPERLINK("https://baanknet.com/view-property/275022/BB90E6D9D2E67CA5A86ADCE720330DF27A96B939B6F90908815A382E260A13D7", "Open")</f>
        <v>Open</v>
      </c>
      <c r="J6477" t="s">
        <v>3803</v>
      </c>
      <c r="L6477">
        <v>1881000</v>
      </c>
      <c r="M6477">
        <v>188100</v>
      </c>
    </row>
    <row r="6478" spans="1:13" x14ac:dyDescent="0.25">
      <c r="A6478" t="s">
        <v>21415</v>
      </c>
      <c r="B6478" t="s">
        <v>21416</v>
      </c>
      <c r="C6478" t="s">
        <v>121</v>
      </c>
      <c r="D6478" t="s">
        <v>7328</v>
      </c>
      <c r="E6478" t="s">
        <v>648</v>
      </c>
      <c r="F6478" t="s">
        <v>649</v>
      </c>
      <c r="G6478" t="s">
        <v>21417</v>
      </c>
      <c r="H6478" t="str">
        <f>HYPERLINK("https://baanknet.com/view-property/272328/981BA8F551C7E0C392ABF7145AEA0279AFECBE1E30F0B95CA092B067EEE9BAF9", "https://baanknet.com/view-property/272328/981BA8F551C7E0C392ABF7145AEA0279AFECBE1E30F0B95CA092B067EEE9BAF9")</f>
        <v>https://baanknet.com/view-property/272328/981BA8F551C7E0C392ABF7145AEA0279AFECBE1E30F0B95CA092B067EEE9BAF9</v>
      </c>
      <c r="I6478" t="str">
        <f>HYPERLINK("https://baanknet.com/view-property/272328/981BA8F551C7E0C392ABF7145AEA0279AFECBE1E30F0B95CA092B067EEE9BAF9", "Open")</f>
        <v>Open</v>
      </c>
      <c r="J6478" t="s">
        <v>3803</v>
      </c>
      <c r="L6478">
        <v>1203000</v>
      </c>
      <c r="M6478">
        <v>120300</v>
      </c>
    </row>
    <row r="6479" spans="1:13" x14ac:dyDescent="0.25">
      <c r="A6479" t="s">
        <v>21418</v>
      </c>
      <c r="B6479" t="s">
        <v>21419</v>
      </c>
      <c r="C6479" t="s">
        <v>121</v>
      </c>
      <c r="D6479" t="s">
        <v>1751</v>
      </c>
      <c r="E6479" t="s">
        <v>648</v>
      </c>
      <c r="F6479" t="s">
        <v>649</v>
      </c>
      <c r="G6479" t="s">
        <v>21420</v>
      </c>
      <c r="H6479" t="str">
        <f>HYPERLINK("https://baanknet.com/view-property/287041/E824DBA8DB9B9571DA172D7F92F10FA36E872F58F932EEC0473B90FA5E9739F2", "https://baanknet.com/view-property/287041/E824DBA8DB9B9571DA172D7F92F10FA36E872F58F932EEC0473B90FA5E9739F2")</f>
        <v>https://baanknet.com/view-property/287041/E824DBA8DB9B9571DA172D7F92F10FA36E872F58F932EEC0473B90FA5E9739F2</v>
      </c>
      <c r="I6479" t="str">
        <f>HYPERLINK("https://baanknet.com/view-property/287041/E824DBA8DB9B9571DA172D7F92F10FA36E872F58F932EEC0473B90FA5E9739F2", "Open")</f>
        <v>Open</v>
      </c>
      <c r="J6479" t="s">
        <v>3803</v>
      </c>
      <c r="L6479">
        <v>2339000</v>
      </c>
      <c r="M6479">
        <v>233900</v>
      </c>
    </row>
    <row r="6480" spans="1:13" x14ac:dyDescent="0.25">
      <c r="A6480" t="s">
        <v>21421</v>
      </c>
      <c r="B6480" t="s">
        <v>21422</v>
      </c>
      <c r="C6480" t="s">
        <v>121</v>
      </c>
      <c r="D6480" t="s">
        <v>1961</v>
      </c>
      <c r="E6480" t="s">
        <v>648</v>
      </c>
      <c r="F6480" t="s">
        <v>649</v>
      </c>
      <c r="G6480" t="s">
        <v>21423</v>
      </c>
      <c r="H6480" t="str">
        <f>HYPERLINK("https://baanknet.com/view-property/186135/F7B9E3045BA95595105529A907458E866F6584A46DF77EF7F6A825B83B47EC60", "https://baanknet.com/view-property/186135/F7B9E3045BA95595105529A907458E866F6584A46DF77EF7F6A825B83B47EC60")</f>
        <v>https://baanknet.com/view-property/186135/F7B9E3045BA95595105529A907458E866F6584A46DF77EF7F6A825B83B47EC60</v>
      </c>
      <c r="I6480" t="str">
        <f>HYPERLINK("https://baanknet.com/view-property/186135/F7B9E3045BA95595105529A907458E866F6584A46DF77EF7F6A825B83B47EC60", "Open")</f>
        <v>Open</v>
      </c>
      <c r="J6480" t="s">
        <v>3803</v>
      </c>
      <c r="L6480">
        <v>2142000</v>
      </c>
      <c r="M6480">
        <v>214200</v>
      </c>
    </row>
    <row r="6481" spans="1:13" x14ac:dyDescent="0.25">
      <c r="A6481" t="s">
        <v>21424</v>
      </c>
      <c r="B6481" t="s">
        <v>21425</v>
      </c>
      <c r="C6481" t="s">
        <v>121</v>
      </c>
      <c r="D6481" t="s">
        <v>1943</v>
      </c>
      <c r="E6481" t="s">
        <v>648</v>
      </c>
      <c r="F6481" t="s">
        <v>649</v>
      </c>
      <c r="G6481" t="s">
        <v>21426</v>
      </c>
      <c r="H6481" t="str">
        <f>HYPERLINK("https://baanknet.com/view-property/215553/E18563B2E8303064BF80A692177BEC9105F3A617C3D02AC5AE0D400DAD183066", "https://baanknet.com/view-property/215553/E18563B2E8303064BF80A692177BEC9105F3A617C3D02AC5AE0D400DAD183066")</f>
        <v>https://baanknet.com/view-property/215553/E18563B2E8303064BF80A692177BEC9105F3A617C3D02AC5AE0D400DAD183066</v>
      </c>
      <c r="I6481" t="str">
        <f>HYPERLINK("https://baanknet.com/view-property/215553/E18563B2E8303064BF80A692177BEC9105F3A617C3D02AC5AE0D400DAD183066", "Open")</f>
        <v>Open</v>
      </c>
      <c r="J6481" t="s">
        <v>3803</v>
      </c>
      <c r="L6481">
        <v>2414000</v>
      </c>
      <c r="M6481">
        <v>241400</v>
      </c>
    </row>
    <row r="6482" spans="1:13" x14ac:dyDescent="0.25">
      <c r="A6482" t="s">
        <v>21427</v>
      </c>
      <c r="B6482" t="s">
        <v>21428</v>
      </c>
      <c r="C6482" t="s">
        <v>121</v>
      </c>
      <c r="D6482" t="s">
        <v>1961</v>
      </c>
      <c r="E6482" t="s">
        <v>648</v>
      </c>
      <c r="F6482" t="s">
        <v>649</v>
      </c>
      <c r="G6482" t="s">
        <v>21429</v>
      </c>
      <c r="H6482" t="str">
        <f>HYPERLINK("https://baanknet.com/view-property/179469/2EFB59026F6A4BB7285DE41E21017BEFED0F9BAF906AD6DB9B1343F16E90137F", "https://baanknet.com/view-property/179469/2EFB59026F6A4BB7285DE41E21017BEFED0F9BAF906AD6DB9B1343F16E90137F")</f>
        <v>https://baanknet.com/view-property/179469/2EFB59026F6A4BB7285DE41E21017BEFED0F9BAF906AD6DB9B1343F16E90137F</v>
      </c>
      <c r="I6482" t="str">
        <f>HYPERLINK("https://baanknet.com/view-property/179469/2EFB59026F6A4BB7285DE41E21017BEFED0F9BAF906AD6DB9B1343F16E90137F", "Open")</f>
        <v>Open</v>
      </c>
      <c r="J6482" t="s">
        <v>3803</v>
      </c>
      <c r="L6482">
        <v>1472000</v>
      </c>
      <c r="M6482">
        <v>147200</v>
      </c>
    </row>
    <row r="6483" spans="1:13" x14ac:dyDescent="0.25">
      <c r="A6483" t="s">
        <v>21430</v>
      </c>
      <c r="B6483" t="s">
        <v>21431</v>
      </c>
      <c r="C6483" t="s">
        <v>121</v>
      </c>
      <c r="D6483" t="s">
        <v>5140</v>
      </c>
      <c r="E6483" t="s">
        <v>648</v>
      </c>
      <c r="F6483" t="s">
        <v>649</v>
      </c>
      <c r="G6483" t="s">
        <v>21432</v>
      </c>
      <c r="H6483" t="str">
        <f>HYPERLINK("https://baanknet.com/view-property/288095/FC9F33098BEA0882CF9CB2AF5192EF303CC50441AA846702E7B98CC620939DCA", "https://baanknet.com/view-property/288095/FC9F33098BEA0882CF9CB2AF5192EF303CC50441AA846702E7B98CC620939DCA")</f>
        <v>https://baanknet.com/view-property/288095/FC9F33098BEA0882CF9CB2AF5192EF303CC50441AA846702E7B98CC620939DCA</v>
      </c>
      <c r="I6483" t="str">
        <f>HYPERLINK("https://baanknet.com/view-property/288095/FC9F33098BEA0882CF9CB2AF5192EF303CC50441AA846702E7B98CC620939DCA", "Open")</f>
        <v>Open</v>
      </c>
      <c r="J6483" t="s">
        <v>3803</v>
      </c>
      <c r="L6483">
        <v>1629000</v>
      </c>
      <c r="M6483">
        <v>162900</v>
      </c>
    </row>
    <row r="6484" spans="1:13" x14ac:dyDescent="0.25">
      <c r="A6484" t="s">
        <v>21433</v>
      </c>
      <c r="B6484" t="s">
        <v>21434</v>
      </c>
      <c r="C6484" t="s">
        <v>121</v>
      </c>
      <c r="D6484" t="s">
        <v>833</v>
      </c>
      <c r="E6484" t="s">
        <v>648</v>
      </c>
      <c r="F6484" t="s">
        <v>649</v>
      </c>
      <c r="G6484" t="s">
        <v>21435</v>
      </c>
      <c r="H6484" t="str">
        <f>HYPERLINK("https://baanknet.com/view-property/272359/89D1C10AD4CDFEE83930E2F8D2325AFFBE5BFA385F3F32F44AE75DC2FE4D77DB", "https://baanknet.com/view-property/272359/89D1C10AD4CDFEE83930E2F8D2325AFFBE5BFA385F3F32F44AE75DC2FE4D77DB")</f>
        <v>https://baanknet.com/view-property/272359/89D1C10AD4CDFEE83930E2F8D2325AFFBE5BFA385F3F32F44AE75DC2FE4D77DB</v>
      </c>
      <c r="I6484" t="str">
        <f>HYPERLINK("https://baanknet.com/view-property/272359/89D1C10AD4CDFEE83930E2F8D2325AFFBE5BFA385F3F32F44AE75DC2FE4D77DB", "Open")</f>
        <v>Open</v>
      </c>
      <c r="J6484" t="s">
        <v>3803</v>
      </c>
      <c r="L6484">
        <v>1190000</v>
      </c>
      <c r="M6484">
        <v>119000</v>
      </c>
    </row>
    <row r="6485" spans="1:13" x14ac:dyDescent="0.25">
      <c r="A6485" t="s">
        <v>21436</v>
      </c>
      <c r="B6485" t="s">
        <v>21437</v>
      </c>
      <c r="C6485" t="s">
        <v>121</v>
      </c>
      <c r="D6485" t="s">
        <v>837</v>
      </c>
      <c r="E6485" t="s">
        <v>648</v>
      </c>
      <c r="F6485" t="s">
        <v>649</v>
      </c>
      <c r="G6485" t="s">
        <v>21438</v>
      </c>
      <c r="H6485" t="str">
        <f>HYPERLINK("https://baanknet.com/view-property/235025/1039AA1895018F3E0E46B5EC387DD78D0EA4E1C72C5DC8156DCE367F45B87662", "https://baanknet.com/view-property/235025/1039AA1895018F3E0E46B5EC387DD78D0EA4E1C72C5DC8156DCE367F45B87662")</f>
        <v>https://baanknet.com/view-property/235025/1039AA1895018F3E0E46B5EC387DD78D0EA4E1C72C5DC8156DCE367F45B87662</v>
      </c>
      <c r="I6485" t="str">
        <f>HYPERLINK("https://baanknet.com/view-property/235025/1039AA1895018F3E0E46B5EC387DD78D0EA4E1C72C5DC8156DCE367F45B87662", "Open")</f>
        <v>Open</v>
      </c>
      <c r="J6485" t="s">
        <v>3803</v>
      </c>
      <c r="L6485">
        <v>1505000</v>
      </c>
      <c r="M6485">
        <v>150500</v>
      </c>
    </row>
    <row r="6486" spans="1:13" x14ac:dyDescent="0.25">
      <c r="A6486" t="s">
        <v>21439</v>
      </c>
      <c r="B6486" t="s">
        <v>21440</v>
      </c>
      <c r="C6486" t="s">
        <v>121</v>
      </c>
      <c r="D6486" t="s">
        <v>837</v>
      </c>
      <c r="E6486" t="s">
        <v>648</v>
      </c>
      <c r="F6486" t="s">
        <v>649</v>
      </c>
      <c r="G6486" t="s">
        <v>21441</v>
      </c>
      <c r="H6486" t="str">
        <f>HYPERLINK("https://baanknet.com/view-property/223465/1F6AFEA353189FF8B5298431E7B90F48C2C48EC9D9EDC39EFE56140BA7582C43", "https://baanknet.com/view-property/223465/1F6AFEA353189FF8B5298431E7B90F48C2C48EC9D9EDC39EFE56140BA7582C43")</f>
        <v>https://baanknet.com/view-property/223465/1F6AFEA353189FF8B5298431E7B90F48C2C48EC9D9EDC39EFE56140BA7582C43</v>
      </c>
      <c r="I6486" t="str">
        <f>HYPERLINK("https://baanknet.com/view-property/223465/1F6AFEA353189FF8B5298431E7B90F48C2C48EC9D9EDC39EFE56140BA7582C43", "Open")</f>
        <v>Open</v>
      </c>
      <c r="J6486" t="s">
        <v>3803</v>
      </c>
      <c r="L6486">
        <v>4021000</v>
      </c>
      <c r="M6486">
        <v>402100</v>
      </c>
    </row>
    <row r="6487" spans="1:13" x14ac:dyDescent="0.25">
      <c r="A6487" t="s">
        <v>21442</v>
      </c>
      <c r="B6487" t="s">
        <v>21443</v>
      </c>
      <c r="C6487" t="s">
        <v>121</v>
      </c>
      <c r="D6487" t="s">
        <v>837</v>
      </c>
      <c r="E6487" t="s">
        <v>648</v>
      </c>
      <c r="F6487" t="s">
        <v>649</v>
      </c>
      <c r="G6487" t="s">
        <v>21444</v>
      </c>
      <c r="H6487" t="str">
        <f>HYPERLINK("https://baanknet.com/view-property/272339/FEE12E2BF60BCC1DB80FA894AA4B3FE0F58A525C781B9AE23ECB2B94A74A3040", "https://baanknet.com/view-property/272339/FEE12E2BF60BCC1DB80FA894AA4B3FE0F58A525C781B9AE23ECB2B94A74A3040")</f>
        <v>https://baanknet.com/view-property/272339/FEE12E2BF60BCC1DB80FA894AA4B3FE0F58A525C781B9AE23ECB2B94A74A3040</v>
      </c>
      <c r="I6487" t="str">
        <f>HYPERLINK("https://baanknet.com/view-property/272339/FEE12E2BF60BCC1DB80FA894AA4B3FE0F58A525C781B9AE23ECB2B94A74A3040", "Open")</f>
        <v>Open</v>
      </c>
      <c r="J6487" t="s">
        <v>3803</v>
      </c>
      <c r="L6487">
        <v>1846000</v>
      </c>
      <c r="M6487">
        <v>184600</v>
      </c>
    </row>
    <row r="6488" spans="1:13" x14ac:dyDescent="0.25">
      <c r="A6488" t="s">
        <v>21445</v>
      </c>
      <c r="B6488" t="s">
        <v>21446</v>
      </c>
      <c r="C6488" t="s">
        <v>121</v>
      </c>
      <c r="D6488" t="s">
        <v>837</v>
      </c>
      <c r="E6488" t="s">
        <v>648</v>
      </c>
      <c r="F6488" t="s">
        <v>649</v>
      </c>
      <c r="G6488" t="s">
        <v>21447</v>
      </c>
      <c r="H6488" t="str">
        <f>HYPERLINK("https://baanknet.com/view-property/278382/855266181D86FDD02323B30A387085DFA337FE44EB9E7FB222F02D6854C14D98", "https://baanknet.com/view-property/278382/855266181D86FDD02323B30A387085DFA337FE44EB9E7FB222F02D6854C14D98")</f>
        <v>https://baanknet.com/view-property/278382/855266181D86FDD02323B30A387085DFA337FE44EB9E7FB222F02D6854C14D98</v>
      </c>
      <c r="I6488" t="str">
        <f>HYPERLINK("https://baanknet.com/view-property/278382/855266181D86FDD02323B30A387085DFA337FE44EB9E7FB222F02D6854C14D98", "Open")</f>
        <v>Open</v>
      </c>
      <c r="J6488" t="s">
        <v>3803</v>
      </c>
      <c r="L6488">
        <v>1577000</v>
      </c>
      <c r="M6488">
        <v>157700</v>
      </c>
    </row>
    <row r="6489" spans="1:13" x14ac:dyDescent="0.25">
      <c r="A6489" t="s">
        <v>21448</v>
      </c>
      <c r="B6489" t="s">
        <v>21449</v>
      </c>
      <c r="C6489" t="s">
        <v>121</v>
      </c>
      <c r="D6489" t="s">
        <v>5397</v>
      </c>
      <c r="E6489" t="s">
        <v>648</v>
      </c>
      <c r="F6489" t="s">
        <v>649</v>
      </c>
      <c r="G6489" t="s">
        <v>21450</v>
      </c>
      <c r="H6489" t="str">
        <f>HYPERLINK("https://baanknet.com/view-property/272724/D7DE3524BD974D70352741D0D4A33CC6BFAB44208F75DE1FB29CF2D23CAE8B36", "https://baanknet.com/view-property/272724/D7DE3524BD974D70352741D0D4A33CC6BFAB44208F75DE1FB29CF2D23CAE8B36")</f>
        <v>https://baanknet.com/view-property/272724/D7DE3524BD974D70352741D0D4A33CC6BFAB44208F75DE1FB29CF2D23CAE8B36</v>
      </c>
      <c r="I6489" t="str">
        <f>HYPERLINK("https://baanknet.com/view-property/272724/D7DE3524BD974D70352741D0D4A33CC6BFAB44208F75DE1FB29CF2D23CAE8B36", "Open")</f>
        <v>Open</v>
      </c>
      <c r="J6489" t="s">
        <v>3803</v>
      </c>
      <c r="L6489">
        <v>972000</v>
      </c>
      <c r="M6489">
        <v>97200</v>
      </c>
    </row>
    <row r="6490" spans="1:13" x14ac:dyDescent="0.25">
      <c r="A6490" t="s">
        <v>21451</v>
      </c>
      <c r="B6490" t="s">
        <v>21452</v>
      </c>
      <c r="C6490" t="s">
        <v>121</v>
      </c>
      <c r="D6490" t="s">
        <v>1003</v>
      </c>
      <c r="E6490" t="s">
        <v>648</v>
      </c>
      <c r="F6490" t="s">
        <v>649</v>
      </c>
      <c r="G6490" t="s">
        <v>21453</v>
      </c>
      <c r="H6490" t="str">
        <f>HYPERLINK("https://baanknet.com/view-property/266859/73552CEC3C4F448FAE659EC5353DEAE953592973B0EBD2D496B67D7EA33E1377", "https://baanknet.com/view-property/266859/73552CEC3C4F448FAE659EC5353DEAE953592973B0EBD2D496B67D7EA33E1377")</f>
        <v>https://baanknet.com/view-property/266859/73552CEC3C4F448FAE659EC5353DEAE953592973B0EBD2D496B67D7EA33E1377</v>
      </c>
      <c r="I6490" t="str">
        <f>HYPERLINK("https://baanknet.com/view-property/266859/73552CEC3C4F448FAE659EC5353DEAE953592973B0EBD2D496B67D7EA33E1377", "Open")</f>
        <v>Open</v>
      </c>
      <c r="J6490" t="s">
        <v>3803</v>
      </c>
      <c r="L6490">
        <v>1879000</v>
      </c>
      <c r="M6490">
        <v>187900</v>
      </c>
    </row>
    <row r="6491" spans="1:13" x14ac:dyDescent="0.25">
      <c r="A6491" t="s">
        <v>21454</v>
      </c>
      <c r="B6491" t="s">
        <v>21455</v>
      </c>
      <c r="C6491" t="s">
        <v>121</v>
      </c>
      <c r="D6491" t="s">
        <v>1003</v>
      </c>
      <c r="E6491" t="s">
        <v>648</v>
      </c>
      <c r="F6491" t="s">
        <v>649</v>
      </c>
      <c r="G6491" t="s">
        <v>21456</v>
      </c>
      <c r="H6491" t="str">
        <f>HYPERLINK("https://baanknet.com/view-property/278492/CEBAABE26DF86274F4ED90233E8BB08DA291020B16E50809D35F7323580AC4A1", "https://baanknet.com/view-property/278492/CEBAABE26DF86274F4ED90233E8BB08DA291020B16E50809D35F7323580AC4A1")</f>
        <v>https://baanknet.com/view-property/278492/CEBAABE26DF86274F4ED90233E8BB08DA291020B16E50809D35F7323580AC4A1</v>
      </c>
      <c r="I6491" t="str">
        <f>HYPERLINK("https://baanknet.com/view-property/278492/CEBAABE26DF86274F4ED90233E8BB08DA291020B16E50809D35F7323580AC4A1", "Open")</f>
        <v>Open</v>
      </c>
      <c r="J6491" t="s">
        <v>3803</v>
      </c>
      <c r="L6491">
        <v>713000</v>
      </c>
      <c r="M6491">
        <v>71300</v>
      </c>
    </row>
    <row r="6492" spans="1:13" x14ac:dyDescent="0.25">
      <c r="A6492" t="s">
        <v>21457</v>
      </c>
      <c r="B6492" t="s">
        <v>21458</v>
      </c>
      <c r="C6492" t="s">
        <v>121</v>
      </c>
      <c r="D6492" t="s">
        <v>1003</v>
      </c>
      <c r="E6492" t="s">
        <v>648</v>
      </c>
      <c r="F6492" t="s">
        <v>649</v>
      </c>
      <c r="G6492" t="s">
        <v>21459</v>
      </c>
      <c r="H6492" t="str">
        <f>HYPERLINK("https://baanknet.com/view-property/267175/18F96EFA6437A797F2FFC731114D8EDE457A4931B2E94BB05FEB0D655C90036D", "https://baanknet.com/view-property/267175/18F96EFA6437A797F2FFC731114D8EDE457A4931B2E94BB05FEB0D655C90036D")</f>
        <v>https://baanknet.com/view-property/267175/18F96EFA6437A797F2FFC731114D8EDE457A4931B2E94BB05FEB0D655C90036D</v>
      </c>
      <c r="I6492" t="str">
        <f>HYPERLINK("https://baanknet.com/view-property/267175/18F96EFA6437A797F2FFC731114D8EDE457A4931B2E94BB05FEB0D655C90036D", "Open")</f>
        <v>Open</v>
      </c>
      <c r="J6492" t="s">
        <v>3803</v>
      </c>
      <c r="L6492">
        <v>1794000</v>
      </c>
      <c r="M6492">
        <v>179400</v>
      </c>
    </row>
    <row r="6493" spans="1:13" x14ac:dyDescent="0.25">
      <c r="A6493" t="s">
        <v>21460</v>
      </c>
      <c r="B6493" t="s">
        <v>21461</v>
      </c>
      <c r="C6493" t="s">
        <v>121</v>
      </c>
      <c r="D6493" t="s">
        <v>12244</v>
      </c>
      <c r="E6493" t="s">
        <v>648</v>
      </c>
      <c r="F6493" t="s">
        <v>21462</v>
      </c>
      <c r="G6493" t="s">
        <v>21463</v>
      </c>
      <c r="H6493" t="str">
        <f>HYPERLINK("https://baanknet.com/view-property/286608/69BBB4D52D8DA09EEA3B9150F5E37F1AEBAC80B83A4B278A24F3559B4C58E00E", "https://baanknet.com/view-property/286608/69BBB4D52D8DA09EEA3B9150F5E37F1AEBAC80B83A4B278A24F3559B4C58E00E")</f>
        <v>https://baanknet.com/view-property/286608/69BBB4D52D8DA09EEA3B9150F5E37F1AEBAC80B83A4B278A24F3559B4C58E00E</v>
      </c>
      <c r="I6493" t="str">
        <f>HYPERLINK("https://baanknet.com/view-property/286608/69BBB4D52D8DA09EEA3B9150F5E37F1AEBAC80B83A4B278A24F3559B4C58E00E", "Open")</f>
        <v>Open</v>
      </c>
      <c r="J6493" t="s">
        <v>3803</v>
      </c>
      <c r="L6493">
        <v>2100000</v>
      </c>
      <c r="M6493">
        <v>210000</v>
      </c>
    </row>
    <row r="6494" spans="1:13" x14ac:dyDescent="0.25">
      <c r="A6494" t="s">
        <v>21464</v>
      </c>
      <c r="B6494" t="s">
        <v>21465</v>
      </c>
      <c r="C6494" t="s">
        <v>332</v>
      </c>
      <c r="D6494" t="s">
        <v>282</v>
      </c>
      <c r="E6494" t="s">
        <v>21338</v>
      </c>
      <c r="F6494" t="s">
        <v>21342</v>
      </c>
      <c r="G6494" t="s">
        <v>21466</v>
      </c>
      <c r="H6494" t="str">
        <f>HYPERLINK("https://baanknet.com/view-property/221866/D580B0615663ED554A494759ADA35FB90D50D1B55E7FC303708E623FE598ACF1", "https://baanknet.com/view-property/221866/D580B0615663ED554A494759ADA35FB90D50D1B55E7FC303708E623FE598ACF1")</f>
        <v>https://baanknet.com/view-property/221866/D580B0615663ED554A494759ADA35FB90D50D1B55E7FC303708E623FE598ACF1</v>
      </c>
      <c r="I6494" t="str">
        <f>HYPERLINK("https://baanknet.com/view-property/221866/D580B0615663ED554A494759ADA35FB90D50D1B55E7FC303708E623FE598ACF1", "Open")</f>
        <v>Open</v>
      </c>
      <c r="J6494" t="s">
        <v>3803</v>
      </c>
      <c r="L6494">
        <v>2230000</v>
      </c>
      <c r="M6494">
        <v>223000</v>
      </c>
    </row>
    <row r="6495" spans="1:13" x14ac:dyDescent="0.25">
      <c r="A6495" t="s">
        <v>21467</v>
      </c>
      <c r="B6495" t="s">
        <v>21468</v>
      </c>
      <c r="C6495" t="s">
        <v>15</v>
      </c>
      <c r="D6495" t="s">
        <v>21236</v>
      </c>
      <c r="E6495" t="s">
        <v>21338</v>
      </c>
      <c r="F6495" t="s">
        <v>21342</v>
      </c>
      <c r="G6495" t="s">
        <v>21469</v>
      </c>
      <c r="H6495" t="str">
        <f>HYPERLINK("https://baanknet.com/view-property/286463/E18F46587B3A3AF7727F1377342071FA0730010CC3C19D66E3195E051EECFAF2", "https://baanknet.com/view-property/286463/E18F46587B3A3AF7727F1377342071FA0730010CC3C19D66E3195E051EECFAF2")</f>
        <v>https://baanknet.com/view-property/286463/E18F46587B3A3AF7727F1377342071FA0730010CC3C19D66E3195E051EECFAF2</v>
      </c>
      <c r="I6495" t="str">
        <f>HYPERLINK("https://baanknet.com/view-property/286463/E18F46587B3A3AF7727F1377342071FA0730010CC3C19D66E3195E051EECFAF2", "Open")</f>
        <v>Open</v>
      </c>
      <c r="J6495" t="s">
        <v>3803</v>
      </c>
      <c r="L6495">
        <v>7117000</v>
      </c>
      <c r="M6495">
        <v>711700</v>
      </c>
    </row>
    <row r="6496" spans="1:13" x14ac:dyDescent="0.25">
      <c r="A6496" t="s">
        <v>21470</v>
      </c>
      <c r="B6496" t="s">
        <v>21471</v>
      </c>
      <c r="C6496" t="s">
        <v>15</v>
      </c>
      <c r="D6496" t="s">
        <v>8769</v>
      </c>
      <c r="E6496" t="s">
        <v>21338</v>
      </c>
      <c r="F6496" t="s">
        <v>21472</v>
      </c>
      <c r="G6496" t="s">
        <v>21473</v>
      </c>
      <c r="H6496" t="str">
        <f>HYPERLINK("https://baanknet.com/view-property/286994/92A31BA7AAD95FCD7C31777F29050CB3614388B8B864794EC17A4D6940C1E270", "https://baanknet.com/view-property/286994/92A31BA7AAD95FCD7C31777F29050CB3614388B8B864794EC17A4D6940C1E270")</f>
        <v>https://baanknet.com/view-property/286994/92A31BA7AAD95FCD7C31777F29050CB3614388B8B864794EC17A4D6940C1E270</v>
      </c>
      <c r="I6496" t="str">
        <f>HYPERLINK("https://baanknet.com/view-property/286994/92A31BA7AAD95FCD7C31777F29050CB3614388B8B864794EC17A4D6940C1E270", "Open")</f>
        <v>Open</v>
      </c>
      <c r="J6496" t="s">
        <v>3803</v>
      </c>
      <c r="L6496">
        <v>1380000</v>
      </c>
      <c r="M6496">
        <v>138000</v>
      </c>
    </row>
    <row r="6497" spans="1:13" x14ac:dyDescent="0.25">
      <c r="A6497" t="s">
        <v>21474</v>
      </c>
      <c r="B6497" t="s">
        <v>21475</v>
      </c>
      <c r="C6497" t="s">
        <v>121</v>
      </c>
      <c r="D6497" t="s">
        <v>346</v>
      </c>
      <c r="E6497" t="s">
        <v>21338</v>
      </c>
      <c r="F6497" t="s">
        <v>649</v>
      </c>
      <c r="G6497" t="s">
        <v>21476</v>
      </c>
      <c r="H6497" t="str">
        <f>HYPERLINK("https://baanknet.com/view-property/286817/2E8789D430EC68433BC4526853916C8B0CBC862787D1BEDCF7BE2FA817047215", "https://baanknet.com/view-property/286817/2E8789D430EC68433BC4526853916C8B0CBC862787D1BEDCF7BE2FA817047215")</f>
        <v>https://baanknet.com/view-property/286817/2E8789D430EC68433BC4526853916C8B0CBC862787D1BEDCF7BE2FA817047215</v>
      </c>
      <c r="I6497" t="str">
        <f>HYPERLINK("https://baanknet.com/view-property/286817/2E8789D430EC68433BC4526853916C8B0CBC862787D1BEDCF7BE2FA817047215", "Open")</f>
        <v>Open</v>
      </c>
      <c r="J6497" t="s">
        <v>3803</v>
      </c>
      <c r="L6497">
        <v>3933000</v>
      </c>
      <c r="M6497">
        <v>393300</v>
      </c>
    </row>
    <row r="6498" spans="1:13" x14ac:dyDescent="0.25">
      <c r="A6498" t="s">
        <v>21477</v>
      </c>
      <c r="B6498" t="s">
        <v>21478</v>
      </c>
      <c r="C6498" t="s">
        <v>7449</v>
      </c>
      <c r="D6498" t="s">
        <v>2541</v>
      </c>
      <c r="E6498" t="s">
        <v>21479</v>
      </c>
      <c r="F6498" t="s">
        <v>21480</v>
      </c>
      <c r="G6498" t="s">
        <v>21481</v>
      </c>
      <c r="H6498" t="str">
        <f>HYPERLINK("https://baanknet.com/view-property/287711/16A0158082C65FACB5037C4C652C1DED2C3AB4A30867B122AB1C1753201AEE9D", "https://baanknet.com/view-property/287711/16A0158082C65FACB5037C4C652C1DED2C3AB4A30867B122AB1C1753201AEE9D")</f>
        <v>https://baanknet.com/view-property/287711/16A0158082C65FACB5037C4C652C1DED2C3AB4A30867B122AB1C1753201AEE9D</v>
      </c>
      <c r="I6498" t="str">
        <f>HYPERLINK("https://baanknet.com/view-property/287711/16A0158082C65FACB5037C4C652C1DED2C3AB4A30867B122AB1C1753201AEE9D", "Open")</f>
        <v>Open</v>
      </c>
      <c r="J6498" t="s">
        <v>3803</v>
      </c>
      <c r="L6498">
        <v>2100000</v>
      </c>
      <c r="M6498">
        <v>210000</v>
      </c>
    </row>
    <row r="6499" spans="1:13" x14ac:dyDescent="0.25">
      <c r="A6499" t="s">
        <v>21482</v>
      </c>
      <c r="B6499" t="s">
        <v>21483</v>
      </c>
      <c r="C6499" t="s">
        <v>726</v>
      </c>
      <c r="D6499" t="s">
        <v>11739</v>
      </c>
      <c r="E6499" t="s">
        <v>21484</v>
      </c>
      <c r="F6499" t="s">
        <v>21485</v>
      </c>
      <c r="G6499" t="s">
        <v>21486</v>
      </c>
      <c r="H6499" t="str">
        <f>HYPERLINK("https://baanknet.com/view-property/287466/7FA2282D6E76A0EF6F7E9CDB93FAEED49134A85B57F26B7E839652CDABA406D3", "https://baanknet.com/view-property/287466/7FA2282D6E76A0EF6F7E9CDB93FAEED49134A85B57F26B7E839652CDABA406D3")</f>
        <v>https://baanknet.com/view-property/287466/7FA2282D6E76A0EF6F7E9CDB93FAEED49134A85B57F26B7E839652CDABA406D3</v>
      </c>
      <c r="I6499" t="str">
        <f>HYPERLINK("https://baanknet.com/view-property/287466/7FA2282D6E76A0EF6F7E9CDB93FAEED49134A85B57F26B7E839652CDABA406D3", "Open")</f>
        <v>Open</v>
      </c>
      <c r="J6499" t="s">
        <v>3803</v>
      </c>
      <c r="L6499">
        <v>2600000</v>
      </c>
      <c r="M6499">
        <v>260000</v>
      </c>
    </row>
    <row r="6500" spans="1:13" x14ac:dyDescent="0.25">
      <c r="A6500" t="s">
        <v>21487</v>
      </c>
      <c r="B6500" t="s">
        <v>21488</v>
      </c>
      <c r="C6500" t="s">
        <v>726</v>
      </c>
      <c r="D6500" t="s">
        <v>1300</v>
      </c>
      <c r="E6500" t="s">
        <v>21484</v>
      </c>
      <c r="F6500" t="s">
        <v>21485</v>
      </c>
      <c r="G6500" t="s">
        <v>21489</v>
      </c>
      <c r="H6500" t="str">
        <f>HYPERLINK("https://baanknet.com/view-property/287437/F6C7E4ADF3DE2E7B44FD74B04BFC22466E7ECC88B01E67F2A05A368C12AA6CEE", "https://baanknet.com/view-property/287437/F6C7E4ADF3DE2E7B44FD74B04BFC22466E7ECC88B01E67F2A05A368C12AA6CEE")</f>
        <v>https://baanknet.com/view-property/287437/F6C7E4ADF3DE2E7B44FD74B04BFC22466E7ECC88B01E67F2A05A368C12AA6CEE</v>
      </c>
      <c r="I6500" t="str">
        <f>HYPERLINK("https://baanknet.com/view-property/287437/F6C7E4ADF3DE2E7B44FD74B04BFC22466E7ECC88B01E67F2A05A368C12AA6CEE", "Open")</f>
        <v>Open</v>
      </c>
      <c r="J6500" t="s">
        <v>3803</v>
      </c>
      <c r="L6500">
        <v>5500000</v>
      </c>
      <c r="M6500">
        <v>550000</v>
      </c>
    </row>
    <row r="6501" spans="1:13" x14ac:dyDescent="0.25">
      <c r="A6501" t="s">
        <v>21490</v>
      </c>
      <c r="B6501" t="s">
        <v>21491</v>
      </c>
      <c r="C6501" t="s">
        <v>726</v>
      </c>
      <c r="D6501" t="s">
        <v>11739</v>
      </c>
      <c r="E6501" t="s">
        <v>21484</v>
      </c>
      <c r="F6501" t="s">
        <v>21485</v>
      </c>
      <c r="G6501" t="s">
        <v>21492</v>
      </c>
      <c r="H6501" t="str">
        <f>HYPERLINK("https://baanknet.com/view-property/287469/11D9F13EB77965C0490DB91F0EBB98039CA3EE0D98B8B2F1CB965B9AD2D3A49C", "https://baanknet.com/view-property/287469/11D9F13EB77965C0490DB91F0EBB98039CA3EE0D98B8B2F1CB965B9AD2D3A49C")</f>
        <v>https://baanknet.com/view-property/287469/11D9F13EB77965C0490DB91F0EBB98039CA3EE0D98B8B2F1CB965B9AD2D3A49C</v>
      </c>
      <c r="I6501" t="str">
        <f>HYPERLINK("https://baanknet.com/view-property/287469/11D9F13EB77965C0490DB91F0EBB98039CA3EE0D98B8B2F1CB965B9AD2D3A49C", "Open")</f>
        <v>Open</v>
      </c>
      <c r="J6501" t="s">
        <v>3803</v>
      </c>
      <c r="L6501">
        <v>2600000</v>
      </c>
      <c r="M6501">
        <v>260000</v>
      </c>
    </row>
    <row r="6502" spans="1:13" x14ac:dyDescent="0.25">
      <c r="A6502" t="s">
        <v>21493</v>
      </c>
      <c r="B6502" t="s">
        <v>21494</v>
      </c>
      <c r="C6502" t="s">
        <v>726</v>
      </c>
      <c r="D6502" t="s">
        <v>549</v>
      </c>
      <c r="E6502" t="s">
        <v>21484</v>
      </c>
      <c r="F6502" t="s">
        <v>21485</v>
      </c>
      <c r="G6502" t="s">
        <v>21495</v>
      </c>
      <c r="H6502" t="str">
        <f>HYPERLINK("https://baanknet.com/view-property/287439/974F3B3876ACE9652F84B7C298DCBFF96601655A9BB11FA525FF44681B931A5D", "https://baanknet.com/view-property/287439/974F3B3876ACE9652F84B7C298DCBFF96601655A9BB11FA525FF44681B931A5D")</f>
        <v>https://baanknet.com/view-property/287439/974F3B3876ACE9652F84B7C298DCBFF96601655A9BB11FA525FF44681B931A5D</v>
      </c>
      <c r="I6502" t="str">
        <f>HYPERLINK("https://baanknet.com/view-property/287439/974F3B3876ACE9652F84B7C298DCBFF96601655A9BB11FA525FF44681B931A5D", "Open")</f>
        <v>Open</v>
      </c>
      <c r="J6502" t="s">
        <v>3803</v>
      </c>
      <c r="L6502">
        <v>2600000</v>
      </c>
      <c r="M6502">
        <v>260000</v>
      </c>
    </row>
    <row r="6503" spans="1:13" x14ac:dyDescent="0.25">
      <c r="A6503" t="s">
        <v>21496</v>
      </c>
      <c r="B6503" t="s">
        <v>21497</v>
      </c>
      <c r="C6503" t="s">
        <v>726</v>
      </c>
      <c r="D6503" t="s">
        <v>21498</v>
      </c>
      <c r="E6503" t="s">
        <v>21484</v>
      </c>
      <c r="F6503" t="s">
        <v>21485</v>
      </c>
      <c r="G6503" t="s">
        <v>21499</v>
      </c>
      <c r="H6503" t="str">
        <f>HYPERLINK("https://baanknet.com/view-property/287459/EEBA31215B0EB59D1EC45F9B080A09D961AF50F8962729A336B417ECA8049D83", "https://baanknet.com/view-property/287459/EEBA31215B0EB59D1EC45F9B080A09D961AF50F8962729A336B417ECA8049D83")</f>
        <v>https://baanknet.com/view-property/287459/EEBA31215B0EB59D1EC45F9B080A09D961AF50F8962729A336B417ECA8049D83</v>
      </c>
      <c r="I6503" t="str">
        <f>HYPERLINK("https://baanknet.com/view-property/287459/EEBA31215B0EB59D1EC45F9B080A09D961AF50F8962729A336B417ECA8049D83", "Open")</f>
        <v>Open</v>
      </c>
      <c r="J6503" t="s">
        <v>3803</v>
      </c>
      <c r="L6503">
        <v>3500000</v>
      </c>
      <c r="M6503">
        <v>350000</v>
      </c>
    </row>
    <row r="6504" spans="1:13" x14ac:dyDescent="0.25">
      <c r="A6504" t="s">
        <v>21500</v>
      </c>
      <c r="B6504" t="s">
        <v>21501</v>
      </c>
      <c r="C6504" t="s">
        <v>726</v>
      </c>
      <c r="D6504" t="s">
        <v>549</v>
      </c>
      <c r="E6504" t="s">
        <v>21484</v>
      </c>
      <c r="F6504" t="s">
        <v>21485</v>
      </c>
      <c r="G6504" t="s">
        <v>21502</v>
      </c>
      <c r="H6504" t="str">
        <f>HYPERLINK("https://baanknet.com/view-property/287440/0CC8CE95C9F56D9691A6B45EBA36E5F32EFB6768007E0C415A0174666ECD2158", "https://baanknet.com/view-property/287440/0CC8CE95C9F56D9691A6B45EBA36E5F32EFB6768007E0C415A0174666ECD2158")</f>
        <v>https://baanknet.com/view-property/287440/0CC8CE95C9F56D9691A6B45EBA36E5F32EFB6768007E0C415A0174666ECD2158</v>
      </c>
      <c r="I6504" t="str">
        <f>HYPERLINK("https://baanknet.com/view-property/287440/0CC8CE95C9F56D9691A6B45EBA36E5F32EFB6768007E0C415A0174666ECD2158", "Open")</f>
        <v>Open</v>
      </c>
      <c r="J6504" t="s">
        <v>3803</v>
      </c>
      <c r="L6504">
        <v>2600000</v>
      </c>
      <c r="M6504">
        <v>260000</v>
      </c>
    </row>
    <row r="6505" spans="1:13" x14ac:dyDescent="0.25">
      <c r="A6505" t="s">
        <v>21503</v>
      </c>
      <c r="B6505" t="s">
        <v>21504</v>
      </c>
      <c r="C6505" t="s">
        <v>726</v>
      </c>
      <c r="D6505" t="s">
        <v>1300</v>
      </c>
      <c r="E6505" t="s">
        <v>21484</v>
      </c>
      <c r="F6505" t="s">
        <v>21485</v>
      </c>
      <c r="G6505" t="s">
        <v>21505</v>
      </c>
      <c r="H6505" t="str">
        <f>HYPERLINK("https://baanknet.com/view-property/287451/F7052235F38287C857862B27E809ABE316D7EB9A0052892348102D551A0F8B17", "https://baanknet.com/view-property/287451/F7052235F38287C857862B27E809ABE316D7EB9A0052892348102D551A0F8B17")</f>
        <v>https://baanknet.com/view-property/287451/F7052235F38287C857862B27E809ABE316D7EB9A0052892348102D551A0F8B17</v>
      </c>
      <c r="I6505" t="str">
        <f>HYPERLINK("https://baanknet.com/view-property/287451/F7052235F38287C857862B27E809ABE316D7EB9A0052892348102D551A0F8B17", "Open")</f>
        <v>Open</v>
      </c>
      <c r="J6505" t="s">
        <v>3803</v>
      </c>
      <c r="L6505">
        <v>9000000</v>
      </c>
      <c r="M6505">
        <v>900000</v>
      </c>
    </row>
    <row r="6506" spans="1:13" x14ac:dyDescent="0.25">
      <c r="A6506" t="s">
        <v>21506</v>
      </c>
      <c r="B6506" t="s">
        <v>21507</v>
      </c>
      <c r="C6506" t="s">
        <v>726</v>
      </c>
      <c r="D6506" t="s">
        <v>1300</v>
      </c>
      <c r="E6506" t="s">
        <v>21484</v>
      </c>
      <c r="F6506" t="s">
        <v>21485</v>
      </c>
      <c r="G6506" t="s">
        <v>21508</v>
      </c>
      <c r="H6506" t="str">
        <f>HYPERLINK("https://baanknet.com/view-property/287454/A39460C35A7395AC5EA765FBCA41182AC1E896EF4B0E55BEA1F06F3FB0237741", "https://baanknet.com/view-property/287454/A39460C35A7395AC5EA765FBCA41182AC1E896EF4B0E55BEA1F06F3FB0237741")</f>
        <v>https://baanknet.com/view-property/287454/A39460C35A7395AC5EA765FBCA41182AC1E896EF4B0E55BEA1F06F3FB0237741</v>
      </c>
      <c r="I6506" t="str">
        <f>HYPERLINK("https://baanknet.com/view-property/287454/A39460C35A7395AC5EA765FBCA41182AC1E896EF4B0E55BEA1F06F3FB0237741", "Open")</f>
        <v>Open</v>
      </c>
      <c r="J6506" t="s">
        <v>3803</v>
      </c>
      <c r="L6506">
        <v>6000000</v>
      </c>
      <c r="M6506">
        <v>600000</v>
      </c>
    </row>
    <row r="6507" spans="1:13" x14ac:dyDescent="0.25">
      <c r="A6507" t="s">
        <v>21509</v>
      </c>
      <c r="B6507" t="s">
        <v>21510</v>
      </c>
      <c r="C6507" t="s">
        <v>15</v>
      </c>
      <c r="D6507" t="s">
        <v>21511</v>
      </c>
      <c r="E6507" t="s">
        <v>21484</v>
      </c>
      <c r="F6507" t="s">
        <v>21512</v>
      </c>
      <c r="G6507" t="s">
        <v>21513</v>
      </c>
      <c r="H6507" t="str">
        <f>HYPERLINK("https://baanknet.com/view-property/287465/98680F8B6AE57138C786DB4316D2C7C494D01D0EE2BF44C4809E5584732680F3", "https://baanknet.com/view-property/287465/98680F8B6AE57138C786DB4316D2C7C494D01D0EE2BF44C4809E5584732680F3")</f>
        <v>https://baanknet.com/view-property/287465/98680F8B6AE57138C786DB4316D2C7C494D01D0EE2BF44C4809E5584732680F3</v>
      </c>
      <c r="I6507" t="str">
        <f>HYPERLINK("https://baanknet.com/view-property/287465/98680F8B6AE57138C786DB4316D2C7C494D01D0EE2BF44C4809E5584732680F3", "Open")</f>
        <v>Open</v>
      </c>
      <c r="J6507" t="s">
        <v>3803</v>
      </c>
      <c r="L6507">
        <v>1683000</v>
      </c>
      <c r="M6507">
        <v>168300</v>
      </c>
    </row>
    <row r="6508" spans="1:13" x14ac:dyDescent="0.25">
      <c r="A6508" t="s">
        <v>21514</v>
      </c>
      <c r="B6508" t="s">
        <v>21515</v>
      </c>
      <c r="C6508" t="s">
        <v>332</v>
      </c>
      <c r="D6508" t="s">
        <v>608</v>
      </c>
      <c r="E6508" t="s">
        <v>21484</v>
      </c>
      <c r="F6508" t="s">
        <v>21516</v>
      </c>
      <c r="G6508" t="s">
        <v>21517</v>
      </c>
      <c r="H6508" t="str">
        <f>HYPERLINK("https://baanknet.com/view-property/287161/8A1FFB8688C23B1E160515F864800D6706F335BCBF6D49BAB838DD9C1EEAF7BE", "https://baanknet.com/view-property/287161/8A1FFB8688C23B1E160515F864800D6706F335BCBF6D49BAB838DD9C1EEAF7BE")</f>
        <v>https://baanknet.com/view-property/287161/8A1FFB8688C23B1E160515F864800D6706F335BCBF6D49BAB838DD9C1EEAF7BE</v>
      </c>
      <c r="I6508" t="str">
        <f>HYPERLINK("https://baanknet.com/view-property/287161/8A1FFB8688C23B1E160515F864800D6706F335BCBF6D49BAB838DD9C1EEAF7BE", "Open")</f>
        <v>Open</v>
      </c>
      <c r="J6508" t="s">
        <v>3803</v>
      </c>
      <c r="L6508">
        <v>13575000</v>
      </c>
      <c r="M6508">
        <v>1357500</v>
      </c>
    </row>
    <row r="6509" spans="1:13" x14ac:dyDescent="0.25">
      <c r="A6509" t="s">
        <v>21518</v>
      </c>
      <c r="B6509" t="s">
        <v>21519</v>
      </c>
      <c r="C6509" t="s">
        <v>15</v>
      </c>
      <c r="D6509" t="s">
        <v>21520</v>
      </c>
      <c r="E6509" t="s">
        <v>21521</v>
      </c>
      <c r="F6509" t="s">
        <v>21522</v>
      </c>
      <c r="G6509" t="s">
        <v>21523</v>
      </c>
      <c r="H6509" t="str">
        <f>HYPERLINK("https://baanknet.com/view-property/229110/A601E527D98959A9BFA849820F89A6800EFA9A80A24239E2DBF4CBDB03109501", "https://baanknet.com/view-property/229110/A601E527D98959A9BFA849820F89A6800EFA9A80A24239E2DBF4CBDB03109501")</f>
        <v>https://baanknet.com/view-property/229110/A601E527D98959A9BFA849820F89A6800EFA9A80A24239E2DBF4CBDB03109501</v>
      </c>
      <c r="I6509" t="str">
        <f>HYPERLINK("https://baanknet.com/view-property/229110/A601E527D98959A9BFA849820F89A6800EFA9A80A24239E2DBF4CBDB03109501", "Open")</f>
        <v>Open</v>
      </c>
      <c r="J6509" t="s">
        <v>3803</v>
      </c>
      <c r="L6509">
        <v>2205000</v>
      </c>
      <c r="M6509">
        <v>220500</v>
      </c>
    </row>
    <row r="6510" spans="1:13" x14ac:dyDescent="0.25">
      <c r="A6510" t="s">
        <v>21524</v>
      </c>
      <c r="B6510" t="s">
        <v>21525</v>
      </c>
      <c r="C6510" t="s">
        <v>15</v>
      </c>
      <c r="D6510" t="s">
        <v>8407</v>
      </c>
      <c r="E6510" t="s">
        <v>21521</v>
      </c>
      <c r="F6510" t="s">
        <v>21522</v>
      </c>
      <c r="G6510" t="s">
        <v>21526</v>
      </c>
      <c r="H6510" t="str">
        <f>HYPERLINK("https://baanknet.com/view-property/224334/2A251018DC1A182EACA82EA1CE5887B2CF7BC141B7C39439A496D48E6EB743C9", "https://baanknet.com/view-property/224334/2A251018DC1A182EACA82EA1CE5887B2CF7BC141B7C39439A496D48E6EB743C9")</f>
        <v>https://baanknet.com/view-property/224334/2A251018DC1A182EACA82EA1CE5887B2CF7BC141B7C39439A496D48E6EB743C9</v>
      </c>
      <c r="I6510" t="str">
        <f>HYPERLINK("https://baanknet.com/view-property/224334/2A251018DC1A182EACA82EA1CE5887B2CF7BC141B7C39439A496D48E6EB743C9", "Open")</f>
        <v>Open</v>
      </c>
      <c r="J6510" t="s">
        <v>3803</v>
      </c>
      <c r="L6510">
        <v>765000</v>
      </c>
      <c r="M6510">
        <v>76500</v>
      </c>
    </row>
    <row r="6511" spans="1:13" x14ac:dyDescent="0.25">
      <c r="A6511" t="s">
        <v>21527</v>
      </c>
      <c r="B6511" t="s">
        <v>21528</v>
      </c>
      <c r="C6511" t="s">
        <v>15</v>
      </c>
      <c r="D6511" t="s">
        <v>219</v>
      </c>
      <c r="E6511" t="s">
        <v>21521</v>
      </c>
      <c r="F6511" t="s">
        <v>21522</v>
      </c>
      <c r="G6511" t="s">
        <v>21529</v>
      </c>
      <c r="H6511" t="str">
        <f>HYPERLINK("https://baanknet.com/view-property/205384/9BA386EC7A0C7B3DA24D7A8747EC14EDD368D16C35234B76EB61BB8B14E945EF", "https://baanknet.com/view-property/205384/9BA386EC7A0C7B3DA24D7A8747EC14EDD368D16C35234B76EB61BB8B14E945EF")</f>
        <v>https://baanknet.com/view-property/205384/9BA386EC7A0C7B3DA24D7A8747EC14EDD368D16C35234B76EB61BB8B14E945EF</v>
      </c>
      <c r="I6511" t="str">
        <f>HYPERLINK("https://baanknet.com/view-property/205384/9BA386EC7A0C7B3DA24D7A8747EC14EDD368D16C35234B76EB61BB8B14E945EF", "Open")</f>
        <v>Open</v>
      </c>
      <c r="J6511" t="s">
        <v>3803</v>
      </c>
      <c r="L6511">
        <v>189000</v>
      </c>
      <c r="M6511">
        <v>18900</v>
      </c>
    </row>
    <row r="6512" spans="1:13" x14ac:dyDescent="0.25">
      <c r="A6512" t="s">
        <v>21530</v>
      </c>
      <c r="B6512" t="s">
        <v>21531</v>
      </c>
      <c r="C6512" t="s">
        <v>15</v>
      </c>
      <c r="D6512" t="s">
        <v>2976</v>
      </c>
      <c r="E6512" t="s">
        <v>21521</v>
      </c>
      <c r="F6512" t="s">
        <v>21522</v>
      </c>
      <c r="G6512" t="s">
        <v>21532</v>
      </c>
      <c r="H6512" t="str">
        <f>HYPERLINK("https://baanknet.com/view-property/203056/483353901CBE888852C464CEEBBD9A5E6409ED36441A1F9FC8F4C046FA4AEB89", "https://baanknet.com/view-property/203056/483353901CBE888852C464CEEBBD9A5E6409ED36441A1F9FC8F4C046FA4AEB89")</f>
        <v>https://baanknet.com/view-property/203056/483353901CBE888852C464CEEBBD9A5E6409ED36441A1F9FC8F4C046FA4AEB89</v>
      </c>
      <c r="I6512" t="str">
        <f>HYPERLINK("https://baanknet.com/view-property/203056/483353901CBE888852C464CEEBBD9A5E6409ED36441A1F9FC8F4C046FA4AEB89", "Open")</f>
        <v>Open</v>
      </c>
      <c r="J6512" t="s">
        <v>3803</v>
      </c>
      <c r="L6512">
        <v>676000</v>
      </c>
      <c r="M6512">
        <v>67600</v>
      </c>
    </row>
    <row r="6513" spans="1:13" x14ac:dyDescent="0.25">
      <c r="A6513" t="s">
        <v>21533</v>
      </c>
      <c r="B6513" t="s">
        <v>21534</v>
      </c>
      <c r="C6513" t="s">
        <v>15</v>
      </c>
      <c r="D6513" t="s">
        <v>208</v>
      </c>
      <c r="E6513" t="s">
        <v>21521</v>
      </c>
      <c r="F6513" t="s">
        <v>21522</v>
      </c>
      <c r="G6513" t="s">
        <v>21535</v>
      </c>
      <c r="H6513" t="str">
        <f>HYPERLINK("https://baanknet.com/view-property/205391/EB1A8F92677AC6E93C9EC733AE1A5277CB03D0F3C5C5CCAA8AC2C253D689AC2C", "https://baanknet.com/view-property/205391/EB1A8F92677AC6E93C9EC733AE1A5277CB03D0F3C5C5CCAA8AC2C253D689AC2C")</f>
        <v>https://baanknet.com/view-property/205391/EB1A8F92677AC6E93C9EC733AE1A5277CB03D0F3C5C5CCAA8AC2C253D689AC2C</v>
      </c>
      <c r="I6513" t="str">
        <f>HYPERLINK("https://baanknet.com/view-property/205391/EB1A8F92677AC6E93C9EC733AE1A5277CB03D0F3C5C5CCAA8AC2C253D689AC2C", "Open")</f>
        <v>Open</v>
      </c>
      <c r="J6513" t="s">
        <v>3803</v>
      </c>
      <c r="L6513">
        <v>300000</v>
      </c>
      <c r="M6513">
        <v>30000</v>
      </c>
    </row>
    <row r="6514" spans="1:13" x14ac:dyDescent="0.25">
      <c r="A6514" t="s">
        <v>21536</v>
      </c>
      <c r="B6514" t="s">
        <v>21537</v>
      </c>
      <c r="C6514" t="s">
        <v>15</v>
      </c>
      <c r="D6514" t="s">
        <v>21520</v>
      </c>
      <c r="E6514" t="s">
        <v>21521</v>
      </c>
      <c r="F6514" t="s">
        <v>21522</v>
      </c>
      <c r="G6514" t="s">
        <v>21538</v>
      </c>
      <c r="H6514" t="str">
        <f>HYPERLINK("https://baanknet.com/view-property/229101/F1EBFA67884EEBDD47C8A883D28C0C8E40E608AC4E6AC66C88DB4FF720027340", "https://baanknet.com/view-property/229101/F1EBFA67884EEBDD47C8A883D28C0C8E40E608AC4E6AC66C88DB4FF720027340")</f>
        <v>https://baanknet.com/view-property/229101/F1EBFA67884EEBDD47C8A883D28C0C8E40E608AC4E6AC66C88DB4FF720027340</v>
      </c>
      <c r="I6514" t="str">
        <f>HYPERLINK("https://baanknet.com/view-property/229101/F1EBFA67884EEBDD47C8A883D28C0C8E40E608AC4E6AC66C88DB4FF720027340", "Open")</f>
        <v>Open</v>
      </c>
      <c r="J6514" t="s">
        <v>3803</v>
      </c>
      <c r="L6514">
        <v>1080000</v>
      </c>
      <c r="M6514">
        <v>108000</v>
      </c>
    </row>
    <row r="6515" spans="1:13" x14ac:dyDescent="0.25">
      <c r="A6515" t="s">
        <v>21539</v>
      </c>
      <c r="B6515" t="s">
        <v>21540</v>
      </c>
      <c r="C6515" t="s">
        <v>15</v>
      </c>
      <c r="D6515" t="s">
        <v>21541</v>
      </c>
      <c r="E6515" t="s">
        <v>21521</v>
      </c>
      <c r="F6515" t="s">
        <v>21522</v>
      </c>
      <c r="G6515" t="s">
        <v>21542</v>
      </c>
      <c r="H6515" t="str">
        <f>HYPERLINK("https://baanknet.com/view-property/215691/16F007C1A27E6F3D3C1E4C0C287F88533EE1C2125BD9136A719934E7DA36C6A6", "https://baanknet.com/view-property/215691/16F007C1A27E6F3D3C1E4C0C287F88533EE1C2125BD9136A719934E7DA36C6A6")</f>
        <v>https://baanknet.com/view-property/215691/16F007C1A27E6F3D3C1E4C0C287F88533EE1C2125BD9136A719934E7DA36C6A6</v>
      </c>
      <c r="I6515" t="str">
        <f>HYPERLINK("https://baanknet.com/view-property/215691/16F007C1A27E6F3D3C1E4C0C287F88533EE1C2125BD9136A719934E7DA36C6A6", "Open")</f>
        <v>Open</v>
      </c>
      <c r="J6515" t="s">
        <v>3803</v>
      </c>
      <c r="L6515">
        <v>1728000</v>
      </c>
      <c r="M6515">
        <v>172800</v>
      </c>
    </row>
    <row r="6516" spans="1:13" x14ac:dyDescent="0.25">
      <c r="A6516" t="s">
        <v>21543</v>
      </c>
      <c r="B6516" t="s">
        <v>21544</v>
      </c>
      <c r="C6516" t="s">
        <v>15</v>
      </c>
      <c r="D6516" t="s">
        <v>3065</v>
      </c>
      <c r="E6516" t="s">
        <v>21521</v>
      </c>
      <c r="F6516" t="s">
        <v>21522</v>
      </c>
      <c r="G6516" t="s">
        <v>21545</v>
      </c>
      <c r="H6516" t="str">
        <f>HYPERLINK("https://baanknet.com/view-property/263865/CC91A0360631CECE0ED399B74AAFF892A528728C9115554981C373F8269D7983", "https://baanknet.com/view-property/263865/CC91A0360631CECE0ED399B74AAFF892A528728C9115554981C373F8269D7983")</f>
        <v>https://baanknet.com/view-property/263865/CC91A0360631CECE0ED399B74AAFF892A528728C9115554981C373F8269D7983</v>
      </c>
      <c r="I6516" t="str">
        <f>HYPERLINK("https://baanknet.com/view-property/263865/CC91A0360631CECE0ED399B74AAFF892A528728C9115554981C373F8269D7983", "Open")</f>
        <v>Open</v>
      </c>
      <c r="J6516" t="s">
        <v>3803</v>
      </c>
      <c r="L6516">
        <v>1800000</v>
      </c>
      <c r="M6516">
        <v>180000</v>
      </c>
    </row>
    <row r="6517" spans="1:13" x14ac:dyDescent="0.25">
      <c r="A6517" t="s">
        <v>21546</v>
      </c>
      <c r="B6517" t="s">
        <v>21547</v>
      </c>
      <c r="C6517" t="s">
        <v>15</v>
      </c>
      <c r="D6517" t="s">
        <v>5127</v>
      </c>
      <c r="E6517" t="s">
        <v>21521</v>
      </c>
      <c r="F6517" t="s">
        <v>21522</v>
      </c>
      <c r="G6517" t="s">
        <v>21548</v>
      </c>
      <c r="H6517" t="str">
        <f>HYPERLINK("https://baanknet.com/view-property/238327/09D927ED2BFEAE0628E23AD1A68C2D21DCDEAE550936720F5D56003DB25F5381", "https://baanknet.com/view-property/238327/09D927ED2BFEAE0628E23AD1A68C2D21DCDEAE550936720F5D56003DB25F5381")</f>
        <v>https://baanknet.com/view-property/238327/09D927ED2BFEAE0628E23AD1A68C2D21DCDEAE550936720F5D56003DB25F5381</v>
      </c>
      <c r="I6517" t="str">
        <f>HYPERLINK("https://baanknet.com/view-property/238327/09D927ED2BFEAE0628E23AD1A68C2D21DCDEAE550936720F5D56003DB25F5381", "Open")</f>
        <v>Open</v>
      </c>
      <c r="J6517" t="s">
        <v>3803</v>
      </c>
      <c r="L6517">
        <v>3420000</v>
      </c>
      <c r="M6517">
        <v>342000</v>
      </c>
    </row>
    <row r="6518" spans="1:13" x14ac:dyDescent="0.25">
      <c r="A6518" t="s">
        <v>21549</v>
      </c>
      <c r="B6518" t="s">
        <v>21550</v>
      </c>
      <c r="C6518" t="s">
        <v>15</v>
      </c>
      <c r="D6518" t="s">
        <v>208</v>
      </c>
      <c r="E6518" t="s">
        <v>21521</v>
      </c>
      <c r="F6518" t="s">
        <v>21522</v>
      </c>
      <c r="G6518" t="s">
        <v>21551</v>
      </c>
      <c r="H6518" t="str">
        <f>HYPERLINK("https://baanknet.com/view-property/199488/4412AE0F7B1DA870B937180C1693886B5DFD6081CE0E733CA3314D6A69355F0A", "https://baanknet.com/view-property/199488/4412AE0F7B1DA870B937180C1693886B5DFD6081CE0E733CA3314D6A69355F0A")</f>
        <v>https://baanknet.com/view-property/199488/4412AE0F7B1DA870B937180C1693886B5DFD6081CE0E733CA3314D6A69355F0A</v>
      </c>
      <c r="I6518" t="str">
        <f>HYPERLINK("https://baanknet.com/view-property/199488/4412AE0F7B1DA870B937180C1693886B5DFD6081CE0E733CA3314D6A69355F0A", "Open")</f>
        <v>Open</v>
      </c>
      <c r="J6518" t="s">
        <v>3803</v>
      </c>
      <c r="L6518">
        <v>2110000</v>
      </c>
      <c r="M6518">
        <v>211000</v>
      </c>
    </row>
    <row r="6519" spans="1:13" x14ac:dyDescent="0.25">
      <c r="A6519" t="s">
        <v>21552</v>
      </c>
      <c r="B6519" t="s">
        <v>21553</v>
      </c>
      <c r="C6519" t="s">
        <v>15</v>
      </c>
      <c r="D6519" t="s">
        <v>266</v>
      </c>
      <c r="E6519" t="s">
        <v>21521</v>
      </c>
      <c r="F6519" t="s">
        <v>21522</v>
      </c>
      <c r="G6519" t="s">
        <v>21554</v>
      </c>
      <c r="H6519" t="str">
        <f>HYPERLINK("https://baanknet.com/view-property/229148/251A78A8C80C16BC679FA9170C42C97A374D838DEB0A5CFD3188E7AED5183545", "https://baanknet.com/view-property/229148/251A78A8C80C16BC679FA9170C42C97A374D838DEB0A5CFD3188E7AED5183545")</f>
        <v>https://baanknet.com/view-property/229148/251A78A8C80C16BC679FA9170C42C97A374D838DEB0A5CFD3188E7AED5183545</v>
      </c>
      <c r="I6519" t="str">
        <f>HYPERLINK("https://baanknet.com/view-property/229148/251A78A8C80C16BC679FA9170C42C97A374D838DEB0A5CFD3188E7AED5183545", "Open")</f>
        <v>Open</v>
      </c>
      <c r="J6519" t="s">
        <v>3803</v>
      </c>
      <c r="L6519">
        <v>2089000</v>
      </c>
      <c r="M6519">
        <v>208900</v>
      </c>
    </row>
    <row r="6520" spans="1:13" x14ac:dyDescent="0.25">
      <c r="A6520" t="s">
        <v>21555</v>
      </c>
      <c r="B6520" t="s">
        <v>21556</v>
      </c>
      <c r="C6520" t="s">
        <v>15</v>
      </c>
      <c r="D6520" t="s">
        <v>212</v>
      </c>
      <c r="E6520" t="s">
        <v>21521</v>
      </c>
      <c r="F6520" t="s">
        <v>21522</v>
      </c>
      <c r="G6520" t="s">
        <v>21557</v>
      </c>
      <c r="H6520" t="str">
        <f>HYPERLINK("https://baanknet.com/view-property/202603/927D820BDFCA62A78F0375F8B3929CE311AF76E80F32A2180CBA67817EEC213C", "https://baanknet.com/view-property/202603/927D820BDFCA62A78F0375F8B3929CE311AF76E80F32A2180CBA67817EEC213C")</f>
        <v>https://baanknet.com/view-property/202603/927D820BDFCA62A78F0375F8B3929CE311AF76E80F32A2180CBA67817EEC213C</v>
      </c>
      <c r="I6520" t="str">
        <f>HYPERLINK("https://baanknet.com/view-property/202603/927D820BDFCA62A78F0375F8B3929CE311AF76E80F32A2180CBA67817EEC213C", "Open")</f>
        <v>Open</v>
      </c>
      <c r="J6520" t="s">
        <v>3803</v>
      </c>
      <c r="L6520">
        <v>954000</v>
      </c>
      <c r="M6520">
        <v>95400</v>
      </c>
    </row>
    <row r="6521" spans="1:13" x14ac:dyDescent="0.25">
      <c r="A6521" t="s">
        <v>21558</v>
      </c>
      <c r="B6521" t="s">
        <v>21559</v>
      </c>
      <c r="C6521" t="s">
        <v>15</v>
      </c>
      <c r="D6521" t="s">
        <v>21541</v>
      </c>
      <c r="E6521" t="s">
        <v>21521</v>
      </c>
      <c r="F6521" t="s">
        <v>21522</v>
      </c>
      <c r="G6521" t="s">
        <v>21560</v>
      </c>
      <c r="H6521" t="str">
        <f>HYPERLINK("https://baanknet.com/view-property/203163/44361A8BC3FD70C0F09F339854E2FC4026FBAE04F757B16DF082E99633E8A210", "https://baanknet.com/view-property/203163/44361A8BC3FD70C0F09F339854E2FC4026FBAE04F757B16DF082E99633E8A210")</f>
        <v>https://baanknet.com/view-property/203163/44361A8BC3FD70C0F09F339854E2FC4026FBAE04F757B16DF082E99633E8A210</v>
      </c>
      <c r="I6521" t="str">
        <f>HYPERLINK("https://baanknet.com/view-property/203163/44361A8BC3FD70C0F09F339854E2FC4026FBAE04F757B16DF082E99633E8A210", "Open")</f>
        <v>Open</v>
      </c>
      <c r="J6521" t="s">
        <v>3803</v>
      </c>
      <c r="L6521">
        <v>2304000</v>
      </c>
      <c r="M6521">
        <v>230400</v>
      </c>
    </row>
    <row r="6522" spans="1:13" x14ac:dyDescent="0.25">
      <c r="A6522" t="s">
        <v>21561</v>
      </c>
      <c r="B6522" t="s">
        <v>21562</v>
      </c>
      <c r="C6522" t="s">
        <v>15</v>
      </c>
      <c r="D6522" t="s">
        <v>8407</v>
      </c>
      <c r="E6522" t="s">
        <v>21521</v>
      </c>
      <c r="F6522" t="s">
        <v>21522</v>
      </c>
      <c r="G6522" t="s">
        <v>21563</v>
      </c>
      <c r="H6522" t="str">
        <f>HYPERLINK("https://baanknet.com/view-property/203206/31B41A1E3465388832DC6C5EE7225298FA5652074C37495303A6C548E7A89F34", "https://baanknet.com/view-property/203206/31B41A1E3465388832DC6C5EE7225298FA5652074C37495303A6C548E7A89F34")</f>
        <v>https://baanknet.com/view-property/203206/31B41A1E3465388832DC6C5EE7225298FA5652074C37495303A6C548E7A89F34</v>
      </c>
      <c r="I6522" t="str">
        <f>HYPERLINK("https://baanknet.com/view-property/203206/31B41A1E3465388832DC6C5EE7225298FA5652074C37495303A6C548E7A89F34", "Open")</f>
        <v>Open</v>
      </c>
      <c r="J6522" t="s">
        <v>3803</v>
      </c>
      <c r="L6522">
        <v>963000</v>
      </c>
      <c r="M6522">
        <v>96300</v>
      </c>
    </row>
    <row r="6523" spans="1:13" x14ac:dyDescent="0.25">
      <c r="A6523" t="s">
        <v>21564</v>
      </c>
      <c r="B6523" t="s">
        <v>21565</v>
      </c>
      <c r="C6523" t="s">
        <v>15</v>
      </c>
      <c r="D6523" t="s">
        <v>208</v>
      </c>
      <c r="E6523" t="s">
        <v>21521</v>
      </c>
      <c r="F6523" t="s">
        <v>21522</v>
      </c>
      <c r="G6523" t="s">
        <v>21566</v>
      </c>
      <c r="H6523" t="str">
        <f>HYPERLINK("https://baanknet.com/view-property/250379/4D17961BCAB285B5063A4B74075826CDEE855F04ACF74CB77E173AA430050722", "https://baanknet.com/view-property/250379/4D17961BCAB285B5063A4B74075826CDEE855F04ACF74CB77E173AA430050722")</f>
        <v>https://baanknet.com/view-property/250379/4D17961BCAB285B5063A4B74075826CDEE855F04ACF74CB77E173AA430050722</v>
      </c>
      <c r="I6523" t="str">
        <f>HYPERLINK("https://baanknet.com/view-property/250379/4D17961BCAB285B5063A4B74075826CDEE855F04ACF74CB77E173AA430050722", "Open")</f>
        <v>Open</v>
      </c>
      <c r="J6523" t="s">
        <v>3803</v>
      </c>
      <c r="L6523">
        <v>2200000</v>
      </c>
      <c r="M6523">
        <v>220000</v>
      </c>
    </row>
    <row r="6524" spans="1:13" x14ac:dyDescent="0.25">
      <c r="A6524" t="s">
        <v>21567</v>
      </c>
      <c r="B6524" t="s">
        <v>21568</v>
      </c>
      <c r="C6524" t="s">
        <v>15</v>
      </c>
      <c r="D6524" t="s">
        <v>208</v>
      </c>
      <c r="E6524" t="s">
        <v>21521</v>
      </c>
      <c r="F6524" t="s">
        <v>21522</v>
      </c>
      <c r="G6524" t="s">
        <v>21569</v>
      </c>
      <c r="H6524" t="str">
        <f>HYPERLINK("https://baanknet.com/view-property/202073/4E99D5C461043939F55A8BA21C2EB83A37297295C561D3A615CD39063101D029", "https://baanknet.com/view-property/202073/4E99D5C461043939F55A8BA21C2EB83A37297295C561D3A615CD39063101D029")</f>
        <v>https://baanknet.com/view-property/202073/4E99D5C461043939F55A8BA21C2EB83A37297295C561D3A615CD39063101D029</v>
      </c>
      <c r="I6524" t="str">
        <f>HYPERLINK("https://baanknet.com/view-property/202073/4E99D5C461043939F55A8BA21C2EB83A37297295C561D3A615CD39063101D029", "Open")</f>
        <v>Open</v>
      </c>
      <c r="J6524" t="s">
        <v>3803</v>
      </c>
      <c r="L6524">
        <v>3330000</v>
      </c>
      <c r="M6524">
        <v>333000</v>
      </c>
    </row>
    <row r="6525" spans="1:13" x14ac:dyDescent="0.25">
      <c r="A6525" t="s">
        <v>21570</v>
      </c>
      <c r="B6525" t="s">
        <v>21571</v>
      </c>
      <c r="C6525" t="s">
        <v>15</v>
      </c>
      <c r="D6525" t="s">
        <v>208</v>
      </c>
      <c r="E6525" t="s">
        <v>21521</v>
      </c>
      <c r="F6525" t="s">
        <v>21522</v>
      </c>
      <c r="G6525" t="s">
        <v>21572</v>
      </c>
      <c r="H6525" t="str">
        <f>HYPERLINK("https://baanknet.com/view-property/203087/530796131931CD68AC22DEEFD3321E24C4731B235655BD6FCF657B29C32FF4ED", "https://baanknet.com/view-property/203087/530796131931CD68AC22DEEFD3321E24C4731B235655BD6FCF657B29C32FF4ED")</f>
        <v>https://baanknet.com/view-property/203087/530796131931CD68AC22DEEFD3321E24C4731B235655BD6FCF657B29C32FF4ED</v>
      </c>
      <c r="I6525" t="str">
        <f>HYPERLINK("https://baanknet.com/view-property/203087/530796131931CD68AC22DEEFD3321E24C4731B235655BD6FCF657B29C32FF4ED", "Open")</f>
        <v>Open</v>
      </c>
      <c r="J6525" t="s">
        <v>3803</v>
      </c>
      <c r="L6525">
        <v>2907000</v>
      </c>
      <c r="M6525">
        <v>290700</v>
      </c>
    </row>
    <row r="6526" spans="1:13" x14ac:dyDescent="0.25">
      <c r="A6526" t="s">
        <v>21573</v>
      </c>
      <c r="B6526" t="s">
        <v>21574</v>
      </c>
      <c r="C6526" t="s">
        <v>15</v>
      </c>
      <c r="D6526" t="s">
        <v>21575</v>
      </c>
      <c r="E6526" t="s">
        <v>21521</v>
      </c>
      <c r="F6526" t="s">
        <v>21522</v>
      </c>
      <c r="G6526" t="s">
        <v>21576</v>
      </c>
      <c r="H6526" t="str">
        <f>HYPERLINK("https://baanknet.com/view-property/203143/49221AAEEB700424020C18F16D02320850DF866FD567AF96299ACBEE897EE9E5", "https://baanknet.com/view-property/203143/49221AAEEB700424020C18F16D02320850DF866FD567AF96299ACBEE897EE9E5")</f>
        <v>https://baanknet.com/view-property/203143/49221AAEEB700424020C18F16D02320850DF866FD567AF96299ACBEE897EE9E5</v>
      </c>
      <c r="I6526" t="str">
        <f>HYPERLINK("https://baanknet.com/view-property/203143/49221AAEEB700424020C18F16D02320850DF866FD567AF96299ACBEE897EE9E5", "Open")</f>
        <v>Open</v>
      </c>
      <c r="J6526" t="s">
        <v>3803</v>
      </c>
      <c r="L6526">
        <v>1940000</v>
      </c>
      <c r="M6526">
        <v>194000</v>
      </c>
    </row>
    <row r="6527" spans="1:13" x14ac:dyDescent="0.25">
      <c r="A6527" t="s">
        <v>21577</v>
      </c>
      <c r="B6527" t="s">
        <v>21578</v>
      </c>
      <c r="C6527" t="s">
        <v>15</v>
      </c>
      <c r="D6527" t="s">
        <v>136</v>
      </c>
      <c r="E6527" t="s">
        <v>21521</v>
      </c>
      <c r="F6527" t="s">
        <v>21522</v>
      </c>
      <c r="G6527" t="s">
        <v>21579</v>
      </c>
      <c r="H6527" t="str">
        <f>HYPERLINK("https://baanknet.com/view-property/237890/5A6DE971ED1B69E5FD92107C5A27D86D3974C2782F6C6B1CDC42B81234D3D0CA", "https://baanknet.com/view-property/237890/5A6DE971ED1B69E5FD92107C5A27D86D3974C2782F6C6B1CDC42B81234D3D0CA")</f>
        <v>https://baanknet.com/view-property/237890/5A6DE971ED1B69E5FD92107C5A27D86D3974C2782F6C6B1CDC42B81234D3D0CA</v>
      </c>
      <c r="I6527" t="str">
        <f>HYPERLINK("https://baanknet.com/view-property/237890/5A6DE971ED1B69E5FD92107C5A27D86D3974C2782F6C6B1CDC42B81234D3D0CA", "Open")</f>
        <v>Open</v>
      </c>
      <c r="J6527" t="s">
        <v>3803</v>
      </c>
      <c r="L6527">
        <v>470000</v>
      </c>
      <c r="M6527">
        <v>47000</v>
      </c>
    </row>
    <row r="6528" spans="1:13" x14ac:dyDescent="0.25">
      <c r="A6528" t="s">
        <v>21580</v>
      </c>
      <c r="B6528" t="s">
        <v>21581</v>
      </c>
      <c r="C6528" t="s">
        <v>15</v>
      </c>
      <c r="D6528" t="s">
        <v>179</v>
      </c>
      <c r="E6528" t="s">
        <v>21521</v>
      </c>
      <c r="F6528" t="s">
        <v>21522</v>
      </c>
      <c r="G6528" t="s">
        <v>21582</v>
      </c>
      <c r="H6528" t="str">
        <f>HYPERLINK("https://baanknet.com/view-property/199467/564DF07D8F1FCD1C0031229F8A0C0FAA761EEAC00F19D701D9CDF8D999DEFCBB", "https://baanknet.com/view-property/199467/564DF07D8F1FCD1C0031229F8A0C0FAA761EEAC00F19D701D9CDF8D999DEFCBB")</f>
        <v>https://baanknet.com/view-property/199467/564DF07D8F1FCD1C0031229F8A0C0FAA761EEAC00F19D701D9CDF8D999DEFCBB</v>
      </c>
      <c r="I6528" t="str">
        <f>HYPERLINK("https://baanknet.com/view-property/199467/564DF07D8F1FCD1C0031229F8A0C0FAA761EEAC00F19D701D9CDF8D999DEFCBB", "Open")</f>
        <v>Open</v>
      </c>
      <c r="J6528" t="s">
        <v>3803</v>
      </c>
      <c r="L6528">
        <v>1521000</v>
      </c>
      <c r="M6528">
        <v>152100</v>
      </c>
    </row>
    <row r="6529" spans="1:13" x14ac:dyDescent="0.25">
      <c r="A6529" t="s">
        <v>21583</v>
      </c>
      <c r="B6529" t="s">
        <v>21584</v>
      </c>
      <c r="C6529" t="s">
        <v>15</v>
      </c>
      <c r="D6529" t="s">
        <v>219</v>
      </c>
      <c r="E6529" t="s">
        <v>21521</v>
      </c>
      <c r="F6529" t="s">
        <v>21522</v>
      </c>
      <c r="G6529" t="s">
        <v>21585</v>
      </c>
      <c r="H6529" t="str">
        <f>HYPERLINK("https://baanknet.com/view-property/247832/2B0649E1DF82B27A017FCC67D0794E529F434FEDEC8C5C6F1ADF02A116EA97D6", "https://baanknet.com/view-property/247832/2B0649E1DF82B27A017FCC67D0794E529F434FEDEC8C5C6F1ADF02A116EA97D6")</f>
        <v>https://baanknet.com/view-property/247832/2B0649E1DF82B27A017FCC67D0794E529F434FEDEC8C5C6F1ADF02A116EA97D6</v>
      </c>
      <c r="I6529" t="str">
        <f>HYPERLINK("https://baanknet.com/view-property/247832/2B0649E1DF82B27A017FCC67D0794E529F434FEDEC8C5C6F1ADF02A116EA97D6", "Open")</f>
        <v>Open</v>
      </c>
      <c r="J6529" t="s">
        <v>3803</v>
      </c>
      <c r="L6529">
        <v>2628000</v>
      </c>
      <c r="M6529">
        <v>262800</v>
      </c>
    </row>
    <row r="6530" spans="1:13" x14ac:dyDescent="0.25">
      <c r="A6530" t="s">
        <v>21586</v>
      </c>
      <c r="B6530" t="s">
        <v>21587</v>
      </c>
      <c r="C6530" t="s">
        <v>15</v>
      </c>
      <c r="D6530" t="s">
        <v>212</v>
      </c>
      <c r="E6530" t="s">
        <v>21521</v>
      </c>
      <c r="F6530" t="s">
        <v>21522</v>
      </c>
      <c r="G6530" t="s">
        <v>21588</v>
      </c>
      <c r="H6530" t="str">
        <f>HYPERLINK("https://baanknet.com/view-property/199073/49C0CB910CB8675C1881BC5C499AD7B00999E72D1752370FDD2EBA8BF054E1F0", "https://baanknet.com/view-property/199073/49C0CB910CB8675C1881BC5C499AD7B00999E72D1752370FDD2EBA8BF054E1F0")</f>
        <v>https://baanknet.com/view-property/199073/49C0CB910CB8675C1881BC5C499AD7B00999E72D1752370FDD2EBA8BF054E1F0</v>
      </c>
      <c r="I6530" t="str">
        <f>HYPERLINK("https://baanknet.com/view-property/199073/49C0CB910CB8675C1881BC5C499AD7B00999E72D1752370FDD2EBA8BF054E1F0", "Open")</f>
        <v>Open</v>
      </c>
      <c r="J6530" t="s">
        <v>3803</v>
      </c>
      <c r="L6530">
        <v>439000</v>
      </c>
      <c r="M6530">
        <v>43900</v>
      </c>
    </row>
    <row r="6531" spans="1:13" x14ac:dyDescent="0.25">
      <c r="A6531" t="s">
        <v>21589</v>
      </c>
      <c r="B6531" t="s">
        <v>21590</v>
      </c>
      <c r="C6531" t="s">
        <v>15</v>
      </c>
      <c r="D6531" t="s">
        <v>179</v>
      </c>
      <c r="E6531" t="s">
        <v>21521</v>
      </c>
      <c r="F6531" t="s">
        <v>21522</v>
      </c>
      <c r="G6531" t="s">
        <v>21591</v>
      </c>
      <c r="H6531" t="str">
        <f>HYPERLINK("https://baanknet.com/view-property/229193/9309EB41B233C3001D95C8BB21E9F1E3D4D0227F4EB9BC69A45930F6DFC12710", "https://baanknet.com/view-property/229193/9309EB41B233C3001D95C8BB21E9F1E3D4D0227F4EB9BC69A45930F6DFC12710")</f>
        <v>https://baanknet.com/view-property/229193/9309EB41B233C3001D95C8BB21E9F1E3D4D0227F4EB9BC69A45930F6DFC12710</v>
      </c>
      <c r="I6531" t="str">
        <f>HYPERLINK("https://baanknet.com/view-property/229193/9309EB41B233C3001D95C8BB21E9F1E3D4D0227F4EB9BC69A45930F6DFC12710", "Open")</f>
        <v>Open</v>
      </c>
      <c r="J6531" t="s">
        <v>3803</v>
      </c>
      <c r="L6531">
        <v>1650000</v>
      </c>
      <c r="M6531">
        <v>165000</v>
      </c>
    </row>
    <row r="6532" spans="1:13" x14ac:dyDescent="0.25">
      <c r="A6532" t="s">
        <v>21592</v>
      </c>
      <c r="B6532" t="s">
        <v>21593</v>
      </c>
      <c r="C6532" t="s">
        <v>15</v>
      </c>
      <c r="D6532" t="s">
        <v>187</v>
      </c>
      <c r="E6532" t="s">
        <v>21521</v>
      </c>
      <c r="F6532" t="s">
        <v>21522</v>
      </c>
      <c r="G6532" t="s">
        <v>21594</v>
      </c>
      <c r="H6532" t="str">
        <f>HYPERLINK("https://baanknet.com/view-property/203226/A3DBD2B9FC12E3F753758DB07170ECBC42164D4180598A2BFC7589F673D2FC3E", "https://baanknet.com/view-property/203226/A3DBD2B9FC12E3F753758DB07170ECBC42164D4180598A2BFC7589F673D2FC3E")</f>
        <v>https://baanknet.com/view-property/203226/A3DBD2B9FC12E3F753758DB07170ECBC42164D4180598A2BFC7589F673D2FC3E</v>
      </c>
      <c r="I6532" t="str">
        <f>HYPERLINK("https://baanknet.com/view-property/203226/A3DBD2B9FC12E3F753758DB07170ECBC42164D4180598A2BFC7589F673D2FC3E", "Open")</f>
        <v>Open</v>
      </c>
      <c r="J6532" t="s">
        <v>3803</v>
      </c>
      <c r="L6532">
        <v>1408000</v>
      </c>
      <c r="M6532">
        <v>140800</v>
      </c>
    </row>
    <row r="6533" spans="1:13" x14ac:dyDescent="0.25">
      <c r="A6533" t="s">
        <v>21595</v>
      </c>
      <c r="B6533" t="s">
        <v>21596</v>
      </c>
      <c r="C6533" t="s">
        <v>15</v>
      </c>
      <c r="D6533" t="s">
        <v>3103</v>
      </c>
      <c r="E6533" t="s">
        <v>21521</v>
      </c>
      <c r="F6533" t="s">
        <v>21522</v>
      </c>
      <c r="G6533" t="s">
        <v>21597</v>
      </c>
      <c r="H6533" t="str">
        <f>HYPERLINK("https://baanknet.com/view-property/221093/EE85A441B3D0118A3C6FBC442AAE1B18382E04EE0082D5E81512281EB34A9330", "https://baanknet.com/view-property/221093/EE85A441B3D0118A3C6FBC442AAE1B18382E04EE0082D5E81512281EB34A9330")</f>
        <v>https://baanknet.com/view-property/221093/EE85A441B3D0118A3C6FBC442AAE1B18382E04EE0082D5E81512281EB34A9330</v>
      </c>
      <c r="I6533" t="str">
        <f>HYPERLINK("https://baanknet.com/view-property/221093/EE85A441B3D0118A3C6FBC442AAE1B18382E04EE0082D5E81512281EB34A9330", "Open")</f>
        <v>Open</v>
      </c>
      <c r="J6533" t="s">
        <v>3803</v>
      </c>
      <c r="L6533">
        <v>1161000</v>
      </c>
      <c r="M6533">
        <v>116100</v>
      </c>
    </row>
    <row r="6534" spans="1:13" x14ac:dyDescent="0.25">
      <c r="A6534" t="s">
        <v>21598</v>
      </c>
      <c r="B6534" t="s">
        <v>21599</v>
      </c>
      <c r="C6534" t="s">
        <v>15</v>
      </c>
      <c r="D6534" t="s">
        <v>187</v>
      </c>
      <c r="E6534" t="s">
        <v>21521</v>
      </c>
      <c r="F6534" t="s">
        <v>21522</v>
      </c>
      <c r="G6534" t="s">
        <v>21600</v>
      </c>
      <c r="H6534" t="str">
        <f>HYPERLINK("https://baanknet.com/view-property/203182/6F4F6A7DF21736D3ADC2626547E0ED95E7F20B100AE44F83A03D899E1BA1D46A", "https://baanknet.com/view-property/203182/6F4F6A7DF21736D3ADC2626547E0ED95E7F20B100AE44F83A03D899E1BA1D46A")</f>
        <v>https://baanknet.com/view-property/203182/6F4F6A7DF21736D3ADC2626547E0ED95E7F20B100AE44F83A03D899E1BA1D46A</v>
      </c>
      <c r="I6534" t="str">
        <f>HYPERLINK("https://baanknet.com/view-property/203182/6F4F6A7DF21736D3ADC2626547E0ED95E7F20B100AE44F83A03D899E1BA1D46A", "Open")</f>
        <v>Open</v>
      </c>
      <c r="J6534" t="s">
        <v>3803</v>
      </c>
      <c r="L6534">
        <v>1720000</v>
      </c>
      <c r="M6534">
        <v>172000</v>
      </c>
    </row>
    <row r="6535" spans="1:13" x14ac:dyDescent="0.25">
      <c r="A6535" t="s">
        <v>21601</v>
      </c>
      <c r="B6535" t="s">
        <v>21602</v>
      </c>
      <c r="C6535" t="s">
        <v>15</v>
      </c>
      <c r="D6535" t="s">
        <v>21603</v>
      </c>
      <c r="E6535" t="s">
        <v>21521</v>
      </c>
      <c r="F6535" t="s">
        <v>21522</v>
      </c>
      <c r="G6535" t="s">
        <v>21604</v>
      </c>
      <c r="H6535" t="str">
        <f>HYPERLINK("https://baanknet.com/view-property/203198/148AFA51696D555A2434667EDF93E06DB711EB726B320AC5B3F8347A25F574FD", "https://baanknet.com/view-property/203198/148AFA51696D555A2434667EDF93E06DB711EB726B320AC5B3F8347A25F574FD")</f>
        <v>https://baanknet.com/view-property/203198/148AFA51696D555A2434667EDF93E06DB711EB726B320AC5B3F8347A25F574FD</v>
      </c>
      <c r="I6535" t="str">
        <f>HYPERLINK("https://baanknet.com/view-property/203198/148AFA51696D555A2434667EDF93E06DB711EB726B320AC5B3F8347A25F574FD", "Open")</f>
        <v>Open</v>
      </c>
      <c r="J6535" t="s">
        <v>3803</v>
      </c>
      <c r="L6535">
        <v>1350000</v>
      </c>
      <c r="M6535">
        <v>135000</v>
      </c>
    </row>
    <row r="6536" spans="1:13" x14ac:dyDescent="0.25">
      <c r="A6536" t="s">
        <v>21605</v>
      </c>
      <c r="B6536" t="s">
        <v>21606</v>
      </c>
      <c r="C6536" t="s">
        <v>15</v>
      </c>
      <c r="D6536" t="s">
        <v>5127</v>
      </c>
      <c r="E6536" t="s">
        <v>21521</v>
      </c>
      <c r="F6536" t="s">
        <v>21522</v>
      </c>
      <c r="G6536" t="s">
        <v>21607</v>
      </c>
      <c r="H6536" t="str">
        <f>HYPERLINK("https://baanknet.com/view-property/221101/EEBDF5A4CDC614EA00BEA5D16F27A268C376AD53B6C6D4B1B7A1E880B902A924", "https://baanknet.com/view-property/221101/EEBDF5A4CDC614EA00BEA5D16F27A268C376AD53B6C6D4B1B7A1E880B902A924")</f>
        <v>https://baanknet.com/view-property/221101/EEBDF5A4CDC614EA00BEA5D16F27A268C376AD53B6C6D4B1B7A1E880B902A924</v>
      </c>
      <c r="I6536" t="str">
        <f>HYPERLINK("https://baanknet.com/view-property/221101/EEBDF5A4CDC614EA00BEA5D16F27A268C376AD53B6C6D4B1B7A1E880B902A924", "Open")</f>
        <v>Open</v>
      </c>
      <c r="J6536" t="s">
        <v>3803</v>
      </c>
      <c r="L6536">
        <v>3037500</v>
      </c>
      <c r="M6536">
        <v>303750</v>
      </c>
    </row>
    <row r="6537" spans="1:13" x14ac:dyDescent="0.25">
      <c r="A6537" t="s">
        <v>21608</v>
      </c>
      <c r="B6537" t="s">
        <v>21609</v>
      </c>
      <c r="C6537" t="s">
        <v>15</v>
      </c>
      <c r="D6537" t="s">
        <v>1957</v>
      </c>
      <c r="E6537" t="s">
        <v>21521</v>
      </c>
      <c r="F6537" t="s">
        <v>21522</v>
      </c>
      <c r="G6537" t="s">
        <v>21610</v>
      </c>
      <c r="H6537" t="str">
        <f>HYPERLINK("https://baanknet.com/view-property/199147/F44222C04CB382E5DCE9DAD017C42B9822A09BCC5D4405BD7C338597919547C1", "https://baanknet.com/view-property/199147/F44222C04CB382E5DCE9DAD017C42B9822A09BCC5D4405BD7C338597919547C1")</f>
        <v>https://baanknet.com/view-property/199147/F44222C04CB382E5DCE9DAD017C42B9822A09BCC5D4405BD7C338597919547C1</v>
      </c>
      <c r="I6537" t="str">
        <f>HYPERLINK("https://baanknet.com/view-property/199147/F44222C04CB382E5DCE9DAD017C42B9822A09BCC5D4405BD7C338597919547C1", "Open")</f>
        <v>Open</v>
      </c>
      <c r="J6537" t="s">
        <v>3803</v>
      </c>
      <c r="L6537">
        <v>970000</v>
      </c>
      <c r="M6537">
        <v>97000</v>
      </c>
    </row>
    <row r="6538" spans="1:13" x14ac:dyDescent="0.25">
      <c r="A6538" t="s">
        <v>21611</v>
      </c>
      <c r="B6538" t="s">
        <v>21612</v>
      </c>
      <c r="C6538" t="s">
        <v>15</v>
      </c>
      <c r="D6538" t="s">
        <v>9235</v>
      </c>
      <c r="E6538" t="s">
        <v>21521</v>
      </c>
      <c r="F6538" t="s">
        <v>21522</v>
      </c>
      <c r="G6538" t="s">
        <v>21613</v>
      </c>
      <c r="H6538" t="str">
        <f>HYPERLINK("https://baanknet.com/view-property/205483/994885416D22BA617B96CB33D5875E1D016F928E2822DD2D9F081547A8F118D2", "https://baanknet.com/view-property/205483/994885416D22BA617B96CB33D5875E1D016F928E2822DD2D9F081547A8F118D2")</f>
        <v>https://baanknet.com/view-property/205483/994885416D22BA617B96CB33D5875E1D016F928E2822DD2D9F081547A8F118D2</v>
      </c>
      <c r="I6538" t="str">
        <f>HYPERLINK("https://baanknet.com/view-property/205483/994885416D22BA617B96CB33D5875E1D016F928E2822DD2D9F081547A8F118D2", "Open")</f>
        <v>Open</v>
      </c>
      <c r="J6538" t="s">
        <v>3803</v>
      </c>
      <c r="L6538">
        <v>3156000</v>
      </c>
      <c r="M6538">
        <v>315600</v>
      </c>
    </row>
    <row r="6539" spans="1:13" x14ac:dyDescent="0.25">
      <c r="A6539" t="s">
        <v>21614</v>
      </c>
      <c r="B6539" t="s">
        <v>21615</v>
      </c>
      <c r="C6539" t="s">
        <v>15</v>
      </c>
      <c r="D6539" t="s">
        <v>6058</v>
      </c>
      <c r="E6539" t="s">
        <v>21512</v>
      </c>
      <c r="F6539" t="s">
        <v>21616</v>
      </c>
      <c r="G6539" t="s">
        <v>21617</v>
      </c>
      <c r="H6539" t="str">
        <f>HYPERLINK("https://baanknet.com/view-property/287731/F40BE9EBFA24D8098463DAA4A0DB5EF85917FAD412C73D19143F907B57845E9F", "https://baanknet.com/view-property/287731/F40BE9EBFA24D8098463DAA4A0DB5EF85917FAD412C73D19143F907B57845E9F")</f>
        <v>https://baanknet.com/view-property/287731/F40BE9EBFA24D8098463DAA4A0DB5EF85917FAD412C73D19143F907B57845E9F</v>
      </c>
      <c r="I6539" t="str">
        <f>HYPERLINK("https://baanknet.com/view-property/287731/F40BE9EBFA24D8098463DAA4A0DB5EF85917FAD412C73D19143F907B57845E9F", "Open")</f>
        <v>Open</v>
      </c>
      <c r="J6539" t="s">
        <v>3803</v>
      </c>
      <c r="L6539">
        <v>820000</v>
      </c>
      <c r="M6539">
        <v>82000</v>
      </c>
    </row>
    <row r="6540" spans="1:13" x14ac:dyDescent="0.25">
      <c r="A6540" t="s">
        <v>21618</v>
      </c>
      <c r="B6540" t="s">
        <v>21619</v>
      </c>
      <c r="C6540" t="s">
        <v>83</v>
      </c>
      <c r="D6540" t="s">
        <v>509</v>
      </c>
      <c r="E6540" t="s">
        <v>21620</v>
      </c>
      <c r="F6540" t="s">
        <v>21621</v>
      </c>
      <c r="G6540" t="s">
        <v>21622</v>
      </c>
      <c r="H6540" t="str">
        <f>HYPERLINK("https://baanknet.com/view-property/287709/924A9CAD9C418EE02E2D7066F71262346B4F463053CBB06D8C7417C8B53CBF83", "https://baanknet.com/view-property/287709/924A9CAD9C418EE02E2D7066F71262346B4F463053CBB06D8C7417C8B53CBF83")</f>
        <v>https://baanknet.com/view-property/287709/924A9CAD9C418EE02E2D7066F71262346B4F463053CBB06D8C7417C8B53CBF83</v>
      </c>
      <c r="I6540" t="str">
        <f>HYPERLINK("https://baanknet.com/view-property/287709/924A9CAD9C418EE02E2D7066F71262346B4F463053CBB06D8C7417C8B53CBF83", "Open")</f>
        <v>Open</v>
      </c>
      <c r="J6540" t="s">
        <v>3803</v>
      </c>
      <c r="L6540">
        <v>945000</v>
      </c>
      <c r="M6540">
        <v>94500</v>
      </c>
    </row>
    <row r="6541" spans="1:13" x14ac:dyDescent="0.25">
      <c r="A6541" t="s">
        <v>21623</v>
      </c>
      <c r="B6541" t="s">
        <v>21624</v>
      </c>
      <c r="C6541" t="s">
        <v>83</v>
      </c>
      <c r="D6541" t="s">
        <v>509</v>
      </c>
      <c r="E6541" t="s">
        <v>21620</v>
      </c>
      <c r="F6541" t="s">
        <v>21621</v>
      </c>
      <c r="G6541" t="s">
        <v>21625</v>
      </c>
      <c r="H6541" t="str">
        <f>HYPERLINK("https://baanknet.com/view-property/287701/9BAEE0A9FC514C62A325A5D63BFFB41D98434D8ADF44D7302F0933F070D5D018", "https://baanknet.com/view-property/287701/9BAEE0A9FC514C62A325A5D63BFFB41D98434D8ADF44D7302F0933F070D5D018")</f>
        <v>https://baanknet.com/view-property/287701/9BAEE0A9FC514C62A325A5D63BFFB41D98434D8ADF44D7302F0933F070D5D018</v>
      </c>
      <c r="I6541" t="str">
        <f>HYPERLINK("https://baanknet.com/view-property/287701/9BAEE0A9FC514C62A325A5D63BFFB41D98434D8ADF44D7302F0933F070D5D018", "Open")</f>
        <v>Open</v>
      </c>
      <c r="J6541" t="s">
        <v>3803</v>
      </c>
      <c r="L6541">
        <v>1055000</v>
      </c>
      <c r="M6541">
        <v>105500</v>
      </c>
    </row>
    <row r="6542" spans="1:13" x14ac:dyDescent="0.25">
      <c r="A6542" t="s">
        <v>21626</v>
      </c>
      <c r="B6542" t="s">
        <v>21627</v>
      </c>
      <c r="C6542" t="s">
        <v>83</v>
      </c>
      <c r="D6542" t="s">
        <v>509</v>
      </c>
      <c r="E6542" t="s">
        <v>21620</v>
      </c>
      <c r="F6542" t="s">
        <v>21621</v>
      </c>
      <c r="G6542" t="s">
        <v>21628</v>
      </c>
      <c r="H6542" t="str">
        <f>HYPERLINK("https://baanknet.com/view-property/287712/77D1D1424DD2AE2D96BEB27D6933B4A04F8B15610D17BE4E0955BBAF5D36895E", "https://baanknet.com/view-property/287712/77D1D1424DD2AE2D96BEB27D6933B4A04F8B15610D17BE4E0955BBAF5D36895E")</f>
        <v>https://baanknet.com/view-property/287712/77D1D1424DD2AE2D96BEB27D6933B4A04F8B15610D17BE4E0955BBAF5D36895E</v>
      </c>
      <c r="I6542" t="str">
        <f>HYPERLINK("https://baanknet.com/view-property/287712/77D1D1424DD2AE2D96BEB27D6933B4A04F8B15610D17BE4E0955BBAF5D36895E", "Open")</f>
        <v>Open</v>
      </c>
      <c r="J6542" t="s">
        <v>3803</v>
      </c>
      <c r="L6542">
        <v>1050000</v>
      </c>
      <c r="M6542">
        <v>105000</v>
      </c>
    </row>
    <row r="6543" spans="1:13" x14ac:dyDescent="0.25">
      <c r="A6543" t="s">
        <v>21629</v>
      </c>
      <c r="B6543" t="s">
        <v>21630</v>
      </c>
      <c r="C6543" t="s">
        <v>83</v>
      </c>
      <c r="D6543" t="s">
        <v>509</v>
      </c>
      <c r="E6543" t="s">
        <v>21620</v>
      </c>
      <c r="F6543" t="s">
        <v>21621</v>
      </c>
      <c r="G6543" t="s">
        <v>21631</v>
      </c>
      <c r="H6543" t="str">
        <f>HYPERLINK("https://baanknet.com/view-property/287973/4B5690CEE6BB2F90A759521308FA4A4171C11AD61905804ABB50F534226DCCEC", "https://baanknet.com/view-property/287973/4B5690CEE6BB2F90A759521308FA4A4171C11AD61905804ABB50F534226DCCEC")</f>
        <v>https://baanknet.com/view-property/287973/4B5690CEE6BB2F90A759521308FA4A4171C11AD61905804ABB50F534226DCCEC</v>
      </c>
      <c r="I6543" t="str">
        <f>HYPERLINK("https://baanknet.com/view-property/287973/4B5690CEE6BB2F90A759521308FA4A4171C11AD61905804ABB50F534226DCCEC", "Open")</f>
        <v>Open</v>
      </c>
      <c r="J6543" t="s">
        <v>3803</v>
      </c>
      <c r="L6543">
        <v>1080000</v>
      </c>
      <c r="M6543">
        <v>108000</v>
      </c>
    </row>
    <row r="6544" spans="1:13" x14ac:dyDescent="0.25">
      <c r="A6544" t="s">
        <v>21632</v>
      </c>
      <c r="B6544" t="s">
        <v>21633</v>
      </c>
      <c r="C6544" t="s">
        <v>83</v>
      </c>
      <c r="D6544" t="s">
        <v>509</v>
      </c>
      <c r="E6544" t="s">
        <v>21620</v>
      </c>
      <c r="F6544" t="s">
        <v>21621</v>
      </c>
      <c r="G6544" t="s">
        <v>21634</v>
      </c>
      <c r="H6544" t="str">
        <f>HYPERLINK("https://baanknet.com/view-property/287951/8F8BB7B5D8275B17F2874C3C80728AF511BE6D351EF4E912DE81EE678EC5EE2B", "https://baanknet.com/view-property/287951/8F8BB7B5D8275B17F2874C3C80728AF511BE6D351EF4E912DE81EE678EC5EE2B")</f>
        <v>https://baanknet.com/view-property/287951/8F8BB7B5D8275B17F2874C3C80728AF511BE6D351EF4E912DE81EE678EC5EE2B</v>
      </c>
      <c r="I6544" t="str">
        <f>HYPERLINK("https://baanknet.com/view-property/287951/8F8BB7B5D8275B17F2874C3C80728AF511BE6D351EF4E912DE81EE678EC5EE2B", "Open")</f>
        <v>Open</v>
      </c>
      <c r="J6544" t="s">
        <v>3803</v>
      </c>
      <c r="L6544">
        <v>913000</v>
      </c>
      <c r="M6544">
        <v>91300</v>
      </c>
    </row>
    <row r="6545" spans="1:13" x14ac:dyDescent="0.25">
      <c r="A6545" t="s">
        <v>21635</v>
      </c>
      <c r="B6545" t="s">
        <v>21636</v>
      </c>
      <c r="C6545" t="s">
        <v>144</v>
      </c>
      <c r="D6545" t="s">
        <v>1246</v>
      </c>
      <c r="E6545" t="s">
        <v>21637</v>
      </c>
      <c r="F6545" t="s">
        <v>21638</v>
      </c>
      <c r="G6545" t="s">
        <v>21639</v>
      </c>
      <c r="H6545" t="str">
        <f>HYPERLINK("https://baanknet.com/view-property/287612/F711083782936A82AE8425956E4452C47DEFA86EA143B2664AC84320A1F7DC4E", "https://baanknet.com/view-property/287612/F711083782936A82AE8425956E4452C47DEFA86EA143B2664AC84320A1F7DC4E")</f>
        <v>https://baanknet.com/view-property/287612/F711083782936A82AE8425956E4452C47DEFA86EA143B2664AC84320A1F7DC4E</v>
      </c>
      <c r="I6545" t="str">
        <f>HYPERLINK("https://baanknet.com/view-property/287612/F711083782936A82AE8425956E4452C47DEFA86EA143B2664AC84320A1F7DC4E", "Open")</f>
        <v>Open</v>
      </c>
      <c r="J6545" t="s">
        <v>3803</v>
      </c>
      <c r="L6545">
        <v>19475000</v>
      </c>
      <c r="M6545">
        <v>1947500</v>
      </c>
    </row>
    <row r="6546" spans="1:13" x14ac:dyDescent="0.25">
      <c r="A6546" t="s">
        <v>21640</v>
      </c>
      <c r="B6546" t="s">
        <v>21641</v>
      </c>
      <c r="C6546" t="s">
        <v>144</v>
      </c>
      <c r="D6546" t="s">
        <v>1246</v>
      </c>
      <c r="E6546" t="s">
        <v>21637</v>
      </c>
      <c r="F6546" t="s">
        <v>21638</v>
      </c>
      <c r="G6546" t="s">
        <v>21642</v>
      </c>
      <c r="H6546" t="str">
        <f>HYPERLINK("https://baanknet.com/view-property/287622/194CB3AED7EC565ACB90EACA96799680436C6C417EA37EBB70446BBDEC9A70CF", "https://baanknet.com/view-property/287622/194CB3AED7EC565ACB90EACA96799680436C6C417EA37EBB70446BBDEC9A70CF")</f>
        <v>https://baanknet.com/view-property/287622/194CB3AED7EC565ACB90EACA96799680436C6C417EA37EBB70446BBDEC9A70CF</v>
      </c>
      <c r="I6546" t="str">
        <f>HYPERLINK("https://baanknet.com/view-property/287622/194CB3AED7EC565ACB90EACA96799680436C6C417EA37EBB70446BBDEC9A70CF", "Open")</f>
        <v>Open</v>
      </c>
      <c r="J6546" t="s">
        <v>3803</v>
      </c>
      <c r="L6546">
        <v>2641000</v>
      </c>
      <c r="M6546">
        <v>264100</v>
      </c>
    </row>
    <row r="6547" spans="1:13" x14ac:dyDescent="0.25">
      <c r="A6547" t="s">
        <v>21643</v>
      </c>
      <c r="B6547" t="s">
        <v>21644</v>
      </c>
      <c r="C6547" t="s">
        <v>144</v>
      </c>
      <c r="D6547" t="s">
        <v>1246</v>
      </c>
      <c r="E6547" t="s">
        <v>21637</v>
      </c>
      <c r="F6547" t="s">
        <v>21638</v>
      </c>
      <c r="G6547" t="s">
        <v>21645</v>
      </c>
      <c r="H6547" t="str">
        <f>HYPERLINK("https://baanknet.com/view-property/287632/82389A568FFC559D1DBAD7DB0F4D964EF52A3620FFC01CD470DAFCAFBCCDD776", "https://baanknet.com/view-property/287632/82389A568FFC559D1DBAD7DB0F4D964EF52A3620FFC01CD470DAFCAFBCCDD776")</f>
        <v>https://baanknet.com/view-property/287632/82389A568FFC559D1DBAD7DB0F4D964EF52A3620FFC01CD470DAFCAFBCCDD776</v>
      </c>
      <c r="I6547" t="str">
        <f>HYPERLINK("https://baanknet.com/view-property/287632/82389A568FFC559D1DBAD7DB0F4D964EF52A3620FFC01CD470DAFCAFBCCDD776", "Open")</f>
        <v>Open</v>
      </c>
      <c r="J6547" t="s">
        <v>3803</v>
      </c>
      <c r="L6547">
        <v>2603000</v>
      </c>
      <c r="M6547">
        <v>260300</v>
      </c>
    </row>
    <row r="6548" spans="1:13" x14ac:dyDescent="0.25">
      <c r="A6548" t="s">
        <v>21646</v>
      </c>
      <c r="B6548" t="s">
        <v>21647</v>
      </c>
      <c r="C6548" t="s">
        <v>15</v>
      </c>
      <c r="D6548" t="s">
        <v>21648</v>
      </c>
      <c r="E6548" t="s">
        <v>21649</v>
      </c>
      <c r="F6548" t="s">
        <v>21650</v>
      </c>
      <c r="G6548" t="s">
        <v>21651</v>
      </c>
      <c r="H6548" t="str">
        <f>HYPERLINK("https://baanknet.com/view-property/286875/845891AD42AB96E410B66E7AF625A266B027A4419257C1E5646704F383552E02", "https://baanknet.com/view-property/286875/845891AD42AB96E410B66E7AF625A266B027A4419257C1E5646704F383552E02")</f>
        <v>https://baanknet.com/view-property/286875/845891AD42AB96E410B66E7AF625A266B027A4419257C1E5646704F383552E02</v>
      </c>
      <c r="I6548" t="str">
        <f>HYPERLINK("https://baanknet.com/view-property/286875/845891AD42AB96E410B66E7AF625A266B027A4419257C1E5646704F383552E02", "Open")</f>
        <v>Open</v>
      </c>
      <c r="J6548" t="s">
        <v>3803</v>
      </c>
      <c r="L6548">
        <v>4222000</v>
      </c>
      <c r="M6548">
        <v>422200</v>
      </c>
    </row>
    <row r="6549" spans="1:13" x14ac:dyDescent="0.25">
      <c r="A6549" t="s">
        <v>21652</v>
      </c>
      <c r="B6549" t="s">
        <v>21653</v>
      </c>
      <c r="C6549" t="s">
        <v>144</v>
      </c>
      <c r="D6549" t="s">
        <v>4615</v>
      </c>
      <c r="E6549" t="s">
        <v>21649</v>
      </c>
      <c r="F6549" t="s">
        <v>21654</v>
      </c>
      <c r="G6549" t="s">
        <v>21655</v>
      </c>
      <c r="H6549" t="str">
        <f>HYPERLINK("https://baanknet.com/view-property/287624/C45D18991EEAC60BBDACE5DBAA0A5CBE2D8C8A44E849B7027646A9BB34323EF0", "https://baanknet.com/view-property/287624/C45D18991EEAC60BBDACE5DBAA0A5CBE2D8C8A44E849B7027646A9BB34323EF0")</f>
        <v>https://baanknet.com/view-property/287624/C45D18991EEAC60BBDACE5DBAA0A5CBE2D8C8A44E849B7027646A9BB34323EF0</v>
      </c>
      <c r="I6549" t="str">
        <f>HYPERLINK("https://baanknet.com/view-property/287624/C45D18991EEAC60BBDACE5DBAA0A5CBE2D8C8A44E849B7027646A9BB34323EF0", "Open")</f>
        <v>Open</v>
      </c>
      <c r="J6549" t="s">
        <v>3803</v>
      </c>
      <c r="L6549">
        <v>1928000</v>
      </c>
      <c r="M6549">
        <v>192800</v>
      </c>
    </row>
    <row r="6550" spans="1:13" x14ac:dyDescent="0.25">
      <c r="A6550" t="s">
        <v>21656</v>
      </c>
      <c r="B6550" t="s">
        <v>21657</v>
      </c>
      <c r="C6550" t="s">
        <v>15</v>
      </c>
      <c r="D6550" t="s">
        <v>2920</v>
      </c>
      <c r="E6550" t="s">
        <v>21658</v>
      </c>
      <c r="F6550" t="s">
        <v>21659</v>
      </c>
      <c r="G6550" t="s">
        <v>21660</v>
      </c>
      <c r="H6550" t="str">
        <f>HYPERLINK("https://baanknet.com/view-property/199167/7BD7E05F64D4FFD92B425FFF13AF0FE864A452ABACD1E8E15326DE6A394E0349", "https://baanknet.com/view-property/199167/7BD7E05F64D4FFD92B425FFF13AF0FE864A452ABACD1E8E15326DE6A394E0349")</f>
        <v>https://baanknet.com/view-property/199167/7BD7E05F64D4FFD92B425FFF13AF0FE864A452ABACD1E8E15326DE6A394E0349</v>
      </c>
      <c r="I6550" t="str">
        <f>HYPERLINK("https://baanknet.com/view-property/199167/7BD7E05F64D4FFD92B425FFF13AF0FE864A452ABACD1E8E15326DE6A394E0349", "Open")</f>
        <v>Open</v>
      </c>
      <c r="J6550" t="s">
        <v>3803</v>
      </c>
      <c r="L6550">
        <v>392000</v>
      </c>
      <c r="M6550">
        <v>39200</v>
      </c>
    </row>
    <row r="6551" spans="1:13" x14ac:dyDescent="0.25">
      <c r="A6551" t="s">
        <v>21661</v>
      </c>
      <c r="B6551" t="s">
        <v>21662</v>
      </c>
      <c r="C6551" t="s">
        <v>15</v>
      </c>
      <c r="D6551" t="s">
        <v>157</v>
      </c>
      <c r="E6551" t="s">
        <v>21658</v>
      </c>
      <c r="F6551" t="s">
        <v>21659</v>
      </c>
      <c r="G6551" t="s">
        <v>21663</v>
      </c>
      <c r="H6551" t="str">
        <f>HYPERLINK("https://baanknet.com/view-property/206024/9C9D6D1D80312CB5830B3C669953BB614D48D8B163ECD08D1EF968F2A422B815", "https://baanknet.com/view-property/206024/9C9D6D1D80312CB5830B3C669953BB614D48D8B163ECD08D1EF968F2A422B815")</f>
        <v>https://baanknet.com/view-property/206024/9C9D6D1D80312CB5830B3C669953BB614D48D8B163ECD08D1EF968F2A422B815</v>
      </c>
      <c r="I6551" t="str">
        <f>HYPERLINK("https://baanknet.com/view-property/206024/9C9D6D1D80312CB5830B3C669953BB614D48D8B163ECD08D1EF968F2A422B815", "Open")</f>
        <v>Open</v>
      </c>
      <c r="J6551" t="s">
        <v>3803</v>
      </c>
      <c r="L6551">
        <v>2209000</v>
      </c>
      <c r="M6551">
        <v>220900</v>
      </c>
    </row>
    <row r="6552" spans="1:13" x14ac:dyDescent="0.25">
      <c r="A6552" t="s">
        <v>21664</v>
      </c>
      <c r="B6552" t="s">
        <v>21665</v>
      </c>
      <c r="C6552" t="s">
        <v>15</v>
      </c>
      <c r="D6552" t="s">
        <v>2883</v>
      </c>
      <c r="E6552" t="s">
        <v>21658</v>
      </c>
      <c r="F6552" t="s">
        <v>21659</v>
      </c>
      <c r="G6552" t="s">
        <v>21666</v>
      </c>
      <c r="H6552" t="str">
        <f>HYPERLINK("https://baanknet.com/view-property/246993/00A56E65B2B228816107A3D662767803052B523E809F407B2AA22A15F37A225D", "https://baanknet.com/view-property/246993/00A56E65B2B228816107A3D662767803052B523E809F407B2AA22A15F37A225D")</f>
        <v>https://baanknet.com/view-property/246993/00A56E65B2B228816107A3D662767803052B523E809F407B2AA22A15F37A225D</v>
      </c>
      <c r="I6552" t="str">
        <f>HYPERLINK("https://baanknet.com/view-property/246993/00A56E65B2B228816107A3D662767803052B523E809F407B2AA22A15F37A225D", "Open")</f>
        <v>Open</v>
      </c>
      <c r="J6552" t="s">
        <v>3803</v>
      </c>
      <c r="L6552">
        <v>3904000</v>
      </c>
      <c r="M6552">
        <v>390400</v>
      </c>
    </row>
    <row r="6553" spans="1:13" x14ac:dyDescent="0.25">
      <c r="A6553" t="s">
        <v>21667</v>
      </c>
      <c r="B6553" t="s">
        <v>21668</v>
      </c>
      <c r="C6553" t="s">
        <v>387</v>
      </c>
      <c r="D6553" t="s">
        <v>2224</v>
      </c>
      <c r="E6553" t="s">
        <v>21650</v>
      </c>
      <c r="F6553" t="s">
        <v>21669</v>
      </c>
      <c r="G6553" t="s">
        <v>21670</v>
      </c>
      <c r="H6553" t="str">
        <f>HYPERLINK("https://baanknet.com/view-property/287824/2B6B96FA2AD204BB6A5D864D02720ABD7356A4E0B4E0FF1D157BE8F1D51D1170", "https://baanknet.com/view-property/287824/2B6B96FA2AD204BB6A5D864D02720ABD7356A4E0B4E0FF1D157BE8F1D51D1170")</f>
        <v>https://baanknet.com/view-property/287824/2B6B96FA2AD204BB6A5D864D02720ABD7356A4E0B4E0FF1D157BE8F1D51D1170</v>
      </c>
      <c r="I6553" t="str">
        <f>HYPERLINK("https://baanknet.com/view-property/287824/2B6B96FA2AD204BB6A5D864D02720ABD7356A4E0B4E0FF1D157BE8F1D51D1170", "Open")</f>
        <v>Open</v>
      </c>
      <c r="J6553" t="s">
        <v>3803</v>
      </c>
      <c r="L6553">
        <v>2145250</v>
      </c>
      <c r="M6553">
        <v>214525</v>
      </c>
    </row>
    <row r="6554" spans="1:13" x14ac:dyDescent="0.25">
      <c r="A6554" t="s">
        <v>21671</v>
      </c>
      <c r="B6554" t="s">
        <v>21672</v>
      </c>
      <c r="C6554" t="s">
        <v>387</v>
      </c>
      <c r="D6554" t="s">
        <v>21648</v>
      </c>
      <c r="E6554" t="s">
        <v>21650</v>
      </c>
      <c r="F6554" t="s">
        <v>21669</v>
      </c>
      <c r="G6554" t="s">
        <v>21673</v>
      </c>
      <c r="H6554" t="str">
        <f>HYPERLINK("https://baanknet.com/view-property/287840/89D88589250CFF69982B3BAA163D827D18D642A8F9C3728C014F41543188AD41", "https://baanknet.com/view-property/287840/89D88589250CFF69982B3BAA163D827D18D642A8F9C3728C014F41543188AD41")</f>
        <v>https://baanknet.com/view-property/287840/89D88589250CFF69982B3BAA163D827D18D642A8F9C3728C014F41543188AD41</v>
      </c>
      <c r="I6554" t="str">
        <f>HYPERLINK("https://baanknet.com/view-property/287840/89D88589250CFF69982B3BAA163D827D18D642A8F9C3728C014F41543188AD41", "Open")</f>
        <v>Open</v>
      </c>
      <c r="J6554" t="s">
        <v>3803</v>
      </c>
      <c r="L6554">
        <v>2566500</v>
      </c>
      <c r="M6554">
        <v>256650</v>
      </c>
    </row>
    <row r="6555" spans="1:13" x14ac:dyDescent="0.25">
      <c r="A6555" t="s">
        <v>21674</v>
      </c>
      <c r="B6555" t="s">
        <v>21675</v>
      </c>
      <c r="C6555" t="s">
        <v>387</v>
      </c>
      <c r="D6555" t="s">
        <v>18184</v>
      </c>
      <c r="E6555" t="s">
        <v>21650</v>
      </c>
      <c r="F6555" t="s">
        <v>21669</v>
      </c>
      <c r="G6555" t="s">
        <v>21676</v>
      </c>
      <c r="H6555" t="str">
        <f>HYPERLINK("https://baanknet.com/view-property/287950/EFB2B77B212888281E156321EB7F27F8D22AE3C61F339C32403397AC9925D7BE", "https://baanknet.com/view-property/287950/EFB2B77B212888281E156321EB7F27F8D22AE3C61F339C32403397AC9925D7BE")</f>
        <v>https://baanknet.com/view-property/287950/EFB2B77B212888281E156321EB7F27F8D22AE3C61F339C32403397AC9925D7BE</v>
      </c>
      <c r="I6555" t="str">
        <f>HYPERLINK("https://baanknet.com/view-property/287950/EFB2B77B212888281E156321EB7F27F8D22AE3C61F339C32403397AC9925D7BE", "Open")</f>
        <v>Open</v>
      </c>
      <c r="J6555" t="s">
        <v>3803</v>
      </c>
      <c r="L6555">
        <v>630500</v>
      </c>
      <c r="M6555">
        <v>63050</v>
      </c>
    </row>
    <row r="6556" spans="1:13" x14ac:dyDescent="0.25">
      <c r="A6556" t="s">
        <v>21677</v>
      </c>
      <c r="B6556" t="s">
        <v>21678</v>
      </c>
      <c r="C6556" t="s">
        <v>387</v>
      </c>
      <c r="D6556" t="s">
        <v>21679</v>
      </c>
      <c r="E6556" t="s">
        <v>21650</v>
      </c>
      <c r="F6556" t="s">
        <v>21669</v>
      </c>
      <c r="G6556" t="s">
        <v>21680</v>
      </c>
      <c r="H6556" t="str">
        <f>HYPERLINK("https://baanknet.com/view-property/287992/B51A26DD59733D3AE08665CC2055952C85202F1A189097C064ABE795249E25D8", "https://baanknet.com/view-property/287992/B51A26DD59733D3AE08665CC2055952C85202F1A189097C064ABE795249E25D8")</f>
        <v>https://baanknet.com/view-property/287992/B51A26DD59733D3AE08665CC2055952C85202F1A189097C064ABE795249E25D8</v>
      </c>
      <c r="I6556" t="str">
        <f>HYPERLINK("https://baanknet.com/view-property/287992/B51A26DD59733D3AE08665CC2055952C85202F1A189097C064ABE795249E25D8", "Open")</f>
        <v>Open</v>
      </c>
      <c r="J6556" t="s">
        <v>3803</v>
      </c>
      <c r="L6556">
        <v>1180000</v>
      </c>
      <c r="M6556">
        <v>118000</v>
      </c>
    </row>
    <row r="6557" spans="1:13" x14ac:dyDescent="0.25">
      <c r="A6557" t="s">
        <v>21681</v>
      </c>
      <c r="B6557" t="s">
        <v>21682</v>
      </c>
      <c r="C6557" t="s">
        <v>387</v>
      </c>
      <c r="D6557" t="s">
        <v>1186</v>
      </c>
      <c r="E6557" t="s">
        <v>21650</v>
      </c>
      <c r="F6557" t="s">
        <v>21669</v>
      </c>
      <c r="G6557" t="s">
        <v>21683</v>
      </c>
      <c r="H6557" t="str">
        <f>HYPERLINK("https://baanknet.com/view-property/287990/8CB7317E46D26E7E9E9D800FAE31019EAE629F884ADFB78A4E0D3BEFE2A107BA", "https://baanknet.com/view-property/287990/8CB7317E46D26E7E9E9D800FAE31019EAE629F884ADFB78A4E0D3BEFE2A107BA")</f>
        <v>https://baanknet.com/view-property/287990/8CB7317E46D26E7E9E9D800FAE31019EAE629F884ADFB78A4E0D3BEFE2A107BA</v>
      </c>
      <c r="I6557" t="str">
        <f>HYPERLINK("https://baanknet.com/view-property/287990/8CB7317E46D26E7E9E9D800FAE31019EAE629F884ADFB78A4E0D3BEFE2A107BA", "Open")</f>
        <v>Open</v>
      </c>
      <c r="J6557" t="s">
        <v>3803</v>
      </c>
      <c r="L6557">
        <v>3255000</v>
      </c>
      <c r="M6557">
        <v>325500</v>
      </c>
    </row>
    <row r="6558" spans="1:13" x14ac:dyDescent="0.25">
      <c r="A6558" t="s">
        <v>21684</v>
      </c>
      <c r="B6558" t="s">
        <v>21685</v>
      </c>
      <c r="C6558" t="s">
        <v>15</v>
      </c>
      <c r="D6558" t="s">
        <v>5239</v>
      </c>
      <c r="E6558" t="s">
        <v>21638</v>
      </c>
      <c r="F6558" t="s">
        <v>21686</v>
      </c>
      <c r="G6558" t="s">
        <v>21687</v>
      </c>
      <c r="H6558" t="str">
        <f>HYPERLINK("https://baanknet.com/view-property/287203/79490D801BCE6F376FA04D048B32311C5BFEAAD3F5874620A9DE4881EEB05AB4", "https://baanknet.com/view-property/287203/79490D801BCE6F376FA04D048B32311C5BFEAAD3F5874620A9DE4881EEB05AB4")</f>
        <v>https://baanknet.com/view-property/287203/79490D801BCE6F376FA04D048B32311C5BFEAAD3F5874620A9DE4881EEB05AB4</v>
      </c>
      <c r="I6558" t="str">
        <f>HYPERLINK("https://baanknet.com/view-property/287203/79490D801BCE6F376FA04D048B32311C5BFEAAD3F5874620A9DE4881EEB05AB4", "Open")</f>
        <v>Open</v>
      </c>
      <c r="J6558" t="s">
        <v>3803</v>
      </c>
      <c r="L6558">
        <v>2408000</v>
      </c>
      <c r="M6558">
        <v>240800</v>
      </c>
    </row>
    <row r="6559" spans="1:13" x14ac:dyDescent="0.25">
      <c r="A6559" t="s">
        <v>21688</v>
      </c>
      <c r="B6559" t="s">
        <v>21689</v>
      </c>
      <c r="C6559" t="s">
        <v>15</v>
      </c>
      <c r="D6559" t="s">
        <v>4095</v>
      </c>
      <c r="E6559" t="s">
        <v>21638</v>
      </c>
      <c r="F6559" t="s">
        <v>21686</v>
      </c>
      <c r="G6559" t="s">
        <v>21690</v>
      </c>
      <c r="H6559" t="str">
        <f>HYPERLINK("https://baanknet.com/view-property/287209/CE9C71E8369D29311F7C0D3323DF2D0BD4CCBCCEBF5CD42FBE9F25BD14F7898E", "https://baanknet.com/view-property/287209/CE9C71E8369D29311F7C0D3323DF2D0BD4CCBCCEBF5CD42FBE9F25BD14F7898E")</f>
        <v>https://baanknet.com/view-property/287209/CE9C71E8369D29311F7C0D3323DF2D0BD4CCBCCEBF5CD42FBE9F25BD14F7898E</v>
      </c>
      <c r="I6559" t="str">
        <f>HYPERLINK("https://baanknet.com/view-property/287209/CE9C71E8369D29311F7C0D3323DF2D0BD4CCBCCEBF5CD42FBE9F25BD14F7898E", "Open")</f>
        <v>Open</v>
      </c>
      <c r="J6559" t="s">
        <v>3803</v>
      </c>
      <c r="L6559">
        <v>2694000</v>
      </c>
      <c r="M6559">
        <v>269400</v>
      </c>
    </row>
    <row r="6560" spans="1:13" x14ac:dyDescent="0.25">
      <c r="A6560" t="s">
        <v>21691</v>
      </c>
      <c r="B6560" t="s">
        <v>21692</v>
      </c>
      <c r="C6560" t="s">
        <v>387</v>
      </c>
      <c r="D6560" t="s">
        <v>383</v>
      </c>
      <c r="E6560" t="s">
        <v>21638</v>
      </c>
      <c r="F6560" t="s">
        <v>21693</v>
      </c>
      <c r="G6560" t="s">
        <v>21694</v>
      </c>
      <c r="H6560" t="str">
        <f>HYPERLINK("https://baanknet.com/view-property/287325/BAFC7603F24C6EC9501E6BD2F08B82324376456488AA4EAFDDC6022FCF141266", "https://baanknet.com/view-property/287325/BAFC7603F24C6EC9501E6BD2F08B82324376456488AA4EAFDDC6022FCF141266")</f>
        <v>https://baanknet.com/view-property/287325/BAFC7603F24C6EC9501E6BD2F08B82324376456488AA4EAFDDC6022FCF141266</v>
      </c>
      <c r="I6560" t="str">
        <f>HYPERLINK("https://baanknet.com/view-property/287325/BAFC7603F24C6EC9501E6BD2F08B82324376456488AA4EAFDDC6022FCF141266", "Open")</f>
        <v>Open</v>
      </c>
      <c r="J6560" t="s">
        <v>3803</v>
      </c>
      <c r="L6560">
        <v>1480000</v>
      </c>
      <c r="M6560">
        <v>148000</v>
      </c>
    </row>
    <row r="6561" spans="1:13" x14ac:dyDescent="0.25">
      <c r="A6561" t="s">
        <v>21695</v>
      </c>
      <c r="B6561" t="s">
        <v>21696</v>
      </c>
      <c r="C6561" t="s">
        <v>83</v>
      </c>
      <c r="D6561" t="s">
        <v>21697</v>
      </c>
      <c r="E6561" t="s">
        <v>21698</v>
      </c>
      <c r="F6561" t="s">
        <v>21699</v>
      </c>
      <c r="G6561" t="s">
        <v>21700</v>
      </c>
      <c r="H6561" t="str">
        <f>HYPERLINK("https://baanknet.com/view-property/265718/AA9C9C36BE5C39DD7A492ED54DBF65706A3E330E45A0031C41AAC55AAA460711", "https://baanknet.com/view-property/265718/AA9C9C36BE5C39DD7A492ED54DBF65706A3E330E45A0031C41AAC55AAA460711")</f>
        <v>https://baanknet.com/view-property/265718/AA9C9C36BE5C39DD7A492ED54DBF65706A3E330E45A0031C41AAC55AAA460711</v>
      </c>
      <c r="I6561" t="str">
        <f>HYPERLINK("https://baanknet.com/view-property/265718/AA9C9C36BE5C39DD7A492ED54DBF65706A3E330E45A0031C41AAC55AAA460711", "Open")</f>
        <v>Open</v>
      </c>
      <c r="J6561" t="s">
        <v>3803</v>
      </c>
      <c r="L6561">
        <v>9345000</v>
      </c>
      <c r="M6561">
        <v>934500</v>
      </c>
    </row>
    <row r="6562" spans="1:13" x14ac:dyDescent="0.25">
      <c r="A6562" t="s">
        <v>21701</v>
      </c>
      <c r="B6562" t="s">
        <v>21702</v>
      </c>
      <c r="C6562" t="s">
        <v>83</v>
      </c>
      <c r="D6562" t="s">
        <v>608</v>
      </c>
      <c r="E6562" t="s">
        <v>21698</v>
      </c>
      <c r="F6562" t="s">
        <v>21699</v>
      </c>
      <c r="G6562" t="s">
        <v>21703</v>
      </c>
      <c r="H6562" t="str">
        <f>HYPERLINK("https://baanknet.com/view-property/288037/3BE762E4AADDC11E6FEA3CB93C37086FCDEAF6D26CFF3480A35BB142F96B4587", "https://baanknet.com/view-property/288037/3BE762E4AADDC11E6FEA3CB93C37086FCDEAF6D26CFF3480A35BB142F96B4587")</f>
        <v>https://baanknet.com/view-property/288037/3BE762E4AADDC11E6FEA3CB93C37086FCDEAF6D26CFF3480A35BB142F96B4587</v>
      </c>
      <c r="I6562" t="str">
        <f>HYPERLINK("https://baanknet.com/view-property/288037/3BE762E4AADDC11E6FEA3CB93C37086FCDEAF6D26CFF3480A35BB142F96B4587", "Open")</f>
        <v>Open</v>
      </c>
      <c r="J6562" t="s">
        <v>3803</v>
      </c>
      <c r="L6562">
        <v>2633000</v>
      </c>
      <c r="M6562">
        <v>263300</v>
      </c>
    </row>
    <row r="6563" spans="1:13" x14ac:dyDescent="0.25">
      <c r="A6563" t="s">
        <v>21704</v>
      </c>
      <c r="B6563" t="s">
        <v>21705</v>
      </c>
      <c r="C6563" t="s">
        <v>15</v>
      </c>
      <c r="D6563" t="s">
        <v>2891</v>
      </c>
      <c r="E6563" t="s">
        <v>21706</v>
      </c>
      <c r="F6563" t="s">
        <v>21707</v>
      </c>
      <c r="G6563" t="s">
        <v>21708</v>
      </c>
      <c r="H6563" t="str">
        <f>HYPERLINK("https://baanknet.com/view-property/287333/3D8C2DA758E6644168CFB7906279FBC7DF4278146CB189891D264336AF3EFE1E", "https://baanknet.com/view-property/287333/3D8C2DA758E6644168CFB7906279FBC7DF4278146CB189891D264336AF3EFE1E")</f>
        <v>https://baanknet.com/view-property/287333/3D8C2DA758E6644168CFB7906279FBC7DF4278146CB189891D264336AF3EFE1E</v>
      </c>
      <c r="I6563" t="str">
        <f>HYPERLINK("https://baanknet.com/view-property/287333/3D8C2DA758E6644168CFB7906279FBC7DF4278146CB189891D264336AF3EFE1E", "Open")</f>
        <v>Open</v>
      </c>
      <c r="J6563" t="s">
        <v>3803</v>
      </c>
      <c r="L6563">
        <v>5202000</v>
      </c>
      <c r="M6563">
        <v>520200</v>
      </c>
    </row>
    <row r="6564" spans="1:13" x14ac:dyDescent="0.25">
      <c r="A6564" t="s">
        <v>21709</v>
      </c>
      <c r="B6564" t="s">
        <v>21710</v>
      </c>
      <c r="C6564" t="s">
        <v>571</v>
      </c>
      <c r="D6564" t="s">
        <v>1602</v>
      </c>
      <c r="E6564" t="s">
        <v>21706</v>
      </c>
      <c r="F6564" t="s">
        <v>21029</v>
      </c>
      <c r="G6564" t="s">
        <v>21711</v>
      </c>
      <c r="H6564" t="str">
        <f>HYPERLINK("https://baanknet.com/view-property/287819/A77C7C72F96F589DA46DD538C8D15C32A635DE8460D77FCC30BFFE60917374D7", "https://baanknet.com/view-property/287819/A77C7C72F96F589DA46DD538C8D15C32A635DE8460D77FCC30BFFE60917374D7")</f>
        <v>https://baanknet.com/view-property/287819/A77C7C72F96F589DA46DD538C8D15C32A635DE8460D77FCC30BFFE60917374D7</v>
      </c>
      <c r="I6564" t="str">
        <f>HYPERLINK("https://baanknet.com/view-property/287819/A77C7C72F96F589DA46DD538C8D15C32A635DE8460D77FCC30BFFE60917374D7", "Open")</f>
        <v>Open</v>
      </c>
      <c r="J6564" t="s">
        <v>3803</v>
      </c>
      <c r="L6564">
        <v>1265000</v>
      </c>
      <c r="M6564">
        <v>126500</v>
      </c>
    </row>
    <row r="6565" spans="1:13" x14ac:dyDescent="0.25">
      <c r="A6565" t="s">
        <v>21712</v>
      </c>
      <c r="B6565" t="s">
        <v>21713</v>
      </c>
      <c r="C6565" t="s">
        <v>144</v>
      </c>
      <c r="D6565" t="s">
        <v>19936</v>
      </c>
      <c r="E6565" t="s">
        <v>21714</v>
      </c>
      <c r="F6565" t="s">
        <v>21715</v>
      </c>
      <c r="G6565" t="s">
        <v>21716</v>
      </c>
      <c r="H6565" t="str">
        <f>HYPERLINK("https://baanknet.com/view-property/287344/0227A5B7C02308CA04CD48E25211AA8486761AD2BF101BD566A1B8792E2AC3C0", "https://baanknet.com/view-property/287344/0227A5B7C02308CA04CD48E25211AA8486761AD2BF101BD566A1B8792E2AC3C0")</f>
        <v>https://baanknet.com/view-property/287344/0227A5B7C02308CA04CD48E25211AA8486761AD2BF101BD566A1B8792E2AC3C0</v>
      </c>
      <c r="I6565" t="str">
        <f>HYPERLINK("https://baanknet.com/view-property/287344/0227A5B7C02308CA04CD48E25211AA8486761AD2BF101BD566A1B8792E2AC3C0", "Open")</f>
        <v>Open</v>
      </c>
      <c r="J6565" t="s">
        <v>3803</v>
      </c>
      <c r="L6565">
        <v>1805000</v>
      </c>
      <c r="M6565">
        <v>180500</v>
      </c>
    </row>
    <row r="6566" spans="1:13" x14ac:dyDescent="0.25">
      <c r="A6566" t="s">
        <v>21717</v>
      </c>
      <c r="B6566" t="s">
        <v>21718</v>
      </c>
      <c r="C6566" t="s">
        <v>144</v>
      </c>
      <c r="D6566" t="s">
        <v>21719</v>
      </c>
      <c r="E6566" t="s">
        <v>21714</v>
      </c>
      <c r="F6566" t="s">
        <v>21715</v>
      </c>
      <c r="G6566" t="s">
        <v>21720</v>
      </c>
      <c r="H6566" t="str">
        <f>HYPERLINK("https://baanknet.com/view-property/287646/A484F3C52F07D8B2A2E2EC72BEA216747157FCDABB5B1296F7C25D7C4344F2CD", "https://baanknet.com/view-property/287646/A484F3C52F07D8B2A2E2EC72BEA216747157FCDABB5B1296F7C25D7C4344F2CD")</f>
        <v>https://baanknet.com/view-property/287646/A484F3C52F07D8B2A2E2EC72BEA216747157FCDABB5B1296F7C25D7C4344F2CD</v>
      </c>
      <c r="I6566" t="str">
        <f>HYPERLINK("https://baanknet.com/view-property/287646/A484F3C52F07D8B2A2E2EC72BEA216747157FCDABB5B1296F7C25D7C4344F2CD", "Open")</f>
        <v>Open</v>
      </c>
      <c r="J6566" t="s">
        <v>3803</v>
      </c>
      <c r="L6566">
        <v>9025000</v>
      </c>
      <c r="M6566">
        <v>902500</v>
      </c>
    </row>
    <row r="6567" spans="1:13" x14ac:dyDescent="0.25">
      <c r="A6567" t="s">
        <v>21721</v>
      </c>
      <c r="B6567" t="s">
        <v>21722</v>
      </c>
      <c r="C6567" t="s">
        <v>144</v>
      </c>
      <c r="D6567" t="s">
        <v>21723</v>
      </c>
      <c r="E6567" t="s">
        <v>21714</v>
      </c>
      <c r="F6567" t="s">
        <v>21715</v>
      </c>
      <c r="G6567" t="s">
        <v>21724</v>
      </c>
      <c r="H6567" t="str">
        <f>HYPERLINK("https://baanknet.com/view-property/287648/AAB575D97D2E2461F765AA3F19B1D1FF693E93AAD43EF3246A622ED78B744D92", "https://baanknet.com/view-property/287648/AAB575D97D2E2461F765AA3F19B1D1FF693E93AAD43EF3246A622ED78B744D92")</f>
        <v>https://baanknet.com/view-property/287648/AAB575D97D2E2461F765AA3F19B1D1FF693E93AAD43EF3246A622ED78B744D92</v>
      </c>
      <c r="I6567" t="str">
        <f>HYPERLINK("https://baanknet.com/view-property/287648/AAB575D97D2E2461F765AA3F19B1D1FF693E93AAD43EF3246A622ED78B744D92", "Open")</f>
        <v>Open</v>
      </c>
      <c r="J6567" t="s">
        <v>3803</v>
      </c>
      <c r="L6567">
        <v>6080000</v>
      </c>
      <c r="M6567">
        <v>608000</v>
      </c>
    </row>
    <row r="6568" spans="1:13" x14ac:dyDescent="0.25">
      <c r="A6568" t="s">
        <v>21725</v>
      </c>
      <c r="B6568" t="s">
        <v>21726</v>
      </c>
      <c r="C6568" t="s">
        <v>15</v>
      </c>
      <c r="D6568" t="s">
        <v>4057</v>
      </c>
      <c r="E6568" t="s">
        <v>21727</v>
      </c>
      <c r="F6568" t="s">
        <v>21728</v>
      </c>
      <c r="G6568" t="s">
        <v>21729</v>
      </c>
      <c r="H6568" t="str">
        <f>HYPERLINK("https://baanknet.com/view-property/265875/6B25FA1B20367E9D3F27AEE52A3F721EA4ECEA6113674FF22C0907DC0E375BE6", "https://baanknet.com/view-property/265875/6B25FA1B20367E9D3F27AEE52A3F721EA4ECEA6113674FF22C0907DC0E375BE6")</f>
        <v>https://baanknet.com/view-property/265875/6B25FA1B20367E9D3F27AEE52A3F721EA4ECEA6113674FF22C0907DC0E375BE6</v>
      </c>
      <c r="I6568" t="str">
        <f>HYPERLINK("https://baanknet.com/view-property/265875/6B25FA1B20367E9D3F27AEE52A3F721EA4ECEA6113674FF22C0907DC0E375BE6", "Open")</f>
        <v>Open</v>
      </c>
      <c r="J6568" t="s">
        <v>3803</v>
      </c>
      <c r="L6568">
        <v>13360000</v>
      </c>
      <c r="M6568">
        <v>1336000</v>
      </c>
    </row>
    <row r="6569" spans="1:13" x14ac:dyDescent="0.25">
      <c r="A6569" t="s">
        <v>21730</v>
      </c>
      <c r="B6569" t="s">
        <v>21731</v>
      </c>
      <c r="C6569" t="s">
        <v>15</v>
      </c>
      <c r="D6569" t="s">
        <v>1003</v>
      </c>
      <c r="E6569" t="s">
        <v>21727</v>
      </c>
      <c r="F6569" t="s">
        <v>21728</v>
      </c>
      <c r="G6569" t="s">
        <v>21732</v>
      </c>
      <c r="H6569" t="str">
        <f>HYPERLINK("https://baanknet.com/view-property/271899/CFAD54E71CCCCDE437F0994FF74CE609ACC920D91FCE7F9B9F61165285B57261", "https://baanknet.com/view-property/271899/CFAD54E71CCCCDE437F0994FF74CE609ACC920D91FCE7F9B9F61165285B57261")</f>
        <v>https://baanknet.com/view-property/271899/CFAD54E71CCCCDE437F0994FF74CE609ACC920D91FCE7F9B9F61165285B57261</v>
      </c>
      <c r="I6569" t="str">
        <f>HYPERLINK("https://baanknet.com/view-property/271899/CFAD54E71CCCCDE437F0994FF74CE609ACC920D91FCE7F9B9F61165285B57261", "Open")</f>
        <v>Open</v>
      </c>
      <c r="J6569" t="s">
        <v>3803</v>
      </c>
      <c r="L6569">
        <v>2090000</v>
      </c>
      <c r="M6569">
        <v>209000</v>
      </c>
    </row>
    <row r="6570" spans="1:13" x14ac:dyDescent="0.25">
      <c r="A6570" t="s">
        <v>21733</v>
      </c>
      <c r="B6570" t="s">
        <v>21734</v>
      </c>
      <c r="C6570" t="s">
        <v>15</v>
      </c>
      <c r="D6570" t="s">
        <v>1003</v>
      </c>
      <c r="E6570" t="s">
        <v>21727</v>
      </c>
      <c r="F6570" t="s">
        <v>21728</v>
      </c>
      <c r="G6570" t="s">
        <v>21735</v>
      </c>
      <c r="H6570" t="str">
        <f>HYPERLINK("https://baanknet.com/view-property/244459/3A80D49F23F18D92DBFE796142286A306555DAB35FC1C95D9C061AD55743242E", "https://baanknet.com/view-property/244459/3A80D49F23F18D92DBFE796142286A306555DAB35FC1C95D9C061AD55743242E")</f>
        <v>https://baanknet.com/view-property/244459/3A80D49F23F18D92DBFE796142286A306555DAB35FC1C95D9C061AD55743242E</v>
      </c>
      <c r="I6570" t="str">
        <f>HYPERLINK("https://baanknet.com/view-property/244459/3A80D49F23F18D92DBFE796142286A306555DAB35FC1C95D9C061AD55743242E", "Open")</f>
        <v>Open</v>
      </c>
      <c r="J6570" t="s">
        <v>3803</v>
      </c>
      <c r="L6570">
        <v>1995000</v>
      </c>
      <c r="M6570">
        <v>199500</v>
      </c>
    </row>
    <row r="6571" spans="1:13" x14ac:dyDescent="0.25">
      <c r="A6571" t="s">
        <v>21736</v>
      </c>
      <c r="B6571" t="s">
        <v>21737</v>
      </c>
      <c r="C6571" t="s">
        <v>15</v>
      </c>
      <c r="D6571" t="s">
        <v>1003</v>
      </c>
      <c r="E6571" t="s">
        <v>21727</v>
      </c>
      <c r="F6571" t="s">
        <v>21728</v>
      </c>
      <c r="G6571" t="s">
        <v>21738</v>
      </c>
      <c r="H6571" t="str">
        <f>HYPERLINK("https://baanknet.com/view-property/256195/C97DCC5BCBB33130FA5E95AB36166F5EF68F7E892C15077B0499296476506A4A", "https://baanknet.com/view-property/256195/C97DCC5BCBB33130FA5E95AB36166F5EF68F7E892C15077B0499296476506A4A")</f>
        <v>https://baanknet.com/view-property/256195/C97DCC5BCBB33130FA5E95AB36166F5EF68F7E892C15077B0499296476506A4A</v>
      </c>
      <c r="I6571" t="str">
        <f>HYPERLINK("https://baanknet.com/view-property/256195/C97DCC5BCBB33130FA5E95AB36166F5EF68F7E892C15077B0499296476506A4A", "Open")</f>
        <v>Open</v>
      </c>
      <c r="J6571" t="s">
        <v>3803</v>
      </c>
      <c r="L6571">
        <v>6300000</v>
      </c>
      <c r="M6571">
        <v>630000</v>
      </c>
    </row>
    <row r="6572" spans="1:13" x14ac:dyDescent="0.25">
      <c r="A6572" t="s">
        <v>21739</v>
      </c>
      <c r="B6572" t="s">
        <v>21740</v>
      </c>
      <c r="C6572" t="s">
        <v>15</v>
      </c>
      <c r="D6572" t="s">
        <v>9045</v>
      </c>
      <c r="E6572" t="s">
        <v>21727</v>
      </c>
      <c r="F6572" t="s">
        <v>21728</v>
      </c>
      <c r="G6572" t="s">
        <v>21741</v>
      </c>
      <c r="H6572" t="str">
        <f>HYPERLINK("https://baanknet.com/view-property/287404/6041F3C7B27237E1C60FB522C9BE652675E1832CB351E774D9F6458204E12402", "https://baanknet.com/view-property/287404/6041F3C7B27237E1C60FB522C9BE652675E1832CB351E774D9F6458204E12402")</f>
        <v>https://baanknet.com/view-property/287404/6041F3C7B27237E1C60FB522C9BE652675E1832CB351E774D9F6458204E12402</v>
      </c>
      <c r="I6572" t="str">
        <f>HYPERLINK("https://baanknet.com/view-property/287404/6041F3C7B27237E1C60FB522C9BE652675E1832CB351E774D9F6458204E12402", "Open")</f>
        <v>Open</v>
      </c>
      <c r="J6572" t="s">
        <v>3803</v>
      </c>
      <c r="L6572">
        <v>4337000</v>
      </c>
      <c r="M6572">
        <v>433700</v>
      </c>
    </row>
    <row r="6573" spans="1:13" x14ac:dyDescent="0.25">
      <c r="A6573" t="s">
        <v>21742</v>
      </c>
      <c r="B6573" t="s">
        <v>21743</v>
      </c>
      <c r="C6573" t="s">
        <v>15</v>
      </c>
      <c r="D6573" t="s">
        <v>1310</v>
      </c>
      <c r="E6573" t="s">
        <v>21727</v>
      </c>
      <c r="F6573" t="s">
        <v>21728</v>
      </c>
      <c r="G6573" t="s">
        <v>21744</v>
      </c>
      <c r="H6573" t="str">
        <f>HYPERLINK("https://baanknet.com/view-property/279211/34598C12E145933E1AA54DA4B0144EAB6526B2EB82806DEBCC59C3E6A4324864", "https://baanknet.com/view-property/279211/34598C12E145933E1AA54DA4B0144EAB6526B2EB82806DEBCC59C3E6A4324864")</f>
        <v>https://baanknet.com/view-property/279211/34598C12E145933E1AA54DA4B0144EAB6526B2EB82806DEBCC59C3E6A4324864</v>
      </c>
      <c r="I6573" t="str">
        <f>HYPERLINK("https://baanknet.com/view-property/279211/34598C12E145933E1AA54DA4B0144EAB6526B2EB82806DEBCC59C3E6A4324864", "Open")</f>
        <v>Open</v>
      </c>
      <c r="J6573" t="s">
        <v>3803</v>
      </c>
      <c r="L6573">
        <v>8556600</v>
      </c>
      <c r="M6573">
        <v>855660</v>
      </c>
    </row>
    <row r="6574" spans="1:13" x14ac:dyDescent="0.25">
      <c r="A6574" t="s">
        <v>21745</v>
      </c>
      <c r="B6574" t="s">
        <v>21746</v>
      </c>
      <c r="C6574" t="s">
        <v>15</v>
      </c>
      <c r="D6574" t="s">
        <v>706</v>
      </c>
      <c r="E6574" t="s">
        <v>21727</v>
      </c>
      <c r="F6574" t="s">
        <v>21728</v>
      </c>
      <c r="G6574" t="s">
        <v>21747</v>
      </c>
      <c r="H6574" t="str">
        <f>HYPERLINK("https://baanknet.com/view-property/287873/DCCD408439D3D266259D5FECDBC0B17A81898B33579FEC7739B71690C4CAFD61", "https://baanknet.com/view-property/287873/DCCD408439D3D266259D5FECDBC0B17A81898B33579FEC7739B71690C4CAFD61")</f>
        <v>https://baanknet.com/view-property/287873/DCCD408439D3D266259D5FECDBC0B17A81898B33579FEC7739B71690C4CAFD61</v>
      </c>
      <c r="I6574" t="str">
        <f>HYPERLINK("https://baanknet.com/view-property/287873/DCCD408439D3D266259D5FECDBC0B17A81898B33579FEC7739B71690C4CAFD61", "Open")</f>
        <v>Open</v>
      </c>
      <c r="J6574" t="s">
        <v>3803</v>
      </c>
      <c r="L6574">
        <v>2970000</v>
      </c>
      <c r="M6574">
        <v>297000</v>
      </c>
    </row>
    <row r="6575" spans="1:13" x14ac:dyDescent="0.25">
      <c r="A6575" t="s">
        <v>21748</v>
      </c>
      <c r="B6575" t="s">
        <v>21749</v>
      </c>
      <c r="C6575" t="s">
        <v>15</v>
      </c>
      <c r="D6575" t="s">
        <v>2658</v>
      </c>
      <c r="E6575" t="s">
        <v>21750</v>
      </c>
      <c r="F6575" t="s">
        <v>21751</v>
      </c>
      <c r="G6575" t="s">
        <v>21752</v>
      </c>
      <c r="H6575" t="str">
        <f>HYPERLINK("https://baanknet.com/view-property/287763/28103A2E536D4518018EEBDF603AF47C67D5118BD0EBB629056D525F93004C16", "https://baanknet.com/view-property/287763/28103A2E536D4518018EEBDF603AF47C67D5118BD0EBB629056D525F93004C16")</f>
        <v>https://baanknet.com/view-property/287763/28103A2E536D4518018EEBDF603AF47C67D5118BD0EBB629056D525F93004C16</v>
      </c>
      <c r="I6575" t="str">
        <f>HYPERLINK("https://baanknet.com/view-property/287763/28103A2E536D4518018EEBDF603AF47C67D5118BD0EBB629056D525F93004C16", "Open")</f>
        <v>Open</v>
      </c>
      <c r="J6575" t="s">
        <v>3803</v>
      </c>
      <c r="L6575">
        <v>2840000</v>
      </c>
      <c r="M6575">
        <v>284000</v>
      </c>
    </row>
    <row r="6576" spans="1:13" x14ac:dyDescent="0.25">
      <c r="A6576" t="s">
        <v>21753</v>
      </c>
      <c r="B6576" t="s">
        <v>21754</v>
      </c>
      <c r="C6576" t="s">
        <v>15</v>
      </c>
      <c r="D6576" t="s">
        <v>8644</v>
      </c>
      <c r="E6576" t="s">
        <v>21707</v>
      </c>
      <c r="F6576" t="s">
        <v>21755</v>
      </c>
      <c r="G6576" t="s">
        <v>21756</v>
      </c>
      <c r="H6576" t="str">
        <f>HYPERLINK("https://baanknet.com/view-property/287046/E14E637EB8E68763A6591A80710AE8270D6C48E7050853FE4A10E94DEACF8001", "https://baanknet.com/view-property/287046/E14E637EB8E68763A6591A80710AE8270D6C48E7050853FE4A10E94DEACF8001")</f>
        <v>https://baanknet.com/view-property/287046/E14E637EB8E68763A6591A80710AE8270D6C48E7050853FE4A10E94DEACF8001</v>
      </c>
      <c r="I6576" t="str">
        <f>HYPERLINK("https://baanknet.com/view-property/287046/E14E637EB8E68763A6591A80710AE8270D6C48E7050853FE4A10E94DEACF8001", "Open")</f>
        <v>Open</v>
      </c>
      <c r="J6576" t="s">
        <v>3803</v>
      </c>
      <c r="L6576">
        <v>4200000</v>
      </c>
      <c r="M6576">
        <v>420000</v>
      </c>
    </row>
    <row r="6577" spans="1:13" x14ac:dyDescent="0.25">
      <c r="A6577" t="s">
        <v>21757</v>
      </c>
      <c r="B6577" t="s">
        <v>21758</v>
      </c>
      <c r="C6577" t="s">
        <v>15</v>
      </c>
      <c r="D6577" t="s">
        <v>1619</v>
      </c>
      <c r="E6577" t="s">
        <v>21707</v>
      </c>
      <c r="F6577" t="s">
        <v>21755</v>
      </c>
      <c r="G6577" t="s">
        <v>21759</v>
      </c>
      <c r="H6577" t="str">
        <f>HYPERLINK("https://baanknet.com/view-property/287899/129D94219CCDB58DE0A44D0A2C5BACBC745122C6A3A88799AAE88FADA585261E", "https://baanknet.com/view-property/287899/129D94219CCDB58DE0A44D0A2C5BACBC745122C6A3A88799AAE88FADA585261E")</f>
        <v>https://baanknet.com/view-property/287899/129D94219CCDB58DE0A44D0A2C5BACBC745122C6A3A88799AAE88FADA585261E</v>
      </c>
      <c r="I6577" t="str">
        <f>HYPERLINK("https://baanknet.com/view-property/287899/129D94219CCDB58DE0A44D0A2C5BACBC745122C6A3A88799AAE88FADA585261E", "Open")</f>
        <v>Open</v>
      </c>
      <c r="J6577" t="s">
        <v>3803</v>
      </c>
      <c r="L6577">
        <v>8700000</v>
      </c>
      <c r="M6577">
        <v>870000</v>
      </c>
    </row>
    <row r="6578" spans="1:13" x14ac:dyDescent="0.25">
      <c r="A6578" t="s">
        <v>21760</v>
      </c>
      <c r="B6578" t="s">
        <v>21761</v>
      </c>
      <c r="C6578" t="s">
        <v>15</v>
      </c>
      <c r="D6578" t="s">
        <v>509</v>
      </c>
      <c r="E6578" t="s">
        <v>21707</v>
      </c>
      <c r="F6578" t="s">
        <v>21755</v>
      </c>
      <c r="G6578" t="s">
        <v>21762</v>
      </c>
      <c r="H6578" t="str">
        <f>HYPERLINK("https://baanknet.com/view-property/287904/D9CC0C1DC37CFAB8268F913C98926E77AD9954836FA1464997F31938C3860AFC", "https://baanknet.com/view-property/287904/D9CC0C1DC37CFAB8268F913C98926E77AD9954836FA1464997F31938C3860AFC")</f>
        <v>https://baanknet.com/view-property/287904/D9CC0C1DC37CFAB8268F913C98926E77AD9954836FA1464997F31938C3860AFC</v>
      </c>
      <c r="I6578" t="str">
        <f>HYPERLINK("https://baanknet.com/view-property/287904/D9CC0C1DC37CFAB8268F913C98926E77AD9954836FA1464997F31938C3860AFC", "Open")</f>
        <v>Open</v>
      </c>
      <c r="J6578" t="s">
        <v>3803</v>
      </c>
      <c r="L6578">
        <v>2600000</v>
      </c>
      <c r="M6578">
        <v>260000</v>
      </c>
    </row>
    <row r="6579" spans="1:13" x14ac:dyDescent="0.25">
      <c r="A6579" t="s">
        <v>21763</v>
      </c>
      <c r="B6579" t="s">
        <v>21764</v>
      </c>
      <c r="C6579" t="s">
        <v>15</v>
      </c>
      <c r="D6579" t="s">
        <v>19318</v>
      </c>
      <c r="E6579" t="s">
        <v>21765</v>
      </c>
      <c r="F6579" t="s">
        <v>21766</v>
      </c>
      <c r="G6579" t="s">
        <v>21767</v>
      </c>
      <c r="H6579" t="str">
        <f>HYPERLINK("https://baanknet.com/view-property/287360/D98BC4FF02E9172E15B185B0E5064983BE61DC90B775C896AFB3A02BF8D013B8", "https://baanknet.com/view-property/287360/D98BC4FF02E9172E15B185B0E5064983BE61DC90B775C896AFB3A02BF8D013B8")</f>
        <v>https://baanknet.com/view-property/287360/D98BC4FF02E9172E15B185B0E5064983BE61DC90B775C896AFB3A02BF8D013B8</v>
      </c>
      <c r="I6579" t="str">
        <f>HYPERLINK("https://baanknet.com/view-property/287360/D98BC4FF02E9172E15B185B0E5064983BE61DC90B775C896AFB3A02BF8D013B8", "Open")</f>
        <v>Open</v>
      </c>
      <c r="J6579" t="s">
        <v>3803</v>
      </c>
      <c r="L6579">
        <v>2485000</v>
      </c>
      <c r="M6579">
        <v>248500</v>
      </c>
    </row>
    <row r="6580" spans="1:13" x14ac:dyDescent="0.25">
      <c r="A6580" t="s">
        <v>21768</v>
      </c>
      <c r="B6580" t="s">
        <v>21769</v>
      </c>
      <c r="C6580" t="s">
        <v>15</v>
      </c>
      <c r="D6580" t="s">
        <v>3875</v>
      </c>
      <c r="E6580" t="s">
        <v>21765</v>
      </c>
      <c r="F6580" t="s">
        <v>21766</v>
      </c>
      <c r="G6580" t="s">
        <v>21770</v>
      </c>
      <c r="H6580" t="str">
        <f>HYPERLINK("https://baanknet.com/view-property/287352/1072336D9CD5D96F702E4F5CF057B605B5DD9E54BB063DC7651C9EFA3F7BB9C1", "https://baanknet.com/view-property/287352/1072336D9CD5D96F702E4F5CF057B605B5DD9E54BB063DC7651C9EFA3F7BB9C1")</f>
        <v>https://baanknet.com/view-property/287352/1072336D9CD5D96F702E4F5CF057B605B5DD9E54BB063DC7651C9EFA3F7BB9C1</v>
      </c>
      <c r="I6580" t="str">
        <f>HYPERLINK("https://baanknet.com/view-property/287352/1072336D9CD5D96F702E4F5CF057B605B5DD9E54BB063DC7651C9EFA3F7BB9C1", "Open")</f>
        <v>Open</v>
      </c>
      <c r="J6580" t="s">
        <v>3803</v>
      </c>
      <c r="L6580">
        <v>13647000</v>
      </c>
      <c r="M6580">
        <v>1364700</v>
      </c>
    </row>
    <row r="6581" spans="1:13" x14ac:dyDescent="0.25">
      <c r="A6581" t="s">
        <v>21771</v>
      </c>
      <c r="B6581" t="s">
        <v>21772</v>
      </c>
      <c r="C6581" t="s">
        <v>571</v>
      </c>
      <c r="D6581" t="s">
        <v>4511</v>
      </c>
      <c r="E6581" t="s">
        <v>21773</v>
      </c>
      <c r="F6581" t="s">
        <v>21774</v>
      </c>
      <c r="G6581" t="s">
        <v>21775</v>
      </c>
      <c r="H6581" t="str">
        <f>HYPERLINK("https://baanknet.com/view-property/287190/DB0A21315EAAB2002CBCD2448196E6AD018C599BA79D55E5E196BF9E77D6ADEA", "https://baanknet.com/view-property/287190/DB0A21315EAAB2002CBCD2448196E6AD018C599BA79D55E5E196BF9E77D6ADEA")</f>
        <v>https://baanknet.com/view-property/287190/DB0A21315EAAB2002CBCD2448196E6AD018C599BA79D55E5E196BF9E77D6ADEA</v>
      </c>
      <c r="I6581" t="str">
        <f>HYPERLINK("https://baanknet.com/view-property/287190/DB0A21315EAAB2002CBCD2448196E6AD018C599BA79D55E5E196BF9E77D6ADEA", "Open")</f>
        <v>Open</v>
      </c>
      <c r="J6581" t="s">
        <v>3803</v>
      </c>
      <c r="L6581">
        <v>8250000</v>
      </c>
      <c r="M6581">
        <v>825000</v>
      </c>
    </row>
    <row r="6582" spans="1:13" x14ac:dyDescent="0.25">
      <c r="A6582" t="s">
        <v>21776</v>
      </c>
      <c r="B6582" t="s">
        <v>21777</v>
      </c>
      <c r="C6582" t="s">
        <v>332</v>
      </c>
      <c r="D6582" t="s">
        <v>4876</v>
      </c>
      <c r="E6582" t="s">
        <v>21773</v>
      </c>
      <c r="F6582" t="s">
        <v>21778</v>
      </c>
      <c r="G6582" t="s">
        <v>21779</v>
      </c>
      <c r="H6582" t="str">
        <f>HYPERLINK("https://baanknet.com/view-property/287409/74B2227DD5A7FB618B1A0C65488E6FAB6188B29A61483E03ADDD7966E41472E2", "https://baanknet.com/view-property/287409/74B2227DD5A7FB618B1A0C65488E6FAB6188B29A61483E03ADDD7966E41472E2")</f>
        <v>https://baanknet.com/view-property/287409/74B2227DD5A7FB618B1A0C65488E6FAB6188B29A61483E03ADDD7966E41472E2</v>
      </c>
      <c r="I6582" t="str">
        <f>HYPERLINK("https://baanknet.com/view-property/287409/74B2227DD5A7FB618B1A0C65488E6FAB6188B29A61483E03ADDD7966E41472E2", "Open")</f>
        <v>Open</v>
      </c>
      <c r="J6582" t="s">
        <v>3803</v>
      </c>
      <c r="L6582">
        <v>5850000</v>
      </c>
      <c r="M6582">
        <v>585000</v>
      </c>
    </row>
    <row r="6583" spans="1:13" x14ac:dyDescent="0.25">
      <c r="A6583" t="s">
        <v>21780</v>
      </c>
      <c r="B6583" t="s">
        <v>21781</v>
      </c>
      <c r="C6583" t="s">
        <v>15</v>
      </c>
      <c r="D6583" t="s">
        <v>1943</v>
      </c>
      <c r="E6583" t="s">
        <v>21766</v>
      </c>
      <c r="F6583" t="s">
        <v>21782</v>
      </c>
      <c r="G6583" t="s">
        <v>21783</v>
      </c>
      <c r="H6583" t="str">
        <f>HYPERLINK("https://baanknet.com/view-property/287861/ADDC432F50B3CC2B7C6A8CDD99A4D451ADC2E12A65C29A5339BD695511E2AEBA", "https://baanknet.com/view-property/287861/ADDC432F50B3CC2B7C6A8CDD99A4D451ADC2E12A65C29A5339BD695511E2AEBA")</f>
        <v>https://baanknet.com/view-property/287861/ADDC432F50B3CC2B7C6A8CDD99A4D451ADC2E12A65C29A5339BD695511E2AEBA</v>
      </c>
      <c r="I6583" t="str">
        <f>HYPERLINK("https://baanknet.com/view-property/287861/ADDC432F50B3CC2B7C6A8CDD99A4D451ADC2E12A65C29A5339BD695511E2AEBA", "Open")</f>
        <v>Open</v>
      </c>
      <c r="J6583" t="s">
        <v>3803</v>
      </c>
      <c r="L6583">
        <v>7231000</v>
      </c>
      <c r="M6583">
        <v>723100</v>
      </c>
    </row>
    <row r="6584" spans="1:13" x14ac:dyDescent="0.25">
      <c r="A6584" t="s">
        <v>21784</v>
      </c>
      <c r="B6584" t="s">
        <v>21785</v>
      </c>
      <c r="C6584" t="s">
        <v>144</v>
      </c>
      <c r="D6584" t="s">
        <v>21786</v>
      </c>
      <c r="E6584" t="s">
        <v>21787</v>
      </c>
      <c r="F6584" t="s">
        <v>21774</v>
      </c>
      <c r="G6584" t="s">
        <v>21788</v>
      </c>
      <c r="H6584" t="str">
        <f>HYPERLINK("https://baanknet.com/view-property/287471/DDF445ED04D82EF7E5C4969E8FA176E41ADFC37267A5309B0B3D23598252362A", "https://baanknet.com/view-property/287471/DDF445ED04D82EF7E5C4969E8FA176E41ADFC37267A5309B0B3D23598252362A")</f>
        <v>https://baanknet.com/view-property/287471/DDF445ED04D82EF7E5C4969E8FA176E41ADFC37267A5309B0B3D23598252362A</v>
      </c>
      <c r="I6584" t="str">
        <f>HYPERLINK("https://baanknet.com/view-property/287471/DDF445ED04D82EF7E5C4969E8FA176E41ADFC37267A5309B0B3D23598252362A", "Open")</f>
        <v>Open</v>
      </c>
      <c r="J6584" t="s">
        <v>3803</v>
      </c>
      <c r="L6584">
        <v>2925000</v>
      </c>
      <c r="M6584">
        <v>292500</v>
      </c>
    </row>
    <row r="6585" spans="1:13" x14ac:dyDescent="0.25">
      <c r="A6585" t="s">
        <v>21789</v>
      </c>
      <c r="B6585" t="s">
        <v>21790</v>
      </c>
      <c r="C6585" t="s">
        <v>83</v>
      </c>
      <c r="D6585" t="s">
        <v>8815</v>
      </c>
      <c r="E6585" t="s">
        <v>21791</v>
      </c>
      <c r="F6585" t="s">
        <v>21792</v>
      </c>
      <c r="G6585" t="s">
        <v>21793</v>
      </c>
      <c r="H6585" t="str">
        <f>HYPERLINK("https://baanknet.com/view-property/287826/D57589250A83E3279542F6A7DB74567D49248A5A8DE9CEF13774CD5BBCE8A7E0", "https://baanknet.com/view-property/287826/D57589250A83E3279542F6A7DB74567D49248A5A8DE9CEF13774CD5BBCE8A7E0")</f>
        <v>https://baanknet.com/view-property/287826/D57589250A83E3279542F6A7DB74567D49248A5A8DE9CEF13774CD5BBCE8A7E0</v>
      </c>
      <c r="I6585" t="str">
        <f>HYPERLINK("https://baanknet.com/view-property/287826/D57589250A83E3279542F6A7DB74567D49248A5A8DE9CEF13774CD5BBCE8A7E0", "Open")</f>
        <v>Open</v>
      </c>
      <c r="J6585" t="s">
        <v>3803</v>
      </c>
      <c r="L6585">
        <v>1842000</v>
      </c>
      <c r="M6585">
        <v>184200</v>
      </c>
    </row>
    <row r="6586" spans="1:13" x14ac:dyDescent="0.25">
      <c r="A6586" t="s">
        <v>21794</v>
      </c>
      <c r="B6586" t="s">
        <v>21795</v>
      </c>
      <c r="C6586" t="s">
        <v>83</v>
      </c>
      <c r="D6586" t="s">
        <v>8815</v>
      </c>
      <c r="E6586" t="s">
        <v>21791</v>
      </c>
      <c r="F6586" t="s">
        <v>21792</v>
      </c>
      <c r="G6586" t="s">
        <v>21796</v>
      </c>
      <c r="H6586" t="str">
        <f>HYPERLINK("https://baanknet.com/view-property/202418/BAEC297E6E01E901217FB1514A3F0A5751F9B3B73D074CA4D0BE4FCFCBE602D0", "https://baanknet.com/view-property/202418/BAEC297E6E01E901217FB1514A3F0A5751F9B3B73D074CA4D0BE4FCFCBE602D0")</f>
        <v>https://baanknet.com/view-property/202418/BAEC297E6E01E901217FB1514A3F0A5751F9B3B73D074CA4D0BE4FCFCBE602D0</v>
      </c>
      <c r="I6586" t="str">
        <f>HYPERLINK("https://baanknet.com/view-property/202418/BAEC297E6E01E901217FB1514A3F0A5751F9B3B73D074CA4D0BE4FCFCBE602D0", "Open")</f>
        <v>Open</v>
      </c>
      <c r="J6586" t="s">
        <v>3803</v>
      </c>
      <c r="L6586">
        <v>5136000</v>
      </c>
      <c r="M6586">
        <v>513600</v>
      </c>
    </row>
    <row r="6587" spans="1:13" x14ac:dyDescent="0.25">
      <c r="A6587" t="s">
        <v>21797</v>
      </c>
      <c r="B6587" t="s">
        <v>21798</v>
      </c>
      <c r="C6587" t="s">
        <v>83</v>
      </c>
      <c r="D6587" t="s">
        <v>8815</v>
      </c>
      <c r="E6587" t="s">
        <v>21791</v>
      </c>
      <c r="F6587" t="s">
        <v>21792</v>
      </c>
      <c r="G6587" t="s">
        <v>21799</v>
      </c>
      <c r="H6587" t="str">
        <f>HYPERLINK("https://baanknet.com/view-property/202460/68FFEEC682FD1A0DC2EAFF15359748313C7ECA05A7ABEAE9928B0FA0F4EF3BE3", "https://baanknet.com/view-property/202460/68FFEEC682FD1A0DC2EAFF15359748313C7ECA05A7ABEAE9928B0FA0F4EF3BE3")</f>
        <v>https://baanknet.com/view-property/202460/68FFEEC682FD1A0DC2EAFF15359748313C7ECA05A7ABEAE9928B0FA0F4EF3BE3</v>
      </c>
      <c r="I6587" t="str">
        <f>HYPERLINK("https://baanknet.com/view-property/202460/68FFEEC682FD1A0DC2EAFF15359748313C7ECA05A7ABEAE9928B0FA0F4EF3BE3", "Open")</f>
        <v>Open</v>
      </c>
      <c r="J6587" t="s">
        <v>3803</v>
      </c>
      <c r="L6587">
        <v>1795000</v>
      </c>
      <c r="M6587">
        <v>179500</v>
      </c>
    </row>
    <row r="6588" spans="1:13" x14ac:dyDescent="0.25">
      <c r="A6588" t="s">
        <v>21800</v>
      </c>
      <c r="B6588" t="s">
        <v>21801</v>
      </c>
      <c r="C6588" t="s">
        <v>15</v>
      </c>
      <c r="D6588" t="s">
        <v>12210</v>
      </c>
      <c r="E6588" t="s">
        <v>3516</v>
      </c>
      <c r="F6588" t="s">
        <v>17</v>
      </c>
      <c r="G6588" t="s">
        <v>21802</v>
      </c>
      <c r="H6588" t="str">
        <f>HYPERLINK("https://baanknet.com/view-property/265514/07D72ECF6B1740A9C64153879D1178FFDEEBE5A5036F1BD52A387A403D16E676", "https://baanknet.com/view-property/265514/07D72ECF6B1740A9C64153879D1178FFDEEBE5A5036F1BD52A387A403D16E676")</f>
        <v>https://baanknet.com/view-property/265514/07D72ECF6B1740A9C64153879D1178FFDEEBE5A5036F1BD52A387A403D16E676</v>
      </c>
      <c r="I6588" t="str">
        <f>HYPERLINK("https://baanknet.com/view-property/265514/07D72ECF6B1740A9C64153879D1178FFDEEBE5A5036F1BD52A387A403D16E676", "Open")</f>
        <v>Open</v>
      </c>
      <c r="J6588" t="s">
        <v>20</v>
      </c>
      <c r="K6588" t="s">
        <v>21</v>
      </c>
      <c r="L6588">
        <v>2750000</v>
      </c>
      <c r="M6588">
        <v>275000</v>
      </c>
    </row>
    <row r="6589" spans="1:13" x14ac:dyDescent="0.25">
      <c r="A6589" t="s">
        <v>21803</v>
      </c>
      <c r="B6589" t="s">
        <v>21804</v>
      </c>
      <c r="C6589" t="s">
        <v>121</v>
      </c>
      <c r="D6589" t="s">
        <v>7748</v>
      </c>
      <c r="E6589" t="s">
        <v>654</v>
      </c>
      <c r="F6589" t="s">
        <v>334</v>
      </c>
      <c r="G6589" t="s">
        <v>21805</v>
      </c>
      <c r="H6589" t="str">
        <f>HYPERLINK("https://baanknet.com/view-property/285104/F12113CFEC5FE62BD5404C7AF929ED564C7375B3297916653EDB4CF5F289D51C", "https://baanknet.com/view-property/285104/F12113CFEC5FE62BD5404C7AF929ED564C7375B3297916653EDB4CF5F289D51C")</f>
        <v>https://baanknet.com/view-property/285104/F12113CFEC5FE62BD5404C7AF929ED564C7375B3297916653EDB4CF5F289D51C</v>
      </c>
      <c r="I6589" t="str">
        <f>HYPERLINK("https://baanknet.com/view-property/285104/F12113CFEC5FE62BD5404C7AF929ED564C7375B3297916653EDB4CF5F289D51C", "Open")</f>
        <v>Open</v>
      </c>
      <c r="J6589" t="s">
        <v>20</v>
      </c>
      <c r="K6589" t="s">
        <v>21</v>
      </c>
      <c r="L6589">
        <v>1981000</v>
      </c>
      <c r="M6589">
        <v>198100</v>
      </c>
    </row>
    <row r="6590" spans="1:13" x14ac:dyDescent="0.25">
      <c r="A6590" t="s">
        <v>21806</v>
      </c>
      <c r="B6590" t="s">
        <v>21807</v>
      </c>
      <c r="C6590" t="s">
        <v>83</v>
      </c>
      <c r="D6590" t="s">
        <v>32</v>
      </c>
      <c r="E6590" t="s">
        <v>128</v>
      </c>
      <c r="F6590" t="s">
        <v>132</v>
      </c>
      <c r="G6590" t="s">
        <v>21808</v>
      </c>
      <c r="H6590" t="str">
        <f>HYPERLINK("https://baanknet.com/view-property/242458/9CD3BC213E082BB61D5CDFBD9B12E9585FC04DD7FE2A8156CED5B7B1CCBA0C7D", "https://baanknet.com/view-property/242458/9CD3BC213E082BB61D5CDFBD9B12E9585FC04DD7FE2A8156CED5B7B1CCBA0C7D")</f>
        <v>https://baanknet.com/view-property/242458/9CD3BC213E082BB61D5CDFBD9B12E9585FC04DD7FE2A8156CED5B7B1CCBA0C7D</v>
      </c>
      <c r="I6590" t="str">
        <f>HYPERLINK("https://baanknet.com/view-property/242458/9CD3BC213E082BB61D5CDFBD9B12E9585FC04DD7FE2A8156CED5B7B1CCBA0C7D", "Open")</f>
        <v>Open</v>
      </c>
      <c r="J6590" t="s">
        <v>20</v>
      </c>
      <c r="K6590" t="s">
        <v>21</v>
      </c>
      <c r="L6590">
        <v>2870000</v>
      </c>
      <c r="M6590">
        <v>287000</v>
      </c>
    </row>
    <row r="6591" spans="1:13" x14ac:dyDescent="0.25">
      <c r="A6591" t="s">
        <v>21809</v>
      </c>
      <c r="B6591" t="s">
        <v>21810</v>
      </c>
      <c r="C6591" t="s">
        <v>83</v>
      </c>
      <c r="D6591" t="s">
        <v>32</v>
      </c>
      <c r="E6591" t="s">
        <v>128</v>
      </c>
      <c r="F6591" t="s">
        <v>132</v>
      </c>
      <c r="G6591" t="s">
        <v>21811</v>
      </c>
      <c r="H6591" t="str">
        <f>HYPERLINK("https://baanknet.com/view-property/242452/573B5FCAAF1E86C9C19911A765A74071174CBA9BD45B0683800880B5AF4B5144", "https://baanknet.com/view-property/242452/573B5FCAAF1E86C9C19911A765A74071174CBA9BD45B0683800880B5AF4B5144")</f>
        <v>https://baanknet.com/view-property/242452/573B5FCAAF1E86C9C19911A765A74071174CBA9BD45B0683800880B5AF4B5144</v>
      </c>
      <c r="I6591" t="str">
        <f>HYPERLINK("https://baanknet.com/view-property/242452/573B5FCAAF1E86C9C19911A765A74071174CBA9BD45B0683800880B5AF4B5144", "Open")</f>
        <v>Open</v>
      </c>
      <c r="J6591" t="s">
        <v>20</v>
      </c>
      <c r="K6591" t="s">
        <v>21</v>
      </c>
      <c r="L6591">
        <v>2570000</v>
      </c>
      <c r="M6591">
        <v>257000</v>
      </c>
    </row>
    <row r="6592" spans="1:13" x14ac:dyDescent="0.25">
      <c r="A6592" t="s">
        <v>21812</v>
      </c>
      <c r="B6592" t="s">
        <v>21813</v>
      </c>
      <c r="C6592" t="s">
        <v>83</v>
      </c>
      <c r="D6592" t="s">
        <v>3875</v>
      </c>
      <c r="E6592" t="s">
        <v>128</v>
      </c>
      <c r="F6592" t="s">
        <v>132</v>
      </c>
      <c r="G6592" t="s">
        <v>21814</v>
      </c>
      <c r="H6592" t="str">
        <f>HYPERLINK("https://baanknet.com/view-property/286191/2742E33F698FD6B1A87943CFF3177D1B9F6645F383986672AF4E1CE49081B08F", "https://baanknet.com/view-property/286191/2742E33F698FD6B1A87943CFF3177D1B9F6645F383986672AF4E1CE49081B08F")</f>
        <v>https://baanknet.com/view-property/286191/2742E33F698FD6B1A87943CFF3177D1B9F6645F383986672AF4E1CE49081B08F</v>
      </c>
      <c r="I6592" t="str">
        <f>HYPERLINK("https://baanknet.com/view-property/286191/2742E33F698FD6B1A87943CFF3177D1B9F6645F383986672AF4E1CE49081B08F", "Open")</f>
        <v>Open</v>
      </c>
      <c r="J6592" t="s">
        <v>20</v>
      </c>
      <c r="K6592" t="s">
        <v>21</v>
      </c>
      <c r="L6592">
        <v>7128000</v>
      </c>
      <c r="M6592">
        <v>712800</v>
      </c>
    </row>
    <row r="6593" spans="1:13" x14ac:dyDescent="0.25">
      <c r="A6593" t="s">
        <v>21815</v>
      </c>
      <c r="B6593" t="s">
        <v>21816</v>
      </c>
      <c r="C6593" t="s">
        <v>83</v>
      </c>
      <c r="D6593" t="s">
        <v>3875</v>
      </c>
      <c r="E6593" t="s">
        <v>128</v>
      </c>
      <c r="F6593" t="s">
        <v>132</v>
      </c>
      <c r="G6593" t="s">
        <v>21817</v>
      </c>
      <c r="H6593" t="str">
        <f>HYPERLINK("https://baanknet.com/view-property/286189/FEEB369032CEE00E50BA5690A5C8807AB3F583B65CCF623CFC3EFAEEF859B80F", "https://baanknet.com/view-property/286189/FEEB369032CEE00E50BA5690A5C8807AB3F583B65CCF623CFC3EFAEEF859B80F")</f>
        <v>https://baanknet.com/view-property/286189/FEEB369032CEE00E50BA5690A5C8807AB3F583B65CCF623CFC3EFAEEF859B80F</v>
      </c>
      <c r="I6593" t="str">
        <f>HYPERLINK("https://baanknet.com/view-property/286189/FEEB369032CEE00E50BA5690A5C8807AB3F583B65CCF623CFC3EFAEEF859B80F", "Open")</f>
        <v>Open</v>
      </c>
      <c r="J6593" t="s">
        <v>20</v>
      </c>
      <c r="K6593" t="s">
        <v>21</v>
      </c>
      <c r="L6593">
        <v>7128000</v>
      </c>
      <c r="M6593">
        <v>712800</v>
      </c>
    </row>
    <row r="6594" spans="1:13" x14ac:dyDescent="0.25">
      <c r="A6594" t="s">
        <v>21818</v>
      </c>
      <c r="B6594" t="s">
        <v>21819</v>
      </c>
      <c r="C6594" t="s">
        <v>83</v>
      </c>
      <c r="D6594" t="s">
        <v>12890</v>
      </c>
      <c r="E6594" t="s">
        <v>128</v>
      </c>
      <c r="F6594" t="s">
        <v>132</v>
      </c>
      <c r="G6594" t="s">
        <v>21820</v>
      </c>
      <c r="H6594" t="str">
        <f>HYPERLINK("https://baanknet.com/view-property/286158/417831E20C105098B572ADF0C671DF4E994AB6AF18EC3E0D72171BCADE264DA6", "https://baanknet.com/view-property/286158/417831E20C105098B572ADF0C671DF4E994AB6AF18EC3E0D72171BCADE264DA6")</f>
        <v>https://baanknet.com/view-property/286158/417831E20C105098B572ADF0C671DF4E994AB6AF18EC3E0D72171BCADE264DA6</v>
      </c>
      <c r="I6594" t="str">
        <f>HYPERLINK("https://baanknet.com/view-property/286158/417831E20C105098B572ADF0C671DF4E994AB6AF18EC3E0D72171BCADE264DA6", "Open")</f>
        <v>Open</v>
      </c>
      <c r="J6594" t="s">
        <v>20</v>
      </c>
      <c r="K6594" t="s">
        <v>21</v>
      </c>
      <c r="L6594">
        <v>14240000</v>
      </c>
      <c r="M6594">
        <v>1424000</v>
      </c>
    </row>
    <row r="6595" spans="1:13" x14ac:dyDescent="0.25">
      <c r="A6595" t="s">
        <v>21821</v>
      </c>
      <c r="B6595" t="s">
        <v>21822</v>
      </c>
      <c r="C6595" t="s">
        <v>83</v>
      </c>
      <c r="D6595" t="s">
        <v>12890</v>
      </c>
      <c r="E6595" t="s">
        <v>128</v>
      </c>
      <c r="F6595" t="s">
        <v>132</v>
      </c>
      <c r="G6595" t="s">
        <v>21823</v>
      </c>
      <c r="H6595" t="str">
        <f>HYPERLINK("https://baanknet.com/view-property/286161/42C31F9369EB9870BF387A7446D9EE5AA7C14A99847EBF1A7D7CE6477A34FFC5", "https://baanknet.com/view-property/286161/42C31F9369EB9870BF387A7446D9EE5AA7C14A99847EBF1A7D7CE6477A34FFC5")</f>
        <v>https://baanknet.com/view-property/286161/42C31F9369EB9870BF387A7446D9EE5AA7C14A99847EBF1A7D7CE6477A34FFC5</v>
      </c>
      <c r="I6595" t="str">
        <f>HYPERLINK("https://baanknet.com/view-property/286161/42C31F9369EB9870BF387A7446D9EE5AA7C14A99847EBF1A7D7CE6477A34FFC5", "Open")</f>
        <v>Open</v>
      </c>
      <c r="J6595" t="s">
        <v>20</v>
      </c>
      <c r="K6595" t="s">
        <v>21</v>
      </c>
      <c r="L6595">
        <v>3700000</v>
      </c>
      <c r="M6595">
        <v>370000</v>
      </c>
    </row>
    <row r="6596" spans="1:13" x14ac:dyDescent="0.25">
      <c r="A6596" t="s">
        <v>21824</v>
      </c>
      <c r="B6596" t="s">
        <v>21825</v>
      </c>
      <c r="C6596" t="s">
        <v>83</v>
      </c>
      <c r="D6596" t="s">
        <v>12890</v>
      </c>
      <c r="E6596" t="s">
        <v>128</v>
      </c>
      <c r="F6596" t="s">
        <v>132</v>
      </c>
      <c r="G6596" t="s">
        <v>21826</v>
      </c>
      <c r="H6596" t="str">
        <f>HYPERLINK("https://baanknet.com/view-property/286163/C19EDAE2E4BCC266ABD732DD03EF9291970D82A44625EC5B1BC6E35779331AED", "https://baanknet.com/view-property/286163/C19EDAE2E4BCC266ABD732DD03EF9291970D82A44625EC5B1BC6E35779331AED")</f>
        <v>https://baanknet.com/view-property/286163/C19EDAE2E4BCC266ABD732DD03EF9291970D82A44625EC5B1BC6E35779331AED</v>
      </c>
      <c r="I6596" t="str">
        <f>HYPERLINK("https://baanknet.com/view-property/286163/C19EDAE2E4BCC266ABD732DD03EF9291970D82A44625EC5B1BC6E35779331AED", "Open")</f>
        <v>Open</v>
      </c>
      <c r="J6596" t="s">
        <v>20</v>
      </c>
      <c r="K6596" t="s">
        <v>21</v>
      </c>
      <c r="L6596">
        <v>3600000</v>
      </c>
      <c r="M6596">
        <v>360000</v>
      </c>
    </row>
    <row r="6597" spans="1:13" x14ac:dyDescent="0.25">
      <c r="A6597" t="s">
        <v>21827</v>
      </c>
      <c r="B6597" t="s">
        <v>21828</v>
      </c>
      <c r="C6597" t="s">
        <v>83</v>
      </c>
      <c r="D6597" t="s">
        <v>21829</v>
      </c>
      <c r="E6597" t="s">
        <v>128</v>
      </c>
      <c r="F6597" t="s">
        <v>132</v>
      </c>
      <c r="G6597" t="s">
        <v>21830</v>
      </c>
      <c r="H6597" t="str">
        <f>HYPERLINK("https://baanknet.com/view-property/286166/E05F4DE460D55B7D9DB9EA12E8B00CC88BD8AE44FE9A294A3A27361F3C058209", "https://baanknet.com/view-property/286166/E05F4DE460D55B7D9DB9EA12E8B00CC88BD8AE44FE9A294A3A27361F3C058209")</f>
        <v>https://baanknet.com/view-property/286166/E05F4DE460D55B7D9DB9EA12E8B00CC88BD8AE44FE9A294A3A27361F3C058209</v>
      </c>
      <c r="I6597" t="str">
        <f>HYPERLINK("https://baanknet.com/view-property/286166/E05F4DE460D55B7D9DB9EA12E8B00CC88BD8AE44FE9A294A3A27361F3C058209", "Open")</f>
        <v>Open</v>
      </c>
      <c r="J6597" t="s">
        <v>20</v>
      </c>
      <c r="K6597" t="s">
        <v>21</v>
      </c>
      <c r="L6597">
        <v>1326000</v>
      </c>
      <c r="M6597">
        <v>132600</v>
      </c>
    </row>
    <row r="6598" spans="1:13" x14ac:dyDescent="0.25">
      <c r="A6598" t="s">
        <v>21831</v>
      </c>
      <c r="B6598" t="s">
        <v>21832</v>
      </c>
      <c r="C6598" t="s">
        <v>83</v>
      </c>
      <c r="D6598" t="s">
        <v>4876</v>
      </c>
      <c r="E6598" t="s">
        <v>128</v>
      </c>
      <c r="F6598" t="s">
        <v>132</v>
      </c>
      <c r="G6598" t="s">
        <v>21833</v>
      </c>
      <c r="H6598" t="str">
        <f>HYPERLINK("https://baanknet.com/view-property/286176/C6F52AF21288D4F1F7EB0E324751D989949D9B3B2B99F1444D82673005540F4A", "https://baanknet.com/view-property/286176/C6F52AF21288D4F1F7EB0E324751D989949D9B3B2B99F1444D82673005540F4A")</f>
        <v>https://baanknet.com/view-property/286176/C6F52AF21288D4F1F7EB0E324751D989949D9B3B2B99F1444D82673005540F4A</v>
      </c>
      <c r="I6598" t="str">
        <f>HYPERLINK("https://baanknet.com/view-property/286176/C6F52AF21288D4F1F7EB0E324751D989949D9B3B2B99F1444D82673005540F4A", "Open")</f>
        <v>Open</v>
      </c>
      <c r="J6598" t="s">
        <v>20</v>
      </c>
      <c r="K6598" t="s">
        <v>21</v>
      </c>
      <c r="L6598">
        <v>6240000</v>
      </c>
      <c r="M6598">
        <v>624000</v>
      </c>
    </row>
    <row r="6599" spans="1:13" x14ac:dyDescent="0.25">
      <c r="A6599" t="s">
        <v>21834</v>
      </c>
      <c r="B6599" t="s">
        <v>21835</v>
      </c>
      <c r="C6599" t="s">
        <v>83</v>
      </c>
      <c r="D6599" t="s">
        <v>3875</v>
      </c>
      <c r="E6599" t="s">
        <v>128</v>
      </c>
      <c r="F6599" t="s">
        <v>132</v>
      </c>
      <c r="G6599" t="s">
        <v>21836</v>
      </c>
      <c r="H6599" t="str">
        <f>HYPERLINK("https://baanknet.com/view-property/286188/E6343A22733903819AE3C58B516E7D5F9F23514FDC0BAEA26E19C56F66CFB130", "https://baanknet.com/view-property/286188/E6343A22733903819AE3C58B516E7D5F9F23514FDC0BAEA26E19C56F66CFB130")</f>
        <v>https://baanknet.com/view-property/286188/E6343A22733903819AE3C58B516E7D5F9F23514FDC0BAEA26E19C56F66CFB130</v>
      </c>
      <c r="I6599" t="str">
        <f>HYPERLINK("https://baanknet.com/view-property/286188/E6343A22733903819AE3C58B516E7D5F9F23514FDC0BAEA26E19C56F66CFB130", "Open")</f>
        <v>Open</v>
      </c>
      <c r="J6599" t="s">
        <v>20</v>
      </c>
      <c r="K6599" t="s">
        <v>21</v>
      </c>
      <c r="L6599">
        <v>5464000</v>
      </c>
      <c r="M6599">
        <v>546400</v>
      </c>
    </row>
    <row r="6600" spans="1:13" x14ac:dyDescent="0.25">
      <c r="A6600" t="s">
        <v>21837</v>
      </c>
      <c r="B6600" t="s">
        <v>21838</v>
      </c>
      <c r="C6600" t="s">
        <v>15</v>
      </c>
      <c r="D6600" t="s">
        <v>501</v>
      </c>
      <c r="E6600" t="s">
        <v>86</v>
      </c>
      <c r="F6600" t="s">
        <v>21839</v>
      </c>
      <c r="G6600" t="s">
        <v>21840</v>
      </c>
      <c r="H6600" t="str">
        <f>HYPERLINK("https://baanknet.com/view-property/253748/36E9301DC1213A3D344E8FFF3E26A70D9BF6FB0AEE2C1091F5ACDF440A89CA5A", "https://baanknet.com/view-property/253748/36E9301DC1213A3D344E8FFF3E26A70D9BF6FB0AEE2C1091F5ACDF440A89CA5A")</f>
        <v>https://baanknet.com/view-property/253748/36E9301DC1213A3D344E8FFF3E26A70D9BF6FB0AEE2C1091F5ACDF440A89CA5A</v>
      </c>
      <c r="I6600" t="str">
        <f>HYPERLINK("https://baanknet.com/view-property/253748/36E9301DC1213A3D344E8FFF3E26A70D9BF6FB0AEE2C1091F5ACDF440A89CA5A", "Open")</f>
        <v>Open</v>
      </c>
      <c r="J6600" t="s">
        <v>20</v>
      </c>
      <c r="K6600" t="s">
        <v>21</v>
      </c>
      <c r="L6600">
        <v>4750000</v>
      </c>
      <c r="M6600">
        <v>475000</v>
      </c>
    </row>
    <row r="6601" spans="1:13" x14ac:dyDescent="0.25">
      <c r="A6601" t="s">
        <v>21841</v>
      </c>
      <c r="B6601" t="s">
        <v>21842</v>
      </c>
      <c r="C6601" t="s">
        <v>15</v>
      </c>
      <c r="D6601" t="s">
        <v>501</v>
      </c>
      <c r="E6601" t="s">
        <v>86</v>
      </c>
      <c r="F6601" t="s">
        <v>21839</v>
      </c>
      <c r="G6601" t="s">
        <v>21843</v>
      </c>
      <c r="H6601" t="str">
        <f>HYPERLINK("https://baanknet.com/view-property/248181/054D4C98093016BBF16963AA9EB108ADEA0D511A70EFBD0BFB51B73315DA394C", "https://baanknet.com/view-property/248181/054D4C98093016BBF16963AA9EB108ADEA0D511A70EFBD0BFB51B73315DA394C")</f>
        <v>https://baanknet.com/view-property/248181/054D4C98093016BBF16963AA9EB108ADEA0D511A70EFBD0BFB51B73315DA394C</v>
      </c>
      <c r="I6601" t="str">
        <f>HYPERLINK("https://baanknet.com/view-property/248181/054D4C98093016BBF16963AA9EB108ADEA0D511A70EFBD0BFB51B73315DA394C", "Open")</f>
        <v>Open</v>
      </c>
      <c r="J6601" t="s">
        <v>20</v>
      </c>
      <c r="K6601" t="s">
        <v>21</v>
      </c>
      <c r="L6601">
        <v>12410000</v>
      </c>
      <c r="M6601">
        <v>1241000</v>
      </c>
    </row>
    <row r="6602" spans="1:13" x14ac:dyDescent="0.25">
      <c r="A6602" t="s">
        <v>21844</v>
      </c>
      <c r="B6602" t="s">
        <v>21845</v>
      </c>
      <c r="C6602" t="s">
        <v>83</v>
      </c>
      <c r="D6602" t="s">
        <v>10653</v>
      </c>
      <c r="E6602" t="s">
        <v>86</v>
      </c>
      <c r="F6602" t="s">
        <v>21846</v>
      </c>
      <c r="G6602" t="s">
        <v>21847</v>
      </c>
      <c r="H6602" t="str">
        <f>HYPERLINK("https://baanknet.com/view-property/228074/40C4B2A89F19CCCDABE4C9E21491EA68E83D21A1AFAEDAD7198F778044481BD1", "https://baanknet.com/view-property/228074/40C4B2A89F19CCCDABE4C9E21491EA68E83D21A1AFAEDAD7198F778044481BD1")</f>
        <v>https://baanknet.com/view-property/228074/40C4B2A89F19CCCDABE4C9E21491EA68E83D21A1AFAEDAD7198F778044481BD1</v>
      </c>
      <c r="I6602" t="str">
        <f>HYPERLINK("https://baanknet.com/view-property/228074/40C4B2A89F19CCCDABE4C9E21491EA68E83D21A1AFAEDAD7198F778044481BD1", "Open")</f>
        <v>Open</v>
      </c>
      <c r="J6602" t="s">
        <v>20</v>
      </c>
      <c r="K6602" t="s">
        <v>21</v>
      </c>
      <c r="L6602">
        <v>1542000</v>
      </c>
      <c r="M6602">
        <v>154200</v>
      </c>
    </row>
    <row r="6603" spans="1:13" x14ac:dyDescent="0.25">
      <c r="A6603" t="s">
        <v>21848</v>
      </c>
      <c r="B6603" t="s">
        <v>21849</v>
      </c>
      <c r="C6603" t="s">
        <v>83</v>
      </c>
      <c r="D6603" t="s">
        <v>6677</v>
      </c>
      <c r="E6603" t="s">
        <v>86</v>
      </c>
      <c r="F6603" t="s">
        <v>21846</v>
      </c>
      <c r="G6603" t="s">
        <v>21850</v>
      </c>
      <c r="H6603" t="str">
        <f>HYPERLINK("https://baanknet.com/view-property/280232/1320E21531943100F2D5C726F8B6ED9411A7F2EFF491503E70D827D92E985C07", "https://baanknet.com/view-property/280232/1320E21531943100F2D5C726F8B6ED9411A7F2EFF491503E70D827D92E985C07")</f>
        <v>https://baanknet.com/view-property/280232/1320E21531943100F2D5C726F8B6ED9411A7F2EFF491503E70D827D92E985C07</v>
      </c>
      <c r="I6603" t="str">
        <f>HYPERLINK("https://baanknet.com/view-property/280232/1320E21531943100F2D5C726F8B6ED9411A7F2EFF491503E70D827D92E985C07", "Open")</f>
        <v>Open</v>
      </c>
      <c r="J6603" t="s">
        <v>20</v>
      </c>
      <c r="K6603" t="s">
        <v>21</v>
      </c>
      <c r="L6603">
        <v>1137000</v>
      </c>
      <c r="M6603">
        <v>113700</v>
      </c>
    </row>
    <row r="6604" spans="1:13" x14ac:dyDescent="0.25">
      <c r="A6604" t="s">
        <v>21851</v>
      </c>
      <c r="B6604" t="s">
        <v>21852</v>
      </c>
      <c r="C6604" t="s">
        <v>121</v>
      </c>
      <c r="D6604" t="s">
        <v>20579</v>
      </c>
      <c r="E6604" t="s">
        <v>17</v>
      </c>
      <c r="F6604" t="s">
        <v>123</v>
      </c>
      <c r="G6604" t="s">
        <v>21853</v>
      </c>
      <c r="H6604" t="str">
        <f>HYPERLINK("https://baanknet.com/view-property/262311/7AF003F2C355E08E06C806830DCE0C5D671FE3B41276465E1A68A1BF3716A9DD", "https://baanknet.com/view-property/262311/7AF003F2C355E08E06C806830DCE0C5D671FE3B41276465E1A68A1BF3716A9DD")</f>
        <v>https://baanknet.com/view-property/262311/7AF003F2C355E08E06C806830DCE0C5D671FE3B41276465E1A68A1BF3716A9DD</v>
      </c>
      <c r="I6604" t="str">
        <f>HYPERLINK("https://baanknet.com/view-property/262311/7AF003F2C355E08E06C806830DCE0C5D671FE3B41276465E1A68A1BF3716A9DD", "Open")</f>
        <v>Open</v>
      </c>
      <c r="J6604" t="s">
        <v>20</v>
      </c>
      <c r="K6604" t="s">
        <v>21</v>
      </c>
      <c r="L6604">
        <v>3010000</v>
      </c>
      <c r="M6604">
        <v>301000</v>
      </c>
    </row>
    <row r="6605" spans="1:13" x14ac:dyDescent="0.25">
      <c r="A6605" t="s">
        <v>21854</v>
      </c>
      <c r="B6605" t="s">
        <v>21855</v>
      </c>
      <c r="C6605" t="s">
        <v>15</v>
      </c>
      <c r="D6605" t="s">
        <v>1300</v>
      </c>
      <c r="E6605" t="s">
        <v>15507</v>
      </c>
      <c r="F6605" t="s">
        <v>15515</v>
      </c>
      <c r="G6605" t="s">
        <v>21856</v>
      </c>
      <c r="H6605" t="str">
        <f>HYPERLINK("https://baanknet.com/view-property/260604/60E67D867E6C2F62D52DF76F56B9C34087931EEC164E9F66481964CCE9EDB4A1", "https://baanknet.com/view-property/260604/60E67D867E6C2F62D52DF76F56B9C34087931EEC164E9F66481964CCE9EDB4A1")</f>
        <v>https://baanknet.com/view-property/260604/60E67D867E6C2F62D52DF76F56B9C34087931EEC164E9F66481964CCE9EDB4A1</v>
      </c>
      <c r="I6605" t="str">
        <f>HYPERLINK("https://baanknet.com/view-property/260604/60E67D867E6C2F62D52DF76F56B9C34087931EEC164E9F66481964CCE9EDB4A1", "Open")</f>
        <v>Open</v>
      </c>
      <c r="J6605" t="s">
        <v>20</v>
      </c>
      <c r="K6605" t="s">
        <v>80</v>
      </c>
      <c r="L6605">
        <v>4720000</v>
      </c>
      <c r="M6605">
        <v>472000</v>
      </c>
    </row>
    <row r="6606" spans="1:13" x14ac:dyDescent="0.25">
      <c r="A6606" t="s">
        <v>21857</v>
      </c>
      <c r="B6606" t="s">
        <v>21858</v>
      </c>
      <c r="C6606" t="s">
        <v>83</v>
      </c>
      <c r="D6606" t="s">
        <v>6677</v>
      </c>
      <c r="E6606" t="s">
        <v>86</v>
      </c>
      <c r="F6606" t="s">
        <v>21846</v>
      </c>
      <c r="G6606" t="s">
        <v>21859</v>
      </c>
      <c r="H6606" t="str">
        <f>HYPERLINK("https://baanknet.com/view-property/284095/32F33203483D12D93A27D9177EFB952E7EA460F11B0F1AF2A9C4E9114D66ACA8", "https://baanknet.com/view-property/284095/32F33203483D12D93A27D9177EFB952E7EA460F11B0F1AF2A9C4E9114D66ACA8")</f>
        <v>https://baanknet.com/view-property/284095/32F33203483D12D93A27D9177EFB952E7EA460F11B0F1AF2A9C4E9114D66ACA8</v>
      </c>
      <c r="I6606" t="str">
        <f>HYPERLINK("https://baanknet.com/view-property/284095/32F33203483D12D93A27D9177EFB952E7EA460F11B0F1AF2A9C4E9114D66ACA8", "Open")</f>
        <v>Open</v>
      </c>
      <c r="J6606" t="s">
        <v>20</v>
      </c>
      <c r="K6606" t="s">
        <v>21</v>
      </c>
      <c r="L6606">
        <v>3480000</v>
      </c>
      <c r="M6606">
        <v>348000</v>
      </c>
    </row>
    <row r="6607" spans="1:13" x14ac:dyDescent="0.25">
      <c r="A6607" t="s">
        <v>21860</v>
      </c>
      <c r="B6607" t="s">
        <v>21861</v>
      </c>
      <c r="C6607" t="s">
        <v>83</v>
      </c>
      <c r="D6607" t="s">
        <v>6677</v>
      </c>
      <c r="E6607" t="s">
        <v>86</v>
      </c>
      <c r="F6607" t="s">
        <v>21846</v>
      </c>
      <c r="G6607" t="s">
        <v>21862</v>
      </c>
      <c r="H6607" t="str">
        <f>HYPERLINK("https://baanknet.com/view-property/284097/3E86FB89E7FBC1FCEE1316C068A24329E55883495D2467DF809682B062F919E0", "https://baanknet.com/view-property/284097/3E86FB89E7FBC1FCEE1316C068A24329E55883495D2467DF809682B062F919E0")</f>
        <v>https://baanknet.com/view-property/284097/3E86FB89E7FBC1FCEE1316C068A24329E55883495D2467DF809682B062F919E0</v>
      </c>
      <c r="I6607" t="str">
        <f>HYPERLINK("https://baanknet.com/view-property/284097/3E86FB89E7FBC1FCEE1316C068A24329E55883495D2467DF809682B062F919E0", "Open")</f>
        <v>Open</v>
      </c>
      <c r="J6607" t="s">
        <v>20</v>
      </c>
      <c r="K6607" t="s">
        <v>21</v>
      </c>
      <c r="L6607">
        <v>1786500</v>
      </c>
      <c r="M6607">
        <v>178650</v>
      </c>
    </row>
    <row r="6608" spans="1:13" x14ac:dyDescent="0.25">
      <c r="A6608" t="s">
        <v>21863</v>
      </c>
      <c r="B6608" t="s">
        <v>21864</v>
      </c>
      <c r="C6608" t="s">
        <v>594</v>
      </c>
      <c r="D6608" t="s">
        <v>813</v>
      </c>
      <c r="E6608" t="s">
        <v>596</v>
      </c>
      <c r="F6608" t="s">
        <v>574</v>
      </c>
      <c r="G6608" t="s">
        <v>21865</v>
      </c>
      <c r="H6608" t="str">
        <f>HYPERLINK("https://baanknet.com/view-property/274875/705379238CF72F6A5902F6351DF10AA5EBA1F8A38BFF9ECD88B169935B08DBC8", "https://baanknet.com/view-property/274875/705379238CF72F6A5902F6351DF10AA5EBA1F8A38BFF9ECD88B169935B08DBC8")</f>
        <v>https://baanknet.com/view-property/274875/705379238CF72F6A5902F6351DF10AA5EBA1F8A38BFF9ECD88B169935B08DBC8</v>
      </c>
      <c r="I6608" t="str">
        <f>HYPERLINK("https://baanknet.com/view-property/274875/705379238CF72F6A5902F6351DF10AA5EBA1F8A38BFF9ECD88B169935B08DBC8", "Open")</f>
        <v>Open</v>
      </c>
      <c r="J6608" t="s">
        <v>3803</v>
      </c>
      <c r="L6608">
        <v>2158000</v>
      </c>
      <c r="M6608">
        <v>215800</v>
      </c>
    </row>
    <row r="6609" spans="1:13" x14ac:dyDescent="0.25">
      <c r="A6609" t="s">
        <v>21866</v>
      </c>
      <c r="B6609" t="s">
        <v>21867</v>
      </c>
      <c r="C6609" t="s">
        <v>7449</v>
      </c>
      <c r="D6609" t="s">
        <v>5171</v>
      </c>
      <c r="E6609" t="s">
        <v>3831</v>
      </c>
      <c r="F6609" t="s">
        <v>574</v>
      </c>
      <c r="G6609" t="s">
        <v>21868</v>
      </c>
      <c r="H6609" t="str">
        <f>HYPERLINK("https://baanknet.com/view-property/267983/77A81E6E17C10CEF08527C6C16125309AD6C202B836C8DB8CB4952B09A9F80EA", "https://baanknet.com/view-property/267983/77A81E6E17C10CEF08527C6C16125309AD6C202B836C8DB8CB4952B09A9F80EA")</f>
        <v>https://baanknet.com/view-property/267983/77A81E6E17C10CEF08527C6C16125309AD6C202B836C8DB8CB4952B09A9F80EA</v>
      </c>
      <c r="I6609" t="str">
        <f>HYPERLINK("https://baanknet.com/view-property/267983/77A81E6E17C10CEF08527C6C16125309AD6C202B836C8DB8CB4952B09A9F80EA", "Open")</f>
        <v>Open</v>
      </c>
      <c r="J6609" t="s">
        <v>3803</v>
      </c>
      <c r="L6609">
        <v>257000</v>
      </c>
      <c r="M6609">
        <v>25700</v>
      </c>
    </row>
    <row r="6610" spans="1:13" x14ac:dyDescent="0.25">
      <c r="A6610" t="s">
        <v>21869</v>
      </c>
      <c r="B6610" t="s">
        <v>21870</v>
      </c>
      <c r="C6610" t="s">
        <v>7449</v>
      </c>
      <c r="D6610" t="s">
        <v>5171</v>
      </c>
      <c r="E6610" t="s">
        <v>3831</v>
      </c>
      <c r="F6610" t="s">
        <v>574</v>
      </c>
      <c r="G6610" t="s">
        <v>21871</v>
      </c>
      <c r="H6610" t="str">
        <f>HYPERLINK("https://baanknet.com/view-property/256781/284D18962E978FE2BEA2B453DE5277F4BE3E2D6EA700D5DE6C2C746DC8BD113A", "https://baanknet.com/view-property/256781/284D18962E978FE2BEA2B453DE5277F4BE3E2D6EA700D5DE6C2C746DC8BD113A")</f>
        <v>https://baanknet.com/view-property/256781/284D18962E978FE2BEA2B453DE5277F4BE3E2D6EA700D5DE6C2C746DC8BD113A</v>
      </c>
      <c r="I6610" t="str">
        <f>HYPERLINK("https://baanknet.com/view-property/256781/284D18962E978FE2BEA2B453DE5277F4BE3E2D6EA700D5DE6C2C746DC8BD113A", "Open")</f>
        <v>Open</v>
      </c>
      <c r="J6610" t="s">
        <v>3803</v>
      </c>
      <c r="L6610">
        <v>1049000</v>
      </c>
      <c r="M6610">
        <v>104900</v>
      </c>
    </row>
    <row r="6611" spans="1:13" x14ac:dyDescent="0.25">
      <c r="A6611" t="s">
        <v>21872</v>
      </c>
      <c r="B6611" t="s">
        <v>21873</v>
      </c>
      <c r="C6611" t="s">
        <v>7449</v>
      </c>
      <c r="D6611" t="s">
        <v>5171</v>
      </c>
      <c r="E6611" t="s">
        <v>3831</v>
      </c>
      <c r="F6611" t="s">
        <v>574</v>
      </c>
      <c r="G6611" t="s">
        <v>21874</v>
      </c>
      <c r="H6611" t="str">
        <f>HYPERLINK("https://baanknet.com/view-property/245635/3835C6FFA7C85A7E370BD6C5DCD5EC17EBE3489AA91F537125800A62757D97AF", "https://baanknet.com/view-property/245635/3835C6FFA7C85A7E370BD6C5DCD5EC17EBE3489AA91F537125800A62757D97AF")</f>
        <v>https://baanknet.com/view-property/245635/3835C6FFA7C85A7E370BD6C5DCD5EC17EBE3489AA91F537125800A62757D97AF</v>
      </c>
      <c r="I6611" t="str">
        <f>HYPERLINK("https://baanknet.com/view-property/245635/3835C6FFA7C85A7E370BD6C5DCD5EC17EBE3489AA91F537125800A62757D97AF", "Open")</f>
        <v>Open</v>
      </c>
      <c r="J6611" t="s">
        <v>3803</v>
      </c>
      <c r="L6611">
        <v>4631000</v>
      </c>
      <c r="M6611">
        <v>463100</v>
      </c>
    </row>
    <row r="6612" spans="1:13" x14ac:dyDescent="0.25">
      <c r="A6612" t="s">
        <v>21875</v>
      </c>
      <c r="B6612" t="s">
        <v>21876</v>
      </c>
      <c r="C6612" t="s">
        <v>15</v>
      </c>
      <c r="D6612" t="s">
        <v>309</v>
      </c>
      <c r="E6612" t="s">
        <v>7517</v>
      </c>
      <c r="F6612" t="s">
        <v>7521</v>
      </c>
      <c r="G6612" t="s">
        <v>21877</v>
      </c>
      <c r="H6612" t="str">
        <f>HYPERLINK("https://baanknet.com/view-property/203415/9374C3DCCDD3DFECEEE69664F5A7A82B50F237FA6E6BA3BD7FC153E8F1982719", "https://baanknet.com/view-property/203415/9374C3DCCDD3DFECEEE69664F5A7A82B50F237FA6E6BA3BD7FC153E8F1982719")</f>
        <v>https://baanknet.com/view-property/203415/9374C3DCCDD3DFECEEE69664F5A7A82B50F237FA6E6BA3BD7FC153E8F1982719</v>
      </c>
      <c r="I6612" t="str">
        <f>HYPERLINK("https://baanknet.com/view-property/203415/9374C3DCCDD3DFECEEE69664F5A7A82B50F237FA6E6BA3BD7FC153E8F1982719", "Open")</f>
        <v>Open</v>
      </c>
      <c r="J6612" t="s">
        <v>3803</v>
      </c>
      <c r="L6612">
        <v>520000</v>
      </c>
      <c r="M6612">
        <v>52000</v>
      </c>
    </row>
    <row r="6613" spans="1:13" x14ac:dyDescent="0.25">
      <c r="A6613" t="s">
        <v>21878</v>
      </c>
      <c r="B6613" t="s">
        <v>21879</v>
      </c>
      <c r="C6613" t="s">
        <v>15</v>
      </c>
      <c r="D6613" t="s">
        <v>309</v>
      </c>
      <c r="E6613" t="s">
        <v>7517</v>
      </c>
      <c r="F6613" t="s">
        <v>7521</v>
      </c>
      <c r="G6613" t="s">
        <v>21880</v>
      </c>
      <c r="H6613" t="str">
        <f>HYPERLINK("https://baanknet.com/view-property/263251/48EA9DC4B312CCC2076118F2AC43A5981EAA6BB3747E9B3D3B48C5F5B539E469", "https://baanknet.com/view-property/263251/48EA9DC4B312CCC2076118F2AC43A5981EAA6BB3747E9B3D3B48C5F5B539E469")</f>
        <v>https://baanknet.com/view-property/263251/48EA9DC4B312CCC2076118F2AC43A5981EAA6BB3747E9B3D3B48C5F5B539E469</v>
      </c>
      <c r="I6613" t="str">
        <f>HYPERLINK("https://baanknet.com/view-property/263251/48EA9DC4B312CCC2076118F2AC43A5981EAA6BB3747E9B3D3B48C5F5B539E469", "Open")</f>
        <v>Open</v>
      </c>
      <c r="J6613" t="s">
        <v>3803</v>
      </c>
      <c r="L6613">
        <v>990000</v>
      </c>
      <c r="M6613">
        <v>99000</v>
      </c>
    </row>
    <row r="6614" spans="1:13" x14ac:dyDescent="0.25">
      <c r="A6614" t="s">
        <v>21881</v>
      </c>
      <c r="B6614" t="s">
        <v>21882</v>
      </c>
      <c r="C6614" t="s">
        <v>15</v>
      </c>
      <c r="D6614" t="s">
        <v>10310</v>
      </c>
      <c r="E6614" t="s">
        <v>7517</v>
      </c>
      <c r="F6614" t="s">
        <v>7521</v>
      </c>
      <c r="G6614" t="s">
        <v>21883</v>
      </c>
      <c r="H6614" t="str">
        <f>HYPERLINK("https://baanknet.com/view-property/203411/FE8CC7D96A943326881830872C75274B872FFCAD52232E5BCC9F8C001F37E1FE", "https://baanknet.com/view-property/203411/FE8CC7D96A943326881830872C75274B872FFCAD52232E5BCC9F8C001F37E1FE")</f>
        <v>https://baanknet.com/view-property/203411/FE8CC7D96A943326881830872C75274B872FFCAD52232E5BCC9F8C001F37E1FE</v>
      </c>
      <c r="I6614" t="str">
        <f>HYPERLINK("https://baanknet.com/view-property/203411/FE8CC7D96A943326881830872C75274B872FFCAD52232E5BCC9F8C001F37E1FE", "Open")</f>
        <v>Open</v>
      </c>
      <c r="J6614" t="s">
        <v>3803</v>
      </c>
      <c r="L6614">
        <v>2790000</v>
      </c>
      <c r="M6614">
        <v>279000</v>
      </c>
    </row>
    <row r="6615" spans="1:13" x14ac:dyDescent="0.25">
      <c r="A6615" t="s">
        <v>21884</v>
      </c>
      <c r="B6615" t="s">
        <v>21885</v>
      </c>
      <c r="C6615" t="s">
        <v>387</v>
      </c>
      <c r="D6615" t="s">
        <v>21886</v>
      </c>
      <c r="E6615" t="s">
        <v>11023</v>
      </c>
      <c r="F6615" t="s">
        <v>11004</v>
      </c>
      <c r="G6615" t="s">
        <v>21887</v>
      </c>
      <c r="H6615" t="str">
        <f>HYPERLINK("https://baanknet.com/view-property/170399/2228A4FAC3E5A2EE59B42DB5711876B7887A89C62360D4047ED6F176A02B52B4", "https://baanknet.com/view-property/170399/2228A4FAC3E5A2EE59B42DB5711876B7887A89C62360D4047ED6F176A02B52B4")</f>
        <v>https://baanknet.com/view-property/170399/2228A4FAC3E5A2EE59B42DB5711876B7887A89C62360D4047ED6F176A02B52B4</v>
      </c>
      <c r="I6615" t="str">
        <f>HYPERLINK("https://baanknet.com/view-property/170399/2228A4FAC3E5A2EE59B42DB5711876B7887A89C62360D4047ED6F176A02B52B4", "Open")</f>
        <v>Open</v>
      </c>
      <c r="J6615" t="s">
        <v>3803</v>
      </c>
      <c r="L6615">
        <v>4815830</v>
      </c>
      <c r="M6615">
        <v>481583</v>
      </c>
    </row>
    <row r="6616" spans="1:13" x14ac:dyDescent="0.25">
      <c r="A6616" t="s">
        <v>21888</v>
      </c>
      <c r="B6616" t="s">
        <v>21889</v>
      </c>
      <c r="C6616" t="s">
        <v>387</v>
      </c>
      <c r="D6616" t="s">
        <v>21890</v>
      </c>
      <c r="E6616" t="s">
        <v>11023</v>
      </c>
      <c r="F6616" t="s">
        <v>11010</v>
      </c>
      <c r="G6616" t="s">
        <v>21891</v>
      </c>
      <c r="H6616" t="str">
        <f>HYPERLINK("https://baanknet.com/view-property/288082/88D8A82E9B5052CF87BE7337C320D12166C7D9F948B4B9E792BFD9F6E4ECEAC5", "https://baanknet.com/view-property/288082/88D8A82E9B5052CF87BE7337C320D12166C7D9F948B4B9E792BFD9F6E4ECEAC5")</f>
        <v>https://baanknet.com/view-property/288082/88D8A82E9B5052CF87BE7337C320D12166C7D9F948B4B9E792BFD9F6E4ECEAC5</v>
      </c>
      <c r="I6616" t="str">
        <f>HYPERLINK("https://baanknet.com/view-property/288082/88D8A82E9B5052CF87BE7337C320D12166C7D9F948B4B9E792BFD9F6E4ECEAC5", "Open")</f>
        <v>Open</v>
      </c>
      <c r="J6616" t="s">
        <v>3803</v>
      </c>
      <c r="L6616">
        <v>1867000</v>
      </c>
      <c r="M6616">
        <v>186700</v>
      </c>
    </row>
    <row r="6617" spans="1:13" x14ac:dyDescent="0.25">
      <c r="A6617" t="s">
        <v>21892</v>
      </c>
      <c r="B6617" t="s">
        <v>21893</v>
      </c>
      <c r="C6617" t="s">
        <v>332</v>
      </c>
      <c r="D6617" t="s">
        <v>1310</v>
      </c>
      <c r="E6617" t="s">
        <v>11024</v>
      </c>
      <c r="F6617" t="s">
        <v>12405</v>
      </c>
      <c r="G6617" t="s">
        <v>21894</v>
      </c>
      <c r="H6617" t="str">
        <f>HYPERLINK("https://baanknet.com/view-property/275704/2DEA4B06F05A385AE9B68B0FA726BD46911796F1B15C2C2D23C46E16E25C0C3D", "https://baanknet.com/view-property/275704/2DEA4B06F05A385AE9B68B0FA726BD46911796F1B15C2C2D23C46E16E25C0C3D")</f>
        <v>https://baanknet.com/view-property/275704/2DEA4B06F05A385AE9B68B0FA726BD46911796F1B15C2C2D23C46E16E25C0C3D</v>
      </c>
      <c r="I6617" t="str">
        <f>HYPERLINK("https://baanknet.com/view-property/275704/2DEA4B06F05A385AE9B68B0FA726BD46911796F1B15C2C2D23C46E16E25C0C3D", "Open")</f>
        <v>Open</v>
      </c>
      <c r="J6617" t="s">
        <v>3803</v>
      </c>
      <c r="L6617">
        <v>53300000</v>
      </c>
      <c r="M6617">
        <v>5330000</v>
      </c>
    </row>
    <row r="6618" spans="1:13" x14ac:dyDescent="0.25">
      <c r="A6618" t="s">
        <v>21895</v>
      </c>
      <c r="B6618" t="s">
        <v>21896</v>
      </c>
      <c r="C6618" t="s">
        <v>387</v>
      </c>
      <c r="D6618" t="s">
        <v>357</v>
      </c>
      <c r="E6618" t="s">
        <v>15507</v>
      </c>
      <c r="F6618" t="s">
        <v>15608</v>
      </c>
      <c r="G6618" t="s">
        <v>21897</v>
      </c>
      <c r="H6618" t="str">
        <f>HYPERLINK("https://baanknet.com/view-property/287816/57F67B0B18D69F7B5F619F92506746346AF0DFA5C4E9B2430EF8779DD17F7F1F", "https://baanknet.com/view-property/287816/57F67B0B18D69F7B5F619F92506746346AF0DFA5C4E9B2430EF8779DD17F7F1F")</f>
        <v>https://baanknet.com/view-property/287816/57F67B0B18D69F7B5F619F92506746346AF0DFA5C4E9B2430EF8779DD17F7F1F</v>
      </c>
      <c r="I6618" t="str">
        <f>HYPERLINK("https://baanknet.com/view-property/287816/57F67B0B18D69F7B5F619F92506746346AF0DFA5C4E9B2430EF8779DD17F7F1F", "Open")</f>
        <v>Open</v>
      </c>
      <c r="J6618" t="s">
        <v>3803</v>
      </c>
      <c r="L6618">
        <v>13532400</v>
      </c>
      <c r="M6618">
        <v>1353240</v>
      </c>
    </row>
    <row r="6619" spans="1:13" x14ac:dyDescent="0.25">
      <c r="A6619" t="s">
        <v>21898</v>
      </c>
      <c r="B6619" t="s">
        <v>21899</v>
      </c>
      <c r="C6619" t="s">
        <v>121</v>
      </c>
      <c r="D6619" t="s">
        <v>122</v>
      </c>
      <c r="E6619" t="s">
        <v>15646</v>
      </c>
      <c r="F6619" t="s">
        <v>17495</v>
      </c>
      <c r="G6619" t="s">
        <v>21900</v>
      </c>
      <c r="H6619" t="str">
        <f>HYPERLINK("https://baanknet.com/view-property/268294/4EBB578B5F46F5F0C5AE713DC1F0B969D8F133F9609DFEA9BB904A0644D6FCDE", "https://baanknet.com/view-property/268294/4EBB578B5F46F5F0C5AE713DC1F0B969D8F133F9609DFEA9BB904A0644D6FCDE")</f>
        <v>https://baanknet.com/view-property/268294/4EBB578B5F46F5F0C5AE713DC1F0B969D8F133F9609DFEA9BB904A0644D6FCDE</v>
      </c>
      <c r="I6619" t="str">
        <f>HYPERLINK("https://baanknet.com/view-property/268294/4EBB578B5F46F5F0C5AE713DC1F0B969D8F133F9609DFEA9BB904A0644D6FCDE", "Open")</f>
        <v>Open</v>
      </c>
      <c r="J6619" t="s">
        <v>3803</v>
      </c>
      <c r="L6619">
        <v>3000000</v>
      </c>
      <c r="M6619">
        <v>300000</v>
      </c>
    </row>
    <row r="6620" spans="1:13" x14ac:dyDescent="0.25">
      <c r="A6620" t="s">
        <v>21901</v>
      </c>
      <c r="B6620" t="s">
        <v>21902</v>
      </c>
      <c r="C6620" t="s">
        <v>571</v>
      </c>
      <c r="D6620" t="s">
        <v>1246</v>
      </c>
      <c r="E6620" t="s">
        <v>18365</v>
      </c>
      <c r="F6620" t="s">
        <v>18401</v>
      </c>
      <c r="G6620" t="s">
        <v>21903</v>
      </c>
      <c r="H6620" t="str">
        <f>HYPERLINK("https://baanknet.com/view-property/255458/70AE163DEE64BC17C4D86B451310DDF77D9D83EF311FAB15719953535F803EAE", "https://baanknet.com/view-property/255458/70AE163DEE64BC17C4D86B451310DDF77D9D83EF311FAB15719953535F803EAE")</f>
        <v>https://baanknet.com/view-property/255458/70AE163DEE64BC17C4D86B451310DDF77D9D83EF311FAB15719953535F803EAE</v>
      </c>
      <c r="I6620" t="str">
        <f>HYPERLINK("https://baanknet.com/view-property/255458/70AE163DEE64BC17C4D86B451310DDF77D9D83EF311FAB15719953535F803EAE", "Open")</f>
        <v>Open</v>
      </c>
      <c r="J6620" t="s">
        <v>3803</v>
      </c>
      <c r="L6620">
        <v>6000000</v>
      </c>
      <c r="M6620">
        <v>600000</v>
      </c>
    </row>
    <row r="6621" spans="1:13" x14ac:dyDescent="0.25">
      <c r="A6621" t="s">
        <v>21904</v>
      </c>
      <c r="B6621" t="s">
        <v>21905</v>
      </c>
      <c r="C6621" t="s">
        <v>571</v>
      </c>
      <c r="D6621" t="s">
        <v>1246</v>
      </c>
      <c r="E6621" t="s">
        <v>18365</v>
      </c>
      <c r="F6621" t="s">
        <v>18401</v>
      </c>
      <c r="G6621" t="s">
        <v>21906</v>
      </c>
      <c r="H6621" t="str">
        <f>HYPERLINK("https://baanknet.com/view-property/255456/48CE919BA612881BDD2F71B73D34B651C369134AFFC1A54F14CCFBDB277ABE78", "https://baanknet.com/view-property/255456/48CE919BA612881BDD2F71B73D34B651C369134AFFC1A54F14CCFBDB277ABE78")</f>
        <v>https://baanknet.com/view-property/255456/48CE919BA612881BDD2F71B73D34B651C369134AFFC1A54F14CCFBDB277ABE78</v>
      </c>
      <c r="I6621" t="str">
        <f>HYPERLINK("https://baanknet.com/view-property/255456/48CE919BA612881BDD2F71B73D34B651C369134AFFC1A54F14CCFBDB277ABE78", "Open")</f>
        <v>Open</v>
      </c>
      <c r="J6621" t="s">
        <v>3803</v>
      </c>
      <c r="L6621">
        <v>6000000</v>
      </c>
      <c r="M6621">
        <v>600000</v>
      </c>
    </row>
    <row r="6622" spans="1:13" x14ac:dyDescent="0.25">
      <c r="A6622" t="s">
        <v>21907</v>
      </c>
      <c r="B6622" t="s">
        <v>21908</v>
      </c>
      <c r="C6622" t="s">
        <v>83</v>
      </c>
      <c r="D6622" t="s">
        <v>21909</v>
      </c>
      <c r="E6622" t="s">
        <v>86</v>
      </c>
      <c r="F6622" t="s">
        <v>21846</v>
      </c>
      <c r="G6622" t="s">
        <v>21910</v>
      </c>
      <c r="H6622" t="str">
        <f>HYPERLINK("https://baanknet.com/view-property/284401/A229E744A7C62141F51978C0A0B2E207B5816C1B9DAA1C58ADCC86EE6004CE29", "https://baanknet.com/view-property/284401/A229E744A7C62141F51978C0A0B2E207B5816C1B9DAA1C58ADCC86EE6004CE29")</f>
        <v>https://baanknet.com/view-property/284401/A229E744A7C62141F51978C0A0B2E207B5816C1B9DAA1C58ADCC86EE6004CE29</v>
      </c>
      <c r="I6622" t="str">
        <f>HYPERLINK("https://baanknet.com/view-property/284401/A229E744A7C62141F51978C0A0B2E207B5816C1B9DAA1C58ADCC86EE6004CE29", "Open")</f>
        <v>Open</v>
      </c>
      <c r="J6622" t="s">
        <v>20</v>
      </c>
      <c r="K6622" t="s">
        <v>21</v>
      </c>
      <c r="L6622">
        <v>880000</v>
      </c>
      <c r="M6622">
        <v>88000</v>
      </c>
    </row>
    <row r="6623" spans="1:13" x14ac:dyDescent="0.25">
      <c r="A6623" t="s">
        <v>21911</v>
      </c>
      <c r="B6623" t="s">
        <v>21912</v>
      </c>
      <c r="C6623" t="s">
        <v>83</v>
      </c>
      <c r="D6623" t="s">
        <v>21913</v>
      </c>
      <c r="E6623" t="s">
        <v>86</v>
      </c>
      <c r="F6623" t="s">
        <v>21846</v>
      </c>
      <c r="G6623" t="s">
        <v>21914</v>
      </c>
      <c r="H6623" t="str">
        <f>HYPERLINK("https://baanknet.com/view-property/284451/FC680ED275F4E13AC46A2B6264C5B1BF7A0C1A90DD0BDB065E6C6803C9598F47", "https://baanknet.com/view-property/284451/FC680ED275F4E13AC46A2B6264C5B1BF7A0C1A90DD0BDB065E6C6803C9598F47")</f>
        <v>https://baanknet.com/view-property/284451/FC680ED275F4E13AC46A2B6264C5B1BF7A0C1A90DD0BDB065E6C6803C9598F47</v>
      </c>
      <c r="I6623" t="str">
        <f>HYPERLINK("https://baanknet.com/view-property/284451/FC680ED275F4E13AC46A2B6264C5B1BF7A0C1A90DD0BDB065E6C6803C9598F47", "Open")</f>
        <v>Open</v>
      </c>
      <c r="J6623" t="s">
        <v>20</v>
      </c>
      <c r="K6623" t="s">
        <v>21</v>
      </c>
      <c r="L6623">
        <v>3518000</v>
      </c>
      <c r="M6623">
        <v>351800</v>
      </c>
    </row>
    <row r="6624" spans="1:13" x14ac:dyDescent="0.25">
      <c r="A6624" t="s">
        <v>21915</v>
      </c>
      <c r="B6624" t="s">
        <v>21916</v>
      </c>
      <c r="C6624" t="s">
        <v>83</v>
      </c>
      <c r="D6624" t="s">
        <v>1619</v>
      </c>
      <c r="E6624" t="s">
        <v>86</v>
      </c>
      <c r="F6624" t="s">
        <v>21846</v>
      </c>
      <c r="G6624" t="s">
        <v>21917</v>
      </c>
      <c r="H6624" t="str">
        <f>HYPERLINK("https://baanknet.com/view-property/284405/06D5B89E23945DA1DDB225773D298673E47DBB437DC5F2B8F238C00985BBAE96", "https://baanknet.com/view-property/284405/06D5B89E23945DA1DDB225773D298673E47DBB437DC5F2B8F238C00985BBAE96")</f>
        <v>https://baanknet.com/view-property/284405/06D5B89E23945DA1DDB225773D298673E47DBB437DC5F2B8F238C00985BBAE96</v>
      </c>
      <c r="I6624" t="str">
        <f>HYPERLINK("https://baanknet.com/view-property/284405/06D5B89E23945DA1DDB225773D298673E47DBB437DC5F2B8F238C00985BBAE96", "Open")</f>
        <v>Open</v>
      </c>
      <c r="J6624" t="s">
        <v>20</v>
      </c>
      <c r="K6624" t="s">
        <v>21</v>
      </c>
      <c r="L6624">
        <v>2000000</v>
      </c>
      <c r="M6624">
        <v>200000</v>
      </c>
    </row>
    <row r="6625" spans="1:13" x14ac:dyDescent="0.25">
      <c r="A6625" t="s">
        <v>21918</v>
      </c>
      <c r="B6625" t="s">
        <v>21919</v>
      </c>
      <c r="C6625" t="s">
        <v>83</v>
      </c>
      <c r="D6625" t="s">
        <v>509</v>
      </c>
      <c r="E6625" t="s">
        <v>86</v>
      </c>
      <c r="F6625" t="s">
        <v>21846</v>
      </c>
      <c r="G6625" t="s">
        <v>21920</v>
      </c>
      <c r="H6625" t="str">
        <f>HYPERLINK("https://baanknet.com/view-property/242590/228CE3CCFDE48A22576CE9D0973B6BB430E80790C4C9331705FB2067448F72BE", "https://baanknet.com/view-property/242590/228CE3CCFDE48A22576CE9D0973B6BB430E80790C4C9331705FB2067448F72BE")</f>
        <v>https://baanknet.com/view-property/242590/228CE3CCFDE48A22576CE9D0973B6BB430E80790C4C9331705FB2067448F72BE</v>
      </c>
      <c r="I6625" t="str">
        <f>HYPERLINK("https://baanknet.com/view-property/242590/228CE3CCFDE48A22576CE9D0973B6BB430E80790C4C9331705FB2067448F72BE", "Open")</f>
        <v>Open</v>
      </c>
      <c r="J6625" t="s">
        <v>20</v>
      </c>
      <c r="K6625" t="s">
        <v>21</v>
      </c>
      <c r="L6625">
        <v>12338100</v>
      </c>
      <c r="M6625">
        <v>1233810</v>
      </c>
    </row>
    <row r="6626" spans="1:13" x14ac:dyDescent="0.25">
      <c r="A6626" t="s">
        <v>21921</v>
      </c>
      <c r="B6626" t="s">
        <v>21922</v>
      </c>
      <c r="C6626" t="s">
        <v>83</v>
      </c>
      <c r="D6626" t="s">
        <v>509</v>
      </c>
      <c r="E6626" t="s">
        <v>86</v>
      </c>
      <c r="F6626" t="s">
        <v>21846</v>
      </c>
      <c r="G6626" t="s">
        <v>21923</v>
      </c>
      <c r="H6626" t="str">
        <f>HYPERLINK("https://baanknet.com/view-property/203406/4D0F064FDF10BA86A6DEF1CB55A56ABB7DA4544AA3B7EE19AA78E3C36130A718", "https://baanknet.com/view-property/203406/4D0F064FDF10BA86A6DEF1CB55A56ABB7DA4544AA3B7EE19AA78E3C36130A718")</f>
        <v>https://baanknet.com/view-property/203406/4D0F064FDF10BA86A6DEF1CB55A56ABB7DA4544AA3B7EE19AA78E3C36130A718</v>
      </c>
      <c r="I6626" t="str">
        <f>HYPERLINK("https://baanknet.com/view-property/203406/4D0F064FDF10BA86A6DEF1CB55A56ABB7DA4544AA3B7EE19AA78E3C36130A718", "Open")</f>
        <v>Open</v>
      </c>
      <c r="J6626" t="s">
        <v>20</v>
      </c>
      <c r="K6626" t="s">
        <v>21</v>
      </c>
      <c r="L6626">
        <v>877500</v>
      </c>
      <c r="M6626">
        <v>87750</v>
      </c>
    </row>
    <row r="6627" spans="1:13" x14ac:dyDescent="0.25">
      <c r="A6627" t="s">
        <v>21924</v>
      </c>
      <c r="B6627" t="s">
        <v>21925</v>
      </c>
      <c r="C6627" t="s">
        <v>83</v>
      </c>
      <c r="D6627" t="s">
        <v>509</v>
      </c>
      <c r="E6627" t="s">
        <v>86</v>
      </c>
      <c r="F6627" t="s">
        <v>21846</v>
      </c>
      <c r="G6627" t="s">
        <v>21926</v>
      </c>
      <c r="H6627" t="str">
        <f>HYPERLINK("https://baanknet.com/view-property/284700/AFC027C307C6BC65AC7B48D8ED8B1C628C69E68AA7B431D33F1807F000C9B4FE", "https://baanknet.com/view-property/284700/AFC027C307C6BC65AC7B48D8ED8B1C628C69E68AA7B431D33F1807F000C9B4FE")</f>
        <v>https://baanknet.com/view-property/284700/AFC027C307C6BC65AC7B48D8ED8B1C628C69E68AA7B431D33F1807F000C9B4FE</v>
      </c>
      <c r="I6627" t="str">
        <f>HYPERLINK("https://baanknet.com/view-property/284700/AFC027C307C6BC65AC7B48D8ED8B1C628C69E68AA7B431D33F1807F000C9B4FE", "Open")</f>
        <v>Open</v>
      </c>
      <c r="J6627" t="s">
        <v>20</v>
      </c>
      <c r="K6627" t="s">
        <v>21</v>
      </c>
      <c r="L6627">
        <v>877500</v>
      </c>
      <c r="M6627">
        <v>87750</v>
      </c>
    </row>
    <row r="6628" spans="1:13" x14ac:dyDescent="0.25">
      <c r="A6628" t="s">
        <v>21927</v>
      </c>
      <c r="B6628" t="s">
        <v>21928</v>
      </c>
      <c r="C6628" t="s">
        <v>83</v>
      </c>
      <c r="D6628" t="s">
        <v>509</v>
      </c>
      <c r="E6628" t="s">
        <v>86</v>
      </c>
      <c r="F6628" t="s">
        <v>21846</v>
      </c>
      <c r="G6628" t="s">
        <v>21929</v>
      </c>
      <c r="H6628" t="str">
        <f>HYPERLINK("https://baanknet.com/view-property/242595/4318108D19C2071CA9D383D9011329F6DD72D3E86A6AEDDCBE5F1450134C8A7A", "https://baanknet.com/view-property/242595/4318108D19C2071CA9D383D9011329F6DD72D3E86A6AEDDCBE5F1450134C8A7A")</f>
        <v>https://baanknet.com/view-property/242595/4318108D19C2071CA9D383D9011329F6DD72D3E86A6AEDDCBE5F1450134C8A7A</v>
      </c>
      <c r="I6628" t="str">
        <f>HYPERLINK("https://baanknet.com/view-property/242595/4318108D19C2071CA9D383D9011329F6DD72D3E86A6AEDDCBE5F1450134C8A7A", "Open")</f>
        <v>Open</v>
      </c>
      <c r="J6628" t="s">
        <v>20</v>
      </c>
      <c r="K6628" t="s">
        <v>21</v>
      </c>
      <c r="L6628">
        <v>1815840</v>
      </c>
      <c r="M6628">
        <v>181584</v>
      </c>
    </row>
    <row r="6629" spans="1:13" x14ac:dyDescent="0.25">
      <c r="A6629" t="s">
        <v>21930</v>
      </c>
      <c r="B6629" t="s">
        <v>21931</v>
      </c>
      <c r="C6629" t="s">
        <v>83</v>
      </c>
      <c r="D6629" t="s">
        <v>509</v>
      </c>
      <c r="E6629" t="s">
        <v>86</v>
      </c>
      <c r="F6629" t="s">
        <v>21846</v>
      </c>
      <c r="G6629" t="s">
        <v>21932</v>
      </c>
      <c r="H6629" t="str">
        <f>HYPERLINK("https://baanknet.com/view-property/284433/8BB97184D54FBDFF74B857546AD337ECED7C78A78D6767D167583CA2191DE84C", "https://baanknet.com/view-property/284433/8BB97184D54FBDFF74B857546AD337ECED7C78A78D6767D167583CA2191DE84C")</f>
        <v>https://baanknet.com/view-property/284433/8BB97184D54FBDFF74B857546AD337ECED7C78A78D6767D167583CA2191DE84C</v>
      </c>
      <c r="I6629" t="str">
        <f>HYPERLINK("https://baanknet.com/view-property/284433/8BB97184D54FBDFF74B857546AD337ECED7C78A78D6767D167583CA2191DE84C", "Open")</f>
        <v>Open</v>
      </c>
      <c r="J6629" t="s">
        <v>20</v>
      </c>
      <c r="K6629" t="s">
        <v>21</v>
      </c>
      <c r="L6629">
        <v>1253750</v>
      </c>
      <c r="M6629">
        <v>125375</v>
      </c>
    </row>
    <row r="6630" spans="1:13" x14ac:dyDescent="0.25">
      <c r="A6630" t="s">
        <v>21933</v>
      </c>
      <c r="B6630" t="s">
        <v>21934</v>
      </c>
      <c r="C6630" t="s">
        <v>83</v>
      </c>
      <c r="D6630" t="s">
        <v>509</v>
      </c>
      <c r="E6630" t="s">
        <v>86</v>
      </c>
      <c r="F6630" t="s">
        <v>21846</v>
      </c>
      <c r="G6630" t="s">
        <v>21935</v>
      </c>
      <c r="H6630" t="str">
        <f>HYPERLINK("https://baanknet.com/view-property/284431/7961662FFDEBC6F0E00E1697D45AB4CA0A8B579D57891A022BBFA5D931593A06", "https://baanknet.com/view-property/284431/7961662FFDEBC6F0E00E1697D45AB4CA0A8B579D57891A022BBFA5D931593A06")</f>
        <v>https://baanknet.com/view-property/284431/7961662FFDEBC6F0E00E1697D45AB4CA0A8B579D57891A022BBFA5D931593A06</v>
      </c>
      <c r="I6630" t="str">
        <f>HYPERLINK("https://baanknet.com/view-property/284431/7961662FFDEBC6F0E00E1697D45AB4CA0A8B579D57891A022BBFA5D931593A06", "Open")</f>
        <v>Open</v>
      </c>
      <c r="J6630" t="s">
        <v>20</v>
      </c>
      <c r="K6630" t="s">
        <v>21</v>
      </c>
      <c r="L6630">
        <v>1918450</v>
      </c>
      <c r="M6630">
        <v>191845</v>
      </c>
    </row>
    <row r="6631" spans="1:13" x14ac:dyDescent="0.25">
      <c r="A6631" t="s">
        <v>21936</v>
      </c>
      <c r="B6631" t="s">
        <v>21937</v>
      </c>
      <c r="C6631" t="s">
        <v>83</v>
      </c>
      <c r="D6631" t="s">
        <v>509</v>
      </c>
      <c r="E6631" t="s">
        <v>86</v>
      </c>
      <c r="F6631" t="s">
        <v>21846</v>
      </c>
      <c r="G6631" t="s">
        <v>21938</v>
      </c>
      <c r="H6631" t="str">
        <f>HYPERLINK("https://baanknet.com/view-property/284427/45CBA5BF69F64DB053CBB11B928A2FBDE1C4015B9C0434EDE2F66D9CDA9CD9F5", "https://baanknet.com/view-property/284427/45CBA5BF69F64DB053CBB11B928A2FBDE1C4015B9C0434EDE2F66D9CDA9CD9F5")</f>
        <v>https://baanknet.com/view-property/284427/45CBA5BF69F64DB053CBB11B928A2FBDE1C4015B9C0434EDE2F66D9CDA9CD9F5</v>
      </c>
      <c r="I6631" t="str">
        <f>HYPERLINK("https://baanknet.com/view-property/284427/45CBA5BF69F64DB053CBB11B928A2FBDE1C4015B9C0434EDE2F66D9CDA9CD9F5", "Open")</f>
        <v>Open</v>
      </c>
      <c r="J6631" t="s">
        <v>20</v>
      </c>
      <c r="K6631" t="s">
        <v>21</v>
      </c>
      <c r="L6631">
        <v>1104618</v>
      </c>
      <c r="M6631">
        <v>110461.8</v>
      </c>
    </row>
    <row r="6632" spans="1:13" x14ac:dyDescent="0.25">
      <c r="A6632" t="s">
        <v>21939</v>
      </c>
      <c r="B6632" t="s">
        <v>21940</v>
      </c>
      <c r="C6632" t="s">
        <v>83</v>
      </c>
      <c r="D6632" t="s">
        <v>509</v>
      </c>
      <c r="E6632" t="s">
        <v>86</v>
      </c>
      <c r="F6632" t="s">
        <v>21846</v>
      </c>
      <c r="G6632" t="s">
        <v>21941</v>
      </c>
      <c r="H6632" t="str">
        <f>HYPERLINK("https://baanknet.com/view-property/284425/D75BEF274807EF847500BC6FB35B4377AE329C51D4634E325EBE2AE4370C09C6", "https://baanknet.com/view-property/284425/D75BEF274807EF847500BC6FB35B4377AE329C51D4634E325EBE2AE4370C09C6")</f>
        <v>https://baanknet.com/view-property/284425/D75BEF274807EF847500BC6FB35B4377AE329C51D4634E325EBE2AE4370C09C6</v>
      </c>
      <c r="I6632" t="str">
        <f>HYPERLINK("https://baanknet.com/view-property/284425/D75BEF274807EF847500BC6FB35B4377AE329C51D4634E325EBE2AE4370C09C6", "Open")</f>
        <v>Open</v>
      </c>
      <c r="J6632" t="s">
        <v>20</v>
      </c>
      <c r="K6632" t="s">
        <v>21</v>
      </c>
      <c r="L6632">
        <v>1442903</v>
      </c>
      <c r="M6632">
        <v>144290.29999999999</v>
      </c>
    </row>
    <row r="6633" spans="1:13" x14ac:dyDescent="0.25">
      <c r="A6633" t="s">
        <v>21942</v>
      </c>
      <c r="B6633" t="s">
        <v>21943</v>
      </c>
      <c r="C6633" t="s">
        <v>121</v>
      </c>
      <c r="D6633" t="s">
        <v>149</v>
      </c>
      <c r="E6633" t="s">
        <v>654</v>
      </c>
      <c r="F6633" t="s">
        <v>334</v>
      </c>
      <c r="G6633" t="s">
        <v>21944</v>
      </c>
      <c r="H6633" t="str">
        <f>HYPERLINK("https://baanknet.com/view-property/287773/B7447DAEE89FB21AAFC36D2A568C4A636AB345660D9AE501FF339B2CF3D47CEF", "https://baanknet.com/view-property/287773/B7447DAEE89FB21AAFC36D2A568C4A636AB345660D9AE501FF339B2CF3D47CEF")</f>
        <v>https://baanknet.com/view-property/287773/B7447DAEE89FB21AAFC36D2A568C4A636AB345660D9AE501FF339B2CF3D47CEF</v>
      </c>
      <c r="I6633" t="str">
        <f>HYPERLINK("https://baanknet.com/view-property/287773/B7447DAEE89FB21AAFC36D2A568C4A636AB345660D9AE501FF339B2CF3D47CEF", "Open")</f>
        <v>Open</v>
      </c>
      <c r="J6633" t="s">
        <v>20</v>
      </c>
      <c r="K6633" t="s">
        <v>21</v>
      </c>
      <c r="L6633">
        <v>2536000</v>
      </c>
      <c r="M6633">
        <v>253600</v>
      </c>
    </row>
    <row r="6634" spans="1:13" x14ac:dyDescent="0.25">
      <c r="A6634" t="s">
        <v>21945</v>
      </c>
      <c r="B6634" t="s">
        <v>21946</v>
      </c>
      <c r="C6634" t="s">
        <v>121</v>
      </c>
      <c r="D6634" t="s">
        <v>21947</v>
      </c>
      <c r="E6634" t="s">
        <v>654</v>
      </c>
      <c r="F6634" t="s">
        <v>334</v>
      </c>
      <c r="G6634" t="s">
        <v>21948</v>
      </c>
      <c r="H6634" t="str">
        <f>HYPERLINK("https://baanknet.com/view-property/277843/D976B46A6C3FC8AD519CE3B9531ED25CC2B3A2A62ADF606E7D299E3465795668", "https://baanknet.com/view-property/277843/D976B46A6C3FC8AD519CE3B9531ED25CC2B3A2A62ADF606E7D299E3465795668")</f>
        <v>https://baanknet.com/view-property/277843/D976B46A6C3FC8AD519CE3B9531ED25CC2B3A2A62ADF606E7D299E3465795668</v>
      </c>
      <c r="I6634" t="str">
        <f>HYPERLINK("https://baanknet.com/view-property/277843/D976B46A6C3FC8AD519CE3B9531ED25CC2B3A2A62ADF606E7D299E3465795668", "Open")</f>
        <v>Open</v>
      </c>
      <c r="J6634" t="s">
        <v>20</v>
      </c>
      <c r="K6634" t="s">
        <v>21</v>
      </c>
      <c r="L6634">
        <v>3930000</v>
      </c>
      <c r="M6634">
        <v>393000</v>
      </c>
    </row>
    <row r="6635" spans="1:13" x14ac:dyDescent="0.25">
      <c r="A6635" t="s">
        <v>21949</v>
      </c>
      <c r="B6635" t="s">
        <v>21950</v>
      </c>
      <c r="C6635" t="s">
        <v>121</v>
      </c>
      <c r="D6635" t="s">
        <v>8345</v>
      </c>
      <c r="E6635" t="s">
        <v>654</v>
      </c>
      <c r="F6635" t="s">
        <v>334</v>
      </c>
      <c r="G6635" t="s">
        <v>21951</v>
      </c>
      <c r="H6635" t="str">
        <f>HYPERLINK("https://baanknet.com/view-property/179864/ADAFCD759C607B9F031EE6C4510599E9F1755553C56AD950BD236FC065F9C702", "https://baanknet.com/view-property/179864/ADAFCD759C607B9F031EE6C4510599E9F1755553C56AD950BD236FC065F9C702")</f>
        <v>https://baanknet.com/view-property/179864/ADAFCD759C607B9F031EE6C4510599E9F1755553C56AD950BD236FC065F9C702</v>
      </c>
      <c r="I6635" t="str">
        <f>HYPERLINK("https://baanknet.com/view-property/179864/ADAFCD759C607B9F031EE6C4510599E9F1755553C56AD950BD236FC065F9C702", "Open")</f>
        <v>Open</v>
      </c>
      <c r="J6635" t="s">
        <v>20</v>
      </c>
      <c r="K6635" t="s">
        <v>21</v>
      </c>
      <c r="L6635">
        <v>1743000</v>
      </c>
      <c r="M6635">
        <v>175000</v>
      </c>
    </row>
    <row r="6636" spans="1:13" x14ac:dyDescent="0.25">
      <c r="A6636" t="s">
        <v>21952</v>
      </c>
      <c r="B6636" t="s">
        <v>21953</v>
      </c>
      <c r="C6636" t="s">
        <v>83</v>
      </c>
      <c r="D6636" t="s">
        <v>509</v>
      </c>
      <c r="E6636" t="s">
        <v>86</v>
      </c>
      <c r="F6636" t="s">
        <v>21846</v>
      </c>
      <c r="G6636" t="s">
        <v>21954</v>
      </c>
      <c r="H6636" t="str">
        <f>HYPERLINK("https://baanknet.com/view-property/284428/0451264A2A9E7463DC445314EC2D4B88BF6DCAB751B39D3CA06D62C2D5B25970", "https://baanknet.com/view-property/284428/0451264A2A9E7463DC445314EC2D4B88BF6DCAB751B39D3CA06D62C2D5B25970")</f>
        <v>https://baanknet.com/view-property/284428/0451264A2A9E7463DC445314EC2D4B88BF6DCAB751B39D3CA06D62C2D5B25970</v>
      </c>
      <c r="I6636" t="str">
        <f>HYPERLINK("https://baanknet.com/view-property/284428/0451264A2A9E7463DC445314EC2D4B88BF6DCAB751B39D3CA06D62C2D5B25970", "Open")</f>
        <v>Open</v>
      </c>
      <c r="J6636" t="s">
        <v>20</v>
      </c>
      <c r="K6636" t="s">
        <v>21</v>
      </c>
      <c r="L6636">
        <v>1802250</v>
      </c>
      <c r="M6636">
        <v>180225</v>
      </c>
    </row>
    <row r="6637" spans="1:13" x14ac:dyDescent="0.25">
      <c r="A6637" t="s">
        <v>21955</v>
      </c>
      <c r="B6637" t="s">
        <v>21956</v>
      </c>
      <c r="C6637" t="s">
        <v>83</v>
      </c>
      <c r="D6637" t="s">
        <v>509</v>
      </c>
      <c r="E6637" t="s">
        <v>86</v>
      </c>
      <c r="F6637" t="s">
        <v>21846</v>
      </c>
      <c r="G6637" t="s">
        <v>21957</v>
      </c>
      <c r="H6637" t="str">
        <f>HYPERLINK("https://baanknet.com/view-property/284424/649708B721D3DA03841BCC9425268CA3B6476807610134C66313EA8E8CAE11D9", "https://baanknet.com/view-property/284424/649708B721D3DA03841BCC9425268CA3B6476807610134C66313EA8E8CAE11D9")</f>
        <v>https://baanknet.com/view-property/284424/649708B721D3DA03841BCC9425268CA3B6476807610134C66313EA8E8CAE11D9</v>
      </c>
      <c r="I6637" t="str">
        <f>HYPERLINK("https://baanknet.com/view-property/284424/649708B721D3DA03841BCC9425268CA3B6476807610134C66313EA8E8CAE11D9", "Open")</f>
        <v>Open</v>
      </c>
      <c r="J6637" t="s">
        <v>20</v>
      </c>
      <c r="K6637" t="s">
        <v>21</v>
      </c>
      <c r="L6637">
        <v>591090</v>
      </c>
      <c r="M6637">
        <v>59109</v>
      </c>
    </row>
    <row r="6638" spans="1:13" x14ac:dyDescent="0.25">
      <c r="A6638" t="s">
        <v>21958</v>
      </c>
      <c r="B6638" t="s">
        <v>21959</v>
      </c>
      <c r="C6638" t="s">
        <v>83</v>
      </c>
      <c r="D6638" t="s">
        <v>509</v>
      </c>
      <c r="E6638" t="s">
        <v>86</v>
      </c>
      <c r="F6638" t="s">
        <v>21846</v>
      </c>
      <c r="G6638" t="s">
        <v>21960</v>
      </c>
      <c r="H6638" t="str">
        <f>HYPERLINK("https://baanknet.com/view-property/284742/42E231F5C2662C7A12489294423E4047ACD385EF4525CCB08F5BF50D7E88EF54", "https://baanknet.com/view-property/284742/42E231F5C2662C7A12489294423E4047ACD385EF4525CCB08F5BF50D7E88EF54")</f>
        <v>https://baanknet.com/view-property/284742/42E231F5C2662C7A12489294423E4047ACD385EF4525CCB08F5BF50D7E88EF54</v>
      </c>
      <c r="I6638" t="str">
        <f>HYPERLINK("https://baanknet.com/view-property/284742/42E231F5C2662C7A12489294423E4047ACD385EF4525CCB08F5BF50D7E88EF54", "Open")</f>
        <v>Open</v>
      </c>
      <c r="J6638" t="s">
        <v>20</v>
      </c>
      <c r="K6638" t="s">
        <v>21</v>
      </c>
      <c r="L6638">
        <v>954360</v>
      </c>
      <c r="M6638">
        <v>95436</v>
      </c>
    </row>
    <row r="6639" spans="1:13" x14ac:dyDescent="0.25">
      <c r="A6639" t="s">
        <v>21961</v>
      </c>
      <c r="B6639" t="s">
        <v>21962</v>
      </c>
      <c r="C6639" t="s">
        <v>83</v>
      </c>
      <c r="D6639" t="s">
        <v>509</v>
      </c>
      <c r="E6639" t="s">
        <v>86</v>
      </c>
      <c r="F6639" t="s">
        <v>21846</v>
      </c>
      <c r="G6639" t="s">
        <v>21963</v>
      </c>
      <c r="H6639" t="str">
        <f>HYPERLINK("https://baanknet.com/view-property/284746/B7BBCA4102CBAB70280B33EDE182776A1C7626B89556CF5DC5C1C7B67D31ACF1", "https://baanknet.com/view-property/284746/B7BBCA4102CBAB70280B33EDE182776A1C7626B89556CF5DC5C1C7B67D31ACF1")</f>
        <v>https://baanknet.com/view-property/284746/B7BBCA4102CBAB70280B33EDE182776A1C7626B89556CF5DC5C1C7B67D31ACF1</v>
      </c>
      <c r="I6639" t="str">
        <f>HYPERLINK("https://baanknet.com/view-property/284746/B7BBCA4102CBAB70280B33EDE182776A1C7626B89556CF5DC5C1C7B67D31ACF1", "Open")</f>
        <v>Open</v>
      </c>
      <c r="J6639" t="s">
        <v>20</v>
      </c>
      <c r="K6639" t="s">
        <v>21</v>
      </c>
      <c r="L6639">
        <v>997740</v>
      </c>
      <c r="M6639">
        <v>99774</v>
      </c>
    </row>
    <row r="6640" spans="1:13" x14ac:dyDescent="0.25">
      <c r="A6640" t="s">
        <v>21964</v>
      </c>
      <c r="B6640" t="s">
        <v>21965</v>
      </c>
      <c r="C6640" t="s">
        <v>83</v>
      </c>
      <c r="D6640" t="s">
        <v>509</v>
      </c>
      <c r="E6640" t="s">
        <v>86</v>
      </c>
      <c r="F6640" t="s">
        <v>21846</v>
      </c>
      <c r="G6640" t="s">
        <v>21966</v>
      </c>
      <c r="H6640" t="str">
        <f>HYPERLINK("https://baanknet.com/view-property/242596/07D66E4E169AF704B6C91803F559FD8B4911DADE53C8A0AA9A54DA28DFB699FA", "https://baanknet.com/view-property/242596/07D66E4E169AF704B6C91803F559FD8B4911DADE53C8A0AA9A54DA28DFB699FA")</f>
        <v>https://baanknet.com/view-property/242596/07D66E4E169AF704B6C91803F559FD8B4911DADE53C8A0AA9A54DA28DFB699FA</v>
      </c>
      <c r="I6640" t="str">
        <f>HYPERLINK("https://baanknet.com/view-property/242596/07D66E4E169AF704B6C91803F559FD8B4911DADE53C8A0AA9A54DA28DFB699FA", "Open")</f>
        <v>Open</v>
      </c>
      <c r="J6640" t="s">
        <v>20</v>
      </c>
      <c r="K6640" t="s">
        <v>21</v>
      </c>
      <c r="L6640">
        <v>1009800</v>
      </c>
      <c r="M6640">
        <v>100980</v>
      </c>
    </row>
    <row r="6641" spans="1:13" x14ac:dyDescent="0.25">
      <c r="A6641" t="s">
        <v>21967</v>
      </c>
      <c r="B6641" t="s">
        <v>21968</v>
      </c>
      <c r="C6641" t="s">
        <v>83</v>
      </c>
      <c r="D6641" t="s">
        <v>509</v>
      </c>
      <c r="E6641" t="s">
        <v>86</v>
      </c>
      <c r="F6641" t="s">
        <v>21846</v>
      </c>
      <c r="G6641" t="s">
        <v>21969</v>
      </c>
      <c r="H6641" t="str">
        <f>HYPERLINK("https://baanknet.com/view-property/284819/23028AD9B3E245E34D6DEC185E8DC80C8FB6825303191489F54FE54926947AF2", "https://baanknet.com/view-property/284819/23028AD9B3E245E34D6DEC185E8DC80C8FB6825303191489F54FE54926947AF2")</f>
        <v>https://baanknet.com/view-property/284819/23028AD9B3E245E34D6DEC185E8DC80C8FB6825303191489F54FE54926947AF2</v>
      </c>
      <c r="I6641" t="str">
        <f>HYPERLINK("https://baanknet.com/view-property/284819/23028AD9B3E245E34D6DEC185E8DC80C8FB6825303191489F54FE54926947AF2", "Open")</f>
        <v>Open</v>
      </c>
      <c r="J6641" t="s">
        <v>20</v>
      </c>
      <c r="K6641" t="s">
        <v>21</v>
      </c>
      <c r="L6641">
        <v>591300</v>
      </c>
      <c r="M6641">
        <v>59130</v>
      </c>
    </row>
    <row r="6642" spans="1:13" x14ac:dyDescent="0.25">
      <c r="A6642" t="s">
        <v>21970</v>
      </c>
      <c r="B6642" t="s">
        <v>21971</v>
      </c>
      <c r="C6642" t="s">
        <v>594</v>
      </c>
      <c r="D6642" t="s">
        <v>21972</v>
      </c>
      <c r="E6642" t="s">
        <v>596</v>
      </c>
      <c r="F6642" t="s">
        <v>574</v>
      </c>
      <c r="G6642" t="s">
        <v>21973</v>
      </c>
      <c r="H6642" t="str">
        <f>HYPERLINK("https://baanknet.com/view-property/277797/1BAF6218A5E4F832B0C4C16F8C7640080D45394FEC051E858BF6FE53740581D6", "https://baanknet.com/view-property/277797/1BAF6218A5E4F832B0C4C16F8C7640080D45394FEC051E858BF6FE53740581D6")</f>
        <v>https://baanknet.com/view-property/277797/1BAF6218A5E4F832B0C4C16F8C7640080D45394FEC051E858BF6FE53740581D6</v>
      </c>
      <c r="I6642" t="str">
        <f>HYPERLINK("https://baanknet.com/view-property/277797/1BAF6218A5E4F832B0C4C16F8C7640080D45394FEC051E858BF6FE53740581D6", "Open")</f>
        <v>Open</v>
      </c>
      <c r="J6642" t="s">
        <v>3803</v>
      </c>
      <c r="L6642">
        <v>2159850</v>
      </c>
      <c r="M6642">
        <v>215985</v>
      </c>
    </row>
    <row r="6643" spans="1:13" x14ac:dyDescent="0.25">
      <c r="A6643" t="s">
        <v>21974</v>
      </c>
      <c r="B6643" t="s">
        <v>21975</v>
      </c>
      <c r="C6643" t="s">
        <v>594</v>
      </c>
      <c r="D6643" t="s">
        <v>14125</v>
      </c>
      <c r="E6643" t="s">
        <v>596</v>
      </c>
      <c r="F6643" t="s">
        <v>574</v>
      </c>
      <c r="G6643" t="s">
        <v>21976</v>
      </c>
      <c r="H6643" t="str">
        <f>HYPERLINK("https://baanknet.com/view-property/123159/B7AE4DCAFE0CB8E09495537C6A63017C4AF5C8981A0EA7937AC8C1A21F1E6ACA", "https://baanknet.com/view-property/123159/B7AE4DCAFE0CB8E09495537C6A63017C4AF5C8981A0EA7937AC8C1A21F1E6ACA")</f>
        <v>https://baanknet.com/view-property/123159/B7AE4DCAFE0CB8E09495537C6A63017C4AF5C8981A0EA7937AC8C1A21F1E6ACA</v>
      </c>
      <c r="I6643" t="str">
        <f>HYPERLINK("https://baanknet.com/view-property/123159/B7AE4DCAFE0CB8E09495537C6A63017C4AF5C8981A0EA7937AC8C1A21F1E6ACA", "Open")</f>
        <v>Open</v>
      </c>
      <c r="J6643" t="s">
        <v>3803</v>
      </c>
      <c r="L6643">
        <v>4072500</v>
      </c>
      <c r="M6643">
        <v>407250</v>
      </c>
    </row>
    <row r="6644" spans="1:13" x14ac:dyDescent="0.25">
      <c r="A6644" t="s">
        <v>21977</v>
      </c>
      <c r="B6644" t="s">
        <v>21978</v>
      </c>
      <c r="C6644" t="s">
        <v>332</v>
      </c>
      <c r="D6644" t="s">
        <v>10533</v>
      </c>
      <c r="E6644" t="s">
        <v>623</v>
      </c>
      <c r="F6644" t="s">
        <v>7521</v>
      </c>
      <c r="G6644" t="s">
        <v>21979</v>
      </c>
      <c r="H6644" t="str">
        <f>HYPERLINK("https://baanknet.com/view-property/250564/FD9F7C894D4524B845BA8F35D144743FA7A2F21A5D104A5F81F29FE78B86CE51", "https://baanknet.com/view-property/250564/FD9F7C894D4524B845BA8F35D144743FA7A2F21A5D104A5F81F29FE78B86CE51")</f>
        <v>https://baanknet.com/view-property/250564/FD9F7C894D4524B845BA8F35D144743FA7A2F21A5D104A5F81F29FE78B86CE51</v>
      </c>
      <c r="I6644" t="str">
        <f>HYPERLINK("https://baanknet.com/view-property/250564/FD9F7C894D4524B845BA8F35D144743FA7A2F21A5D104A5F81F29FE78B86CE51", "Open")</f>
        <v>Open</v>
      </c>
      <c r="J6644" t="s">
        <v>3803</v>
      </c>
      <c r="L6644">
        <v>660250</v>
      </c>
      <c r="M6644">
        <v>66025</v>
      </c>
    </row>
    <row r="6645" spans="1:13" x14ac:dyDescent="0.25">
      <c r="A6645" t="s">
        <v>21980</v>
      </c>
      <c r="B6645" t="s">
        <v>21981</v>
      </c>
      <c r="C6645" t="s">
        <v>7449</v>
      </c>
      <c r="D6645" t="s">
        <v>518</v>
      </c>
      <c r="E6645" t="s">
        <v>11023</v>
      </c>
      <c r="F6645" t="s">
        <v>11430</v>
      </c>
      <c r="G6645" t="s">
        <v>21982</v>
      </c>
      <c r="H6645" t="str">
        <f>HYPERLINK("https://baanknet.com/view-property/86069/DCA2C70C0C86D03265F35575171414B17A31CBE29B5DEE93E75061875ADE9C1B", "https://baanknet.com/view-property/86069/DCA2C70C0C86D03265F35575171414B17A31CBE29B5DEE93E75061875ADE9C1B")</f>
        <v>https://baanknet.com/view-property/86069/DCA2C70C0C86D03265F35575171414B17A31CBE29B5DEE93E75061875ADE9C1B</v>
      </c>
      <c r="I6645" t="str">
        <f>HYPERLINK("https://baanknet.com/view-property/86069/DCA2C70C0C86D03265F35575171414B17A31CBE29B5DEE93E75061875ADE9C1B", "Open")</f>
        <v>Open</v>
      </c>
      <c r="J6645" t="s">
        <v>3803</v>
      </c>
      <c r="L6645">
        <v>800000</v>
      </c>
      <c r="M6645">
        <v>80000</v>
      </c>
    </row>
    <row r="6646" spans="1:13" x14ac:dyDescent="0.25">
      <c r="A6646" t="s">
        <v>21983</v>
      </c>
      <c r="B6646" t="s">
        <v>21984</v>
      </c>
      <c r="C6646" t="s">
        <v>571</v>
      </c>
      <c r="D6646" t="s">
        <v>19905</v>
      </c>
      <c r="E6646" t="s">
        <v>20829</v>
      </c>
      <c r="F6646" t="s">
        <v>20808</v>
      </c>
      <c r="G6646" t="s">
        <v>21985</v>
      </c>
      <c r="H6646" t="str">
        <f>HYPERLINK("https://baanknet.com/view-property/99764/D6400AE569E80283DDA6A3FD01537E921F4ADD6287FEDD9398F19D388D21B696", "https://baanknet.com/view-property/99764/D6400AE569E80283DDA6A3FD01537E921F4ADD6287FEDD9398F19D388D21B696")</f>
        <v>https://baanknet.com/view-property/99764/D6400AE569E80283DDA6A3FD01537E921F4ADD6287FEDD9398F19D388D21B696</v>
      </c>
      <c r="I6646" t="str">
        <f>HYPERLINK("https://baanknet.com/view-property/99764/D6400AE569E80283DDA6A3FD01537E921F4ADD6287FEDD9398F19D388D21B696", "Open")</f>
        <v>Open</v>
      </c>
      <c r="J6646" t="s">
        <v>3803</v>
      </c>
      <c r="L6646">
        <v>9910000</v>
      </c>
      <c r="M6646">
        <v>991000</v>
      </c>
    </row>
    <row r="6647" spans="1:13" x14ac:dyDescent="0.25">
      <c r="A6647" t="s">
        <v>21986</v>
      </c>
      <c r="B6647" t="s">
        <v>21987</v>
      </c>
      <c r="C6647" t="s">
        <v>571</v>
      </c>
      <c r="D6647" t="s">
        <v>19905</v>
      </c>
      <c r="E6647" t="s">
        <v>20829</v>
      </c>
      <c r="F6647" t="s">
        <v>20808</v>
      </c>
      <c r="G6647" t="s">
        <v>21988</v>
      </c>
      <c r="H6647" t="str">
        <f>HYPERLINK("https://baanknet.com/view-property/198346/16A3F191ED3A7551D790ACBF1A8BCA62C0B84F4FF266DC93352BB78227A5E5EA", "https://baanknet.com/view-property/198346/16A3F191ED3A7551D790ACBF1A8BCA62C0B84F4FF266DC93352BB78227A5E5EA")</f>
        <v>https://baanknet.com/view-property/198346/16A3F191ED3A7551D790ACBF1A8BCA62C0B84F4FF266DC93352BB78227A5E5EA</v>
      </c>
      <c r="I6647" t="str">
        <f>HYPERLINK("https://baanknet.com/view-property/198346/16A3F191ED3A7551D790ACBF1A8BCA62C0B84F4FF266DC93352BB78227A5E5EA", "Open")</f>
        <v>Open</v>
      </c>
      <c r="J6647" t="s">
        <v>3803</v>
      </c>
      <c r="L6647">
        <v>3230000</v>
      </c>
      <c r="M6647">
        <v>323000</v>
      </c>
    </row>
    <row r="6648" spans="1:13" x14ac:dyDescent="0.25">
      <c r="A6648" t="s">
        <v>21989</v>
      </c>
      <c r="B6648" t="s">
        <v>21990</v>
      </c>
      <c r="C6648" t="s">
        <v>571</v>
      </c>
      <c r="D6648" t="s">
        <v>6876</v>
      </c>
      <c r="E6648" t="s">
        <v>20829</v>
      </c>
      <c r="F6648" t="s">
        <v>20808</v>
      </c>
      <c r="G6648" t="s">
        <v>21991</v>
      </c>
      <c r="H6648" t="str">
        <f>HYPERLINK("https://baanknet.com/view-property/169716/E8EB712D331CC11A32AB1ECBAFF98518E75ACBD7F755CEF7319A5394F60B9129", "https://baanknet.com/view-property/169716/E8EB712D331CC11A32AB1ECBAFF98518E75ACBD7F755CEF7319A5394F60B9129")</f>
        <v>https://baanknet.com/view-property/169716/E8EB712D331CC11A32AB1ECBAFF98518E75ACBD7F755CEF7319A5394F60B9129</v>
      </c>
      <c r="I6648" t="str">
        <f>HYPERLINK("https://baanknet.com/view-property/169716/E8EB712D331CC11A32AB1ECBAFF98518E75ACBD7F755CEF7319A5394F60B9129", "Open")</f>
        <v>Open</v>
      </c>
      <c r="J6648" t="s">
        <v>3803</v>
      </c>
      <c r="L6648">
        <v>1770000</v>
      </c>
      <c r="M6648">
        <v>177000</v>
      </c>
    </row>
    <row r="6649" spans="1:13" x14ac:dyDescent="0.25">
      <c r="A6649" t="s">
        <v>21992</v>
      </c>
      <c r="B6649" t="s">
        <v>21993</v>
      </c>
      <c r="C6649" t="s">
        <v>332</v>
      </c>
      <c r="D6649" t="s">
        <v>608</v>
      </c>
      <c r="E6649" t="s">
        <v>21649</v>
      </c>
      <c r="F6649" t="s">
        <v>21669</v>
      </c>
      <c r="G6649" t="s">
        <v>21994</v>
      </c>
      <c r="H6649" t="str">
        <f>HYPERLINK("https://baanknet.com/view-property/287723/85C8DBE6B074388D8601A83C9D66D1A275441A8F4456EFFB574FA051B981B496", "https://baanknet.com/view-property/287723/85C8DBE6B074388D8601A83C9D66D1A275441A8F4456EFFB574FA051B981B496")</f>
        <v>https://baanknet.com/view-property/287723/85C8DBE6B074388D8601A83C9D66D1A275441A8F4456EFFB574FA051B981B496</v>
      </c>
      <c r="I6649" t="str">
        <f>HYPERLINK("https://baanknet.com/view-property/287723/85C8DBE6B074388D8601A83C9D66D1A275441A8F4456EFFB574FA051B981B496", "Open")</f>
        <v>Open</v>
      </c>
      <c r="J6649" t="s">
        <v>3803</v>
      </c>
      <c r="L6649">
        <v>15000000</v>
      </c>
      <c r="M6649">
        <v>1500000</v>
      </c>
    </row>
    <row r="6650" spans="1:13" x14ac:dyDescent="0.25">
      <c r="A6650" t="s">
        <v>21995</v>
      </c>
      <c r="B6650" t="s">
        <v>21996</v>
      </c>
      <c r="C6650" t="s">
        <v>83</v>
      </c>
      <c r="D6650" t="s">
        <v>338</v>
      </c>
      <c r="E6650" t="s">
        <v>86</v>
      </c>
      <c r="F6650" t="s">
        <v>21846</v>
      </c>
      <c r="G6650" t="s">
        <v>21997</v>
      </c>
      <c r="H6650" t="str">
        <f>HYPERLINK("https://baanknet.com/view-property/284906/E925D2C8E704013026DF8B86DDA8314EBC230E3D156E54086D29345C67D29D37", "https://baanknet.com/view-property/284906/E925D2C8E704013026DF8B86DDA8314EBC230E3D156E54086D29345C67D29D37")</f>
        <v>https://baanknet.com/view-property/284906/E925D2C8E704013026DF8B86DDA8314EBC230E3D156E54086D29345C67D29D37</v>
      </c>
      <c r="I6650" t="str">
        <f>HYPERLINK("https://baanknet.com/view-property/284906/E925D2C8E704013026DF8B86DDA8314EBC230E3D156E54086D29345C67D29D37", "Open")</f>
        <v>Open</v>
      </c>
      <c r="J6650" t="s">
        <v>20</v>
      </c>
      <c r="K6650" t="s">
        <v>21</v>
      </c>
      <c r="L6650">
        <v>2428000</v>
      </c>
      <c r="M6650">
        <v>242800</v>
      </c>
    </row>
    <row r="6651" spans="1:13" x14ac:dyDescent="0.25">
      <c r="A6651" t="s">
        <v>21998</v>
      </c>
      <c r="B6651" t="s">
        <v>21999</v>
      </c>
      <c r="C6651" t="s">
        <v>83</v>
      </c>
      <c r="D6651" t="s">
        <v>10653</v>
      </c>
      <c r="E6651" t="s">
        <v>86</v>
      </c>
      <c r="F6651" t="s">
        <v>21846</v>
      </c>
      <c r="G6651" t="s">
        <v>22000</v>
      </c>
      <c r="H6651" t="str">
        <f>HYPERLINK("https://baanknet.com/view-property/284629/9EE19CFE3887B39221DB04C63F057940E33E669E625253908E555C62E464280C", "https://baanknet.com/view-property/284629/9EE19CFE3887B39221DB04C63F057940E33E669E625253908E555C62E464280C")</f>
        <v>https://baanknet.com/view-property/284629/9EE19CFE3887B39221DB04C63F057940E33E669E625253908E555C62E464280C</v>
      </c>
      <c r="I6651" t="str">
        <f>HYPERLINK("https://baanknet.com/view-property/284629/9EE19CFE3887B39221DB04C63F057940E33E669E625253908E555C62E464280C", "Open")</f>
        <v>Open</v>
      </c>
      <c r="J6651" t="s">
        <v>20</v>
      </c>
      <c r="K6651" t="s">
        <v>21</v>
      </c>
      <c r="L6651">
        <v>2822000</v>
      </c>
      <c r="M6651">
        <v>282200</v>
      </c>
    </row>
    <row r="6652" spans="1:13" x14ac:dyDescent="0.25">
      <c r="A6652" t="s">
        <v>22001</v>
      </c>
      <c r="B6652" t="s">
        <v>22002</v>
      </c>
      <c r="C6652" t="s">
        <v>83</v>
      </c>
      <c r="D6652" t="s">
        <v>7257</v>
      </c>
      <c r="E6652" t="s">
        <v>86</v>
      </c>
      <c r="F6652" t="s">
        <v>21846</v>
      </c>
      <c r="G6652" t="s">
        <v>22003</v>
      </c>
      <c r="H6652" t="str">
        <f>HYPERLINK("https://baanknet.com/view-property/284707/C1F13FFDA863D64CC655C3C43D10047F020DB3945ADAFEED58ED4BD06DBF090F", "https://baanknet.com/view-property/284707/C1F13FFDA863D64CC655C3C43D10047F020DB3945ADAFEED58ED4BD06DBF090F")</f>
        <v>https://baanknet.com/view-property/284707/C1F13FFDA863D64CC655C3C43D10047F020DB3945ADAFEED58ED4BD06DBF090F</v>
      </c>
      <c r="I6652" t="str">
        <f>HYPERLINK("https://baanknet.com/view-property/284707/C1F13FFDA863D64CC655C3C43D10047F020DB3945ADAFEED58ED4BD06DBF090F", "Open")</f>
        <v>Open</v>
      </c>
      <c r="J6652" t="s">
        <v>20</v>
      </c>
      <c r="K6652" t="s">
        <v>21</v>
      </c>
      <c r="L6652">
        <v>6130000</v>
      </c>
      <c r="M6652">
        <v>613000</v>
      </c>
    </row>
    <row r="6653" spans="1:13" x14ac:dyDescent="0.25">
      <c r="A6653" t="s">
        <v>22004</v>
      </c>
      <c r="B6653" t="s">
        <v>22005</v>
      </c>
      <c r="C6653" t="s">
        <v>83</v>
      </c>
      <c r="D6653" t="s">
        <v>7257</v>
      </c>
      <c r="E6653" t="s">
        <v>86</v>
      </c>
      <c r="F6653" t="s">
        <v>21846</v>
      </c>
      <c r="G6653" t="s">
        <v>22006</v>
      </c>
      <c r="H6653" t="str">
        <f>HYPERLINK("https://baanknet.com/view-property/285138/B765DA7196CF93CFC79EE453453ABD64F63505B16E05F8B8CEB1709A0C04B373", "https://baanknet.com/view-property/285138/B765DA7196CF93CFC79EE453453ABD64F63505B16E05F8B8CEB1709A0C04B373")</f>
        <v>https://baanknet.com/view-property/285138/B765DA7196CF93CFC79EE453453ABD64F63505B16E05F8B8CEB1709A0C04B373</v>
      </c>
      <c r="I6653" t="str">
        <f>HYPERLINK("https://baanknet.com/view-property/285138/B765DA7196CF93CFC79EE453453ABD64F63505B16E05F8B8CEB1709A0C04B373", "Open")</f>
        <v>Open</v>
      </c>
      <c r="J6653" t="s">
        <v>20</v>
      </c>
      <c r="K6653" t="s">
        <v>21</v>
      </c>
      <c r="L6653">
        <v>2590000</v>
      </c>
      <c r="M6653">
        <v>259000</v>
      </c>
    </row>
    <row r="6654" spans="1:13" x14ac:dyDescent="0.25">
      <c r="A6654" t="s">
        <v>22007</v>
      </c>
      <c r="B6654" t="s">
        <v>22008</v>
      </c>
      <c r="C6654" t="s">
        <v>83</v>
      </c>
      <c r="D6654" t="s">
        <v>7554</v>
      </c>
      <c r="E6654" t="s">
        <v>86</v>
      </c>
      <c r="F6654" t="s">
        <v>21846</v>
      </c>
      <c r="G6654" t="s">
        <v>22009</v>
      </c>
      <c r="H6654" t="str">
        <f>HYPERLINK("https://baanknet.com/view-property/285296/C70229EB10F8B02A2B8F4FC113E7518AAD49CEFB9068A637D8A2F903DBBAD0EE", "https://baanknet.com/view-property/285296/C70229EB10F8B02A2B8F4FC113E7518AAD49CEFB9068A637D8A2F903DBBAD0EE")</f>
        <v>https://baanknet.com/view-property/285296/C70229EB10F8B02A2B8F4FC113E7518AAD49CEFB9068A637D8A2F903DBBAD0EE</v>
      </c>
      <c r="I6654" t="str">
        <f>HYPERLINK("https://baanknet.com/view-property/285296/C70229EB10F8B02A2B8F4FC113E7518AAD49CEFB9068A637D8A2F903DBBAD0EE", "Open")</f>
        <v>Open</v>
      </c>
      <c r="J6654" t="s">
        <v>20</v>
      </c>
      <c r="K6654" t="s">
        <v>21</v>
      </c>
      <c r="L6654">
        <v>4374000</v>
      </c>
      <c r="M6654">
        <v>437400</v>
      </c>
    </row>
    <row r="6655" spans="1:13" x14ac:dyDescent="0.25">
      <c r="A6655" t="s">
        <v>22010</v>
      </c>
      <c r="B6655" t="s">
        <v>22011</v>
      </c>
      <c r="C6655" t="s">
        <v>83</v>
      </c>
      <c r="D6655" t="s">
        <v>608</v>
      </c>
      <c r="E6655" t="s">
        <v>86</v>
      </c>
      <c r="F6655" t="s">
        <v>21846</v>
      </c>
      <c r="G6655" t="s">
        <v>22012</v>
      </c>
      <c r="H6655" t="str">
        <f>HYPERLINK("https://baanknet.com/view-property/271411/7FA49077564D3210D8897BA148DECE09B3F878BD9C01168D3415936B93B09AB9", "https://baanknet.com/view-property/271411/7FA49077564D3210D8897BA148DECE09B3F878BD9C01168D3415936B93B09AB9")</f>
        <v>https://baanknet.com/view-property/271411/7FA49077564D3210D8897BA148DECE09B3F878BD9C01168D3415936B93B09AB9</v>
      </c>
      <c r="I6655" t="str">
        <f>HYPERLINK("https://baanknet.com/view-property/271411/7FA49077564D3210D8897BA148DECE09B3F878BD9C01168D3415936B93B09AB9", "Open")</f>
        <v>Open</v>
      </c>
      <c r="J6655" t="s">
        <v>20</v>
      </c>
      <c r="K6655" t="s">
        <v>21</v>
      </c>
      <c r="L6655">
        <v>5400000</v>
      </c>
      <c r="M6655">
        <v>540000</v>
      </c>
    </row>
    <row r="6656" spans="1:13" x14ac:dyDescent="0.25">
      <c r="A6656" t="s">
        <v>22013</v>
      </c>
      <c r="B6656" t="s">
        <v>22014</v>
      </c>
      <c r="C6656" t="s">
        <v>83</v>
      </c>
      <c r="D6656" t="s">
        <v>22015</v>
      </c>
      <c r="E6656" t="s">
        <v>86</v>
      </c>
      <c r="F6656" t="s">
        <v>21846</v>
      </c>
      <c r="G6656" t="s">
        <v>22016</v>
      </c>
      <c r="H6656" t="str">
        <f>HYPERLINK("https://baanknet.com/view-property/46323/0052022F81FC05F0F4B4629E8C9F5F33844846D7AE28DE51A15081C80DF3AFDA", "https://baanknet.com/view-property/46323/0052022F81FC05F0F4B4629E8C9F5F33844846D7AE28DE51A15081C80DF3AFDA")</f>
        <v>https://baanknet.com/view-property/46323/0052022F81FC05F0F4B4629E8C9F5F33844846D7AE28DE51A15081C80DF3AFDA</v>
      </c>
      <c r="I6656" t="str">
        <f>HYPERLINK("https://baanknet.com/view-property/46323/0052022F81FC05F0F4B4629E8C9F5F33844846D7AE28DE51A15081C80DF3AFDA", "Open")</f>
        <v>Open</v>
      </c>
      <c r="J6656" t="s">
        <v>20</v>
      </c>
      <c r="K6656" t="s">
        <v>21</v>
      </c>
      <c r="L6656">
        <v>2250000</v>
      </c>
      <c r="M6656">
        <v>225000</v>
      </c>
    </row>
    <row r="6657" spans="1:13" x14ac:dyDescent="0.25">
      <c r="A6657" t="s">
        <v>22017</v>
      </c>
      <c r="B6657" t="s">
        <v>22018</v>
      </c>
      <c r="C6657" t="s">
        <v>83</v>
      </c>
      <c r="D6657" t="s">
        <v>2498</v>
      </c>
      <c r="E6657" t="s">
        <v>86</v>
      </c>
      <c r="F6657" t="s">
        <v>21846</v>
      </c>
      <c r="G6657" t="s">
        <v>22019</v>
      </c>
      <c r="H6657" t="str">
        <f>HYPERLINK("https://baanknet.com/view-property/285454/69893D29A169276E8DA88CC299F585EC5DC9542CFAC1E7C303934122AB169E21", "https://baanknet.com/view-property/285454/69893D29A169276E8DA88CC299F585EC5DC9542CFAC1E7C303934122AB169E21")</f>
        <v>https://baanknet.com/view-property/285454/69893D29A169276E8DA88CC299F585EC5DC9542CFAC1E7C303934122AB169E21</v>
      </c>
      <c r="I6657" t="str">
        <f>HYPERLINK("https://baanknet.com/view-property/285454/69893D29A169276E8DA88CC299F585EC5DC9542CFAC1E7C303934122AB169E21", "Open")</f>
        <v>Open</v>
      </c>
      <c r="J6657" t="s">
        <v>20</v>
      </c>
      <c r="K6657" t="s">
        <v>21</v>
      </c>
      <c r="L6657">
        <v>2245000</v>
      </c>
      <c r="M6657">
        <v>224500</v>
      </c>
    </row>
    <row r="6658" spans="1:13" x14ac:dyDescent="0.25">
      <c r="A6658" t="s">
        <v>22020</v>
      </c>
      <c r="B6658" t="s">
        <v>22021</v>
      </c>
      <c r="C6658" t="s">
        <v>83</v>
      </c>
      <c r="D6658" t="s">
        <v>2498</v>
      </c>
      <c r="E6658" t="s">
        <v>86</v>
      </c>
      <c r="F6658" t="s">
        <v>21846</v>
      </c>
      <c r="G6658" t="s">
        <v>22022</v>
      </c>
      <c r="H6658" t="str">
        <f>HYPERLINK("https://baanknet.com/view-property/285457/D675A1D53E6245686554FEA15A5B5F343E4BF7AF765D832385BE99460C3CEAEE", "https://baanknet.com/view-property/285457/D675A1D53E6245686554FEA15A5B5F343E4BF7AF765D832385BE99460C3CEAEE")</f>
        <v>https://baanknet.com/view-property/285457/D675A1D53E6245686554FEA15A5B5F343E4BF7AF765D832385BE99460C3CEAEE</v>
      </c>
      <c r="I6658" t="str">
        <f>HYPERLINK("https://baanknet.com/view-property/285457/D675A1D53E6245686554FEA15A5B5F343E4BF7AF765D832385BE99460C3CEAEE", "Open")</f>
        <v>Open</v>
      </c>
      <c r="J6658" t="s">
        <v>20</v>
      </c>
      <c r="K6658" t="s">
        <v>21</v>
      </c>
      <c r="L6658">
        <v>945000</v>
      </c>
      <c r="M6658">
        <v>94500</v>
      </c>
    </row>
    <row r="6659" spans="1:13" x14ac:dyDescent="0.25">
      <c r="A6659" t="s">
        <v>22023</v>
      </c>
      <c r="B6659" t="s">
        <v>22024</v>
      </c>
      <c r="C6659" t="s">
        <v>83</v>
      </c>
      <c r="D6659" t="s">
        <v>22025</v>
      </c>
      <c r="E6659" t="s">
        <v>86</v>
      </c>
      <c r="F6659" t="s">
        <v>21846</v>
      </c>
      <c r="G6659" t="s">
        <v>22026</v>
      </c>
      <c r="H6659" t="str">
        <f>HYPERLINK("https://baanknet.com/view-property/285356/B12A4DEF636050BB2565B018019FD55BAB40B14B465C5049CC208F7E747B6141", "https://baanknet.com/view-property/285356/B12A4DEF636050BB2565B018019FD55BAB40B14B465C5049CC208F7E747B6141")</f>
        <v>https://baanknet.com/view-property/285356/B12A4DEF636050BB2565B018019FD55BAB40B14B465C5049CC208F7E747B6141</v>
      </c>
      <c r="I6659" t="str">
        <f>HYPERLINK("https://baanknet.com/view-property/285356/B12A4DEF636050BB2565B018019FD55BAB40B14B465C5049CC208F7E747B6141", "Open")</f>
        <v>Open</v>
      </c>
      <c r="J6659" t="s">
        <v>20</v>
      </c>
      <c r="K6659" t="s">
        <v>21</v>
      </c>
      <c r="L6659">
        <v>8560000</v>
      </c>
      <c r="M6659">
        <v>856000</v>
      </c>
    </row>
    <row r="6660" spans="1:13" x14ac:dyDescent="0.25">
      <c r="A6660" t="s">
        <v>22027</v>
      </c>
      <c r="B6660" t="s">
        <v>22028</v>
      </c>
      <c r="C6660" t="s">
        <v>83</v>
      </c>
      <c r="D6660" t="s">
        <v>2498</v>
      </c>
      <c r="E6660" t="s">
        <v>86</v>
      </c>
      <c r="F6660" t="s">
        <v>21846</v>
      </c>
      <c r="G6660" t="s">
        <v>22029</v>
      </c>
      <c r="H6660" t="str">
        <f>HYPERLINK("https://baanknet.com/view-property/285472/FE51D077BB6FA3C401A58F64911E2569B682D2E3410886677BDF021CB92A85EC", "https://baanknet.com/view-property/285472/FE51D077BB6FA3C401A58F64911E2569B682D2E3410886677BDF021CB92A85EC")</f>
        <v>https://baanknet.com/view-property/285472/FE51D077BB6FA3C401A58F64911E2569B682D2E3410886677BDF021CB92A85EC</v>
      </c>
      <c r="I6660" t="str">
        <f>HYPERLINK("https://baanknet.com/view-property/285472/FE51D077BB6FA3C401A58F64911E2569B682D2E3410886677BDF021CB92A85EC", "Open")</f>
        <v>Open</v>
      </c>
      <c r="J6660" t="s">
        <v>20</v>
      </c>
      <c r="K6660" t="s">
        <v>21</v>
      </c>
      <c r="L6660">
        <v>1500000</v>
      </c>
      <c r="M6660">
        <v>150000</v>
      </c>
    </row>
    <row r="6661" spans="1:13" x14ac:dyDescent="0.25">
      <c r="A6661" t="s">
        <v>22030</v>
      </c>
      <c r="B6661" t="s">
        <v>22031</v>
      </c>
      <c r="C6661" t="s">
        <v>83</v>
      </c>
      <c r="D6661" t="s">
        <v>22032</v>
      </c>
      <c r="E6661" t="s">
        <v>86</v>
      </c>
      <c r="F6661" t="s">
        <v>21846</v>
      </c>
      <c r="G6661" t="s">
        <v>22033</v>
      </c>
      <c r="H6661" t="str">
        <f>HYPERLINK("https://baanknet.com/view-property/285667/A2CD71EE2CCBB55992F3812DB33568324720C64D53DAFB6D902F78CE6A40974E", "https://baanknet.com/view-property/285667/A2CD71EE2CCBB55992F3812DB33568324720C64D53DAFB6D902F78CE6A40974E")</f>
        <v>https://baanknet.com/view-property/285667/A2CD71EE2CCBB55992F3812DB33568324720C64D53DAFB6D902F78CE6A40974E</v>
      </c>
      <c r="I6661" t="str">
        <f>HYPERLINK("https://baanknet.com/view-property/285667/A2CD71EE2CCBB55992F3812DB33568324720C64D53DAFB6D902F78CE6A40974E", "Open")</f>
        <v>Open</v>
      </c>
      <c r="J6661" t="s">
        <v>20</v>
      </c>
      <c r="K6661" t="s">
        <v>21</v>
      </c>
      <c r="L6661">
        <v>1800000</v>
      </c>
      <c r="M6661">
        <v>180000</v>
      </c>
    </row>
    <row r="6662" spans="1:13" x14ac:dyDescent="0.25">
      <c r="A6662" t="s">
        <v>22034</v>
      </c>
      <c r="B6662" t="s">
        <v>22035</v>
      </c>
      <c r="C6662" t="s">
        <v>83</v>
      </c>
      <c r="D6662" t="s">
        <v>4145</v>
      </c>
      <c r="E6662" t="s">
        <v>86</v>
      </c>
      <c r="F6662" t="s">
        <v>21846</v>
      </c>
      <c r="G6662" t="s">
        <v>22036</v>
      </c>
      <c r="H6662" t="str">
        <f>HYPERLINK("https://baanknet.com/view-property/284154/B1D46C67E0B6F1B71F298B1DFB40B033444128DE2CF54D35520E2B04CD258111", "https://baanknet.com/view-property/284154/B1D46C67E0B6F1B71F298B1DFB40B033444128DE2CF54D35520E2B04CD258111")</f>
        <v>https://baanknet.com/view-property/284154/B1D46C67E0B6F1B71F298B1DFB40B033444128DE2CF54D35520E2B04CD258111</v>
      </c>
      <c r="I6662" t="str">
        <f>HYPERLINK("https://baanknet.com/view-property/284154/B1D46C67E0B6F1B71F298B1DFB40B033444128DE2CF54D35520E2B04CD258111", "Open")</f>
        <v>Open</v>
      </c>
      <c r="J6662" t="s">
        <v>20</v>
      </c>
      <c r="K6662" t="s">
        <v>21</v>
      </c>
      <c r="L6662">
        <v>663000</v>
      </c>
      <c r="M6662">
        <v>66300</v>
      </c>
    </row>
    <row r="6663" spans="1:13" x14ac:dyDescent="0.25">
      <c r="A6663" t="s">
        <v>22037</v>
      </c>
      <c r="B6663" t="s">
        <v>22038</v>
      </c>
      <c r="C6663" t="s">
        <v>83</v>
      </c>
      <c r="D6663" t="s">
        <v>4145</v>
      </c>
      <c r="E6663" t="s">
        <v>86</v>
      </c>
      <c r="F6663" t="s">
        <v>21846</v>
      </c>
      <c r="G6663" t="s">
        <v>22039</v>
      </c>
      <c r="H6663" t="str">
        <f>HYPERLINK("https://baanknet.com/view-property/284156/693994872D995754EDB72CE4C0AD43E85E83A1FBCCAF511FB26A098C1309F180", "https://baanknet.com/view-property/284156/693994872D995754EDB72CE4C0AD43E85E83A1FBCCAF511FB26A098C1309F180")</f>
        <v>https://baanknet.com/view-property/284156/693994872D995754EDB72CE4C0AD43E85E83A1FBCCAF511FB26A098C1309F180</v>
      </c>
      <c r="I6663" t="str">
        <f>HYPERLINK("https://baanknet.com/view-property/284156/693994872D995754EDB72CE4C0AD43E85E83A1FBCCAF511FB26A098C1309F180", "Open")</f>
        <v>Open</v>
      </c>
      <c r="J6663" t="s">
        <v>20</v>
      </c>
      <c r="K6663" t="s">
        <v>21</v>
      </c>
      <c r="L6663">
        <v>1336000</v>
      </c>
      <c r="M6663">
        <v>133600</v>
      </c>
    </row>
    <row r="6664" spans="1:13" x14ac:dyDescent="0.25">
      <c r="A6664" t="s">
        <v>22040</v>
      </c>
      <c r="B6664" t="s">
        <v>22041</v>
      </c>
      <c r="C6664" t="s">
        <v>83</v>
      </c>
      <c r="D6664" t="s">
        <v>572</v>
      </c>
      <c r="E6664" t="s">
        <v>86</v>
      </c>
      <c r="F6664" t="s">
        <v>21846</v>
      </c>
      <c r="G6664" t="s">
        <v>22042</v>
      </c>
      <c r="H6664" t="str">
        <f>HYPERLINK("https://baanknet.com/view-property/284203/DD5398964B5BE1A38748E4AA39162CCE85245E442A3FEEA1A72590254759AD21", "https://baanknet.com/view-property/284203/DD5398964B5BE1A38748E4AA39162CCE85245E442A3FEEA1A72590254759AD21")</f>
        <v>https://baanknet.com/view-property/284203/DD5398964B5BE1A38748E4AA39162CCE85245E442A3FEEA1A72590254759AD21</v>
      </c>
      <c r="I6664" t="str">
        <f>HYPERLINK("https://baanknet.com/view-property/284203/DD5398964B5BE1A38748E4AA39162CCE85245E442A3FEEA1A72590254759AD21", "Open")</f>
        <v>Open</v>
      </c>
      <c r="J6664" t="s">
        <v>20</v>
      </c>
      <c r="K6664" t="s">
        <v>21</v>
      </c>
      <c r="L6664">
        <v>907000</v>
      </c>
      <c r="M6664">
        <v>90700</v>
      </c>
    </row>
    <row r="6665" spans="1:13" x14ac:dyDescent="0.25">
      <c r="A6665" t="s">
        <v>22043</v>
      </c>
      <c r="B6665" t="s">
        <v>22044</v>
      </c>
      <c r="C6665" t="s">
        <v>83</v>
      </c>
      <c r="D6665" t="s">
        <v>4145</v>
      </c>
      <c r="E6665" t="s">
        <v>86</v>
      </c>
      <c r="F6665" t="s">
        <v>21846</v>
      </c>
      <c r="G6665" t="s">
        <v>22045</v>
      </c>
      <c r="H6665" t="str">
        <f>HYPERLINK("https://baanknet.com/view-property/284205/6B83F852A5932E9ADF1E5588D4185F39AD5E660379C3ECC19B60F2EFA51DB66B", "https://baanknet.com/view-property/284205/6B83F852A5932E9ADF1E5588D4185F39AD5E660379C3ECC19B60F2EFA51DB66B")</f>
        <v>https://baanknet.com/view-property/284205/6B83F852A5932E9ADF1E5588D4185F39AD5E660379C3ECC19B60F2EFA51DB66B</v>
      </c>
      <c r="I6665" t="str">
        <f>HYPERLINK("https://baanknet.com/view-property/284205/6B83F852A5932E9ADF1E5588D4185F39AD5E660379C3ECC19B60F2EFA51DB66B", "Open")</f>
        <v>Open</v>
      </c>
      <c r="J6665" t="s">
        <v>20</v>
      </c>
      <c r="K6665" t="s">
        <v>21</v>
      </c>
      <c r="L6665">
        <v>2681000</v>
      </c>
      <c r="M6665">
        <v>268100</v>
      </c>
    </row>
    <row r="6666" spans="1:13" x14ac:dyDescent="0.25">
      <c r="A6666" t="s">
        <v>22046</v>
      </c>
      <c r="B6666" t="s">
        <v>22047</v>
      </c>
      <c r="C6666" t="s">
        <v>83</v>
      </c>
      <c r="D6666" t="s">
        <v>4145</v>
      </c>
      <c r="E6666" t="s">
        <v>86</v>
      </c>
      <c r="F6666" t="s">
        <v>21846</v>
      </c>
      <c r="G6666" t="s">
        <v>22048</v>
      </c>
      <c r="H6666" t="str">
        <f>HYPERLINK("https://baanknet.com/view-property/284207/5E98F374E9656EC64509991A553AF6E5DB0F8120E58D756A1321F6C3DA576C57", "https://baanknet.com/view-property/284207/5E98F374E9656EC64509991A553AF6E5DB0F8120E58D756A1321F6C3DA576C57")</f>
        <v>https://baanknet.com/view-property/284207/5E98F374E9656EC64509991A553AF6E5DB0F8120E58D756A1321F6C3DA576C57</v>
      </c>
      <c r="I6666" t="str">
        <f>HYPERLINK("https://baanknet.com/view-property/284207/5E98F374E9656EC64509991A553AF6E5DB0F8120E58D756A1321F6C3DA576C57", "Open")</f>
        <v>Open</v>
      </c>
      <c r="J6666" t="s">
        <v>20</v>
      </c>
      <c r="K6666" t="s">
        <v>21</v>
      </c>
      <c r="L6666">
        <v>729000</v>
      </c>
      <c r="M6666">
        <v>72900</v>
      </c>
    </row>
    <row r="6667" spans="1:13" x14ac:dyDescent="0.25">
      <c r="A6667" t="s">
        <v>22049</v>
      </c>
      <c r="B6667" t="s">
        <v>22050</v>
      </c>
      <c r="C6667" t="s">
        <v>83</v>
      </c>
      <c r="D6667" t="s">
        <v>7167</v>
      </c>
      <c r="E6667" t="s">
        <v>86</v>
      </c>
      <c r="F6667" t="s">
        <v>21846</v>
      </c>
      <c r="G6667" t="s">
        <v>22051</v>
      </c>
      <c r="H6667" t="str">
        <f>HYPERLINK("https://baanknet.com/view-property/231254/416DED9CBF88867773912EE6ED6076E3CBE59AC6321AE23EF12C7F2B86FFBB89", "https://baanknet.com/view-property/231254/416DED9CBF88867773912EE6ED6076E3CBE59AC6321AE23EF12C7F2B86FFBB89")</f>
        <v>https://baanknet.com/view-property/231254/416DED9CBF88867773912EE6ED6076E3CBE59AC6321AE23EF12C7F2B86FFBB89</v>
      </c>
      <c r="I6667" t="str">
        <f>HYPERLINK("https://baanknet.com/view-property/231254/416DED9CBF88867773912EE6ED6076E3CBE59AC6321AE23EF12C7F2B86FFBB89", "Open")</f>
        <v>Open</v>
      </c>
      <c r="J6667" t="s">
        <v>20</v>
      </c>
      <c r="K6667" t="s">
        <v>21</v>
      </c>
      <c r="L6667">
        <v>1400000</v>
      </c>
      <c r="M6667">
        <v>140000</v>
      </c>
    </row>
    <row r="6668" spans="1:13" x14ac:dyDescent="0.25">
      <c r="A6668" t="s">
        <v>22052</v>
      </c>
      <c r="B6668" t="s">
        <v>22053</v>
      </c>
      <c r="C6668" t="s">
        <v>83</v>
      </c>
      <c r="D6668" t="s">
        <v>7167</v>
      </c>
      <c r="E6668" t="s">
        <v>86</v>
      </c>
      <c r="F6668" t="s">
        <v>21846</v>
      </c>
      <c r="G6668" t="s">
        <v>22054</v>
      </c>
      <c r="H6668" t="str">
        <f>HYPERLINK("https://baanknet.com/view-property/285810/726B7A7271A402192A0C6EFE72A0D1449E098472284CD3EFC96F5173029FDC23", "https://baanknet.com/view-property/285810/726B7A7271A402192A0C6EFE72A0D1449E098472284CD3EFC96F5173029FDC23")</f>
        <v>https://baanknet.com/view-property/285810/726B7A7271A402192A0C6EFE72A0D1449E098472284CD3EFC96F5173029FDC23</v>
      </c>
      <c r="I6668" t="str">
        <f>HYPERLINK("https://baanknet.com/view-property/285810/726B7A7271A402192A0C6EFE72A0D1449E098472284CD3EFC96F5173029FDC23", "Open")</f>
        <v>Open</v>
      </c>
      <c r="J6668" t="s">
        <v>20</v>
      </c>
      <c r="K6668" t="s">
        <v>21</v>
      </c>
      <c r="L6668">
        <v>6286000</v>
      </c>
      <c r="M6668">
        <v>628600</v>
      </c>
    </row>
    <row r="6669" spans="1:13" x14ac:dyDescent="0.25">
      <c r="A6669" t="s">
        <v>22055</v>
      </c>
      <c r="B6669" t="s">
        <v>22056</v>
      </c>
      <c r="C6669" t="s">
        <v>83</v>
      </c>
      <c r="D6669" t="s">
        <v>7167</v>
      </c>
      <c r="E6669" t="s">
        <v>86</v>
      </c>
      <c r="F6669" t="s">
        <v>21846</v>
      </c>
      <c r="G6669" t="s">
        <v>22057</v>
      </c>
      <c r="H6669" t="str">
        <f>HYPERLINK("https://baanknet.com/view-property/285807/5D57453B6C865A42EEAD92CD17AB99583D811AACA1E7B7125AEA6F60633ACD68", "https://baanknet.com/view-property/285807/5D57453B6C865A42EEAD92CD17AB99583D811AACA1E7B7125AEA6F60633ACD68")</f>
        <v>https://baanknet.com/view-property/285807/5D57453B6C865A42EEAD92CD17AB99583D811AACA1E7B7125AEA6F60633ACD68</v>
      </c>
      <c r="I6669" t="str">
        <f>HYPERLINK("https://baanknet.com/view-property/285807/5D57453B6C865A42EEAD92CD17AB99583D811AACA1E7B7125AEA6F60633ACD68", "Open")</f>
        <v>Open</v>
      </c>
      <c r="J6669" t="s">
        <v>20</v>
      </c>
      <c r="K6669" t="s">
        <v>21</v>
      </c>
      <c r="L6669">
        <v>1200000</v>
      </c>
      <c r="M6669">
        <v>120000</v>
      </c>
    </row>
    <row r="6670" spans="1:13" x14ac:dyDescent="0.25">
      <c r="A6670" t="s">
        <v>22058</v>
      </c>
      <c r="B6670" t="s">
        <v>22059</v>
      </c>
      <c r="C6670" t="s">
        <v>83</v>
      </c>
      <c r="D6670" t="s">
        <v>497</v>
      </c>
      <c r="E6670" t="s">
        <v>86</v>
      </c>
      <c r="F6670" t="s">
        <v>21846</v>
      </c>
      <c r="G6670" t="s">
        <v>22060</v>
      </c>
      <c r="H6670" t="str">
        <f>HYPERLINK("https://baanknet.com/view-property/282131/939C9D304E8797A6B0795AAE87DEA23121343A354BB617237DDCA6A75DC1B315", "https://baanknet.com/view-property/282131/939C9D304E8797A6B0795AAE87DEA23121343A354BB617237DDCA6A75DC1B315")</f>
        <v>https://baanknet.com/view-property/282131/939C9D304E8797A6B0795AAE87DEA23121343A354BB617237DDCA6A75DC1B315</v>
      </c>
      <c r="I6670" t="str">
        <f>HYPERLINK("https://baanknet.com/view-property/282131/939C9D304E8797A6B0795AAE87DEA23121343A354BB617237DDCA6A75DC1B315", "Open")</f>
        <v>Open</v>
      </c>
      <c r="J6670" t="s">
        <v>20</v>
      </c>
      <c r="K6670" t="s">
        <v>21</v>
      </c>
      <c r="L6670">
        <v>4353000</v>
      </c>
      <c r="M6670">
        <v>435300</v>
      </c>
    </row>
    <row r="6671" spans="1:13" x14ac:dyDescent="0.25">
      <c r="A6671" t="s">
        <v>22061</v>
      </c>
      <c r="B6671" t="s">
        <v>22062</v>
      </c>
      <c r="C6671" t="s">
        <v>83</v>
      </c>
      <c r="D6671" t="s">
        <v>7242</v>
      </c>
      <c r="E6671" t="s">
        <v>86</v>
      </c>
      <c r="F6671" t="s">
        <v>21846</v>
      </c>
      <c r="G6671" t="s">
        <v>22063</v>
      </c>
      <c r="H6671" t="str">
        <f>HYPERLINK("https://baanknet.com/view-property/231238/49C5537A7ACCCAD252FDE47800B98161148B699622CE8566A2E30124CC069DAD", "https://baanknet.com/view-property/231238/49C5537A7ACCCAD252FDE47800B98161148B699622CE8566A2E30124CC069DAD")</f>
        <v>https://baanknet.com/view-property/231238/49C5537A7ACCCAD252FDE47800B98161148B699622CE8566A2E30124CC069DAD</v>
      </c>
      <c r="I6671" t="str">
        <f>HYPERLINK("https://baanknet.com/view-property/231238/49C5537A7ACCCAD252FDE47800B98161148B699622CE8566A2E30124CC069DAD", "Open")</f>
        <v>Open</v>
      </c>
      <c r="J6671" t="s">
        <v>20</v>
      </c>
      <c r="K6671" t="s">
        <v>21</v>
      </c>
      <c r="L6671">
        <v>1773000</v>
      </c>
      <c r="M6671">
        <v>177300</v>
      </c>
    </row>
    <row r="6672" spans="1:13" x14ac:dyDescent="0.25">
      <c r="A6672" t="s">
        <v>22064</v>
      </c>
      <c r="B6672" t="s">
        <v>22065</v>
      </c>
      <c r="C6672" t="s">
        <v>83</v>
      </c>
      <c r="D6672" t="s">
        <v>1246</v>
      </c>
      <c r="E6672" t="s">
        <v>86</v>
      </c>
      <c r="F6672" t="s">
        <v>21846</v>
      </c>
      <c r="G6672" t="s">
        <v>22066</v>
      </c>
      <c r="H6672" t="str">
        <f>HYPERLINK("https://baanknet.com/view-property/257899/182BEE53FB346BE12E4B0C8FA82A3CD10EC7D3959FB30E2BBDCA26CC7810BCBC", "https://baanknet.com/view-property/257899/182BEE53FB346BE12E4B0C8FA82A3CD10EC7D3959FB30E2BBDCA26CC7810BCBC")</f>
        <v>https://baanknet.com/view-property/257899/182BEE53FB346BE12E4B0C8FA82A3CD10EC7D3959FB30E2BBDCA26CC7810BCBC</v>
      </c>
      <c r="I6672" t="str">
        <f>HYPERLINK("https://baanknet.com/view-property/257899/182BEE53FB346BE12E4B0C8FA82A3CD10EC7D3959FB30E2BBDCA26CC7810BCBC", "Open")</f>
        <v>Open</v>
      </c>
      <c r="J6672" t="s">
        <v>20</v>
      </c>
      <c r="K6672" t="s">
        <v>21</v>
      </c>
      <c r="L6672">
        <v>5200000</v>
      </c>
      <c r="M6672">
        <v>520000</v>
      </c>
    </row>
    <row r="6673" spans="1:13" x14ac:dyDescent="0.25">
      <c r="A6673" t="s">
        <v>22067</v>
      </c>
      <c r="B6673" t="s">
        <v>22068</v>
      </c>
      <c r="C6673" t="s">
        <v>83</v>
      </c>
      <c r="D6673" t="s">
        <v>2163</v>
      </c>
      <c r="E6673" t="s">
        <v>86</v>
      </c>
      <c r="F6673" t="s">
        <v>21846</v>
      </c>
      <c r="G6673" t="s">
        <v>22069</v>
      </c>
      <c r="H6673" t="str">
        <f>HYPERLINK("https://baanknet.com/view-property/81710/52054369BDBE2CC62527B0449C2B9086E4D9F4C0DCAC3B9C2F20B3215FA2F5B2", "https://baanknet.com/view-property/81710/52054369BDBE2CC62527B0449C2B9086E4D9F4C0DCAC3B9C2F20B3215FA2F5B2")</f>
        <v>https://baanknet.com/view-property/81710/52054369BDBE2CC62527B0449C2B9086E4D9F4C0DCAC3B9C2F20B3215FA2F5B2</v>
      </c>
      <c r="I6673" t="str">
        <f>HYPERLINK("https://baanknet.com/view-property/81710/52054369BDBE2CC62527B0449C2B9086E4D9F4C0DCAC3B9C2F20B3215FA2F5B2", "Open")</f>
        <v>Open</v>
      </c>
      <c r="J6673" t="s">
        <v>20</v>
      </c>
      <c r="K6673" t="s">
        <v>21</v>
      </c>
      <c r="L6673">
        <v>1819300</v>
      </c>
      <c r="M6673">
        <v>181930</v>
      </c>
    </row>
    <row r="6674" spans="1:13" x14ac:dyDescent="0.25">
      <c r="A6674" t="s">
        <v>22070</v>
      </c>
      <c r="B6674" t="s">
        <v>22071</v>
      </c>
      <c r="C6674" t="s">
        <v>121</v>
      </c>
      <c r="D6674" t="s">
        <v>1602</v>
      </c>
      <c r="E6674" t="s">
        <v>654</v>
      </c>
      <c r="F6674" t="s">
        <v>334</v>
      </c>
      <c r="G6674" t="s">
        <v>22072</v>
      </c>
      <c r="H6674" t="str">
        <f>HYPERLINK("https://baanknet.com/view-property/185587/3EC11234998D7D69365074858AC479CF3FF00F945FD38C82DFB5FF2F2D95596E", "https://baanknet.com/view-property/185587/3EC11234998D7D69365074858AC479CF3FF00F945FD38C82DFB5FF2F2D95596E")</f>
        <v>https://baanknet.com/view-property/185587/3EC11234998D7D69365074858AC479CF3FF00F945FD38C82DFB5FF2F2D95596E</v>
      </c>
      <c r="I6674" t="str">
        <f>HYPERLINK("https://baanknet.com/view-property/185587/3EC11234998D7D69365074858AC479CF3FF00F945FD38C82DFB5FF2F2D95596E", "Open")</f>
        <v>Open</v>
      </c>
      <c r="J6674" t="s">
        <v>20</v>
      </c>
      <c r="K6674" t="s">
        <v>21</v>
      </c>
      <c r="L6674">
        <v>27000000</v>
      </c>
      <c r="M6674">
        <v>2700000</v>
      </c>
    </row>
    <row r="6675" spans="1:13" x14ac:dyDescent="0.25">
      <c r="A6675" t="s">
        <v>22073</v>
      </c>
      <c r="B6675" t="s">
        <v>22074</v>
      </c>
      <c r="C6675" t="s">
        <v>121</v>
      </c>
      <c r="D6675" t="s">
        <v>1602</v>
      </c>
      <c r="E6675" t="s">
        <v>654</v>
      </c>
      <c r="F6675" t="s">
        <v>334</v>
      </c>
      <c r="G6675" t="s">
        <v>22075</v>
      </c>
      <c r="H6675" t="str">
        <f>HYPERLINK("https://baanknet.com/view-property/255968/4C9074018AF9A5DB731C052AD9E77AD2E4B70ED2F9D04E7355588AB2D6A0A09F", "https://baanknet.com/view-property/255968/4C9074018AF9A5DB731C052AD9E77AD2E4B70ED2F9D04E7355588AB2D6A0A09F")</f>
        <v>https://baanknet.com/view-property/255968/4C9074018AF9A5DB731C052AD9E77AD2E4B70ED2F9D04E7355588AB2D6A0A09F</v>
      </c>
      <c r="I6675" t="str">
        <f>HYPERLINK("https://baanknet.com/view-property/255968/4C9074018AF9A5DB731C052AD9E77AD2E4B70ED2F9D04E7355588AB2D6A0A09F", "Open")</f>
        <v>Open</v>
      </c>
      <c r="J6675" t="s">
        <v>20</v>
      </c>
      <c r="K6675" t="s">
        <v>21</v>
      </c>
      <c r="L6675">
        <v>26100000</v>
      </c>
      <c r="M6675">
        <v>2610000</v>
      </c>
    </row>
    <row r="6676" spans="1:13" x14ac:dyDescent="0.25">
      <c r="A6676" t="s">
        <v>22076</v>
      </c>
      <c r="B6676" t="s">
        <v>22077</v>
      </c>
      <c r="C6676" t="s">
        <v>121</v>
      </c>
      <c r="D6676" t="s">
        <v>1602</v>
      </c>
      <c r="E6676" t="s">
        <v>654</v>
      </c>
      <c r="F6676" t="s">
        <v>334</v>
      </c>
      <c r="G6676" t="s">
        <v>22078</v>
      </c>
      <c r="H6676" t="str">
        <f>HYPERLINK("https://baanknet.com/view-property/255964/2C0B8B3B764CCAE36DBE4DFECF06E207C77E715A9DCA070EB16A08B6F1E5E3DF", "https://baanknet.com/view-property/255964/2C0B8B3B764CCAE36DBE4DFECF06E207C77E715A9DCA070EB16A08B6F1E5E3DF")</f>
        <v>https://baanknet.com/view-property/255964/2C0B8B3B764CCAE36DBE4DFECF06E207C77E715A9DCA070EB16A08B6F1E5E3DF</v>
      </c>
      <c r="I6676" t="str">
        <f>HYPERLINK("https://baanknet.com/view-property/255964/2C0B8B3B764CCAE36DBE4DFECF06E207C77E715A9DCA070EB16A08B6F1E5E3DF", "Open")</f>
        <v>Open</v>
      </c>
      <c r="J6676" t="s">
        <v>20</v>
      </c>
      <c r="K6676" t="s">
        <v>21</v>
      </c>
      <c r="L6676">
        <v>5350000</v>
      </c>
      <c r="M6676">
        <v>535000</v>
      </c>
    </row>
    <row r="6677" spans="1:13" x14ac:dyDescent="0.25">
      <c r="A6677" t="s">
        <v>22079</v>
      </c>
      <c r="B6677" t="s">
        <v>22080</v>
      </c>
      <c r="C6677" t="s">
        <v>121</v>
      </c>
      <c r="D6677" t="s">
        <v>8345</v>
      </c>
      <c r="E6677" t="s">
        <v>654</v>
      </c>
      <c r="F6677" t="s">
        <v>334</v>
      </c>
      <c r="G6677" t="s">
        <v>22081</v>
      </c>
      <c r="H6677" t="str">
        <f>HYPERLINK("https://baanknet.com/view-property/186383/53D145722A26E54016C191A964A74050E5CEBCD9F44B0FD50FA5A72088A68944", "https://baanknet.com/view-property/186383/53D145722A26E54016C191A964A74050E5CEBCD9F44B0FD50FA5A72088A68944")</f>
        <v>https://baanknet.com/view-property/186383/53D145722A26E54016C191A964A74050E5CEBCD9F44B0FD50FA5A72088A68944</v>
      </c>
      <c r="I6677" t="str">
        <f>HYPERLINK("https://baanknet.com/view-property/186383/53D145722A26E54016C191A964A74050E5CEBCD9F44B0FD50FA5A72088A68944", "Open")</f>
        <v>Open</v>
      </c>
      <c r="J6677" t="s">
        <v>20</v>
      </c>
      <c r="K6677" t="s">
        <v>21</v>
      </c>
      <c r="L6677">
        <v>880000</v>
      </c>
      <c r="M6677">
        <v>88000</v>
      </c>
    </row>
    <row r="6678" spans="1:13" x14ac:dyDescent="0.25">
      <c r="A6678" t="s">
        <v>22082</v>
      </c>
      <c r="B6678" t="s">
        <v>22083</v>
      </c>
      <c r="C6678" t="s">
        <v>121</v>
      </c>
      <c r="D6678" t="s">
        <v>2577</v>
      </c>
      <c r="E6678" t="s">
        <v>654</v>
      </c>
      <c r="F6678" t="s">
        <v>334</v>
      </c>
      <c r="G6678" t="s">
        <v>22084</v>
      </c>
      <c r="H6678" t="str">
        <f>HYPERLINK("https://baanknet.com/view-property/271609/4EB0EDC1CF1603D5245C07A58D56114A90599873B7C708F8EA8FE8DBA9D794A1", "https://baanknet.com/view-property/271609/4EB0EDC1CF1603D5245C07A58D56114A90599873B7C708F8EA8FE8DBA9D794A1")</f>
        <v>https://baanknet.com/view-property/271609/4EB0EDC1CF1603D5245C07A58D56114A90599873B7C708F8EA8FE8DBA9D794A1</v>
      </c>
      <c r="I6678" t="str">
        <f>HYPERLINK("https://baanknet.com/view-property/271609/4EB0EDC1CF1603D5245C07A58D56114A90599873B7C708F8EA8FE8DBA9D794A1", "Open")</f>
        <v>Open</v>
      </c>
      <c r="J6678" t="s">
        <v>20</v>
      </c>
      <c r="K6678" t="s">
        <v>21</v>
      </c>
      <c r="L6678">
        <v>3650000</v>
      </c>
      <c r="M6678">
        <v>365000</v>
      </c>
    </row>
    <row r="6679" spans="1:13" x14ac:dyDescent="0.25">
      <c r="A6679" t="s">
        <v>22085</v>
      </c>
      <c r="B6679" t="s">
        <v>22086</v>
      </c>
      <c r="C6679" t="s">
        <v>83</v>
      </c>
      <c r="D6679" t="s">
        <v>1300</v>
      </c>
      <c r="E6679" t="s">
        <v>86</v>
      </c>
      <c r="F6679" t="s">
        <v>21846</v>
      </c>
      <c r="G6679" t="s">
        <v>22087</v>
      </c>
      <c r="H6679" t="str">
        <f>HYPERLINK("https://baanknet.com/view-property/226315/CF8393589494BB0E8AF5FBA5445E1DAD43BE3616E0C941C277EB093C8A405D43", "https://baanknet.com/view-property/226315/CF8393589494BB0E8AF5FBA5445E1DAD43BE3616E0C941C277EB093C8A405D43")</f>
        <v>https://baanknet.com/view-property/226315/CF8393589494BB0E8AF5FBA5445E1DAD43BE3616E0C941C277EB093C8A405D43</v>
      </c>
      <c r="I6679" t="str">
        <f>HYPERLINK("https://baanknet.com/view-property/226315/CF8393589494BB0E8AF5FBA5445E1DAD43BE3616E0C941C277EB093C8A405D43", "Open")</f>
        <v>Open</v>
      </c>
      <c r="J6679" t="s">
        <v>20</v>
      </c>
      <c r="K6679" t="s">
        <v>21</v>
      </c>
      <c r="L6679">
        <v>3394710</v>
      </c>
      <c r="M6679">
        <v>339471</v>
      </c>
    </row>
    <row r="6680" spans="1:13" x14ac:dyDescent="0.25">
      <c r="A6680" t="s">
        <v>22088</v>
      </c>
      <c r="B6680" t="s">
        <v>22089</v>
      </c>
      <c r="C6680" t="s">
        <v>83</v>
      </c>
      <c r="D6680" t="s">
        <v>845</v>
      </c>
      <c r="E6680" t="s">
        <v>86</v>
      </c>
      <c r="F6680" t="s">
        <v>21846</v>
      </c>
      <c r="G6680" t="s">
        <v>22090</v>
      </c>
      <c r="H6680" t="str">
        <f>HYPERLINK("https://baanknet.com/view-property/277580/1CE3247BD0A467060C39F15715D1CE39DE4497F78ED75BAD671324879CA37846", "https://baanknet.com/view-property/277580/1CE3247BD0A467060C39F15715D1CE39DE4497F78ED75BAD671324879CA37846")</f>
        <v>https://baanknet.com/view-property/277580/1CE3247BD0A467060C39F15715D1CE39DE4497F78ED75BAD671324879CA37846</v>
      </c>
      <c r="I6680" t="str">
        <f>HYPERLINK("https://baanknet.com/view-property/277580/1CE3247BD0A467060C39F15715D1CE39DE4497F78ED75BAD671324879CA37846", "Open")</f>
        <v>Open</v>
      </c>
      <c r="J6680" t="s">
        <v>20</v>
      </c>
      <c r="K6680" t="s">
        <v>21</v>
      </c>
      <c r="L6680">
        <v>1082700</v>
      </c>
      <c r="M6680">
        <v>108270</v>
      </c>
    </row>
    <row r="6681" spans="1:13" x14ac:dyDescent="0.25">
      <c r="A6681" t="s">
        <v>22091</v>
      </c>
      <c r="B6681" t="s">
        <v>22092</v>
      </c>
      <c r="C6681" t="s">
        <v>332</v>
      </c>
      <c r="D6681" t="s">
        <v>22093</v>
      </c>
      <c r="E6681" t="s">
        <v>579</v>
      </c>
      <c r="F6681" t="s">
        <v>22094</v>
      </c>
      <c r="G6681" t="s">
        <v>22095</v>
      </c>
      <c r="H6681" t="str">
        <f>HYPERLINK("https://baanknet.com/view-property/282454/0A50494511ECE649CCD58A709428161B619A1E9F9158E7D26FD4853C88D5DA07", "https://baanknet.com/view-property/282454/0A50494511ECE649CCD58A709428161B619A1E9F9158E7D26FD4853C88D5DA07")</f>
        <v>https://baanknet.com/view-property/282454/0A50494511ECE649CCD58A709428161B619A1E9F9158E7D26FD4853C88D5DA07</v>
      </c>
      <c r="I6681" t="str">
        <f>HYPERLINK("https://baanknet.com/view-property/282454/0A50494511ECE649CCD58A709428161B619A1E9F9158E7D26FD4853C88D5DA07", "Open")</f>
        <v>Open</v>
      </c>
      <c r="J6681" t="s">
        <v>3803</v>
      </c>
      <c r="L6681">
        <v>2221560</v>
      </c>
      <c r="M6681">
        <v>222156</v>
      </c>
    </row>
    <row r="6682" spans="1:13" x14ac:dyDescent="0.25">
      <c r="A6682" t="s">
        <v>22096</v>
      </c>
      <c r="B6682" t="s">
        <v>22097</v>
      </c>
      <c r="C6682" t="s">
        <v>594</v>
      </c>
      <c r="D6682" t="s">
        <v>22098</v>
      </c>
      <c r="E6682" t="s">
        <v>596</v>
      </c>
      <c r="F6682" t="s">
        <v>574</v>
      </c>
      <c r="G6682" t="s">
        <v>22099</v>
      </c>
      <c r="H6682" t="str">
        <f>HYPERLINK("https://baanknet.com/view-property/60554/40962DF14F1FEE6A165BF819311039BF8A283EE89B414B73D1E4D4E7967ECDA2", "https://baanknet.com/view-property/60554/40962DF14F1FEE6A165BF819311039BF8A283EE89B414B73D1E4D4E7967ECDA2")</f>
        <v>https://baanknet.com/view-property/60554/40962DF14F1FEE6A165BF819311039BF8A283EE89B414B73D1E4D4E7967ECDA2</v>
      </c>
      <c r="I6682" t="str">
        <f>HYPERLINK("https://baanknet.com/view-property/60554/40962DF14F1FEE6A165BF819311039BF8A283EE89B414B73D1E4D4E7967ECDA2", "Open")</f>
        <v>Open</v>
      </c>
      <c r="J6682" t="s">
        <v>3803</v>
      </c>
      <c r="L6682">
        <v>3050000</v>
      </c>
      <c r="M6682">
        <v>305000</v>
      </c>
    </row>
    <row r="6683" spans="1:13" x14ac:dyDescent="0.25">
      <c r="A6683" t="s">
        <v>22100</v>
      </c>
      <c r="B6683" t="s">
        <v>22101</v>
      </c>
      <c r="C6683" t="s">
        <v>594</v>
      </c>
      <c r="D6683" t="s">
        <v>5880</v>
      </c>
      <c r="E6683" t="s">
        <v>596</v>
      </c>
      <c r="F6683" t="s">
        <v>574</v>
      </c>
      <c r="G6683" t="s">
        <v>22102</v>
      </c>
      <c r="H6683" t="str">
        <f>HYPERLINK("https://baanknet.com/view-property/270172/6E7FBBDD785E4E072DE7F589A0CF97FC183B328F2D299DAFB5F164BA713585C6", "https://baanknet.com/view-property/270172/6E7FBBDD785E4E072DE7F589A0CF97FC183B328F2D299DAFB5F164BA713585C6")</f>
        <v>https://baanknet.com/view-property/270172/6E7FBBDD785E4E072DE7F589A0CF97FC183B328F2D299DAFB5F164BA713585C6</v>
      </c>
      <c r="I6683" t="str">
        <f>HYPERLINK("https://baanknet.com/view-property/270172/6E7FBBDD785E4E072DE7F589A0CF97FC183B328F2D299DAFB5F164BA713585C6", "Open")</f>
        <v>Open</v>
      </c>
      <c r="J6683" t="s">
        <v>3803</v>
      </c>
      <c r="L6683">
        <v>925300</v>
      </c>
      <c r="M6683">
        <v>92530</v>
      </c>
    </row>
    <row r="6684" spans="1:13" x14ac:dyDescent="0.25">
      <c r="A6684" t="s">
        <v>22103</v>
      </c>
      <c r="B6684" t="s">
        <v>22104</v>
      </c>
      <c r="C6684" t="s">
        <v>594</v>
      </c>
      <c r="D6684" t="s">
        <v>813</v>
      </c>
      <c r="E6684" t="s">
        <v>596</v>
      </c>
      <c r="F6684" t="s">
        <v>574</v>
      </c>
      <c r="G6684" t="s">
        <v>22105</v>
      </c>
      <c r="H6684" t="str">
        <f>HYPERLINK("https://baanknet.com/view-property/288215/2098795742D6B83CA8BFEA836C32ED4A637BD1593B8D50A94FB28389DD4083C0", "https://baanknet.com/view-property/288215/2098795742D6B83CA8BFEA836C32ED4A637BD1593B8D50A94FB28389DD4083C0")</f>
        <v>https://baanknet.com/view-property/288215/2098795742D6B83CA8BFEA836C32ED4A637BD1593B8D50A94FB28389DD4083C0</v>
      </c>
      <c r="I6684" t="str">
        <f>HYPERLINK("https://baanknet.com/view-property/288215/2098795742D6B83CA8BFEA836C32ED4A637BD1593B8D50A94FB28389DD4083C0", "Open")</f>
        <v>Open</v>
      </c>
      <c r="J6684" t="s">
        <v>3803</v>
      </c>
      <c r="L6684">
        <v>1175000</v>
      </c>
      <c r="M6684">
        <v>117500</v>
      </c>
    </row>
    <row r="6685" spans="1:13" x14ac:dyDescent="0.25">
      <c r="A6685" t="s">
        <v>22106</v>
      </c>
      <c r="B6685" t="s">
        <v>22107</v>
      </c>
      <c r="C6685" t="s">
        <v>594</v>
      </c>
      <c r="D6685" t="s">
        <v>813</v>
      </c>
      <c r="E6685" t="s">
        <v>596</v>
      </c>
      <c r="F6685" t="s">
        <v>574</v>
      </c>
      <c r="G6685" t="s">
        <v>22108</v>
      </c>
      <c r="H6685" t="str">
        <f>HYPERLINK("https://baanknet.com/view-property/288217/6545891AA122ED83D544D8C2181CC74480119AFF323D7A3291F005C9474B5F6E", "https://baanknet.com/view-property/288217/6545891AA122ED83D544D8C2181CC74480119AFF323D7A3291F005C9474B5F6E")</f>
        <v>https://baanknet.com/view-property/288217/6545891AA122ED83D544D8C2181CC74480119AFF323D7A3291F005C9474B5F6E</v>
      </c>
      <c r="I6685" t="str">
        <f>HYPERLINK("https://baanknet.com/view-property/288217/6545891AA122ED83D544D8C2181CC74480119AFF323D7A3291F005C9474B5F6E", "Open")</f>
        <v>Open</v>
      </c>
      <c r="J6685" t="s">
        <v>3803</v>
      </c>
      <c r="L6685">
        <v>3709000</v>
      </c>
      <c r="M6685">
        <v>370900</v>
      </c>
    </row>
    <row r="6686" spans="1:13" x14ac:dyDescent="0.25">
      <c r="A6686" t="s">
        <v>22109</v>
      </c>
      <c r="B6686" t="s">
        <v>22110</v>
      </c>
      <c r="C6686" t="s">
        <v>332</v>
      </c>
      <c r="D6686" t="s">
        <v>10533</v>
      </c>
      <c r="E6686" t="s">
        <v>623</v>
      </c>
      <c r="F6686" t="s">
        <v>7521</v>
      </c>
      <c r="G6686" t="s">
        <v>22111</v>
      </c>
      <c r="H6686" t="str">
        <f>HYPERLINK("https://baanknet.com/view-property/249741/081F7A571E1F09C34CD90100252EF2608D84ECCFEFE0A44A101A25BA562CADC8", "https://baanknet.com/view-property/249741/081F7A571E1F09C34CD90100252EF2608D84ECCFEFE0A44A101A25BA562CADC8")</f>
        <v>https://baanknet.com/view-property/249741/081F7A571E1F09C34CD90100252EF2608D84ECCFEFE0A44A101A25BA562CADC8</v>
      </c>
      <c r="I6686" t="str">
        <f>HYPERLINK("https://baanknet.com/view-property/249741/081F7A571E1F09C34CD90100252EF2608D84ECCFEFE0A44A101A25BA562CADC8", "Open")</f>
        <v>Open</v>
      </c>
      <c r="J6686" t="s">
        <v>3803</v>
      </c>
      <c r="L6686">
        <v>540000</v>
      </c>
      <c r="M6686">
        <v>54000</v>
      </c>
    </row>
    <row r="6687" spans="1:13" x14ac:dyDescent="0.25">
      <c r="A6687" t="s">
        <v>22112</v>
      </c>
      <c r="B6687" t="s">
        <v>22113</v>
      </c>
      <c r="C6687" t="s">
        <v>332</v>
      </c>
      <c r="D6687" t="s">
        <v>10533</v>
      </c>
      <c r="E6687" t="s">
        <v>623</v>
      </c>
      <c r="F6687" t="s">
        <v>7521</v>
      </c>
      <c r="G6687" t="s">
        <v>22114</v>
      </c>
      <c r="H6687" t="str">
        <f>HYPERLINK("https://baanknet.com/view-property/249299/BF1D45F3CCD535AC9E592B65736B7571E899D7E897143A55F87A03EA0898B0B8", "https://baanknet.com/view-property/249299/BF1D45F3CCD535AC9E592B65736B7571E899D7E897143A55F87A03EA0898B0B8")</f>
        <v>https://baanknet.com/view-property/249299/BF1D45F3CCD535AC9E592B65736B7571E899D7E897143A55F87A03EA0898B0B8</v>
      </c>
      <c r="I6687" t="str">
        <f>HYPERLINK("https://baanknet.com/view-property/249299/BF1D45F3CCD535AC9E592B65736B7571E899D7E897143A55F87A03EA0898B0B8", "Open")</f>
        <v>Open</v>
      </c>
      <c r="J6687" t="s">
        <v>3803</v>
      </c>
      <c r="L6687">
        <v>595000</v>
      </c>
      <c r="M6687">
        <v>59500</v>
      </c>
    </row>
    <row r="6688" spans="1:13" x14ac:dyDescent="0.25">
      <c r="A6688" t="s">
        <v>22115</v>
      </c>
      <c r="B6688" t="s">
        <v>22116</v>
      </c>
      <c r="C6688" t="s">
        <v>589</v>
      </c>
      <c r="D6688" t="s">
        <v>5127</v>
      </c>
      <c r="E6688" t="s">
        <v>623</v>
      </c>
      <c r="F6688" t="s">
        <v>624</v>
      </c>
      <c r="G6688" t="s">
        <v>22117</v>
      </c>
      <c r="H6688" t="str">
        <f>HYPERLINK("https://baanknet.com/view-property/263393/74591B578C028D56D2D136F6660F9C0F4391868C57924FF67747A5655DB2E9CA", "https://baanknet.com/view-property/263393/74591B578C028D56D2D136F6660F9C0F4391868C57924FF67747A5655DB2E9CA")</f>
        <v>https://baanknet.com/view-property/263393/74591B578C028D56D2D136F6660F9C0F4391868C57924FF67747A5655DB2E9CA</v>
      </c>
      <c r="I6688" t="str">
        <f>HYPERLINK("https://baanknet.com/view-property/263393/74591B578C028D56D2D136F6660F9C0F4391868C57924FF67747A5655DB2E9CA", "Open")</f>
        <v>Open</v>
      </c>
      <c r="J6688" t="s">
        <v>3803</v>
      </c>
      <c r="L6688">
        <v>4409000</v>
      </c>
      <c r="M6688">
        <v>440900</v>
      </c>
    </row>
    <row r="6689" spans="1:13" x14ac:dyDescent="0.25">
      <c r="A6689" t="s">
        <v>22118</v>
      </c>
      <c r="B6689" t="s">
        <v>22119</v>
      </c>
      <c r="C6689" t="s">
        <v>7449</v>
      </c>
      <c r="D6689" t="s">
        <v>3165</v>
      </c>
      <c r="E6689" t="s">
        <v>11024</v>
      </c>
      <c r="F6689" t="s">
        <v>11430</v>
      </c>
      <c r="G6689" t="s">
        <v>22120</v>
      </c>
      <c r="H6689" t="str">
        <f>HYPERLINK("https://baanknet.com/view-property/288233/A4B5CDEDDC023980B8FC2EC1FCF504CEC576051AE6C166008847255C98751F2F", "https://baanknet.com/view-property/288233/A4B5CDEDDC023980B8FC2EC1FCF504CEC576051AE6C166008847255C98751F2F")</f>
        <v>https://baanknet.com/view-property/288233/A4B5CDEDDC023980B8FC2EC1FCF504CEC576051AE6C166008847255C98751F2F</v>
      </c>
      <c r="I6689" t="str">
        <f>HYPERLINK("https://baanknet.com/view-property/288233/A4B5CDEDDC023980B8FC2EC1FCF504CEC576051AE6C166008847255C98751F2F", "Open")</f>
        <v>Open</v>
      </c>
      <c r="J6689" t="s">
        <v>3803</v>
      </c>
      <c r="L6689">
        <v>3823000</v>
      </c>
      <c r="M6689">
        <v>382300</v>
      </c>
    </row>
    <row r="6690" spans="1:13" x14ac:dyDescent="0.25">
      <c r="A6690" t="s">
        <v>22121</v>
      </c>
      <c r="B6690" t="s">
        <v>22122</v>
      </c>
      <c r="C6690" t="s">
        <v>594</v>
      </c>
      <c r="D6690" t="s">
        <v>6876</v>
      </c>
      <c r="E6690" t="s">
        <v>11032</v>
      </c>
      <c r="F6690" t="s">
        <v>11430</v>
      </c>
      <c r="G6690" t="s">
        <v>22123</v>
      </c>
      <c r="H6690" t="str">
        <f>HYPERLINK("https://baanknet.com/view-property/198619/5205DEC856413BB548C032321B6064E72D834EA4CA091D08DBF9BE1105AA388B", "https://baanknet.com/view-property/198619/5205DEC856413BB548C032321B6064E72D834EA4CA091D08DBF9BE1105AA388B")</f>
        <v>https://baanknet.com/view-property/198619/5205DEC856413BB548C032321B6064E72D834EA4CA091D08DBF9BE1105AA388B</v>
      </c>
      <c r="I6690" t="str">
        <f>HYPERLINK("https://baanknet.com/view-property/198619/5205DEC856413BB548C032321B6064E72D834EA4CA091D08DBF9BE1105AA388B", "Open")</f>
        <v>Open</v>
      </c>
      <c r="J6690" t="s">
        <v>3803</v>
      </c>
      <c r="L6690">
        <v>21300000</v>
      </c>
      <c r="M6690">
        <v>2130000</v>
      </c>
    </row>
    <row r="6691" spans="1:13" x14ac:dyDescent="0.25">
      <c r="A6691" t="s">
        <v>22124</v>
      </c>
      <c r="B6691" t="s">
        <v>22125</v>
      </c>
      <c r="C6691" t="s">
        <v>571</v>
      </c>
      <c r="D6691" t="s">
        <v>1246</v>
      </c>
      <c r="E6691" t="s">
        <v>18270</v>
      </c>
      <c r="F6691" t="s">
        <v>18251</v>
      </c>
      <c r="G6691" t="s">
        <v>22126</v>
      </c>
      <c r="H6691" t="str">
        <f>HYPERLINK("https://baanknet.com/view-property/182566/F7193BCD10262CBB9AC833EB02ACF6E47118E2B9081979A541670BC1E7B0676C", "https://baanknet.com/view-property/182566/F7193BCD10262CBB9AC833EB02ACF6E47118E2B9081979A541670BC1E7B0676C")</f>
        <v>https://baanknet.com/view-property/182566/F7193BCD10262CBB9AC833EB02ACF6E47118E2B9081979A541670BC1E7B0676C</v>
      </c>
      <c r="I6691" t="str">
        <f>HYPERLINK("https://baanknet.com/view-property/182566/F7193BCD10262CBB9AC833EB02ACF6E47118E2B9081979A541670BC1E7B0676C", "Open")</f>
        <v>Open</v>
      </c>
      <c r="J6691" t="s">
        <v>3803</v>
      </c>
      <c r="L6691">
        <v>23400000</v>
      </c>
      <c r="M6691">
        <v>2340000</v>
      </c>
    </row>
    <row r="6692" spans="1:13" x14ac:dyDescent="0.25">
      <c r="A6692" t="s">
        <v>22127</v>
      </c>
      <c r="B6692" t="s">
        <v>22128</v>
      </c>
      <c r="C6692" t="s">
        <v>571</v>
      </c>
      <c r="D6692" t="s">
        <v>1246</v>
      </c>
      <c r="E6692" t="s">
        <v>18335</v>
      </c>
      <c r="F6692" t="s">
        <v>18401</v>
      </c>
      <c r="G6692" t="s">
        <v>22129</v>
      </c>
      <c r="H6692" t="str">
        <f>HYPERLINK("https://baanknet.com/view-property/255472/044AA3EDE4E110DD30D473359B8FB9B6126A3E6A0A18F8FFAA1DF85AF72A0FEF", "https://baanknet.com/view-property/255472/044AA3EDE4E110DD30D473359B8FB9B6126A3E6A0A18F8FFAA1DF85AF72A0FEF")</f>
        <v>https://baanknet.com/view-property/255472/044AA3EDE4E110DD30D473359B8FB9B6126A3E6A0A18F8FFAA1DF85AF72A0FEF</v>
      </c>
      <c r="I6692" t="str">
        <f>HYPERLINK("https://baanknet.com/view-property/255472/044AA3EDE4E110DD30D473359B8FB9B6126A3E6A0A18F8FFAA1DF85AF72A0FEF", "Open")</f>
        <v>Open</v>
      </c>
      <c r="J6692" t="s">
        <v>3803</v>
      </c>
      <c r="L6692">
        <v>60075000</v>
      </c>
      <c r="M6692">
        <v>6007500</v>
      </c>
    </row>
    <row r="6693" spans="1:13" x14ac:dyDescent="0.25">
      <c r="A6693" t="s">
        <v>22130</v>
      </c>
      <c r="B6693" t="s">
        <v>22131</v>
      </c>
      <c r="C6693" t="s">
        <v>83</v>
      </c>
      <c r="D6693" t="s">
        <v>845</v>
      </c>
      <c r="E6693" t="s">
        <v>18837</v>
      </c>
      <c r="F6693" t="s">
        <v>18777</v>
      </c>
      <c r="G6693" t="s">
        <v>22132</v>
      </c>
      <c r="H6693" t="str">
        <f>HYPERLINK("https://baanknet.com/view-property/234398/9BAEA8C64D59A8DE326BD3D779A02D33B702B9A3B7109C1AADF2122B1A069E49", "https://baanknet.com/view-property/234398/9BAEA8C64D59A8DE326BD3D779A02D33B702B9A3B7109C1AADF2122B1A069E49")</f>
        <v>https://baanknet.com/view-property/234398/9BAEA8C64D59A8DE326BD3D779A02D33B702B9A3B7109C1AADF2122B1A069E49</v>
      </c>
      <c r="I6693" t="str">
        <f>HYPERLINK("https://baanknet.com/view-property/234398/9BAEA8C64D59A8DE326BD3D779A02D33B702B9A3B7109C1AADF2122B1A069E49", "Open")</f>
        <v>Open</v>
      </c>
      <c r="J6693" t="s">
        <v>3803</v>
      </c>
      <c r="L6693">
        <v>1078920</v>
      </c>
      <c r="M6693">
        <v>107892</v>
      </c>
    </row>
    <row r="6694" spans="1:13" x14ac:dyDescent="0.25">
      <c r="A6694" t="s">
        <v>22133</v>
      </c>
      <c r="B6694" t="s">
        <v>22134</v>
      </c>
      <c r="C6694" t="s">
        <v>594</v>
      </c>
      <c r="D6694" t="s">
        <v>4876</v>
      </c>
      <c r="E6694" t="s">
        <v>20830</v>
      </c>
      <c r="F6694" t="s">
        <v>20808</v>
      </c>
      <c r="G6694" t="s">
        <v>22135</v>
      </c>
      <c r="H6694" t="str">
        <f>HYPERLINK("https://baanknet.com/view-property/123150/297C7DAABAEBCF144673788CD7C3BFE6D7F9DCA5A69DFC1D277A1ADF1FE10F9F", "https://baanknet.com/view-property/123150/297C7DAABAEBCF144673788CD7C3BFE6D7F9DCA5A69DFC1D277A1ADF1FE10F9F")</f>
        <v>https://baanknet.com/view-property/123150/297C7DAABAEBCF144673788CD7C3BFE6D7F9DCA5A69DFC1D277A1ADF1FE10F9F</v>
      </c>
      <c r="I6694" t="str">
        <f>HYPERLINK("https://baanknet.com/view-property/123150/297C7DAABAEBCF144673788CD7C3BFE6D7F9DCA5A69DFC1D277A1ADF1FE10F9F", "Open")</f>
        <v>Open</v>
      </c>
      <c r="J6694" t="s">
        <v>3803</v>
      </c>
      <c r="L6694">
        <v>7550000</v>
      </c>
      <c r="M6694">
        <v>755000</v>
      </c>
    </row>
    <row r="6695" spans="1:13" x14ac:dyDescent="0.25">
      <c r="A6695" t="s">
        <v>22136</v>
      </c>
      <c r="B6695" t="s">
        <v>22137</v>
      </c>
      <c r="C6695" t="s">
        <v>83</v>
      </c>
      <c r="D6695" t="s">
        <v>845</v>
      </c>
      <c r="E6695" t="s">
        <v>86</v>
      </c>
      <c r="F6695" t="s">
        <v>21846</v>
      </c>
      <c r="G6695" t="s">
        <v>22138</v>
      </c>
      <c r="H6695" t="str">
        <f>HYPERLINK("https://baanknet.com/view-property/17054/DB9E2A740044BF4569FAA10C5093E6F11FE2D5ADFA577346E5F89245C0968054", "https://baanknet.com/view-property/17054/DB9E2A740044BF4569FAA10C5093E6F11FE2D5ADFA577346E5F89245C0968054")</f>
        <v>https://baanknet.com/view-property/17054/DB9E2A740044BF4569FAA10C5093E6F11FE2D5ADFA577346E5F89245C0968054</v>
      </c>
      <c r="I6695" t="str">
        <f>HYPERLINK("https://baanknet.com/view-property/17054/DB9E2A740044BF4569FAA10C5093E6F11FE2D5ADFA577346E5F89245C0968054", "Open")</f>
        <v>Open</v>
      </c>
      <c r="J6695" t="s">
        <v>20</v>
      </c>
      <c r="K6695" t="s">
        <v>21</v>
      </c>
      <c r="L6695">
        <v>899910</v>
      </c>
      <c r="M6695">
        <v>89991</v>
      </c>
    </row>
    <row r="6696" spans="1:13" x14ac:dyDescent="0.25">
      <c r="A6696" t="s">
        <v>22139</v>
      </c>
      <c r="B6696" t="s">
        <v>22140</v>
      </c>
      <c r="C6696" t="s">
        <v>83</v>
      </c>
      <c r="D6696" t="s">
        <v>4145</v>
      </c>
      <c r="E6696" t="s">
        <v>86</v>
      </c>
      <c r="F6696" t="s">
        <v>21846</v>
      </c>
      <c r="G6696" t="s">
        <v>22141</v>
      </c>
      <c r="H6696" t="str">
        <f>HYPERLINK("https://baanknet.com/view-property/284209/5A0014CAE3561474F63D17661C48AC6C128B37693728C978C33C1E6E6E09C8A3", "https://baanknet.com/view-property/284209/5A0014CAE3561474F63D17661C48AC6C128B37693728C978C33C1E6E6E09C8A3")</f>
        <v>https://baanknet.com/view-property/284209/5A0014CAE3561474F63D17661C48AC6C128B37693728C978C33C1E6E6E09C8A3</v>
      </c>
      <c r="I6696" t="str">
        <f>HYPERLINK("https://baanknet.com/view-property/284209/5A0014CAE3561474F63D17661C48AC6C128B37693728C978C33C1E6E6E09C8A3", "Open")</f>
        <v>Open</v>
      </c>
      <c r="J6696" t="s">
        <v>20</v>
      </c>
      <c r="K6696" t="s">
        <v>21</v>
      </c>
      <c r="L6696">
        <v>956000</v>
      </c>
      <c r="M6696">
        <v>95600</v>
      </c>
    </row>
    <row r="6697" spans="1:13" x14ac:dyDescent="0.25">
      <c r="A6697" t="s">
        <v>22142</v>
      </c>
      <c r="B6697" t="s">
        <v>22143</v>
      </c>
      <c r="C6697" t="s">
        <v>83</v>
      </c>
      <c r="D6697" t="s">
        <v>845</v>
      </c>
      <c r="E6697" t="s">
        <v>86</v>
      </c>
      <c r="F6697" t="s">
        <v>21846</v>
      </c>
      <c r="G6697" t="s">
        <v>22144</v>
      </c>
      <c r="H6697" t="str">
        <f>HYPERLINK("https://baanknet.com/view-property/1541/8B7CBAF7ADFBF2B2C3AF9068A032C512229F04027AD615DABDE696BA1FECB10F", "https://baanknet.com/view-property/1541/8B7CBAF7ADFBF2B2C3AF9068A032C512229F04027AD615DABDE696BA1FECB10F")</f>
        <v>https://baanknet.com/view-property/1541/8B7CBAF7ADFBF2B2C3AF9068A032C512229F04027AD615DABDE696BA1FECB10F</v>
      </c>
      <c r="I6697" t="str">
        <f>HYPERLINK("https://baanknet.com/view-property/1541/8B7CBAF7ADFBF2B2C3AF9068A032C512229F04027AD615DABDE696BA1FECB10F", "Open")</f>
        <v>Open</v>
      </c>
      <c r="J6697" t="s">
        <v>20</v>
      </c>
      <c r="K6697" t="s">
        <v>21</v>
      </c>
      <c r="L6697">
        <v>899910</v>
      </c>
      <c r="M6697">
        <v>89991</v>
      </c>
    </row>
    <row r="6698" spans="1:13" x14ac:dyDescent="0.25">
      <c r="A6698" t="s">
        <v>22145</v>
      </c>
      <c r="B6698" t="s">
        <v>22146</v>
      </c>
      <c r="C6698" t="s">
        <v>83</v>
      </c>
      <c r="D6698" t="s">
        <v>845</v>
      </c>
      <c r="E6698" t="s">
        <v>86</v>
      </c>
      <c r="F6698" t="s">
        <v>21846</v>
      </c>
      <c r="G6698" t="s">
        <v>22147</v>
      </c>
      <c r="H6698" t="str">
        <f>HYPERLINK("https://baanknet.com/view-property/276646/5594849CC541F309A11DD87113A40D401E9C13C41F840F6E416D651AFDBF2BA0", "https://baanknet.com/view-property/276646/5594849CC541F309A11DD87113A40D401E9C13C41F840F6E416D651AFDBF2BA0")</f>
        <v>https://baanknet.com/view-property/276646/5594849CC541F309A11DD87113A40D401E9C13C41F840F6E416D651AFDBF2BA0</v>
      </c>
      <c r="I6698" t="str">
        <f>HYPERLINK("https://baanknet.com/view-property/276646/5594849CC541F309A11DD87113A40D401E9C13C41F840F6E416D651AFDBF2BA0", "Open")</f>
        <v>Open</v>
      </c>
      <c r="J6698" t="s">
        <v>20</v>
      </c>
      <c r="K6698" t="s">
        <v>21</v>
      </c>
      <c r="L6698">
        <v>1598200</v>
      </c>
      <c r="M6698">
        <v>159820</v>
      </c>
    </row>
    <row r="6699" spans="1:13" x14ac:dyDescent="0.25">
      <c r="A6699" t="s">
        <v>22148</v>
      </c>
      <c r="B6699" t="s">
        <v>22149</v>
      </c>
      <c r="C6699" t="s">
        <v>83</v>
      </c>
      <c r="D6699" t="s">
        <v>10653</v>
      </c>
      <c r="E6699" t="s">
        <v>86</v>
      </c>
      <c r="F6699" t="s">
        <v>21846</v>
      </c>
      <c r="G6699" t="s">
        <v>22150</v>
      </c>
      <c r="H6699" t="str">
        <f>HYPERLINK("https://baanknet.com/view-property/228071/BFA44B5D7EB37061C1C077C57898748E10D67518CC9A1CD5A385CA03FC6B9CA4", "https://baanknet.com/view-property/228071/BFA44B5D7EB37061C1C077C57898748E10D67518CC9A1CD5A385CA03FC6B9CA4")</f>
        <v>https://baanknet.com/view-property/228071/BFA44B5D7EB37061C1C077C57898748E10D67518CC9A1CD5A385CA03FC6B9CA4</v>
      </c>
      <c r="I6699" t="str">
        <f>HYPERLINK("https://baanknet.com/view-property/228071/BFA44B5D7EB37061C1C077C57898748E10D67518CC9A1CD5A385CA03FC6B9CA4", "Open")</f>
        <v>Open</v>
      </c>
      <c r="J6699" t="s">
        <v>20</v>
      </c>
      <c r="K6699" t="s">
        <v>21</v>
      </c>
      <c r="L6699">
        <v>3003500</v>
      </c>
      <c r="M6699">
        <v>300350</v>
      </c>
    </row>
    <row r="6700" spans="1:13" x14ac:dyDescent="0.25">
      <c r="A6700" t="s">
        <v>22151</v>
      </c>
      <c r="B6700" t="s">
        <v>22152</v>
      </c>
      <c r="C6700" t="s">
        <v>83</v>
      </c>
      <c r="D6700" t="s">
        <v>4145</v>
      </c>
      <c r="E6700" t="s">
        <v>86</v>
      </c>
      <c r="F6700" t="s">
        <v>21846</v>
      </c>
      <c r="G6700" t="s">
        <v>22153</v>
      </c>
      <c r="H6700" t="str">
        <f>HYPERLINK("https://baanknet.com/view-property/284210/DD7BAD29C572FAC81B18C89C3239A1EB235EEA09091E0A0CAE5514686A4162D9", "https://baanknet.com/view-property/284210/DD7BAD29C572FAC81B18C89C3239A1EB235EEA09091E0A0CAE5514686A4162D9")</f>
        <v>https://baanknet.com/view-property/284210/DD7BAD29C572FAC81B18C89C3239A1EB235EEA09091E0A0CAE5514686A4162D9</v>
      </c>
      <c r="I6700" t="str">
        <f>HYPERLINK("https://baanknet.com/view-property/284210/DD7BAD29C572FAC81B18C89C3239A1EB235EEA09091E0A0CAE5514686A4162D9", "Open")</f>
        <v>Open</v>
      </c>
      <c r="J6700" t="s">
        <v>20</v>
      </c>
      <c r="K6700" t="s">
        <v>21</v>
      </c>
      <c r="L6700">
        <v>676000</v>
      </c>
      <c r="M6700">
        <v>67600</v>
      </c>
    </row>
    <row r="6701" spans="1:13" x14ac:dyDescent="0.25">
      <c r="A6701" t="s">
        <v>22154</v>
      </c>
      <c r="B6701" t="s">
        <v>22155</v>
      </c>
      <c r="C6701" t="s">
        <v>83</v>
      </c>
      <c r="D6701" t="s">
        <v>4145</v>
      </c>
      <c r="E6701" t="s">
        <v>86</v>
      </c>
      <c r="F6701" t="s">
        <v>21846</v>
      </c>
      <c r="G6701" t="s">
        <v>22156</v>
      </c>
      <c r="H6701" t="str">
        <f>HYPERLINK("https://baanknet.com/view-property/284213/D79A3D6ACE4EB0C45343F1A333A7970391AAEF4B2AB66E9D9DF51A1583556C1F", "https://baanknet.com/view-property/284213/D79A3D6ACE4EB0C45343F1A333A7970391AAEF4B2AB66E9D9DF51A1583556C1F")</f>
        <v>https://baanknet.com/view-property/284213/D79A3D6ACE4EB0C45343F1A333A7970391AAEF4B2AB66E9D9DF51A1583556C1F</v>
      </c>
      <c r="I6701" t="str">
        <f>HYPERLINK("https://baanknet.com/view-property/284213/D79A3D6ACE4EB0C45343F1A333A7970391AAEF4B2AB66E9D9DF51A1583556C1F", "Open")</f>
        <v>Open</v>
      </c>
      <c r="J6701" t="s">
        <v>20</v>
      </c>
      <c r="K6701" t="s">
        <v>21</v>
      </c>
      <c r="L6701">
        <v>675000</v>
      </c>
      <c r="M6701">
        <v>67500</v>
      </c>
    </row>
    <row r="6702" spans="1:13" x14ac:dyDescent="0.25">
      <c r="A6702" t="s">
        <v>22157</v>
      </c>
      <c r="B6702" t="s">
        <v>22158</v>
      </c>
      <c r="C6702" t="s">
        <v>83</v>
      </c>
      <c r="D6702" t="s">
        <v>8454</v>
      </c>
      <c r="E6702" t="s">
        <v>86</v>
      </c>
      <c r="F6702" t="s">
        <v>21846</v>
      </c>
      <c r="G6702" t="s">
        <v>22159</v>
      </c>
      <c r="H6702" t="str">
        <f>HYPERLINK("https://baanknet.com/view-property/198430/368CEC1A05CC52FC9F6DB2B0E3CDD0A28D12AF69F80886CAE686FDBF62186E41", "https://baanknet.com/view-property/198430/368CEC1A05CC52FC9F6DB2B0E3CDD0A28D12AF69F80886CAE686FDBF62186E41")</f>
        <v>https://baanknet.com/view-property/198430/368CEC1A05CC52FC9F6DB2B0E3CDD0A28D12AF69F80886CAE686FDBF62186E41</v>
      </c>
      <c r="I6702" t="str">
        <f>HYPERLINK("https://baanknet.com/view-property/198430/368CEC1A05CC52FC9F6DB2B0E3CDD0A28D12AF69F80886CAE686FDBF62186E41", "Open")</f>
        <v>Open</v>
      </c>
      <c r="J6702" t="s">
        <v>20</v>
      </c>
      <c r="K6702" t="s">
        <v>21</v>
      </c>
      <c r="L6702">
        <v>1466000</v>
      </c>
      <c r="M6702">
        <v>146600</v>
      </c>
    </row>
    <row r="6703" spans="1:13" x14ac:dyDescent="0.25">
      <c r="A6703" t="s">
        <v>22160</v>
      </c>
      <c r="B6703" t="s">
        <v>22161</v>
      </c>
      <c r="C6703" t="s">
        <v>83</v>
      </c>
      <c r="D6703" t="s">
        <v>22162</v>
      </c>
      <c r="E6703" t="s">
        <v>86</v>
      </c>
      <c r="F6703" t="s">
        <v>21846</v>
      </c>
      <c r="G6703" t="s">
        <v>22163</v>
      </c>
      <c r="H6703" t="str">
        <f>HYPERLINK("https://baanknet.com/view-property/222818/62404058AAC6E680924EB0F3053FDFA91341E2F181D19F597E91CB8BAD3B5CCE", "https://baanknet.com/view-property/222818/62404058AAC6E680924EB0F3053FDFA91341E2F181D19F597E91CB8BAD3B5CCE")</f>
        <v>https://baanknet.com/view-property/222818/62404058AAC6E680924EB0F3053FDFA91341E2F181D19F597E91CB8BAD3B5CCE</v>
      </c>
      <c r="I6703" t="str">
        <f>HYPERLINK("https://baanknet.com/view-property/222818/62404058AAC6E680924EB0F3053FDFA91341E2F181D19F597E91CB8BAD3B5CCE", "Open")</f>
        <v>Open</v>
      </c>
      <c r="J6703" t="s">
        <v>20</v>
      </c>
      <c r="K6703" t="s">
        <v>21</v>
      </c>
      <c r="L6703">
        <v>3550000</v>
      </c>
      <c r="M6703">
        <v>355000</v>
      </c>
    </row>
    <row r="6704" spans="1:13" x14ac:dyDescent="0.25">
      <c r="A6704" t="s">
        <v>22164</v>
      </c>
      <c r="B6704" t="s">
        <v>22165</v>
      </c>
      <c r="C6704" t="s">
        <v>83</v>
      </c>
      <c r="D6704" t="s">
        <v>22166</v>
      </c>
      <c r="E6704" t="s">
        <v>86</v>
      </c>
      <c r="F6704" t="s">
        <v>21846</v>
      </c>
      <c r="G6704" t="s">
        <v>22167</v>
      </c>
      <c r="H6704" t="str">
        <f>HYPERLINK("https://baanknet.com/view-property/285259/46D8DA65544F418F98FB5D404CEA87E006B1E9B17FEEE8D4BE4FD87A2370EC7D", "https://baanknet.com/view-property/285259/46D8DA65544F418F98FB5D404CEA87E006B1E9B17FEEE8D4BE4FD87A2370EC7D")</f>
        <v>https://baanknet.com/view-property/285259/46D8DA65544F418F98FB5D404CEA87E006B1E9B17FEEE8D4BE4FD87A2370EC7D</v>
      </c>
      <c r="I6704" t="str">
        <f>HYPERLINK("https://baanknet.com/view-property/285259/46D8DA65544F418F98FB5D404CEA87E006B1E9B17FEEE8D4BE4FD87A2370EC7D", "Open")</f>
        <v>Open</v>
      </c>
      <c r="J6704" t="s">
        <v>20</v>
      </c>
      <c r="K6704" t="s">
        <v>21</v>
      </c>
      <c r="L6704">
        <v>2800000</v>
      </c>
      <c r="M6704">
        <v>280000</v>
      </c>
    </row>
    <row r="6705" spans="1:13" x14ac:dyDescent="0.25">
      <c r="A6705" t="s">
        <v>22168</v>
      </c>
      <c r="B6705" t="s">
        <v>22169</v>
      </c>
      <c r="C6705" t="s">
        <v>83</v>
      </c>
      <c r="D6705" t="s">
        <v>6321</v>
      </c>
      <c r="E6705" t="s">
        <v>86</v>
      </c>
      <c r="F6705" t="s">
        <v>21846</v>
      </c>
      <c r="G6705" t="s">
        <v>22170</v>
      </c>
      <c r="H6705" t="str">
        <f>HYPERLINK("https://baanknet.com/view-property/286200/B231F5709F0C578677D8534E66CEF51CEF947F6696CE6314BDF6E6CAE85B2F38", "https://baanknet.com/view-property/286200/B231F5709F0C578677D8534E66CEF51CEF947F6696CE6314BDF6E6CAE85B2F38")</f>
        <v>https://baanknet.com/view-property/286200/B231F5709F0C578677D8534E66CEF51CEF947F6696CE6314BDF6E6CAE85B2F38</v>
      </c>
      <c r="I6705" t="str">
        <f>HYPERLINK("https://baanknet.com/view-property/286200/B231F5709F0C578677D8534E66CEF51CEF947F6696CE6314BDF6E6CAE85B2F38", "Open")</f>
        <v>Open</v>
      </c>
      <c r="J6705" t="s">
        <v>20</v>
      </c>
      <c r="K6705" t="s">
        <v>21</v>
      </c>
      <c r="L6705">
        <v>3620000</v>
      </c>
      <c r="M6705">
        <v>362000</v>
      </c>
    </row>
    <row r="6706" spans="1:13" x14ac:dyDescent="0.25">
      <c r="A6706" t="s">
        <v>22171</v>
      </c>
      <c r="B6706" t="s">
        <v>22172</v>
      </c>
      <c r="C6706" t="s">
        <v>83</v>
      </c>
      <c r="D6706" t="s">
        <v>1323</v>
      </c>
      <c r="E6706" t="s">
        <v>86</v>
      </c>
      <c r="F6706" t="s">
        <v>21846</v>
      </c>
      <c r="G6706" t="s">
        <v>22173</v>
      </c>
      <c r="H6706" t="str">
        <f>HYPERLINK("https://baanknet.com/view-property/286197/75A231899107118F62A1605B933E369ACB5887DE1F789F3080B8C11719BCD641", "https://baanknet.com/view-property/286197/75A231899107118F62A1605B933E369ACB5887DE1F789F3080B8C11719BCD641")</f>
        <v>https://baanknet.com/view-property/286197/75A231899107118F62A1605B933E369ACB5887DE1F789F3080B8C11719BCD641</v>
      </c>
      <c r="I6706" t="str">
        <f>HYPERLINK("https://baanknet.com/view-property/286197/75A231899107118F62A1605B933E369ACB5887DE1F789F3080B8C11719BCD641", "Open")</f>
        <v>Open</v>
      </c>
      <c r="J6706" t="s">
        <v>20</v>
      </c>
      <c r="K6706" t="s">
        <v>21</v>
      </c>
      <c r="L6706">
        <v>5284000</v>
      </c>
      <c r="M6706">
        <v>528400</v>
      </c>
    </row>
    <row r="6707" spans="1:13" x14ac:dyDescent="0.25">
      <c r="A6707" t="s">
        <v>22174</v>
      </c>
      <c r="B6707" t="s">
        <v>22175</v>
      </c>
      <c r="C6707" t="s">
        <v>83</v>
      </c>
      <c r="D6707" t="s">
        <v>338</v>
      </c>
      <c r="E6707" t="s">
        <v>86</v>
      </c>
      <c r="F6707" t="s">
        <v>21846</v>
      </c>
      <c r="G6707" t="s">
        <v>22176</v>
      </c>
      <c r="H6707" t="str">
        <f>HYPERLINK("https://baanknet.com/view-property/265310/72DCA26137C95DFD64F180946FE74A120359BF696002145A771679489CA637EB", "https://baanknet.com/view-property/265310/72DCA26137C95DFD64F180946FE74A120359BF696002145A771679489CA637EB")</f>
        <v>https://baanknet.com/view-property/265310/72DCA26137C95DFD64F180946FE74A120359BF696002145A771679489CA637EB</v>
      </c>
      <c r="I6707" t="str">
        <f>HYPERLINK("https://baanknet.com/view-property/265310/72DCA26137C95DFD64F180946FE74A120359BF696002145A771679489CA637EB", "Open")</f>
        <v>Open</v>
      </c>
      <c r="J6707" t="s">
        <v>20</v>
      </c>
      <c r="K6707" t="s">
        <v>21</v>
      </c>
      <c r="L6707">
        <v>1818000</v>
      </c>
      <c r="M6707">
        <v>181800</v>
      </c>
    </row>
    <row r="6708" spans="1:13" x14ac:dyDescent="0.25">
      <c r="A6708" t="s">
        <v>22177</v>
      </c>
      <c r="B6708" t="s">
        <v>22178</v>
      </c>
      <c r="C6708" t="s">
        <v>83</v>
      </c>
      <c r="D6708" t="s">
        <v>813</v>
      </c>
      <c r="E6708" t="s">
        <v>86</v>
      </c>
      <c r="F6708" t="s">
        <v>21846</v>
      </c>
      <c r="G6708" t="s">
        <v>22179</v>
      </c>
      <c r="H6708" t="str">
        <f>HYPERLINK("https://baanknet.com/view-property/259446/C597A04987C4F95EEB3D78ECCA46E2E893DB92D34BD53C0D771FB3E1B914E6E8", "https://baanknet.com/view-property/259446/C597A04987C4F95EEB3D78ECCA46E2E893DB92D34BD53C0D771FB3E1B914E6E8")</f>
        <v>https://baanknet.com/view-property/259446/C597A04987C4F95EEB3D78ECCA46E2E893DB92D34BD53C0D771FB3E1B914E6E8</v>
      </c>
      <c r="I6708" t="str">
        <f>HYPERLINK("https://baanknet.com/view-property/259446/C597A04987C4F95EEB3D78ECCA46E2E893DB92D34BD53C0D771FB3E1B914E6E8", "Open")</f>
        <v>Open</v>
      </c>
      <c r="J6708" t="s">
        <v>20</v>
      </c>
      <c r="K6708" t="s">
        <v>21</v>
      </c>
      <c r="L6708">
        <v>2513000</v>
      </c>
      <c r="M6708">
        <v>251300</v>
      </c>
    </row>
    <row r="6709" spans="1:13" x14ac:dyDescent="0.25">
      <c r="A6709" t="s">
        <v>22180</v>
      </c>
      <c r="B6709" t="s">
        <v>22181</v>
      </c>
      <c r="C6709" t="s">
        <v>83</v>
      </c>
      <c r="D6709" t="s">
        <v>1246</v>
      </c>
      <c r="E6709" t="s">
        <v>86</v>
      </c>
      <c r="F6709" t="s">
        <v>21846</v>
      </c>
      <c r="G6709" t="s">
        <v>22182</v>
      </c>
      <c r="H6709" t="str">
        <f>HYPERLINK("https://baanknet.com/view-property/235248/10104F9E0C121D61339164E335A7A53D32394F6EAFEB0AA3767CE3ECCE46E58D", "https://baanknet.com/view-property/235248/10104F9E0C121D61339164E335A7A53D32394F6EAFEB0AA3767CE3ECCE46E58D")</f>
        <v>https://baanknet.com/view-property/235248/10104F9E0C121D61339164E335A7A53D32394F6EAFEB0AA3767CE3ECCE46E58D</v>
      </c>
      <c r="I6709" t="str">
        <f>HYPERLINK("https://baanknet.com/view-property/235248/10104F9E0C121D61339164E335A7A53D32394F6EAFEB0AA3767CE3ECCE46E58D", "Open")</f>
        <v>Open</v>
      </c>
      <c r="J6709" t="s">
        <v>20</v>
      </c>
      <c r="K6709" t="s">
        <v>21</v>
      </c>
      <c r="L6709">
        <v>21850000</v>
      </c>
      <c r="M6709">
        <v>2185000</v>
      </c>
    </row>
    <row r="6710" spans="1:13" x14ac:dyDescent="0.25">
      <c r="A6710" t="s">
        <v>22183</v>
      </c>
      <c r="B6710" t="s">
        <v>22184</v>
      </c>
      <c r="C6710" t="s">
        <v>83</v>
      </c>
      <c r="D6710" t="s">
        <v>8644</v>
      </c>
      <c r="E6710" t="s">
        <v>86</v>
      </c>
      <c r="F6710" t="s">
        <v>21846</v>
      </c>
      <c r="G6710" t="s">
        <v>22185</v>
      </c>
      <c r="H6710" t="str">
        <f>HYPERLINK("https://baanknet.com/view-property/286270/4B87275583CE97A062C2CF78CC77FF4D53C4E6B0708D425E364DF3245728DF64", "https://baanknet.com/view-property/286270/4B87275583CE97A062C2CF78CC77FF4D53C4E6B0708D425E364DF3245728DF64")</f>
        <v>https://baanknet.com/view-property/286270/4B87275583CE97A062C2CF78CC77FF4D53C4E6B0708D425E364DF3245728DF64</v>
      </c>
      <c r="I6710" t="str">
        <f>HYPERLINK("https://baanknet.com/view-property/286270/4B87275583CE97A062C2CF78CC77FF4D53C4E6B0708D425E364DF3245728DF64", "Open")</f>
        <v>Open</v>
      </c>
      <c r="J6710" t="s">
        <v>20</v>
      </c>
      <c r="K6710" t="s">
        <v>21</v>
      </c>
      <c r="L6710">
        <v>4492000</v>
      </c>
      <c r="M6710">
        <v>449200</v>
      </c>
    </row>
    <row r="6711" spans="1:13" x14ac:dyDescent="0.25">
      <c r="A6711" t="s">
        <v>22186</v>
      </c>
      <c r="B6711" t="s">
        <v>22187</v>
      </c>
      <c r="C6711" t="s">
        <v>83</v>
      </c>
      <c r="D6711" t="s">
        <v>22188</v>
      </c>
      <c r="E6711" t="s">
        <v>86</v>
      </c>
      <c r="F6711" t="s">
        <v>21846</v>
      </c>
      <c r="G6711" t="s">
        <v>22189</v>
      </c>
      <c r="H6711" t="str">
        <f>HYPERLINK("https://baanknet.com/view-property/230312/A233B2B595FFFF8518CDDD309269144CA745EEEB9B3029EF0F2736EDD1DBC93A", "https://baanknet.com/view-property/230312/A233B2B595FFFF8518CDDD309269144CA745EEEB9B3029EF0F2736EDD1DBC93A")</f>
        <v>https://baanknet.com/view-property/230312/A233B2B595FFFF8518CDDD309269144CA745EEEB9B3029EF0F2736EDD1DBC93A</v>
      </c>
      <c r="I6711" t="str">
        <f>HYPERLINK("https://baanknet.com/view-property/230312/A233B2B595FFFF8518CDDD309269144CA745EEEB9B3029EF0F2736EDD1DBC93A", "Open")</f>
        <v>Open</v>
      </c>
      <c r="J6711" t="s">
        <v>20</v>
      </c>
      <c r="K6711" t="s">
        <v>21</v>
      </c>
      <c r="L6711">
        <v>2650000</v>
      </c>
      <c r="M6711">
        <v>265000</v>
      </c>
    </row>
    <row r="6712" spans="1:13" x14ac:dyDescent="0.25">
      <c r="A6712" t="s">
        <v>22190</v>
      </c>
      <c r="B6712" t="s">
        <v>22191</v>
      </c>
      <c r="C6712" t="s">
        <v>83</v>
      </c>
      <c r="D6712" t="s">
        <v>22188</v>
      </c>
      <c r="E6712" t="s">
        <v>86</v>
      </c>
      <c r="F6712" t="s">
        <v>21846</v>
      </c>
      <c r="G6712" t="s">
        <v>22192</v>
      </c>
      <c r="H6712" t="str">
        <f>HYPERLINK("https://baanknet.com/view-property/230322/29CE9D6BC0E33C12157377B122C172B9EFC7CF4DCEF7E16851EB014A060B5D10", "https://baanknet.com/view-property/230322/29CE9D6BC0E33C12157377B122C172B9EFC7CF4DCEF7E16851EB014A060B5D10")</f>
        <v>https://baanknet.com/view-property/230322/29CE9D6BC0E33C12157377B122C172B9EFC7CF4DCEF7E16851EB014A060B5D10</v>
      </c>
      <c r="I6712" t="str">
        <f>HYPERLINK("https://baanknet.com/view-property/230322/29CE9D6BC0E33C12157377B122C172B9EFC7CF4DCEF7E16851EB014A060B5D10", "Open")</f>
        <v>Open</v>
      </c>
      <c r="J6712" t="s">
        <v>20</v>
      </c>
      <c r="K6712" t="s">
        <v>21</v>
      </c>
      <c r="L6712">
        <v>3645000</v>
      </c>
      <c r="M6712">
        <v>364500</v>
      </c>
    </row>
    <row r="6713" spans="1:13" x14ac:dyDescent="0.25">
      <c r="A6713" t="s">
        <v>22193</v>
      </c>
      <c r="B6713" t="s">
        <v>22194</v>
      </c>
      <c r="C6713" t="s">
        <v>83</v>
      </c>
      <c r="D6713" t="s">
        <v>22195</v>
      </c>
      <c r="E6713" t="s">
        <v>86</v>
      </c>
      <c r="F6713" t="s">
        <v>21846</v>
      </c>
      <c r="G6713" t="s">
        <v>22196</v>
      </c>
      <c r="H6713" t="str">
        <f>HYPERLINK("https://baanknet.com/view-property/239810/C4A26BFEEF7CCA143C39499A14D46BE1CA0DE24598F35068A31F625A2EAF8E74", "https://baanknet.com/view-property/239810/C4A26BFEEF7CCA143C39499A14D46BE1CA0DE24598F35068A31F625A2EAF8E74")</f>
        <v>https://baanknet.com/view-property/239810/C4A26BFEEF7CCA143C39499A14D46BE1CA0DE24598F35068A31F625A2EAF8E74</v>
      </c>
      <c r="I6713" t="str">
        <f>HYPERLINK("https://baanknet.com/view-property/239810/C4A26BFEEF7CCA143C39499A14D46BE1CA0DE24598F35068A31F625A2EAF8E74", "Open")</f>
        <v>Open</v>
      </c>
      <c r="J6713" t="s">
        <v>20</v>
      </c>
      <c r="K6713" t="s">
        <v>21</v>
      </c>
      <c r="L6713">
        <v>563000</v>
      </c>
      <c r="M6713">
        <v>56300</v>
      </c>
    </row>
    <row r="6714" spans="1:13" x14ac:dyDescent="0.25">
      <c r="A6714" t="s">
        <v>22197</v>
      </c>
      <c r="B6714" t="s">
        <v>22198</v>
      </c>
      <c r="C6714" t="s">
        <v>83</v>
      </c>
      <c r="D6714" t="s">
        <v>22195</v>
      </c>
      <c r="E6714" t="s">
        <v>86</v>
      </c>
      <c r="F6714" t="s">
        <v>21846</v>
      </c>
      <c r="G6714" t="s">
        <v>22199</v>
      </c>
      <c r="H6714" t="str">
        <f>HYPERLINK("https://baanknet.com/view-property/239768/C23AA31BEBA49436796164E815229C05FE9366F3787D7DA2B236ECD422439431", "https://baanknet.com/view-property/239768/C23AA31BEBA49436796164E815229C05FE9366F3787D7DA2B236ECD422439431")</f>
        <v>https://baanknet.com/view-property/239768/C23AA31BEBA49436796164E815229C05FE9366F3787D7DA2B236ECD422439431</v>
      </c>
      <c r="I6714" t="str">
        <f>HYPERLINK("https://baanknet.com/view-property/239768/C23AA31BEBA49436796164E815229C05FE9366F3787D7DA2B236ECD422439431", "Open")</f>
        <v>Open</v>
      </c>
      <c r="J6714" t="s">
        <v>20</v>
      </c>
      <c r="K6714" t="s">
        <v>21</v>
      </c>
      <c r="L6714">
        <v>1970000</v>
      </c>
      <c r="M6714">
        <v>197000</v>
      </c>
    </row>
    <row r="6715" spans="1:13" x14ac:dyDescent="0.25">
      <c r="A6715" t="s">
        <v>22200</v>
      </c>
      <c r="B6715" t="s">
        <v>22201</v>
      </c>
      <c r="C6715" t="s">
        <v>83</v>
      </c>
      <c r="D6715" t="s">
        <v>22195</v>
      </c>
      <c r="E6715" t="s">
        <v>86</v>
      </c>
      <c r="F6715" t="s">
        <v>21846</v>
      </c>
      <c r="G6715" t="s">
        <v>22202</v>
      </c>
      <c r="H6715" t="str">
        <f>HYPERLINK("https://baanknet.com/view-property/239774/A7E557E3CE185236440E062024E790032240611EA94082DF8E8B50F23E96B36F", "https://baanknet.com/view-property/239774/A7E557E3CE185236440E062024E790032240611EA94082DF8E8B50F23E96B36F")</f>
        <v>https://baanknet.com/view-property/239774/A7E557E3CE185236440E062024E790032240611EA94082DF8E8B50F23E96B36F</v>
      </c>
      <c r="I6715" t="str">
        <f>HYPERLINK("https://baanknet.com/view-property/239774/A7E557E3CE185236440E062024E790032240611EA94082DF8E8B50F23E96B36F", "Open")</f>
        <v>Open</v>
      </c>
      <c r="J6715" t="s">
        <v>20</v>
      </c>
      <c r="K6715" t="s">
        <v>21</v>
      </c>
      <c r="L6715">
        <v>10700000</v>
      </c>
      <c r="M6715">
        <v>1070000</v>
      </c>
    </row>
    <row r="6716" spans="1:13" x14ac:dyDescent="0.25">
      <c r="A6716" t="s">
        <v>22203</v>
      </c>
      <c r="B6716" t="s">
        <v>22204</v>
      </c>
      <c r="C6716" t="s">
        <v>83</v>
      </c>
      <c r="D6716" t="s">
        <v>22205</v>
      </c>
      <c r="E6716" t="s">
        <v>86</v>
      </c>
      <c r="F6716" t="s">
        <v>21846</v>
      </c>
      <c r="G6716" t="s">
        <v>22206</v>
      </c>
      <c r="H6716" t="str">
        <f>HYPERLINK("https://baanknet.com/view-property/285960/A5E9C8E1AFC0152E151564636C860F13463C73E5199C88B8651C4E1ADD691A90", "https://baanknet.com/view-property/285960/A5E9C8E1AFC0152E151564636C860F13463C73E5199C88B8651C4E1ADD691A90")</f>
        <v>https://baanknet.com/view-property/285960/A5E9C8E1AFC0152E151564636C860F13463C73E5199C88B8651C4E1ADD691A90</v>
      </c>
      <c r="I6716" t="str">
        <f>HYPERLINK("https://baanknet.com/view-property/285960/A5E9C8E1AFC0152E151564636C860F13463C73E5199C88B8651C4E1ADD691A90", "Open")</f>
        <v>Open</v>
      </c>
      <c r="J6716" t="s">
        <v>20</v>
      </c>
      <c r="K6716" t="s">
        <v>21</v>
      </c>
      <c r="L6716">
        <v>3319000</v>
      </c>
      <c r="M6716">
        <v>331900</v>
      </c>
    </row>
    <row r="6717" spans="1:13" x14ac:dyDescent="0.25">
      <c r="A6717" t="s">
        <v>22207</v>
      </c>
      <c r="B6717" t="s">
        <v>22208</v>
      </c>
      <c r="C6717" t="s">
        <v>83</v>
      </c>
      <c r="D6717" t="s">
        <v>282</v>
      </c>
      <c r="E6717" t="s">
        <v>86</v>
      </c>
      <c r="F6717" t="s">
        <v>21846</v>
      </c>
      <c r="G6717" t="s">
        <v>22209</v>
      </c>
      <c r="H6717" t="str">
        <f>HYPERLINK("https://baanknet.com/view-property/283002/2CAB1485FFD5312231F5ED19CEC0E5B9520ABF400917E78271A16338C18DFAC3", "https://baanknet.com/view-property/283002/2CAB1485FFD5312231F5ED19CEC0E5B9520ABF400917E78271A16338C18DFAC3")</f>
        <v>https://baanknet.com/view-property/283002/2CAB1485FFD5312231F5ED19CEC0E5B9520ABF400917E78271A16338C18DFAC3</v>
      </c>
      <c r="I6717" t="str">
        <f>HYPERLINK("https://baanknet.com/view-property/283002/2CAB1485FFD5312231F5ED19CEC0E5B9520ABF400917E78271A16338C18DFAC3", "Open")</f>
        <v>Open</v>
      </c>
      <c r="J6717" t="s">
        <v>20</v>
      </c>
      <c r="K6717" t="s">
        <v>21</v>
      </c>
      <c r="L6717">
        <v>6084000</v>
      </c>
      <c r="M6717">
        <v>608400</v>
      </c>
    </row>
    <row r="6718" spans="1:13" x14ac:dyDescent="0.25">
      <c r="A6718" t="s">
        <v>22210</v>
      </c>
      <c r="B6718" t="s">
        <v>22211</v>
      </c>
      <c r="C6718" t="s">
        <v>83</v>
      </c>
      <c r="D6718" t="s">
        <v>282</v>
      </c>
      <c r="E6718" t="s">
        <v>86</v>
      </c>
      <c r="F6718" t="s">
        <v>21846</v>
      </c>
      <c r="G6718" t="s">
        <v>22212</v>
      </c>
      <c r="H6718" t="str">
        <f>HYPERLINK("https://baanknet.com/view-property/222059/7FCD740E8F4B489E40DCF10A24C9BA5427A4552EC7E5BD054C609B3361B5067D", "https://baanknet.com/view-property/222059/7FCD740E8F4B489E40DCF10A24C9BA5427A4552EC7E5BD054C609B3361B5067D")</f>
        <v>https://baanknet.com/view-property/222059/7FCD740E8F4B489E40DCF10A24C9BA5427A4552EC7E5BD054C609B3361B5067D</v>
      </c>
      <c r="I6718" t="str">
        <f>HYPERLINK("https://baanknet.com/view-property/222059/7FCD740E8F4B489E40DCF10A24C9BA5427A4552EC7E5BD054C609B3361B5067D", "Open")</f>
        <v>Open</v>
      </c>
      <c r="J6718" t="s">
        <v>20</v>
      </c>
      <c r="K6718" t="s">
        <v>21</v>
      </c>
      <c r="L6718">
        <v>2227500</v>
      </c>
      <c r="M6718">
        <v>222750</v>
      </c>
    </row>
    <row r="6719" spans="1:13" x14ac:dyDescent="0.25">
      <c r="A6719" t="s">
        <v>22213</v>
      </c>
      <c r="B6719" t="s">
        <v>22214</v>
      </c>
      <c r="C6719" t="s">
        <v>83</v>
      </c>
      <c r="D6719" t="s">
        <v>282</v>
      </c>
      <c r="E6719" t="s">
        <v>86</v>
      </c>
      <c r="F6719" t="s">
        <v>21846</v>
      </c>
      <c r="G6719" t="s">
        <v>22215</v>
      </c>
      <c r="H6719" t="str">
        <f>HYPERLINK("https://baanknet.com/view-property/283004/09FE62446E6372E63FAFBDB8098E16A19CFC93B0ECA2C4FE108550DB7C307A66", "https://baanknet.com/view-property/283004/09FE62446E6372E63FAFBDB8098E16A19CFC93B0ECA2C4FE108550DB7C307A66")</f>
        <v>https://baanknet.com/view-property/283004/09FE62446E6372E63FAFBDB8098E16A19CFC93B0ECA2C4FE108550DB7C307A66</v>
      </c>
      <c r="I6719" t="str">
        <f>HYPERLINK("https://baanknet.com/view-property/283004/09FE62446E6372E63FAFBDB8098E16A19CFC93B0ECA2C4FE108550DB7C307A66", "Open")</f>
        <v>Open</v>
      </c>
      <c r="J6719" t="s">
        <v>20</v>
      </c>
      <c r="K6719" t="s">
        <v>21</v>
      </c>
      <c r="L6719">
        <v>1722000</v>
      </c>
      <c r="M6719">
        <v>172200</v>
      </c>
    </row>
    <row r="6720" spans="1:13" x14ac:dyDescent="0.25">
      <c r="A6720" t="s">
        <v>22216</v>
      </c>
      <c r="B6720" t="s">
        <v>22217</v>
      </c>
      <c r="C6720" t="s">
        <v>83</v>
      </c>
      <c r="D6720" t="s">
        <v>282</v>
      </c>
      <c r="E6720" t="s">
        <v>86</v>
      </c>
      <c r="F6720" t="s">
        <v>21846</v>
      </c>
      <c r="G6720" t="s">
        <v>22218</v>
      </c>
      <c r="H6720" t="str">
        <f>HYPERLINK("https://baanknet.com/view-property/122250/6DE1A0CA0BC5FB6E18ADDABA155BC5032B797955FC2C444B9267C9907FB2F85F", "https://baanknet.com/view-property/122250/6DE1A0CA0BC5FB6E18ADDABA155BC5032B797955FC2C444B9267C9907FB2F85F")</f>
        <v>https://baanknet.com/view-property/122250/6DE1A0CA0BC5FB6E18ADDABA155BC5032B797955FC2C444B9267C9907FB2F85F</v>
      </c>
      <c r="I6720" t="str">
        <f>HYPERLINK("https://baanknet.com/view-property/122250/6DE1A0CA0BC5FB6E18ADDABA155BC5032B797955FC2C444B9267C9907FB2F85F", "Open")</f>
        <v>Open</v>
      </c>
      <c r="J6720" t="s">
        <v>20</v>
      </c>
      <c r="K6720" t="s">
        <v>21</v>
      </c>
      <c r="L6720">
        <v>1239000</v>
      </c>
      <c r="M6720">
        <v>123900</v>
      </c>
    </row>
    <row r="6721" spans="1:13" x14ac:dyDescent="0.25">
      <c r="A6721" t="s">
        <v>22219</v>
      </c>
      <c r="B6721" t="s">
        <v>22220</v>
      </c>
      <c r="C6721" t="s">
        <v>83</v>
      </c>
      <c r="D6721" t="s">
        <v>282</v>
      </c>
      <c r="E6721" t="s">
        <v>86</v>
      </c>
      <c r="F6721" t="s">
        <v>21846</v>
      </c>
      <c r="G6721" t="s">
        <v>22221</v>
      </c>
      <c r="H6721" t="str">
        <f>HYPERLINK("https://baanknet.com/view-property/283005/F9E50A1686681005226EC9F3B8B0901095548BB102C0A965289241D23BD62E40", "https://baanknet.com/view-property/283005/F9E50A1686681005226EC9F3B8B0901095548BB102C0A965289241D23BD62E40")</f>
        <v>https://baanknet.com/view-property/283005/F9E50A1686681005226EC9F3B8B0901095548BB102C0A965289241D23BD62E40</v>
      </c>
      <c r="I6721" t="str">
        <f>HYPERLINK("https://baanknet.com/view-property/283005/F9E50A1686681005226EC9F3B8B0901095548BB102C0A965289241D23BD62E40", "Open")</f>
        <v>Open</v>
      </c>
      <c r="J6721" t="s">
        <v>20</v>
      </c>
      <c r="K6721" t="s">
        <v>21</v>
      </c>
      <c r="L6721">
        <v>1314000</v>
      </c>
      <c r="M6721">
        <v>131400</v>
      </c>
    </row>
    <row r="6722" spans="1:13" x14ac:dyDescent="0.25">
      <c r="A6722" t="s">
        <v>22222</v>
      </c>
      <c r="B6722" t="s">
        <v>22223</v>
      </c>
      <c r="C6722" t="s">
        <v>83</v>
      </c>
      <c r="D6722" t="s">
        <v>282</v>
      </c>
      <c r="E6722" t="s">
        <v>86</v>
      </c>
      <c r="F6722" t="s">
        <v>21846</v>
      </c>
      <c r="G6722" t="s">
        <v>22224</v>
      </c>
      <c r="H6722" t="str">
        <f>HYPERLINK("https://baanknet.com/view-property/273724/4E5FBDE27BED651904EAF116759A34F9C6293521DABE5E63BB0EB4E4E8A5AF6A", "https://baanknet.com/view-property/273724/4E5FBDE27BED651904EAF116759A34F9C6293521DABE5E63BB0EB4E4E8A5AF6A")</f>
        <v>https://baanknet.com/view-property/273724/4E5FBDE27BED651904EAF116759A34F9C6293521DABE5E63BB0EB4E4E8A5AF6A</v>
      </c>
      <c r="I6722" t="str">
        <f>HYPERLINK("https://baanknet.com/view-property/273724/4E5FBDE27BED651904EAF116759A34F9C6293521DABE5E63BB0EB4E4E8A5AF6A", "Open")</f>
        <v>Open</v>
      </c>
      <c r="J6722" t="s">
        <v>20</v>
      </c>
      <c r="K6722" t="s">
        <v>21</v>
      </c>
      <c r="L6722">
        <v>1060000</v>
      </c>
      <c r="M6722">
        <v>106000</v>
      </c>
    </row>
    <row r="6723" spans="1:13" x14ac:dyDescent="0.25">
      <c r="A6723" t="s">
        <v>22225</v>
      </c>
      <c r="B6723" t="s">
        <v>22226</v>
      </c>
      <c r="C6723" t="s">
        <v>83</v>
      </c>
      <c r="D6723" t="s">
        <v>282</v>
      </c>
      <c r="E6723" t="s">
        <v>86</v>
      </c>
      <c r="F6723" t="s">
        <v>21846</v>
      </c>
      <c r="G6723" t="s">
        <v>22227</v>
      </c>
      <c r="H6723" t="str">
        <f>HYPERLINK("https://baanknet.com/view-property/283230/DDBC67F4038472CEDCD3A66F22F76F997B8D8197141E513D9E0C8878757CD7F8", "https://baanknet.com/view-property/283230/DDBC67F4038472CEDCD3A66F22F76F997B8D8197141E513D9E0C8878757CD7F8")</f>
        <v>https://baanknet.com/view-property/283230/DDBC67F4038472CEDCD3A66F22F76F997B8D8197141E513D9E0C8878757CD7F8</v>
      </c>
      <c r="I6723" t="str">
        <f>HYPERLINK("https://baanknet.com/view-property/283230/DDBC67F4038472CEDCD3A66F22F76F997B8D8197141E513D9E0C8878757CD7F8", "Open")</f>
        <v>Open</v>
      </c>
      <c r="J6723" t="s">
        <v>20</v>
      </c>
      <c r="K6723" t="s">
        <v>21</v>
      </c>
      <c r="L6723">
        <v>810000</v>
      </c>
      <c r="M6723">
        <v>81000</v>
      </c>
    </row>
    <row r="6724" spans="1:13" x14ac:dyDescent="0.25">
      <c r="A6724" t="s">
        <v>22228</v>
      </c>
      <c r="B6724" t="s">
        <v>22229</v>
      </c>
      <c r="C6724" t="s">
        <v>83</v>
      </c>
      <c r="D6724" t="s">
        <v>282</v>
      </c>
      <c r="E6724" t="s">
        <v>86</v>
      </c>
      <c r="F6724" t="s">
        <v>21846</v>
      </c>
      <c r="G6724" t="s">
        <v>22230</v>
      </c>
      <c r="H6724" t="str">
        <f>HYPERLINK("https://baanknet.com/view-property/222088/6C46F4324D43149EFB490EC55845717218C0CE6D6E15CF0234CADE7933FBA1DF", "https://baanknet.com/view-property/222088/6C46F4324D43149EFB490EC55845717218C0CE6D6E15CF0234CADE7933FBA1DF")</f>
        <v>https://baanknet.com/view-property/222088/6C46F4324D43149EFB490EC55845717218C0CE6D6E15CF0234CADE7933FBA1DF</v>
      </c>
      <c r="I6724" t="str">
        <f>HYPERLINK("https://baanknet.com/view-property/222088/6C46F4324D43149EFB490EC55845717218C0CE6D6E15CF0234CADE7933FBA1DF", "Open")</f>
        <v>Open</v>
      </c>
      <c r="J6724" t="s">
        <v>20</v>
      </c>
      <c r="K6724" t="s">
        <v>21</v>
      </c>
      <c r="L6724">
        <v>1877000</v>
      </c>
      <c r="M6724">
        <v>187700</v>
      </c>
    </row>
    <row r="6725" spans="1:13" x14ac:dyDescent="0.25">
      <c r="A6725" t="s">
        <v>22231</v>
      </c>
      <c r="B6725" t="s">
        <v>22232</v>
      </c>
      <c r="C6725" t="s">
        <v>83</v>
      </c>
      <c r="D6725" t="s">
        <v>282</v>
      </c>
      <c r="E6725" t="s">
        <v>86</v>
      </c>
      <c r="F6725" t="s">
        <v>21846</v>
      </c>
      <c r="G6725" t="s">
        <v>22233</v>
      </c>
      <c r="H6725" t="str">
        <f>HYPERLINK("https://baanknet.com/view-property/283231/5EBEA9FF4EE617E234326385502D1D488C8549CF84D7AE0B243D4FAF71BE5FEC", "https://baanknet.com/view-property/283231/5EBEA9FF4EE617E234326385502D1D488C8549CF84D7AE0B243D4FAF71BE5FEC")</f>
        <v>https://baanknet.com/view-property/283231/5EBEA9FF4EE617E234326385502D1D488C8549CF84D7AE0B243D4FAF71BE5FEC</v>
      </c>
      <c r="I6725" t="str">
        <f>HYPERLINK("https://baanknet.com/view-property/283231/5EBEA9FF4EE617E234326385502D1D488C8549CF84D7AE0B243D4FAF71BE5FEC", "Open")</f>
        <v>Open</v>
      </c>
      <c r="J6725" t="s">
        <v>20</v>
      </c>
      <c r="K6725" t="s">
        <v>21</v>
      </c>
      <c r="L6725">
        <v>2223000</v>
      </c>
      <c r="M6725">
        <v>222300</v>
      </c>
    </row>
    <row r="6726" spans="1:13" x14ac:dyDescent="0.25">
      <c r="A6726" t="s">
        <v>22234</v>
      </c>
      <c r="B6726" t="s">
        <v>22235</v>
      </c>
      <c r="C6726" t="s">
        <v>83</v>
      </c>
      <c r="D6726" t="s">
        <v>282</v>
      </c>
      <c r="E6726" t="s">
        <v>86</v>
      </c>
      <c r="F6726" t="s">
        <v>21846</v>
      </c>
      <c r="G6726" t="s">
        <v>22236</v>
      </c>
      <c r="H6726" t="str">
        <f>HYPERLINK("https://baanknet.com/view-property/283232/A2F3ACEEBF32EBD79E0D34ED1E65F50E3C72E6018EC5441C4036565247A45721", "https://baanknet.com/view-property/283232/A2F3ACEEBF32EBD79E0D34ED1E65F50E3C72E6018EC5441C4036565247A45721")</f>
        <v>https://baanknet.com/view-property/283232/A2F3ACEEBF32EBD79E0D34ED1E65F50E3C72E6018EC5441C4036565247A45721</v>
      </c>
      <c r="I6726" t="str">
        <f>HYPERLINK("https://baanknet.com/view-property/283232/A2F3ACEEBF32EBD79E0D34ED1E65F50E3C72E6018EC5441C4036565247A45721", "Open")</f>
        <v>Open</v>
      </c>
      <c r="J6726" t="s">
        <v>20</v>
      </c>
      <c r="K6726" t="s">
        <v>21</v>
      </c>
      <c r="L6726">
        <v>2250000</v>
      </c>
      <c r="M6726">
        <v>225000</v>
      </c>
    </row>
    <row r="6727" spans="1:13" x14ac:dyDescent="0.25">
      <c r="A6727" t="s">
        <v>22237</v>
      </c>
      <c r="B6727" t="s">
        <v>22238</v>
      </c>
      <c r="C6727" t="s">
        <v>571</v>
      </c>
      <c r="D6727" t="s">
        <v>1366</v>
      </c>
      <c r="E6727" t="s">
        <v>579</v>
      </c>
      <c r="F6727" t="s">
        <v>585</v>
      </c>
      <c r="G6727" t="s">
        <v>22239</v>
      </c>
      <c r="H6727" t="str">
        <f>HYPERLINK("https://baanknet.com/view-property/285389/8952C998F4DAFB6F345070593951A6FA692F448DE7AD3755D619A9033D60406F", "https://baanknet.com/view-property/285389/8952C998F4DAFB6F345070593951A6FA692F448DE7AD3755D619A9033D60406F")</f>
        <v>https://baanknet.com/view-property/285389/8952C998F4DAFB6F345070593951A6FA692F448DE7AD3755D619A9033D60406F</v>
      </c>
      <c r="I6727" t="str">
        <f>HYPERLINK("https://baanknet.com/view-property/285389/8952C998F4DAFB6F345070593951A6FA692F448DE7AD3755D619A9033D60406F", "Open")</f>
        <v>Open</v>
      </c>
      <c r="J6727" t="s">
        <v>3803</v>
      </c>
      <c r="L6727">
        <v>1431000</v>
      </c>
      <c r="M6727">
        <v>143100</v>
      </c>
    </row>
    <row r="6728" spans="1:13" x14ac:dyDescent="0.25">
      <c r="A6728" t="s">
        <v>22240</v>
      </c>
      <c r="B6728" t="s">
        <v>22241</v>
      </c>
      <c r="C6728" t="s">
        <v>594</v>
      </c>
      <c r="D6728" t="s">
        <v>1761</v>
      </c>
      <c r="E6728" t="s">
        <v>596</v>
      </c>
      <c r="F6728" t="s">
        <v>574</v>
      </c>
      <c r="G6728" t="s">
        <v>22242</v>
      </c>
      <c r="H6728" t="str">
        <f>HYPERLINK("https://baanknet.com/view-property/271437/FC3EBC7FDC573F6950C5F84EF65865876E00EFE28C52424D5182EAF4BD02F0E3", "https://baanknet.com/view-property/271437/FC3EBC7FDC573F6950C5F84EF65865876E00EFE28C52424D5182EAF4BD02F0E3")</f>
        <v>https://baanknet.com/view-property/271437/FC3EBC7FDC573F6950C5F84EF65865876E00EFE28C52424D5182EAF4BD02F0E3</v>
      </c>
      <c r="I6728" t="str">
        <f>HYPERLINK("https://baanknet.com/view-property/271437/FC3EBC7FDC573F6950C5F84EF65865876E00EFE28C52424D5182EAF4BD02F0E3", "Open")</f>
        <v>Open</v>
      </c>
      <c r="J6728" t="s">
        <v>3803</v>
      </c>
      <c r="L6728">
        <v>1674000</v>
      </c>
      <c r="M6728">
        <v>167400</v>
      </c>
    </row>
    <row r="6729" spans="1:13" x14ac:dyDescent="0.25">
      <c r="A6729" t="s">
        <v>22243</v>
      </c>
      <c r="B6729" t="s">
        <v>22244</v>
      </c>
      <c r="C6729" t="s">
        <v>594</v>
      </c>
      <c r="D6729" t="s">
        <v>1761</v>
      </c>
      <c r="E6729" t="s">
        <v>596</v>
      </c>
      <c r="F6729" t="s">
        <v>574</v>
      </c>
      <c r="G6729" t="s">
        <v>22245</v>
      </c>
      <c r="H6729" t="str">
        <f>HYPERLINK("https://baanknet.com/view-property/271444/97B38E21C62E8CDAB193D72924C23A34758C8A8BB3565307152F0F30FCC2E9DD", "https://baanknet.com/view-property/271444/97B38E21C62E8CDAB193D72924C23A34758C8A8BB3565307152F0F30FCC2E9DD")</f>
        <v>https://baanknet.com/view-property/271444/97B38E21C62E8CDAB193D72924C23A34758C8A8BB3565307152F0F30FCC2E9DD</v>
      </c>
      <c r="I6729" t="str">
        <f>HYPERLINK("https://baanknet.com/view-property/271444/97B38E21C62E8CDAB193D72924C23A34758C8A8BB3565307152F0F30FCC2E9DD", "Open")</f>
        <v>Open</v>
      </c>
      <c r="J6729" t="s">
        <v>3803</v>
      </c>
      <c r="L6729">
        <v>765000</v>
      </c>
      <c r="M6729">
        <v>76500</v>
      </c>
    </row>
    <row r="6730" spans="1:13" x14ac:dyDescent="0.25">
      <c r="A6730" t="s">
        <v>22246</v>
      </c>
      <c r="B6730" t="s">
        <v>22247</v>
      </c>
      <c r="C6730" t="s">
        <v>594</v>
      </c>
      <c r="D6730" t="s">
        <v>1761</v>
      </c>
      <c r="E6730" t="s">
        <v>596</v>
      </c>
      <c r="F6730" t="s">
        <v>574</v>
      </c>
      <c r="G6730" t="s">
        <v>22248</v>
      </c>
      <c r="H6730" t="str">
        <f>HYPERLINK("https://baanknet.com/view-property/271438/7389D5EA9CEA2876693745A73BEF6F43B0858FEDB431F9B63E7BFA44C4C82096", "https://baanknet.com/view-property/271438/7389D5EA9CEA2876693745A73BEF6F43B0858FEDB431F9B63E7BFA44C4C82096")</f>
        <v>https://baanknet.com/view-property/271438/7389D5EA9CEA2876693745A73BEF6F43B0858FEDB431F9B63E7BFA44C4C82096</v>
      </c>
      <c r="I6730" t="str">
        <f>HYPERLINK("https://baanknet.com/view-property/271438/7389D5EA9CEA2876693745A73BEF6F43B0858FEDB431F9B63E7BFA44C4C82096", "Open")</f>
        <v>Open</v>
      </c>
      <c r="J6730" t="s">
        <v>3803</v>
      </c>
      <c r="L6730">
        <v>1638000</v>
      </c>
      <c r="M6730">
        <v>163800</v>
      </c>
    </row>
    <row r="6731" spans="1:13" x14ac:dyDescent="0.25">
      <c r="A6731" t="s">
        <v>22249</v>
      </c>
      <c r="B6731" t="s">
        <v>22250</v>
      </c>
      <c r="C6731" t="s">
        <v>594</v>
      </c>
      <c r="D6731" t="s">
        <v>5829</v>
      </c>
      <c r="E6731" t="s">
        <v>596</v>
      </c>
      <c r="F6731" t="s">
        <v>574</v>
      </c>
      <c r="G6731" t="s">
        <v>22251</v>
      </c>
      <c r="H6731" t="str">
        <f>HYPERLINK("https://baanknet.com/view-property/262650/CD933C6F11DD9E8FAA9B2E8E26C79A3566E3184E77ADAFBE8F8AFB6010B7147D", "https://baanknet.com/view-property/262650/CD933C6F11DD9E8FAA9B2E8E26C79A3566E3184E77ADAFBE8F8AFB6010B7147D")</f>
        <v>https://baanknet.com/view-property/262650/CD933C6F11DD9E8FAA9B2E8E26C79A3566E3184E77ADAFBE8F8AFB6010B7147D</v>
      </c>
      <c r="I6731" t="str">
        <f>HYPERLINK("https://baanknet.com/view-property/262650/CD933C6F11DD9E8FAA9B2E8E26C79A3566E3184E77ADAFBE8F8AFB6010B7147D", "Open")</f>
        <v>Open</v>
      </c>
      <c r="J6731" t="s">
        <v>3803</v>
      </c>
      <c r="L6731">
        <v>2241000</v>
      </c>
      <c r="M6731">
        <v>224100</v>
      </c>
    </row>
    <row r="6732" spans="1:13" x14ac:dyDescent="0.25">
      <c r="A6732" t="s">
        <v>22252</v>
      </c>
      <c r="B6732" t="s">
        <v>22253</v>
      </c>
      <c r="C6732" t="s">
        <v>594</v>
      </c>
      <c r="D6732" t="s">
        <v>5829</v>
      </c>
      <c r="E6732" t="s">
        <v>596</v>
      </c>
      <c r="F6732" t="s">
        <v>574</v>
      </c>
      <c r="G6732" t="s">
        <v>22254</v>
      </c>
      <c r="H6732" t="str">
        <f>HYPERLINK("https://baanknet.com/view-property/262649/E84D5A42C2399124480548772F86C3B6FCD39891E0928E07BBD689363699A946", "https://baanknet.com/view-property/262649/E84D5A42C2399124480548772F86C3B6FCD39891E0928E07BBD689363699A946")</f>
        <v>https://baanknet.com/view-property/262649/E84D5A42C2399124480548772F86C3B6FCD39891E0928E07BBD689363699A946</v>
      </c>
      <c r="I6732" t="str">
        <f>HYPERLINK("https://baanknet.com/view-property/262649/E84D5A42C2399124480548772F86C3B6FCD39891E0928E07BBD689363699A946", "Open")</f>
        <v>Open</v>
      </c>
      <c r="J6732" t="s">
        <v>3803</v>
      </c>
      <c r="L6732">
        <v>1467000</v>
      </c>
      <c r="M6732">
        <v>146700</v>
      </c>
    </row>
    <row r="6733" spans="1:13" x14ac:dyDescent="0.25">
      <c r="A6733" t="s">
        <v>22255</v>
      </c>
      <c r="B6733" t="s">
        <v>22256</v>
      </c>
      <c r="C6733" t="s">
        <v>594</v>
      </c>
      <c r="D6733" t="s">
        <v>22257</v>
      </c>
      <c r="E6733" t="s">
        <v>596</v>
      </c>
      <c r="F6733" t="s">
        <v>574</v>
      </c>
      <c r="G6733" t="s">
        <v>22258</v>
      </c>
      <c r="H6733" t="str">
        <f>HYPERLINK("https://baanknet.com/view-property/270523/2DACA68ACDDC789FA9412107AB3F91C6E72E6266E404190BDD322FE1E0D8D079", "https://baanknet.com/view-property/270523/2DACA68ACDDC789FA9412107AB3F91C6E72E6266E404190BDD322FE1E0D8D079")</f>
        <v>https://baanknet.com/view-property/270523/2DACA68ACDDC789FA9412107AB3F91C6E72E6266E404190BDD322FE1E0D8D079</v>
      </c>
      <c r="I6733" t="str">
        <f>HYPERLINK("https://baanknet.com/view-property/270523/2DACA68ACDDC789FA9412107AB3F91C6E72E6266E404190BDD322FE1E0D8D079", "Open")</f>
        <v>Open</v>
      </c>
      <c r="J6733" t="s">
        <v>3803</v>
      </c>
      <c r="L6733">
        <v>1266000</v>
      </c>
      <c r="M6733">
        <v>126600</v>
      </c>
    </row>
    <row r="6734" spans="1:13" x14ac:dyDescent="0.25">
      <c r="A6734" t="s">
        <v>22259</v>
      </c>
      <c r="B6734" t="s">
        <v>22260</v>
      </c>
      <c r="C6734" t="s">
        <v>594</v>
      </c>
      <c r="D6734" t="s">
        <v>22257</v>
      </c>
      <c r="E6734" t="s">
        <v>596</v>
      </c>
      <c r="F6734" t="s">
        <v>574</v>
      </c>
      <c r="G6734" t="s">
        <v>22261</v>
      </c>
      <c r="H6734" t="str">
        <f>HYPERLINK("https://baanknet.com/view-property/270522/D9DB8B78AA9B7105F85D55A1D5533314A231F60686761EC31DC0D3B27919EFE7", "https://baanknet.com/view-property/270522/D9DB8B78AA9B7105F85D55A1D5533314A231F60686761EC31DC0D3B27919EFE7")</f>
        <v>https://baanknet.com/view-property/270522/D9DB8B78AA9B7105F85D55A1D5533314A231F60686761EC31DC0D3B27919EFE7</v>
      </c>
      <c r="I6734" t="str">
        <f>HYPERLINK("https://baanknet.com/view-property/270522/D9DB8B78AA9B7105F85D55A1D5533314A231F60686761EC31DC0D3B27919EFE7", "Open")</f>
        <v>Open</v>
      </c>
      <c r="J6734" t="s">
        <v>3803</v>
      </c>
      <c r="L6734">
        <v>1266000</v>
      </c>
      <c r="M6734">
        <v>126600</v>
      </c>
    </row>
    <row r="6735" spans="1:13" x14ac:dyDescent="0.25">
      <c r="A6735" t="s">
        <v>22262</v>
      </c>
      <c r="B6735" t="s">
        <v>22263</v>
      </c>
      <c r="C6735" t="s">
        <v>594</v>
      </c>
      <c r="D6735" t="s">
        <v>22264</v>
      </c>
      <c r="E6735" t="s">
        <v>596</v>
      </c>
      <c r="F6735" t="s">
        <v>574</v>
      </c>
      <c r="G6735" t="s">
        <v>22265</v>
      </c>
      <c r="H6735" t="str">
        <f>HYPERLINK("https://baanknet.com/view-property/272816/60FE40528594CC2ECDF4965A98A638B59FDC039037448B605175FD9DE5A48926", "https://baanknet.com/view-property/272816/60FE40528594CC2ECDF4965A98A638B59FDC039037448B605175FD9DE5A48926")</f>
        <v>https://baanknet.com/view-property/272816/60FE40528594CC2ECDF4965A98A638B59FDC039037448B605175FD9DE5A48926</v>
      </c>
      <c r="I6735" t="str">
        <f>HYPERLINK("https://baanknet.com/view-property/272816/60FE40528594CC2ECDF4965A98A638B59FDC039037448B605175FD9DE5A48926", "Open")</f>
        <v>Open</v>
      </c>
      <c r="J6735" t="s">
        <v>3803</v>
      </c>
      <c r="L6735">
        <v>1746000</v>
      </c>
      <c r="M6735">
        <v>174600</v>
      </c>
    </row>
    <row r="6736" spans="1:13" x14ac:dyDescent="0.25">
      <c r="A6736" t="s">
        <v>22266</v>
      </c>
      <c r="B6736" t="s">
        <v>22267</v>
      </c>
      <c r="C6736" t="s">
        <v>594</v>
      </c>
      <c r="D6736" t="s">
        <v>18791</v>
      </c>
      <c r="E6736" t="s">
        <v>596</v>
      </c>
      <c r="F6736" t="s">
        <v>574</v>
      </c>
      <c r="G6736" t="s">
        <v>22268</v>
      </c>
      <c r="H6736" t="str">
        <f>HYPERLINK("https://baanknet.com/view-property/285462/D637F18E52D619034EC8EA7AFB3174CA417966151B4AA799E1FB96821671673E", "https://baanknet.com/view-property/285462/D637F18E52D619034EC8EA7AFB3174CA417966151B4AA799E1FB96821671673E")</f>
        <v>https://baanknet.com/view-property/285462/D637F18E52D619034EC8EA7AFB3174CA417966151B4AA799E1FB96821671673E</v>
      </c>
      <c r="I6736" t="str">
        <f>HYPERLINK("https://baanknet.com/view-property/285462/D637F18E52D619034EC8EA7AFB3174CA417966151B4AA799E1FB96821671673E", "Open")</f>
        <v>Open</v>
      </c>
      <c r="J6736" t="s">
        <v>3803</v>
      </c>
      <c r="L6736">
        <v>1313000</v>
      </c>
      <c r="M6736">
        <v>131300</v>
      </c>
    </row>
    <row r="6737" spans="1:13" x14ac:dyDescent="0.25">
      <c r="A6737" t="s">
        <v>22269</v>
      </c>
      <c r="B6737" t="s">
        <v>22270</v>
      </c>
      <c r="C6737" t="s">
        <v>594</v>
      </c>
      <c r="D6737" t="s">
        <v>18791</v>
      </c>
      <c r="E6737" t="s">
        <v>596</v>
      </c>
      <c r="F6737" t="s">
        <v>574</v>
      </c>
      <c r="G6737" t="s">
        <v>22271</v>
      </c>
      <c r="H6737" t="str">
        <f>HYPERLINK("https://baanknet.com/view-property/285458/49435B999C4B7B5CF7EADB47F7899E5832A655C61D6A50273788EC19D78BEEA0", "https://baanknet.com/view-property/285458/49435B999C4B7B5CF7EADB47F7899E5832A655C61D6A50273788EC19D78BEEA0")</f>
        <v>https://baanknet.com/view-property/285458/49435B999C4B7B5CF7EADB47F7899E5832A655C61D6A50273788EC19D78BEEA0</v>
      </c>
      <c r="I6737" t="str">
        <f>HYPERLINK("https://baanknet.com/view-property/285458/49435B999C4B7B5CF7EADB47F7899E5832A655C61D6A50273788EC19D78BEEA0", "Open")</f>
        <v>Open</v>
      </c>
      <c r="J6737" t="s">
        <v>3803</v>
      </c>
      <c r="L6737">
        <v>1675000</v>
      </c>
      <c r="M6737">
        <v>167500</v>
      </c>
    </row>
    <row r="6738" spans="1:13" x14ac:dyDescent="0.25">
      <c r="A6738" t="s">
        <v>22272</v>
      </c>
      <c r="B6738" t="s">
        <v>22273</v>
      </c>
      <c r="C6738" t="s">
        <v>594</v>
      </c>
      <c r="D6738" t="s">
        <v>813</v>
      </c>
      <c r="E6738" t="s">
        <v>596</v>
      </c>
      <c r="F6738" t="s">
        <v>574</v>
      </c>
      <c r="G6738" t="s">
        <v>22274</v>
      </c>
      <c r="H6738" t="str">
        <f>HYPERLINK("https://baanknet.com/view-property/288224/0B57219CA45B3238E51FFDA34ACA891B5E5AFE2495904C3874275E23431BD641", "https://baanknet.com/view-property/288224/0B57219CA45B3238E51FFDA34ACA891B5E5AFE2495904C3874275E23431BD641")</f>
        <v>https://baanknet.com/view-property/288224/0B57219CA45B3238E51FFDA34ACA891B5E5AFE2495904C3874275E23431BD641</v>
      </c>
      <c r="I6738" t="str">
        <f>HYPERLINK("https://baanknet.com/view-property/288224/0B57219CA45B3238E51FFDA34ACA891B5E5AFE2495904C3874275E23431BD641", "Open")</f>
        <v>Open</v>
      </c>
      <c r="J6738" t="s">
        <v>3803</v>
      </c>
      <c r="L6738">
        <v>1906000</v>
      </c>
      <c r="M6738">
        <v>190600</v>
      </c>
    </row>
    <row r="6739" spans="1:13" x14ac:dyDescent="0.25">
      <c r="A6739" t="s">
        <v>22275</v>
      </c>
      <c r="B6739" t="s">
        <v>22276</v>
      </c>
      <c r="C6739" t="s">
        <v>332</v>
      </c>
      <c r="D6739" t="s">
        <v>9495</v>
      </c>
      <c r="E6739" t="s">
        <v>623</v>
      </c>
      <c r="F6739" t="s">
        <v>7521</v>
      </c>
      <c r="G6739" t="s">
        <v>22277</v>
      </c>
      <c r="H6739" t="str">
        <f>HYPERLINK("https://baanknet.com/view-property/273964/9A44139D789E1CA15315F974FB770AF1DB57BF667A76E940C094E959A73214BB", "https://baanknet.com/view-property/273964/9A44139D789E1CA15315F974FB770AF1DB57BF667A76E940C094E959A73214BB")</f>
        <v>https://baanknet.com/view-property/273964/9A44139D789E1CA15315F974FB770AF1DB57BF667A76E940C094E959A73214BB</v>
      </c>
      <c r="I6739" t="str">
        <f>HYPERLINK("https://baanknet.com/view-property/273964/9A44139D789E1CA15315F974FB770AF1DB57BF667A76E940C094E959A73214BB", "Open")</f>
        <v>Open</v>
      </c>
      <c r="J6739" t="s">
        <v>3803</v>
      </c>
      <c r="L6739">
        <v>1350000</v>
      </c>
      <c r="M6739">
        <v>135000</v>
      </c>
    </row>
    <row r="6740" spans="1:13" x14ac:dyDescent="0.25">
      <c r="A6740" t="s">
        <v>22278</v>
      </c>
      <c r="B6740" t="s">
        <v>22279</v>
      </c>
      <c r="C6740" t="s">
        <v>387</v>
      </c>
      <c r="D6740" t="s">
        <v>837</v>
      </c>
      <c r="E6740" t="s">
        <v>11023</v>
      </c>
      <c r="F6740" t="s">
        <v>11430</v>
      </c>
      <c r="G6740" t="s">
        <v>22280</v>
      </c>
      <c r="H6740" t="str">
        <f>HYPERLINK("https://baanknet.com/view-property/288231/65CD686DB383EC9C21EA07A9052097B0EC104934571E79750544D646EAB459C9", "https://baanknet.com/view-property/288231/65CD686DB383EC9C21EA07A9052097B0EC104934571E79750544D646EAB459C9")</f>
        <v>https://baanknet.com/view-property/288231/65CD686DB383EC9C21EA07A9052097B0EC104934571E79750544D646EAB459C9</v>
      </c>
      <c r="I6740" t="str">
        <f>HYPERLINK("https://baanknet.com/view-property/288231/65CD686DB383EC9C21EA07A9052097B0EC104934571E79750544D646EAB459C9", "Open")</f>
        <v>Open</v>
      </c>
      <c r="J6740" t="s">
        <v>3803</v>
      </c>
      <c r="L6740">
        <v>1840000</v>
      </c>
      <c r="M6740">
        <v>184000</v>
      </c>
    </row>
    <row r="6741" spans="1:13" x14ac:dyDescent="0.25">
      <c r="A6741" t="s">
        <v>22281</v>
      </c>
      <c r="B6741" t="s">
        <v>22282</v>
      </c>
      <c r="C6741" t="s">
        <v>332</v>
      </c>
      <c r="D6741" t="s">
        <v>608</v>
      </c>
      <c r="E6741" t="s">
        <v>11024</v>
      </c>
      <c r="F6741" t="s">
        <v>11004</v>
      </c>
      <c r="G6741" t="s">
        <v>22283</v>
      </c>
      <c r="H6741" t="str">
        <f>HYPERLINK("https://baanknet.com/view-property/262155/8FB8A757D5360DCCA48B0C959CA714AB1ADF395985F2E26C841FFD058E9F3178", "https://baanknet.com/view-property/262155/8FB8A757D5360DCCA48B0C959CA714AB1ADF395985F2E26C841FFD058E9F3178")</f>
        <v>https://baanknet.com/view-property/262155/8FB8A757D5360DCCA48B0C959CA714AB1ADF395985F2E26C841FFD058E9F3178</v>
      </c>
      <c r="I6741" t="str">
        <f>HYPERLINK("https://baanknet.com/view-property/262155/8FB8A757D5360DCCA48B0C959CA714AB1ADF395985F2E26C841FFD058E9F3178", "Open")</f>
        <v>Open</v>
      </c>
      <c r="J6741" t="s">
        <v>3803</v>
      </c>
      <c r="L6741">
        <v>12100000</v>
      </c>
      <c r="M6741">
        <v>1210000</v>
      </c>
    </row>
    <row r="6742" spans="1:13" x14ac:dyDescent="0.25">
      <c r="A6742" t="s">
        <v>22284</v>
      </c>
      <c r="B6742" t="s">
        <v>22285</v>
      </c>
      <c r="C6742" t="s">
        <v>332</v>
      </c>
      <c r="D6742" t="s">
        <v>608</v>
      </c>
      <c r="E6742" t="s">
        <v>11024</v>
      </c>
      <c r="F6742" t="s">
        <v>11004</v>
      </c>
      <c r="G6742" t="s">
        <v>22286</v>
      </c>
      <c r="H6742" t="str">
        <f>HYPERLINK("https://baanknet.com/view-property/250075/82CC2297C9EA06BD1A207E09E851476329F1CD884F998BFA912A455C91C366BF", "https://baanknet.com/view-property/250075/82CC2297C9EA06BD1A207E09E851476329F1CD884F998BFA912A455C91C366BF")</f>
        <v>https://baanknet.com/view-property/250075/82CC2297C9EA06BD1A207E09E851476329F1CD884F998BFA912A455C91C366BF</v>
      </c>
      <c r="I6742" t="str">
        <f>HYPERLINK("https://baanknet.com/view-property/250075/82CC2297C9EA06BD1A207E09E851476329F1CD884F998BFA912A455C91C366BF", "Open")</f>
        <v>Open</v>
      </c>
      <c r="J6742" t="s">
        <v>3803</v>
      </c>
      <c r="L6742">
        <v>34256000</v>
      </c>
      <c r="M6742">
        <v>3425600</v>
      </c>
    </row>
    <row r="6743" spans="1:13" x14ac:dyDescent="0.25">
      <c r="A6743" t="s">
        <v>22287</v>
      </c>
      <c r="B6743" t="s">
        <v>22288</v>
      </c>
      <c r="C6743" t="s">
        <v>121</v>
      </c>
      <c r="D6743" t="s">
        <v>22289</v>
      </c>
      <c r="E6743" t="s">
        <v>15507</v>
      </c>
      <c r="F6743" t="s">
        <v>15560</v>
      </c>
      <c r="G6743" t="s">
        <v>22290</v>
      </c>
      <c r="H6743" t="str">
        <f>HYPERLINK("https://baanknet.com/view-property/265560/02CBF673022C44620D78D3C5F1171D626DB2A9C14FF927F2DCDC29A1BA0C978F", "https://baanknet.com/view-property/265560/02CBF673022C44620D78D3C5F1171D626DB2A9C14FF927F2DCDC29A1BA0C978F")</f>
        <v>https://baanknet.com/view-property/265560/02CBF673022C44620D78D3C5F1171D626DB2A9C14FF927F2DCDC29A1BA0C978F</v>
      </c>
      <c r="I6743" t="str">
        <f>HYPERLINK("https://baanknet.com/view-property/265560/02CBF673022C44620D78D3C5F1171D626DB2A9C14FF927F2DCDC29A1BA0C978F", "Open")</f>
        <v>Open</v>
      </c>
      <c r="J6743" t="s">
        <v>3803</v>
      </c>
      <c r="L6743">
        <v>1190000</v>
      </c>
      <c r="M6743">
        <v>119000</v>
      </c>
    </row>
    <row r="6744" spans="1:13" x14ac:dyDescent="0.25">
      <c r="A6744" t="s">
        <v>22291</v>
      </c>
      <c r="B6744" t="s">
        <v>22292</v>
      </c>
      <c r="C6744" t="s">
        <v>121</v>
      </c>
      <c r="D6744" t="s">
        <v>937</v>
      </c>
      <c r="E6744" t="s">
        <v>18823</v>
      </c>
      <c r="F6744" t="s">
        <v>22293</v>
      </c>
      <c r="G6744" t="s">
        <v>22294</v>
      </c>
      <c r="H6744" t="str">
        <f>HYPERLINK("https://baanknet.com/view-property/183814/C51A6CD2D19034942EBC0C275108287D3127F25B490D7AF0602E0CED86771C30", "https://baanknet.com/view-property/183814/C51A6CD2D19034942EBC0C275108287D3127F25B490D7AF0602E0CED86771C30")</f>
        <v>https://baanknet.com/view-property/183814/C51A6CD2D19034942EBC0C275108287D3127F25B490D7AF0602E0CED86771C30</v>
      </c>
      <c r="I6744" t="str">
        <f>HYPERLINK("https://baanknet.com/view-property/183814/C51A6CD2D19034942EBC0C275108287D3127F25B490D7AF0602E0CED86771C30", "Open")</f>
        <v>Open</v>
      </c>
      <c r="J6744" t="s">
        <v>3803</v>
      </c>
      <c r="L6744">
        <v>1778000</v>
      </c>
      <c r="M6744">
        <v>177800</v>
      </c>
    </row>
    <row r="6745" spans="1:13" x14ac:dyDescent="0.25">
      <c r="A6745" t="s">
        <v>22295</v>
      </c>
      <c r="B6745" t="s">
        <v>22296</v>
      </c>
      <c r="C6745" t="s">
        <v>121</v>
      </c>
      <c r="D6745" t="s">
        <v>3351</v>
      </c>
      <c r="E6745" t="s">
        <v>18823</v>
      </c>
      <c r="F6745" t="s">
        <v>22293</v>
      </c>
      <c r="G6745" t="s">
        <v>22297</v>
      </c>
      <c r="H6745" t="str">
        <f>HYPERLINK("https://baanknet.com/view-property/171376/11D6276C3E4A60C64CFFA1E88A2E260050CCDFF2B851D818FE27991B24D4C68F", "https://baanknet.com/view-property/171376/11D6276C3E4A60C64CFFA1E88A2E260050CCDFF2B851D818FE27991B24D4C68F")</f>
        <v>https://baanknet.com/view-property/171376/11D6276C3E4A60C64CFFA1E88A2E260050CCDFF2B851D818FE27991B24D4C68F</v>
      </c>
      <c r="I6745" t="str">
        <f>HYPERLINK("https://baanknet.com/view-property/171376/11D6276C3E4A60C64CFFA1E88A2E260050CCDFF2B851D818FE27991B24D4C68F", "Open")</f>
        <v>Open</v>
      </c>
      <c r="J6745" t="s">
        <v>3803</v>
      </c>
      <c r="L6745">
        <v>1720634</v>
      </c>
      <c r="M6745">
        <v>172063.4</v>
      </c>
    </row>
    <row r="6746" spans="1:13" x14ac:dyDescent="0.25">
      <c r="A6746" t="s">
        <v>22298</v>
      </c>
      <c r="B6746" t="s">
        <v>22299</v>
      </c>
      <c r="C6746" t="s">
        <v>83</v>
      </c>
      <c r="D6746" t="s">
        <v>282</v>
      </c>
      <c r="E6746" t="s">
        <v>86</v>
      </c>
      <c r="F6746" t="s">
        <v>21846</v>
      </c>
      <c r="G6746" t="s">
        <v>22300</v>
      </c>
      <c r="H6746" t="str">
        <f>HYPERLINK("https://baanknet.com/view-property/275677/DF33C066A511B94A61FF57EBE07CF6F96E0ADB13AFF3ABBD9E713A8A71419A94", "https://baanknet.com/view-property/275677/DF33C066A511B94A61FF57EBE07CF6F96E0ADB13AFF3ABBD9E713A8A71419A94")</f>
        <v>https://baanknet.com/view-property/275677/DF33C066A511B94A61FF57EBE07CF6F96E0ADB13AFF3ABBD9E713A8A71419A94</v>
      </c>
      <c r="I6746" t="str">
        <f>HYPERLINK("https://baanknet.com/view-property/275677/DF33C066A511B94A61FF57EBE07CF6F96E0ADB13AFF3ABBD9E713A8A71419A94", "Open")</f>
        <v>Open</v>
      </c>
      <c r="J6746" t="s">
        <v>20</v>
      </c>
      <c r="K6746" t="s">
        <v>21</v>
      </c>
      <c r="L6746">
        <v>923000</v>
      </c>
      <c r="M6746">
        <v>92300</v>
      </c>
    </row>
    <row r="6747" spans="1:13" x14ac:dyDescent="0.25">
      <c r="A6747" t="s">
        <v>22301</v>
      </c>
      <c r="B6747" t="s">
        <v>22302</v>
      </c>
      <c r="C6747" t="s">
        <v>83</v>
      </c>
      <c r="D6747" t="s">
        <v>282</v>
      </c>
      <c r="E6747" t="s">
        <v>86</v>
      </c>
      <c r="F6747" t="s">
        <v>21846</v>
      </c>
      <c r="G6747" t="s">
        <v>22303</v>
      </c>
      <c r="H6747" t="str">
        <f>HYPERLINK("https://baanknet.com/view-property/124013/285C3D13A093EFA1DE6EE44729B237F584097269E33C3C18D2CEF415E0A2E9B2", "https://baanknet.com/view-property/124013/285C3D13A093EFA1DE6EE44729B237F584097269E33C3C18D2CEF415E0A2E9B2")</f>
        <v>https://baanknet.com/view-property/124013/285C3D13A093EFA1DE6EE44729B237F584097269E33C3C18D2CEF415E0A2E9B2</v>
      </c>
      <c r="I6747" t="str">
        <f>HYPERLINK("https://baanknet.com/view-property/124013/285C3D13A093EFA1DE6EE44729B237F584097269E33C3C18D2CEF415E0A2E9B2", "Open")</f>
        <v>Open</v>
      </c>
      <c r="J6747" t="s">
        <v>20</v>
      </c>
      <c r="K6747" t="s">
        <v>21</v>
      </c>
      <c r="L6747">
        <v>614000</v>
      </c>
      <c r="M6747">
        <v>61400</v>
      </c>
    </row>
    <row r="6748" spans="1:13" x14ac:dyDescent="0.25">
      <c r="A6748" t="s">
        <v>22304</v>
      </c>
      <c r="B6748" t="s">
        <v>22305</v>
      </c>
      <c r="C6748" t="s">
        <v>83</v>
      </c>
      <c r="D6748" t="s">
        <v>282</v>
      </c>
      <c r="E6748" t="s">
        <v>86</v>
      </c>
      <c r="F6748" t="s">
        <v>21846</v>
      </c>
      <c r="G6748" t="s">
        <v>22306</v>
      </c>
      <c r="H6748" t="str">
        <f>HYPERLINK("https://baanknet.com/view-property/202160/A9C31321B2447C31496AAE7557753D696BEC44D654A42139B02DC56CD1294B59", "https://baanknet.com/view-property/202160/A9C31321B2447C31496AAE7557753D696BEC44D654A42139B02DC56CD1294B59")</f>
        <v>https://baanknet.com/view-property/202160/A9C31321B2447C31496AAE7557753D696BEC44D654A42139B02DC56CD1294B59</v>
      </c>
      <c r="I6748" t="str">
        <f>HYPERLINK("https://baanknet.com/view-property/202160/A9C31321B2447C31496AAE7557753D696BEC44D654A42139B02DC56CD1294B59", "Open")</f>
        <v>Open</v>
      </c>
      <c r="J6748" t="s">
        <v>20</v>
      </c>
      <c r="K6748" t="s">
        <v>21</v>
      </c>
      <c r="L6748">
        <v>932000</v>
      </c>
      <c r="M6748">
        <v>93200</v>
      </c>
    </row>
    <row r="6749" spans="1:13" x14ac:dyDescent="0.25">
      <c r="A6749" t="s">
        <v>22307</v>
      </c>
      <c r="B6749" t="s">
        <v>22308</v>
      </c>
      <c r="C6749" t="s">
        <v>83</v>
      </c>
      <c r="D6749" t="s">
        <v>282</v>
      </c>
      <c r="E6749" t="s">
        <v>86</v>
      </c>
      <c r="F6749" t="s">
        <v>21846</v>
      </c>
      <c r="G6749" t="s">
        <v>22309</v>
      </c>
      <c r="H6749" t="str">
        <f>HYPERLINK("https://baanknet.com/view-property/222064/9C5D6309C557A26D9D7151D42AE6E33182563BBC2212850B8F37E0B19E008A3E", "https://baanknet.com/view-property/222064/9C5D6309C557A26D9D7151D42AE6E33182563BBC2212850B8F37E0B19E008A3E")</f>
        <v>https://baanknet.com/view-property/222064/9C5D6309C557A26D9D7151D42AE6E33182563BBC2212850B8F37E0B19E008A3E</v>
      </c>
      <c r="I6749" t="str">
        <f>HYPERLINK("https://baanknet.com/view-property/222064/9C5D6309C557A26D9D7151D42AE6E33182563BBC2212850B8F37E0B19E008A3E", "Open")</f>
        <v>Open</v>
      </c>
      <c r="J6749" t="s">
        <v>20</v>
      </c>
      <c r="K6749" t="s">
        <v>21</v>
      </c>
      <c r="L6749">
        <v>932500</v>
      </c>
      <c r="M6749">
        <v>93250</v>
      </c>
    </row>
    <row r="6750" spans="1:13" x14ac:dyDescent="0.25">
      <c r="A6750" t="s">
        <v>22310</v>
      </c>
      <c r="B6750" t="s">
        <v>22311</v>
      </c>
      <c r="C6750" t="s">
        <v>83</v>
      </c>
      <c r="D6750" t="s">
        <v>282</v>
      </c>
      <c r="E6750" t="s">
        <v>86</v>
      </c>
      <c r="F6750" t="s">
        <v>21846</v>
      </c>
      <c r="G6750" t="s">
        <v>22312</v>
      </c>
      <c r="H6750" t="str">
        <f>HYPERLINK("https://baanknet.com/view-property/231564/437B02634C5619A1874F42758E2AFF89A76EAF8F8B59E1E6EBD200CD42467802", "https://baanknet.com/view-property/231564/437B02634C5619A1874F42758E2AFF89A76EAF8F8B59E1E6EBD200CD42467802")</f>
        <v>https://baanknet.com/view-property/231564/437B02634C5619A1874F42758E2AFF89A76EAF8F8B59E1E6EBD200CD42467802</v>
      </c>
      <c r="I6750" t="str">
        <f>HYPERLINK("https://baanknet.com/view-property/231564/437B02634C5619A1874F42758E2AFF89A76EAF8F8B59E1E6EBD200CD42467802", "Open")</f>
        <v>Open</v>
      </c>
      <c r="J6750" t="s">
        <v>20</v>
      </c>
      <c r="K6750" t="s">
        <v>21</v>
      </c>
      <c r="L6750">
        <v>1350000</v>
      </c>
      <c r="M6750">
        <v>135000</v>
      </c>
    </row>
    <row r="6751" spans="1:13" x14ac:dyDescent="0.25">
      <c r="A6751" t="s">
        <v>22313</v>
      </c>
      <c r="B6751" t="s">
        <v>22314</v>
      </c>
      <c r="C6751" t="s">
        <v>83</v>
      </c>
      <c r="D6751" t="s">
        <v>282</v>
      </c>
      <c r="E6751" t="s">
        <v>86</v>
      </c>
      <c r="F6751" t="s">
        <v>21846</v>
      </c>
      <c r="G6751" t="s">
        <v>22315</v>
      </c>
      <c r="H6751" t="str">
        <f>HYPERLINK("https://baanknet.com/view-property/232682/C28ACADF72EC23BEE5E6CB3A2DE7EE9B993CC8A5A66F4FCFF8E41F5A5D67BFC9", "https://baanknet.com/view-property/232682/C28ACADF72EC23BEE5E6CB3A2DE7EE9B993CC8A5A66F4FCFF8E41F5A5D67BFC9")</f>
        <v>https://baanknet.com/view-property/232682/C28ACADF72EC23BEE5E6CB3A2DE7EE9B993CC8A5A66F4FCFF8E41F5A5D67BFC9</v>
      </c>
      <c r="I6751" t="str">
        <f>HYPERLINK("https://baanknet.com/view-property/232682/C28ACADF72EC23BEE5E6CB3A2DE7EE9B993CC8A5A66F4FCFF8E41F5A5D67BFC9", "Open")</f>
        <v>Open</v>
      </c>
      <c r="J6751" t="s">
        <v>20</v>
      </c>
      <c r="K6751" t="s">
        <v>21</v>
      </c>
      <c r="L6751">
        <v>500000</v>
      </c>
      <c r="M6751">
        <v>50000</v>
      </c>
    </row>
    <row r="6752" spans="1:13" x14ac:dyDescent="0.25">
      <c r="A6752" t="s">
        <v>22316</v>
      </c>
      <c r="B6752" t="s">
        <v>22317</v>
      </c>
      <c r="C6752" t="s">
        <v>83</v>
      </c>
      <c r="D6752" t="s">
        <v>282</v>
      </c>
      <c r="E6752" t="s">
        <v>86</v>
      </c>
      <c r="F6752" t="s">
        <v>21846</v>
      </c>
      <c r="G6752" t="s">
        <v>22318</v>
      </c>
      <c r="H6752" t="str">
        <f>HYPERLINK("https://baanknet.com/view-property/222082/502264370C91372412843FCD3CBD8077F3A192748D417DC05A3649E0C882A229", "https://baanknet.com/view-property/222082/502264370C91372412843FCD3CBD8077F3A192748D417DC05A3649E0C882A229")</f>
        <v>https://baanknet.com/view-property/222082/502264370C91372412843FCD3CBD8077F3A192748D417DC05A3649E0C882A229</v>
      </c>
      <c r="I6752" t="str">
        <f>HYPERLINK("https://baanknet.com/view-property/222082/502264370C91372412843FCD3CBD8077F3A192748D417DC05A3649E0C882A229", "Open")</f>
        <v>Open</v>
      </c>
      <c r="J6752" t="s">
        <v>20</v>
      </c>
      <c r="K6752" t="s">
        <v>21</v>
      </c>
      <c r="L6752">
        <v>585000</v>
      </c>
      <c r="M6752">
        <v>58500</v>
      </c>
    </row>
    <row r="6753" spans="1:13" x14ac:dyDescent="0.25">
      <c r="A6753" t="s">
        <v>22319</v>
      </c>
      <c r="B6753" t="s">
        <v>22320</v>
      </c>
      <c r="C6753" t="s">
        <v>83</v>
      </c>
      <c r="D6753" t="s">
        <v>282</v>
      </c>
      <c r="E6753" t="s">
        <v>86</v>
      </c>
      <c r="F6753" t="s">
        <v>21846</v>
      </c>
      <c r="G6753" t="s">
        <v>22321</v>
      </c>
      <c r="H6753" t="str">
        <f>HYPERLINK("https://baanknet.com/view-property/222085/6149CA137DC6322BEC2E740A4431BFBD0CF02D425ABEFA62220042FF096A4572", "https://baanknet.com/view-property/222085/6149CA137DC6322BEC2E740A4431BFBD0CF02D425ABEFA62220042FF096A4572")</f>
        <v>https://baanknet.com/view-property/222085/6149CA137DC6322BEC2E740A4431BFBD0CF02D425ABEFA62220042FF096A4572</v>
      </c>
      <c r="I6753" t="str">
        <f>HYPERLINK("https://baanknet.com/view-property/222085/6149CA137DC6322BEC2E740A4431BFBD0CF02D425ABEFA62220042FF096A4572", "Open")</f>
        <v>Open</v>
      </c>
      <c r="J6753" t="s">
        <v>20</v>
      </c>
      <c r="K6753" t="s">
        <v>21</v>
      </c>
      <c r="L6753">
        <v>738000</v>
      </c>
      <c r="M6753">
        <v>73800</v>
      </c>
    </row>
    <row r="6754" spans="1:13" x14ac:dyDescent="0.25">
      <c r="A6754" t="s">
        <v>22322</v>
      </c>
      <c r="B6754" t="s">
        <v>22323</v>
      </c>
      <c r="C6754" t="s">
        <v>83</v>
      </c>
      <c r="D6754" t="s">
        <v>282</v>
      </c>
      <c r="E6754" t="s">
        <v>86</v>
      </c>
      <c r="F6754" t="s">
        <v>21846</v>
      </c>
      <c r="G6754" t="s">
        <v>22324</v>
      </c>
      <c r="H6754" t="str">
        <f>HYPERLINK("https://baanknet.com/view-property/260092/4500DB8FD84A09B7838F888CDBF34085E6292A189FC83C02069E117A1D25A2EF", "https://baanknet.com/view-property/260092/4500DB8FD84A09B7838F888CDBF34085E6292A189FC83C02069E117A1D25A2EF")</f>
        <v>https://baanknet.com/view-property/260092/4500DB8FD84A09B7838F888CDBF34085E6292A189FC83C02069E117A1D25A2EF</v>
      </c>
      <c r="I6754" t="str">
        <f>HYPERLINK("https://baanknet.com/view-property/260092/4500DB8FD84A09B7838F888CDBF34085E6292A189FC83C02069E117A1D25A2EF", "Open")</f>
        <v>Open</v>
      </c>
      <c r="J6754" t="s">
        <v>20</v>
      </c>
      <c r="K6754" t="s">
        <v>21</v>
      </c>
      <c r="L6754">
        <v>953000</v>
      </c>
      <c r="M6754">
        <v>95300</v>
      </c>
    </row>
    <row r="6755" spans="1:13" x14ac:dyDescent="0.25">
      <c r="A6755" t="s">
        <v>22325</v>
      </c>
      <c r="B6755" t="s">
        <v>22326</v>
      </c>
      <c r="C6755" t="s">
        <v>83</v>
      </c>
      <c r="D6755" t="s">
        <v>282</v>
      </c>
      <c r="E6755" t="s">
        <v>86</v>
      </c>
      <c r="F6755" t="s">
        <v>21846</v>
      </c>
      <c r="G6755" t="s">
        <v>22327</v>
      </c>
      <c r="H6755" t="str">
        <f>HYPERLINK("https://baanknet.com/view-property/222073/69824A8FADE54AD1BA66B27D5433F32580C39B58F90900300DA351DB0875463C", "https://baanknet.com/view-property/222073/69824A8FADE54AD1BA66B27D5433F32580C39B58F90900300DA351DB0875463C")</f>
        <v>https://baanknet.com/view-property/222073/69824A8FADE54AD1BA66B27D5433F32580C39B58F90900300DA351DB0875463C</v>
      </c>
      <c r="I6755" t="str">
        <f>HYPERLINK("https://baanknet.com/view-property/222073/69824A8FADE54AD1BA66B27D5433F32580C39B58F90900300DA351DB0875463C", "Open")</f>
        <v>Open</v>
      </c>
      <c r="J6755" t="s">
        <v>20</v>
      </c>
      <c r="K6755" t="s">
        <v>21</v>
      </c>
      <c r="L6755">
        <v>1150000</v>
      </c>
      <c r="M6755">
        <v>115000</v>
      </c>
    </row>
    <row r="6756" spans="1:13" x14ac:dyDescent="0.25">
      <c r="A6756" t="s">
        <v>22328</v>
      </c>
      <c r="B6756" t="s">
        <v>22329</v>
      </c>
      <c r="C6756" t="s">
        <v>83</v>
      </c>
      <c r="D6756" t="s">
        <v>282</v>
      </c>
      <c r="E6756" t="s">
        <v>86</v>
      </c>
      <c r="F6756" t="s">
        <v>21846</v>
      </c>
      <c r="G6756" t="s">
        <v>22330</v>
      </c>
      <c r="H6756" t="str">
        <f>HYPERLINK("https://baanknet.com/view-property/222058/342DBA90D0AADAEDC34874F6FA0BAA4FD114088964C14347381FE3D163D41A08", "https://baanknet.com/view-property/222058/342DBA90D0AADAEDC34874F6FA0BAA4FD114088964C14347381FE3D163D41A08")</f>
        <v>https://baanknet.com/view-property/222058/342DBA90D0AADAEDC34874F6FA0BAA4FD114088964C14347381FE3D163D41A08</v>
      </c>
      <c r="I6756" t="str">
        <f>HYPERLINK("https://baanknet.com/view-property/222058/342DBA90D0AADAEDC34874F6FA0BAA4FD114088964C14347381FE3D163D41A08", "Open")</f>
        <v>Open</v>
      </c>
      <c r="J6756" t="s">
        <v>20</v>
      </c>
      <c r="K6756" t="s">
        <v>21</v>
      </c>
      <c r="L6756">
        <v>930000</v>
      </c>
      <c r="M6756">
        <v>93000</v>
      </c>
    </row>
    <row r="6757" spans="1:13" x14ac:dyDescent="0.25">
      <c r="A6757" t="s">
        <v>22331</v>
      </c>
      <c r="B6757" t="s">
        <v>22332</v>
      </c>
      <c r="C6757" t="s">
        <v>83</v>
      </c>
      <c r="D6757" t="s">
        <v>282</v>
      </c>
      <c r="E6757" t="s">
        <v>86</v>
      </c>
      <c r="F6757" t="s">
        <v>21846</v>
      </c>
      <c r="G6757" t="s">
        <v>22333</v>
      </c>
      <c r="H6757" t="str">
        <f>HYPERLINK("https://baanknet.com/view-property/286682/976EC42B89B34BAF1220F66BBE19F293A584DD8432F51FCA3E04C440CA9FA50C", "https://baanknet.com/view-property/286682/976EC42B89B34BAF1220F66BBE19F293A584DD8432F51FCA3E04C440CA9FA50C")</f>
        <v>https://baanknet.com/view-property/286682/976EC42B89B34BAF1220F66BBE19F293A584DD8432F51FCA3E04C440CA9FA50C</v>
      </c>
      <c r="I6757" t="str">
        <f>HYPERLINK("https://baanknet.com/view-property/286682/976EC42B89B34BAF1220F66BBE19F293A584DD8432F51FCA3E04C440CA9FA50C", "Open")</f>
        <v>Open</v>
      </c>
      <c r="J6757" t="s">
        <v>20</v>
      </c>
      <c r="K6757" t="s">
        <v>21</v>
      </c>
      <c r="L6757">
        <v>1229000</v>
      </c>
      <c r="M6757">
        <v>122900</v>
      </c>
    </row>
    <row r="6758" spans="1:13" x14ac:dyDescent="0.25">
      <c r="A6758" t="s">
        <v>22334</v>
      </c>
      <c r="B6758" t="s">
        <v>22335</v>
      </c>
      <c r="C6758" t="s">
        <v>83</v>
      </c>
      <c r="D6758" t="s">
        <v>282</v>
      </c>
      <c r="E6758" t="s">
        <v>86</v>
      </c>
      <c r="F6758" t="s">
        <v>21846</v>
      </c>
      <c r="G6758" t="s">
        <v>22336</v>
      </c>
      <c r="H6758" t="str">
        <f>HYPERLINK("https://baanknet.com/view-property/286683/B1FC2A5B69F53214FB6FDB6F09FD0D7C9BFB28FE4CC84A41BC45C2E8777C7997", "https://baanknet.com/view-property/286683/B1FC2A5B69F53214FB6FDB6F09FD0D7C9BFB28FE4CC84A41BC45C2E8777C7997")</f>
        <v>https://baanknet.com/view-property/286683/B1FC2A5B69F53214FB6FDB6F09FD0D7C9BFB28FE4CC84A41BC45C2E8777C7997</v>
      </c>
      <c r="I6758" t="str">
        <f>HYPERLINK("https://baanknet.com/view-property/286683/B1FC2A5B69F53214FB6FDB6F09FD0D7C9BFB28FE4CC84A41BC45C2E8777C7997", "Open")</f>
        <v>Open</v>
      </c>
      <c r="J6758" t="s">
        <v>20</v>
      </c>
      <c r="K6758" t="s">
        <v>21</v>
      </c>
      <c r="L6758">
        <v>2300000</v>
      </c>
      <c r="M6758">
        <v>230000</v>
      </c>
    </row>
    <row r="6759" spans="1:13" x14ac:dyDescent="0.25">
      <c r="A6759" t="s">
        <v>22337</v>
      </c>
      <c r="B6759" t="s">
        <v>22338</v>
      </c>
      <c r="C6759" t="s">
        <v>83</v>
      </c>
      <c r="D6759" t="s">
        <v>282</v>
      </c>
      <c r="E6759" t="s">
        <v>86</v>
      </c>
      <c r="F6759" t="s">
        <v>21846</v>
      </c>
      <c r="G6759" t="s">
        <v>22339</v>
      </c>
      <c r="H6759" t="str">
        <f>HYPERLINK("https://baanknet.com/view-property/222045/7744B77D10DA6C76684EE81AC66E8D4A0EC3715E806515F433565770EEF778DF", "https://baanknet.com/view-property/222045/7744B77D10DA6C76684EE81AC66E8D4A0EC3715E806515F433565770EEF778DF")</f>
        <v>https://baanknet.com/view-property/222045/7744B77D10DA6C76684EE81AC66E8D4A0EC3715E806515F433565770EEF778DF</v>
      </c>
      <c r="I6759" t="str">
        <f>HYPERLINK("https://baanknet.com/view-property/222045/7744B77D10DA6C76684EE81AC66E8D4A0EC3715E806515F433565770EEF778DF", "Open")</f>
        <v>Open</v>
      </c>
      <c r="J6759" t="s">
        <v>20</v>
      </c>
      <c r="K6759" t="s">
        <v>21</v>
      </c>
      <c r="L6759">
        <v>810000</v>
      </c>
      <c r="M6759">
        <v>81000</v>
      </c>
    </row>
    <row r="6760" spans="1:13" x14ac:dyDescent="0.25">
      <c r="A6760" t="s">
        <v>22340</v>
      </c>
      <c r="B6760" t="s">
        <v>22341</v>
      </c>
      <c r="C6760" t="s">
        <v>83</v>
      </c>
      <c r="D6760" t="s">
        <v>282</v>
      </c>
      <c r="E6760" t="s">
        <v>86</v>
      </c>
      <c r="F6760" t="s">
        <v>21846</v>
      </c>
      <c r="G6760" t="s">
        <v>22342</v>
      </c>
      <c r="H6760" t="str">
        <f>HYPERLINK("https://baanknet.com/view-property/249860/F3DE6681B193E8193B374F2F93BBA338347A5C0EC6340E99D219DE97E8BE8A28", "https://baanknet.com/view-property/249860/F3DE6681B193E8193B374F2F93BBA338347A5C0EC6340E99D219DE97E8BE8A28")</f>
        <v>https://baanknet.com/view-property/249860/F3DE6681B193E8193B374F2F93BBA338347A5C0EC6340E99D219DE97E8BE8A28</v>
      </c>
      <c r="I6760" t="str">
        <f>HYPERLINK("https://baanknet.com/view-property/249860/F3DE6681B193E8193B374F2F93BBA338347A5C0EC6340E99D219DE97E8BE8A28", "Open")</f>
        <v>Open</v>
      </c>
      <c r="J6760" t="s">
        <v>20</v>
      </c>
      <c r="K6760" t="s">
        <v>21</v>
      </c>
      <c r="L6760">
        <v>810000</v>
      </c>
      <c r="M6760">
        <v>81000</v>
      </c>
    </row>
    <row r="6761" spans="1:13" x14ac:dyDescent="0.25">
      <c r="A6761" t="s">
        <v>22343</v>
      </c>
      <c r="B6761" t="s">
        <v>22344</v>
      </c>
      <c r="C6761" t="s">
        <v>83</v>
      </c>
      <c r="D6761" t="s">
        <v>22345</v>
      </c>
      <c r="E6761" t="s">
        <v>86</v>
      </c>
      <c r="F6761" t="s">
        <v>21846</v>
      </c>
      <c r="G6761" t="s">
        <v>22346</v>
      </c>
      <c r="H6761" t="str">
        <f>HYPERLINK("https://baanknet.com/view-property/266742/35D72D3D4F59EADF9ADE56BA791A33E9B7EFC621C39377DEF410383425C1FCB0", "https://baanknet.com/view-property/266742/35D72D3D4F59EADF9ADE56BA791A33E9B7EFC621C39377DEF410383425C1FCB0")</f>
        <v>https://baanknet.com/view-property/266742/35D72D3D4F59EADF9ADE56BA791A33E9B7EFC621C39377DEF410383425C1FCB0</v>
      </c>
      <c r="I6761" t="str">
        <f>HYPERLINK("https://baanknet.com/view-property/266742/35D72D3D4F59EADF9ADE56BA791A33E9B7EFC621C39377DEF410383425C1FCB0", "Open")</f>
        <v>Open</v>
      </c>
      <c r="J6761" t="s">
        <v>20</v>
      </c>
      <c r="K6761" t="s">
        <v>21</v>
      </c>
      <c r="L6761">
        <v>2487600</v>
      </c>
      <c r="M6761">
        <v>248760</v>
      </c>
    </row>
    <row r="6762" spans="1:13" x14ac:dyDescent="0.25">
      <c r="A6762" t="s">
        <v>22347</v>
      </c>
      <c r="B6762" t="s">
        <v>22348</v>
      </c>
      <c r="C6762" t="s">
        <v>83</v>
      </c>
      <c r="D6762" t="s">
        <v>282</v>
      </c>
      <c r="E6762" t="s">
        <v>86</v>
      </c>
      <c r="F6762" t="s">
        <v>21846</v>
      </c>
      <c r="G6762" t="s">
        <v>22349</v>
      </c>
      <c r="H6762" t="str">
        <f>HYPERLINK("https://baanknet.com/view-property/225843/87AF1C59FFA5075CA697401F31F14EA1D0A760B561EA1F8D3D55B248F15BC47B", "https://baanknet.com/view-property/225843/87AF1C59FFA5075CA697401F31F14EA1D0A760B561EA1F8D3D55B248F15BC47B")</f>
        <v>https://baanknet.com/view-property/225843/87AF1C59FFA5075CA697401F31F14EA1D0A760B561EA1F8D3D55B248F15BC47B</v>
      </c>
      <c r="I6762" t="str">
        <f>HYPERLINK("https://baanknet.com/view-property/225843/87AF1C59FFA5075CA697401F31F14EA1D0A760B561EA1F8D3D55B248F15BC47B", "Open")</f>
        <v>Open</v>
      </c>
      <c r="J6762" t="s">
        <v>20</v>
      </c>
      <c r="K6762" t="s">
        <v>21</v>
      </c>
      <c r="L6762">
        <v>3602700</v>
      </c>
      <c r="M6762">
        <v>360270</v>
      </c>
    </row>
    <row r="6763" spans="1:13" x14ac:dyDescent="0.25">
      <c r="A6763" t="s">
        <v>22350</v>
      </c>
      <c r="B6763" t="s">
        <v>22351</v>
      </c>
      <c r="C6763" t="s">
        <v>83</v>
      </c>
      <c r="D6763" t="s">
        <v>3607</v>
      </c>
      <c r="E6763" t="s">
        <v>86</v>
      </c>
      <c r="F6763" t="s">
        <v>21846</v>
      </c>
      <c r="G6763" t="s">
        <v>22352</v>
      </c>
      <c r="H6763" t="str">
        <f>HYPERLINK("https://baanknet.com/view-property/254435/1D9CFD06E4EBBD90587652470422B54296DE03C567EB5B2729178094730BD658", "https://baanknet.com/view-property/254435/1D9CFD06E4EBBD90587652470422B54296DE03C567EB5B2729178094730BD658")</f>
        <v>https://baanknet.com/view-property/254435/1D9CFD06E4EBBD90587652470422B54296DE03C567EB5B2729178094730BD658</v>
      </c>
      <c r="I6763" t="str">
        <f>HYPERLINK("https://baanknet.com/view-property/254435/1D9CFD06E4EBBD90587652470422B54296DE03C567EB5B2729178094730BD658", "Open")</f>
        <v>Open</v>
      </c>
      <c r="J6763" t="s">
        <v>20</v>
      </c>
      <c r="K6763" t="s">
        <v>21</v>
      </c>
      <c r="L6763">
        <v>3475000</v>
      </c>
      <c r="M6763">
        <v>347500</v>
      </c>
    </row>
    <row r="6764" spans="1:13" x14ac:dyDescent="0.25">
      <c r="A6764" t="s">
        <v>22353</v>
      </c>
      <c r="B6764" t="s">
        <v>22354</v>
      </c>
      <c r="C6764" t="s">
        <v>83</v>
      </c>
      <c r="D6764" t="s">
        <v>282</v>
      </c>
      <c r="E6764" t="s">
        <v>86</v>
      </c>
      <c r="F6764" t="s">
        <v>21846</v>
      </c>
      <c r="G6764" t="s">
        <v>22355</v>
      </c>
      <c r="H6764" t="str">
        <f>HYPERLINK("https://baanknet.com/view-property/222035/21ECE0AF4DFD37507BB21236EB8C42370AA3876C5DA0B08EB76E81DC739A6F14", "https://baanknet.com/view-property/222035/21ECE0AF4DFD37507BB21236EB8C42370AA3876C5DA0B08EB76E81DC739A6F14")</f>
        <v>https://baanknet.com/view-property/222035/21ECE0AF4DFD37507BB21236EB8C42370AA3876C5DA0B08EB76E81DC739A6F14</v>
      </c>
      <c r="I6764" t="str">
        <f>HYPERLINK("https://baanknet.com/view-property/222035/21ECE0AF4DFD37507BB21236EB8C42370AA3876C5DA0B08EB76E81DC739A6F14", "Open")</f>
        <v>Open</v>
      </c>
      <c r="J6764" t="s">
        <v>20</v>
      </c>
      <c r="K6764" t="s">
        <v>21</v>
      </c>
      <c r="L6764">
        <v>1263600</v>
      </c>
      <c r="M6764">
        <v>126360</v>
      </c>
    </row>
    <row r="6765" spans="1:13" x14ac:dyDescent="0.25">
      <c r="A6765" t="s">
        <v>22356</v>
      </c>
      <c r="B6765" t="s">
        <v>22357</v>
      </c>
      <c r="C6765" t="s">
        <v>83</v>
      </c>
      <c r="D6765" t="s">
        <v>282</v>
      </c>
      <c r="E6765" t="s">
        <v>86</v>
      </c>
      <c r="F6765" t="s">
        <v>21846</v>
      </c>
      <c r="G6765" t="s">
        <v>22358</v>
      </c>
      <c r="H6765" t="str">
        <f>HYPERLINK("https://baanknet.com/view-property/216656/A5F2739690AA515B37D0CFD0876EFF60BE673ABB9EF6B6A89D50BB241E32CF66", "https://baanknet.com/view-property/216656/A5F2739690AA515B37D0CFD0876EFF60BE673ABB9EF6B6A89D50BB241E32CF66")</f>
        <v>https://baanknet.com/view-property/216656/A5F2739690AA515B37D0CFD0876EFF60BE673ABB9EF6B6A89D50BB241E32CF66</v>
      </c>
      <c r="I6765" t="str">
        <f>HYPERLINK("https://baanknet.com/view-property/216656/A5F2739690AA515B37D0CFD0876EFF60BE673ABB9EF6B6A89D50BB241E32CF66", "Open")</f>
        <v>Open</v>
      </c>
      <c r="J6765" t="s">
        <v>20</v>
      </c>
      <c r="K6765" t="s">
        <v>21</v>
      </c>
      <c r="L6765">
        <v>1034370</v>
      </c>
      <c r="M6765">
        <v>103437</v>
      </c>
    </row>
    <row r="6766" spans="1:13" x14ac:dyDescent="0.25">
      <c r="A6766" t="s">
        <v>22359</v>
      </c>
      <c r="B6766" t="s">
        <v>22360</v>
      </c>
      <c r="C6766" t="s">
        <v>83</v>
      </c>
      <c r="D6766" t="s">
        <v>21909</v>
      </c>
      <c r="E6766" t="s">
        <v>86</v>
      </c>
      <c r="F6766" t="s">
        <v>21846</v>
      </c>
      <c r="G6766" t="s">
        <v>22361</v>
      </c>
      <c r="H6766" t="str">
        <f>HYPERLINK("https://baanknet.com/view-property/285837/1F116A0B9195DA6342E40CB13FF73723E197C0B307B9A2BD3A456FB11E937916", "https://baanknet.com/view-property/285837/1F116A0B9195DA6342E40CB13FF73723E197C0B307B9A2BD3A456FB11E937916")</f>
        <v>https://baanknet.com/view-property/285837/1F116A0B9195DA6342E40CB13FF73723E197C0B307B9A2BD3A456FB11E937916</v>
      </c>
      <c r="I6766" t="str">
        <f>HYPERLINK("https://baanknet.com/view-property/285837/1F116A0B9195DA6342E40CB13FF73723E197C0B307B9A2BD3A456FB11E937916", "Open")</f>
        <v>Open</v>
      </c>
      <c r="J6766" t="s">
        <v>20</v>
      </c>
      <c r="K6766" t="s">
        <v>21</v>
      </c>
      <c r="L6766">
        <v>865000</v>
      </c>
      <c r="M6766">
        <v>86500</v>
      </c>
    </row>
    <row r="6767" spans="1:13" x14ac:dyDescent="0.25">
      <c r="A6767" t="s">
        <v>22362</v>
      </c>
      <c r="B6767" t="s">
        <v>22363</v>
      </c>
      <c r="C6767" t="s">
        <v>83</v>
      </c>
      <c r="D6767" t="s">
        <v>1619</v>
      </c>
      <c r="E6767" t="s">
        <v>86</v>
      </c>
      <c r="F6767" t="s">
        <v>21846</v>
      </c>
      <c r="G6767" t="s">
        <v>22364</v>
      </c>
      <c r="H6767" t="str">
        <f>HYPERLINK("https://baanknet.com/view-property/279802/41EA3BEDD289117E33EADFA29572A4ACA798A2D2D71F6B0A0331CEB85E07ADC2", "https://baanknet.com/view-property/279802/41EA3BEDD289117E33EADFA29572A4ACA798A2D2D71F6B0A0331CEB85E07ADC2")</f>
        <v>https://baanknet.com/view-property/279802/41EA3BEDD289117E33EADFA29572A4ACA798A2D2D71F6B0A0331CEB85E07ADC2</v>
      </c>
      <c r="I6767" t="str">
        <f>HYPERLINK("https://baanknet.com/view-property/279802/41EA3BEDD289117E33EADFA29572A4ACA798A2D2D71F6B0A0331CEB85E07ADC2", "Open")</f>
        <v>Open</v>
      </c>
      <c r="J6767" t="s">
        <v>20</v>
      </c>
      <c r="K6767" t="s">
        <v>21</v>
      </c>
      <c r="L6767">
        <v>5338000</v>
      </c>
      <c r="M6767">
        <v>533800</v>
      </c>
    </row>
    <row r="6768" spans="1:13" x14ac:dyDescent="0.25">
      <c r="A6768" t="s">
        <v>22365</v>
      </c>
      <c r="B6768" t="s">
        <v>22366</v>
      </c>
      <c r="C6768" t="s">
        <v>83</v>
      </c>
      <c r="D6768" t="s">
        <v>1619</v>
      </c>
      <c r="E6768" t="s">
        <v>86</v>
      </c>
      <c r="F6768" t="s">
        <v>21846</v>
      </c>
      <c r="G6768" t="s">
        <v>22367</v>
      </c>
      <c r="H6768" t="str">
        <f>HYPERLINK("https://baanknet.com/view-property/271312/C9A037A1E0F19694210934D8061DB852C0CE349DFDE6EF5A27BD44229E2B5D72", "https://baanknet.com/view-property/271312/C9A037A1E0F19694210934D8061DB852C0CE349DFDE6EF5A27BD44229E2B5D72")</f>
        <v>https://baanknet.com/view-property/271312/C9A037A1E0F19694210934D8061DB852C0CE349DFDE6EF5A27BD44229E2B5D72</v>
      </c>
      <c r="I6768" t="str">
        <f>HYPERLINK("https://baanknet.com/view-property/271312/C9A037A1E0F19694210934D8061DB852C0CE349DFDE6EF5A27BD44229E2B5D72", "Open")</f>
        <v>Open</v>
      </c>
      <c r="J6768" t="s">
        <v>20</v>
      </c>
      <c r="K6768" t="s">
        <v>21</v>
      </c>
      <c r="L6768">
        <v>2581500</v>
      </c>
      <c r="M6768">
        <v>258150</v>
      </c>
    </row>
    <row r="6769" spans="1:13" x14ac:dyDescent="0.25">
      <c r="A6769" t="s">
        <v>22368</v>
      </c>
      <c r="B6769" t="s">
        <v>22369</v>
      </c>
      <c r="C6769" t="s">
        <v>83</v>
      </c>
      <c r="D6769" t="s">
        <v>10653</v>
      </c>
      <c r="E6769" t="s">
        <v>86</v>
      </c>
      <c r="F6769" t="s">
        <v>21846</v>
      </c>
      <c r="G6769" t="s">
        <v>22370</v>
      </c>
      <c r="H6769" t="str">
        <f>HYPERLINK("https://baanknet.com/view-property/238527/F37AAEEAC1C65DC8746D456D9F1764E6F4FD8F7CAF2CC24C1A8B71DAFE42323E", "https://baanknet.com/view-property/238527/F37AAEEAC1C65DC8746D456D9F1764E6F4FD8F7CAF2CC24C1A8B71DAFE42323E")</f>
        <v>https://baanknet.com/view-property/238527/F37AAEEAC1C65DC8746D456D9F1764E6F4FD8F7CAF2CC24C1A8B71DAFE42323E</v>
      </c>
      <c r="I6769" t="str">
        <f>HYPERLINK("https://baanknet.com/view-property/238527/F37AAEEAC1C65DC8746D456D9F1764E6F4FD8F7CAF2CC24C1A8B71DAFE42323E", "Open")</f>
        <v>Open</v>
      </c>
      <c r="J6769" t="s">
        <v>20</v>
      </c>
      <c r="K6769" t="s">
        <v>21</v>
      </c>
      <c r="L6769">
        <v>2395000</v>
      </c>
      <c r="M6769">
        <v>239500</v>
      </c>
    </row>
    <row r="6770" spans="1:13" x14ac:dyDescent="0.25">
      <c r="A6770" t="s">
        <v>22371</v>
      </c>
      <c r="B6770" t="s">
        <v>22372</v>
      </c>
      <c r="C6770" t="s">
        <v>83</v>
      </c>
      <c r="D6770" t="s">
        <v>608</v>
      </c>
      <c r="E6770" t="s">
        <v>86</v>
      </c>
      <c r="F6770" t="s">
        <v>21846</v>
      </c>
      <c r="G6770" t="s">
        <v>22373</v>
      </c>
      <c r="H6770" t="str">
        <f>HYPERLINK("https://baanknet.com/view-property/226409/D9875A9FFE0DF9D5D8EBA358C70A914CAA1231FAC3280A91275124684853085C", "https://baanknet.com/view-property/226409/D9875A9FFE0DF9D5D8EBA358C70A914CAA1231FAC3280A91275124684853085C")</f>
        <v>https://baanknet.com/view-property/226409/D9875A9FFE0DF9D5D8EBA358C70A914CAA1231FAC3280A91275124684853085C</v>
      </c>
      <c r="I6770" t="str">
        <f>HYPERLINK("https://baanknet.com/view-property/226409/D9875A9FFE0DF9D5D8EBA358C70A914CAA1231FAC3280A91275124684853085C", "Open")</f>
        <v>Open</v>
      </c>
      <c r="J6770" t="s">
        <v>20</v>
      </c>
      <c r="K6770" t="s">
        <v>21</v>
      </c>
      <c r="L6770">
        <v>20800000</v>
      </c>
      <c r="M6770">
        <v>2080000</v>
      </c>
    </row>
    <row r="6771" spans="1:13" x14ac:dyDescent="0.25">
      <c r="A6771" t="s">
        <v>22374</v>
      </c>
      <c r="B6771" t="s">
        <v>22375</v>
      </c>
      <c r="C6771" t="s">
        <v>83</v>
      </c>
      <c r="D6771" t="s">
        <v>282</v>
      </c>
      <c r="E6771" t="s">
        <v>86</v>
      </c>
      <c r="F6771" t="s">
        <v>21846</v>
      </c>
      <c r="G6771" t="s">
        <v>22376</v>
      </c>
      <c r="H6771" t="str">
        <f>HYPERLINK("https://baanknet.com/view-property/283132/6BD2937A1963ACFCEC4BD094616543DC0F82E14F614E33D29AAAD16E4C5658C2", "https://baanknet.com/view-property/283132/6BD2937A1963ACFCEC4BD094616543DC0F82E14F614E33D29AAAD16E4C5658C2")</f>
        <v>https://baanknet.com/view-property/283132/6BD2937A1963ACFCEC4BD094616543DC0F82E14F614E33D29AAAD16E4C5658C2</v>
      </c>
      <c r="I6771" t="str">
        <f>HYPERLINK("https://baanknet.com/view-property/283132/6BD2937A1963ACFCEC4BD094616543DC0F82E14F614E33D29AAAD16E4C5658C2", "Open")</f>
        <v>Open</v>
      </c>
      <c r="J6771" t="s">
        <v>20</v>
      </c>
      <c r="K6771" t="s">
        <v>21</v>
      </c>
      <c r="L6771">
        <v>11610000</v>
      </c>
      <c r="M6771">
        <v>1161000</v>
      </c>
    </row>
    <row r="6772" spans="1:13" x14ac:dyDescent="0.25">
      <c r="A6772" t="s">
        <v>22377</v>
      </c>
      <c r="B6772" t="s">
        <v>22378</v>
      </c>
      <c r="C6772" t="s">
        <v>83</v>
      </c>
      <c r="D6772" t="s">
        <v>282</v>
      </c>
      <c r="E6772" t="s">
        <v>86</v>
      </c>
      <c r="F6772" t="s">
        <v>21846</v>
      </c>
      <c r="G6772" t="s">
        <v>22379</v>
      </c>
      <c r="H6772" t="str">
        <f>HYPERLINK("https://baanknet.com/view-property/253750/17324F997F975A5B1CA2444B80C910E7556F8157D9071C74CD32C9EBE7F17775", "https://baanknet.com/view-property/253750/17324F997F975A5B1CA2444B80C910E7556F8157D9071C74CD32C9EBE7F17775")</f>
        <v>https://baanknet.com/view-property/253750/17324F997F975A5B1CA2444B80C910E7556F8157D9071C74CD32C9EBE7F17775</v>
      </c>
      <c r="I6772" t="str">
        <f>HYPERLINK("https://baanknet.com/view-property/253750/17324F997F975A5B1CA2444B80C910E7556F8157D9071C74CD32C9EBE7F17775", "Open")</f>
        <v>Open</v>
      </c>
      <c r="J6772" t="s">
        <v>20</v>
      </c>
      <c r="K6772" t="s">
        <v>21</v>
      </c>
      <c r="L6772">
        <v>6123600</v>
      </c>
      <c r="M6772">
        <v>612360</v>
      </c>
    </row>
    <row r="6773" spans="1:13" x14ac:dyDescent="0.25">
      <c r="A6773" t="s">
        <v>22380</v>
      </c>
      <c r="B6773" t="s">
        <v>22381</v>
      </c>
      <c r="C6773" t="s">
        <v>83</v>
      </c>
      <c r="D6773" t="s">
        <v>17915</v>
      </c>
      <c r="E6773" t="s">
        <v>86</v>
      </c>
      <c r="F6773" t="s">
        <v>21846</v>
      </c>
      <c r="G6773" t="s">
        <v>22382</v>
      </c>
      <c r="H6773" t="str">
        <f>HYPERLINK("https://baanknet.com/view-property/278200/9A056728660D8712D8DCC2B165733D736EAA54E1D9BB3DD265E907938DC15F59", "https://baanknet.com/view-property/278200/9A056728660D8712D8DCC2B165733D736EAA54E1D9BB3DD265E907938DC15F59")</f>
        <v>https://baanknet.com/view-property/278200/9A056728660D8712D8DCC2B165733D736EAA54E1D9BB3DD265E907938DC15F59</v>
      </c>
      <c r="I6773" t="str">
        <f>HYPERLINK("https://baanknet.com/view-property/278200/9A056728660D8712D8DCC2B165733D736EAA54E1D9BB3DD265E907938DC15F59", "Open")</f>
        <v>Open</v>
      </c>
      <c r="J6773" t="s">
        <v>20</v>
      </c>
      <c r="K6773" t="s">
        <v>21</v>
      </c>
      <c r="L6773">
        <v>1413000</v>
      </c>
      <c r="M6773">
        <v>141300</v>
      </c>
    </row>
    <row r="6774" spans="1:13" x14ac:dyDescent="0.25">
      <c r="A6774" t="s">
        <v>22383</v>
      </c>
      <c r="B6774" t="s">
        <v>22384</v>
      </c>
      <c r="C6774" t="s">
        <v>83</v>
      </c>
      <c r="D6774" t="s">
        <v>282</v>
      </c>
      <c r="E6774" t="s">
        <v>86</v>
      </c>
      <c r="F6774" t="s">
        <v>21846</v>
      </c>
      <c r="G6774" t="s">
        <v>22385</v>
      </c>
      <c r="H6774" t="str">
        <f>HYPERLINK("https://baanknet.com/view-property/284183/C53453DE902DE0F517D25ABA16CD6D21D59B0B1B7A810E5524A0A0D36BC12BE8", "https://baanknet.com/view-property/284183/C53453DE902DE0F517D25ABA16CD6D21D59B0B1B7A810E5524A0A0D36BC12BE8")</f>
        <v>https://baanknet.com/view-property/284183/C53453DE902DE0F517D25ABA16CD6D21D59B0B1B7A810E5524A0A0D36BC12BE8</v>
      </c>
      <c r="I6774" t="str">
        <f>HYPERLINK("https://baanknet.com/view-property/284183/C53453DE902DE0F517D25ABA16CD6D21D59B0B1B7A810E5524A0A0D36BC12BE8", "Open")</f>
        <v>Open</v>
      </c>
      <c r="J6774" t="s">
        <v>20</v>
      </c>
      <c r="K6774" t="s">
        <v>21</v>
      </c>
      <c r="L6774">
        <v>4180000</v>
      </c>
      <c r="M6774">
        <v>418000</v>
      </c>
    </row>
    <row r="6775" spans="1:13" x14ac:dyDescent="0.25">
      <c r="A6775" t="s">
        <v>22386</v>
      </c>
      <c r="B6775" t="s">
        <v>22387</v>
      </c>
      <c r="C6775" t="s">
        <v>83</v>
      </c>
      <c r="D6775" t="s">
        <v>4375</v>
      </c>
      <c r="E6775" t="s">
        <v>86</v>
      </c>
      <c r="F6775" t="s">
        <v>21846</v>
      </c>
      <c r="G6775" t="s">
        <v>22388</v>
      </c>
      <c r="H6775" t="str">
        <f>HYPERLINK("https://baanknet.com/view-property/38756/CED52B76D264FD1E853FA5C0B647A8DA229F788A4B6A06483F55BD37FBC230E4", "https://baanknet.com/view-property/38756/CED52B76D264FD1E853FA5C0B647A8DA229F788A4B6A06483F55BD37FBC230E4")</f>
        <v>https://baanknet.com/view-property/38756/CED52B76D264FD1E853FA5C0B647A8DA229F788A4B6A06483F55BD37FBC230E4</v>
      </c>
      <c r="I6775" t="str">
        <f>HYPERLINK("https://baanknet.com/view-property/38756/CED52B76D264FD1E853FA5C0B647A8DA229F788A4B6A06483F55BD37FBC230E4", "Open")</f>
        <v>Open</v>
      </c>
      <c r="J6775" t="s">
        <v>20</v>
      </c>
      <c r="K6775" t="s">
        <v>21</v>
      </c>
      <c r="L6775">
        <v>950000</v>
      </c>
      <c r="M6775">
        <v>95000</v>
      </c>
    </row>
    <row r="6776" spans="1:13" x14ac:dyDescent="0.25">
      <c r="A6776" t="s">
        <v>22389</v>
      </c>
      <c r="B6776" t="s">
        <v>22390</v>
      </c>
      <c r="C6776" t="s">
        <v>83</v>
      </c>
      <c r="D6776" t="s">
        <v>5627</v>
      </c>
      <c r="E6776" t="s">
        <v>86</v>
      </c>
      <c r="F6776" t="s">
        <v>21846</v>
      </c>
      <c r="G6776" t="s">
        <v>22391</v>
      </c>
      <c r="H6776" t="str">
        <f>HYPERLINK("https://baanknet.com/view-property/99391/263465AD1E1423606BE6A3CD94BFF3EA4B063F77D453E019098C1955AB380C4D", "https://baanknet.com/view-property/99391/263465AD1E1423606BE6A3CD94BFF3EA4B063F77D453E019098C1955AB380C4D")</f>
        <v>https://baanknet.com/view-property/99391/263465AD1E1423606BE6A3CD94BFF3EA4B063F77D453E019098C1955AB380C4D</v>
      </c>
      <c r="I6776" t="str">
        <f>HYPERLINK("https://baanknet.com/view-property/99391/263465AD1E1423606BE6A3CD94BFF3EA4B063F77D453E019098C1955AB380C4D", "Open")</f>
        <v>Open</v>
      </c>
      <c r="J6776" t="s">
        <v>20</v>
      </c>
      <c r="K6776" t="s">
        <v>21</v>
      </c>
      <c r="L6776">
        <v>550000</v>
      </c>
      <c r="M6776">
        <v>55000</v>
      </c>
    </row>
    <row r="6777" spans="1:13" x14ac:dyDescent="0.25">
      <c r="A6777" t="s">
        <v>22392</v>
      </c>
      <c r="B6777" t="s">
        <v>22393</v>
      </c>
      <c r="C6777" t="s">
        <v>83</v>
      </c>
      <c r="D6777" t="s">
        <v>5627</v>
      </c>
      <c r="E6777" t="s">
        <v>86</v>
      </c>
      <c r="F6777" t="s">
        <v>21846</v>
      </c>
      <c r="G6777" t="s">
        <v>22394</v>
      </c>
      <c r="H6777" t="str">
        <f>HYPERLINK("https://baanknet.com/view-property/97283/B7D97981A76554CE86EB242E71A315CE3FAB6355518AD04DDB455243AEB0626D", "https://baanknet.com/view-property/97283/B7D97981A76554CE86EB242E71A315CE3FAB6355518AD04DDB455243AEB0626D")</f>
        <v>https://baanknet.com/view-property/97283/B7D97981A76554CE86EB242E71A315CE3FAB6355518AD04DDB455243AEB0626D</v>
      </c>
      <c r="I6777" t="str">
        <f>HYPERLINK("https://baanknet.com/view-property/97283/B7D97981A76554CE86EB242E71A315CE3FAB6355518AD04DDB455243AEB0626D", "Open")</f>
        <v>Open</v>
      </c>
      <c r="J6777" t="s">
        <v>20</v>
      </c>
      <c r="K6777" t="s">
        <v>21</v>
      </c>
      <c r="L6777">
        <v>590000</v>
      </c>
      <c r="M6777">
        <v>59000</v>
      </c>
    </row>
    <row r="6778" spans="1:13" x14ac:dyDescent="0.25">
      <c r="A6778" t="s">
        <v>22395</v>
      </c>
      <c r="B6778" t="s">
        <v>22396</v>
      </c>
      <c r="C6778" t="s">
        <v>83</v>
      </c>
      <c r="D6778" t="s">
        <v>5627</v>
      </c>
      <c r="E6778" t="s">
        <v>86</v>
      </c>
      <c r="F6778" t="s">
        <v>21846</v>
      </c>
      <c r="G6778" t="s">
        <v>22397</v>
      </c>
      <c r="H6778" t="str">
        <f>HYPERLINK("https://baanknet.com/view-property/99451/7171A4807FC8C4C67C81E283D4B228C006B48D9331FBDBE95F8B1F719DFA47C6", "https://baanknet.com/view-property/99451/7171A4807FC8C4C67C81E283D4B228C006B48D9331FBDBE95F8B1F719DFA47C6")</f>
        <v>https://baanknet.com/view-property/99451/7171A4807FC8C4C67C81E283D4B228C006B48D9331FBDBE95F8B1F719DFA47C6</v>
      </c>
      <c r="I6778" t="str">
        <f>HYPERLINK("https://baanknet.com/view-property/99451/7171A4807FC8C4C67C81E283D4B228C006B48D9331FBDBE95F8B1F719DFA47C6", "Open")</f>
        <v>Open</v>
      </c>
      <c r="J6778" t="s">
        <v>20</v>
      </c>
      <c r="K6778" t="s">
        <v>21</v>
      </c>
      <c r="L6778">
        <v>440000</v>
      </c>
      <c r="M6778">
        <v>44000</v>
      </c>
    </row>
    <row r="6779" spans="1:13" x14ac:dyDescent="0.25">
      <c r="A6779" t="s">
        <v>22398</v>
      </c>
      <c r="B6779" t="s">
        <v>22399</v>
      </c>
      <c r="C6779" t="s">
        <v>83</v>
      </c>
      <c r="D6779" t="s">
        <v>5627</v>
      </c>
      <c r="E6779" t="s">
        <v>86</v>
      </c>
      <c r="F6779" t="s">
        <v>21846</v>
      </c>
      <c r="G6779" t="s">
        <v>22400</v>
      </c>
      <c r="H6779" t="str">
        <f>HYPERLINK("https://baanknet.com/view-property/103766/D808FCFE475BBC51C146AE4651F490BCCB210A758FE2CF2A5C5EDFBFD1541FBC", "https://baanknet.com/view-property/103766/D808FCFE475BBC51C146AE4651F490BCCB210A758FE2CF2A5C5EDFBFD1541FBC")</f>
        <v>https://baanknet.com/view-property/103766/D808FCFE475BBC51C146AE4651F490BCCB210A758FE2CF2A5C5EDFBFD1541FBC</v>
      </c>
      <c r="I6779" t="str">
        <f>HYPERLINK("https://baanknet.com/view-property/103766/D808FCFE475BBC51C146AE4651F490BCCB210A758FE2CF2A5C5EDFBFD1541FBC", "Open")</f>
        <v>Open</v>
      </c>
      <c r="J6779" t="s">
        <v>20</v>
      </c>
      <c r="K6779" t="s">
        <v>21</v>
      </c>
      <c r="L6779">
        <v>560000</v>
      </c>
      <c r="M6779">
        <v>56000</v>
      </c>
    </row>
    <row r="6780" spans="1:13" x14ac:dyDescent="0.25">
      <c r="A6780" t="s">
        <v>22401</v>
      </c>
      <c r="B6780" t="s">
        <v>22402</v>
      </c>
      <c r="C6780" t="s">
        <v>594</v>
      </c>
      <c r="D6780" t="s">
        <v>2282</v>
      </c>
      <c r="E6780" t="s">
        <v>596</v>
      </c>
      <c r="F6780" t="s">
        <v>574</v>
      </c>
      <c r="G6780" t="s">
        <v>22403</v>
      </c>
      <c r="H6780" t="str">
        <f>HYPERLINK("https://baanknet.com/view-property/253252/5F47D55140FFFDED7DDB4FC972DB02F605FC6C066762F6490109A58EA545506B", "https://baanknet.com/view-property/253252/5F47D55140FFFDED7DDB4FC972DB02F605FC6C066762F6490109A58EA545506B")</f>
        <v>https://baanknet.com/view-property/253252/5F47D55140FFFDED7DDB4FC972DB02F605FC6C066762F6490109A58EA545506B</v>
      </c>
      <c r="I6780" t="str">
        <f>HYPERLINK("https://baanknet.com/view-property/253252/5F47D55140FFFDED7DDB4FC972DB02F605FC6C066762F6490109A58EA545506B", "Open")</f>
        <v>Open</v>
      </c>
      <c r="J6780" t="s">
        <v>3803</v>
      </c>
      <c r="L6780">
        <v>3900000</v>
      </c>
      <c r="M6780">
        <v>390000</v>
      </c>
    </row>
    <row r="6781" spans="1:13" x14ac:dyDescent="0.25">
      <c r="A6781" t="s">
        <v>22404</v>
      </c>
      <c r="B6781" t="s">
        <v>22405</v>
      </c>
      <c r="C6781" t="s">
        <v>594</v>
      </c>
      <c r="D6781" t="s">
        <v>1761</v>
      </c>
      <c r="E6781" t="s">
        <v>596</v>
      </c>
      <c r="F6781" t="s">
        <v>574</v>
      </c>
      <c r="G6781" t="s">
        <v>22406</v>
      </c>
      <c r="H6781" t="str">
        <f>HYPERLINK("https://baanknet.com/view-property/249185/E5F12B4212711709E5B93B2A6CD2FDCF9EF7F503CB512EA77E5D529D6D9D4DF0", "https://baanknet.com/view-property/249185/E5F12B4212711709E5B93B2A6CD2FDCF9EF7F503CB512EA77E5D529D6D9D4DF0")</f>
        <v>https://baanknet.com/view-property/249185/E5F12B4212711709E5B93B2A6CD2FDCF9EF7F503CB512EA77E5D529D6D9D4DF0</v>
      </c>
      <c r="I6781" t="str">
        <f>HYPERLINK("https://baanknet.com/view-property/249185/E5F12B4212711709E5B93B2A6CD2FDCF9EF7F503CB512EA77E5D529D6D9D4DF0", "Open")</f>
        <v>Open</v>
      </c>
      <c r="J6781" t="s">
        <v>3803</v>
      </c>
      <c r="L6781">
        <v>1337500</v>
      </c>
      <c r="M6781">
        <v>133750</v>
      </c>
    </row>
    <row r="6782" spans="1:13" x14ac:dyDescent="0.25">
      <c r="A6782" t="s">
        <v>22407</v>
      </c>
      <c r="B6782" t="s">
        <v>22408</v>
      </c>
      <c r="C6782" t="s">
        <v>594</v>
      </c>
      <c r="D6782" t="s">
        <v>1761</v>
      </c>
      <c r="E6782" t="s">
        <v>596</v>
      </c>
      <c r="F6782" t="s">
        <v>574</v>
      </c>
      <c r="G6782" t="s">
        <v>22409</v>
      </c>
      <c r="H6782" t="str">
        <f>HYPERLINK("https://baanknet.com/view-property/249183/14E74C794BFE964A02A8DAF74BF345B3681A1AD772CC65629D5ADE3CF68C86D9", "https://baanknet.com/view-property/249183/14E74C794BFE964A02A8DAF74BF345B3681A1AD772CC65629D5ADE3CF68C86D9")</f>
        <v>https://baanknet.com/view-property/249183/14E74C794BFE964A02A8DAF74BF345B3681A1AD772CC65629D5ADE3CF68C86D9</v>
      </c>
      <c r="I6782" t="str">
        <f>HYPERLINK("https://baanknet.com/view-property/249183/14E74C794BFE964A02A8DAF74BF345B3681A1AD772CC65629D5ADE3CF68C86D9", "Open")</f>
        <v>Open</v>
      </c>
      <c r="J6782" t="s">
        <v>3803</v>
      </c>
      <c r="L6782">
        <v>1337000</v>
      </c>
      <c r="M6782">
        <v>133700</v>
      </c>
    </row>
    <row r="6783" spans="1:13" x14ac:dyDescent="0.25">
      <c r="A6783" t="s">
        <v>22410</v>
      </c>
      <c r="B6783" t="s">
        <v>22411</v>
      </c>
      <c r="C6783" t="s">
        <v>594</v>
      </c>
      <c r="D6783" t="s">
        <v>1761</v>
      </c>
      <c r="E6783" t="s">
        <v>596</v>
      </c>
      <c r="F6783" t="s">
        <v>574</v>
      </c>
      <c r="G6783" t="s">
        <v>22412</v>
      </c>
      <c r="H6783" t="str">
        <f>HYPERLINK("https://baanknet.com/view-property/246647/8E1EA400E7959340C212B1FAF1F479AEAA97EBA37AA7F691B2D3A33A3E75DFCC", "https://baanknet.com/view-property/246647/8E1EA400E7959340C212B1FAF1F479AEAA97EBA37AA7F691B2D3A33A3E75DFCC")</f>
        <v>https://baanknet.com/view-property/246647/8E1EA400E7959340C212B1FAF1F479AEAA97EBA37AA7F691B2D3A33A3E75DFCC</v>
      </c>
      <c r="I6783" t="str">
        <f>HYPERLINK("https://baanknet.com/view-property/246647/8E1EA400E7959340C212B1FAF1F479AEAA97EBA37AA7F691B2D3A33A3E75DFCC", "Open")</f>
        <v>Open</v>
      </c>
      <c r="J6783" t="s">
        <v>3803</v>
      </c>
      <c r="L6783">
        <v>1337000</v>
      </c>
      <c r="M6783">
        <v>133700</v>
      </c>
    </row>
    <row r="6784" spans="1:13" x14ac:dyDescent="0.25">
      <c r="A6784" t="s">
        <v>22413</v>
      </c>
      <c r="B6784" t="s">
        <v>22414</v>
      </c>
      <c r="C6784" t="s">
        <v>594</v>
      </c>
      <c r="D6784" t="s">
        <v>501</v>
      </c>
      <c r="E6784" t="s">
        <v>596</v>
      </c>
      <c r="F6784" t="s">
        <v>574</v>
      </c>
      <c r="G6784" t="s">
        <v>22415</v>
      </c>
      <c r="H6784" t="str">
        <f>HYPERLINK("https://baanknet.com/view-property/281431/85C32EDE562C741F82458C6A0DFE80B7AF19FCCC3FF98F410325FF7CBC631E15", "https://baanknet.com/view-property/281431/85C32EDE562C741F82458C6A0DFE80B7AF19FCCC3FF98F410325FF7CBC631E15")</f>
        <v>https://baanknet.com/view-property/281431/85C32EDE562C741F82458C6A0DFE80B7AF19FCCC3FF98F410325FF7CBC631E15</v>
      </c>
      <c r="I6784" t="str">
        <f>HYPERLINK("https://baanknet.com/view-property/281431/85C32EDE562C741F82458C6A0DFE80B7AF19FCCC3FF98F410325FF7CBC631E15", "Open")</f>
        <v>Open</v>
      </c>
      <c r="J6784" t="s">
        <v>3803</v>
      </c>
    </row>
    <row r="6785" spans="1:13" x14ac:dyDescent="0.25">
      <c r="A6785" t="s">
        <v>22416</v>
      </c>
      <c r="B6785" t="s">
        <v>22417</v>
      </c>
      <c r="C6785" t="s">
        <v>594</v>
      </c>
      <c r="D6785" t="s">
        <v>15924</v>
      </c>
      <c r="E6785" t="s">
        <v>596</v>
      </c>
      <c r="F6785" t="s">
        <v>574</v>
      </c>
      <c r="G6785" t="s">
        <v>22418</v>
      </c>
      <c r="H6785" t="str">
        <f>HYPERLINK("https://baanknet.com/view-property/281419/AC0CCB68D15F643D8D360EB95BD9AA72BB7170E5504EC611ED98EA7922047D1F", "https://baanknet.com/view-property/281419/AC0CCB68D15F643D8D360EB95BD9AA72BB7170E5504EC611ED98EA7922047D1F")</f>
        <v>https://baanknet.com/view-property/281419/AC0CCB68D15F643D8D360EB95BD9AA72BB7170E5504EC611ED98EA7922047D1F</v>
      </c>
      <c r="I6785" t="str">
        <f>HYPERLINK("https://baanknet.com/view-property/281419/AC0CCB68D15F643D8D360EB95BD9AA72BB7170E5504EC611ED98EA7922047D1F", "Open")</f>
        <v>Open</v>
      </c>
      <c r="J6785" t="s">
        <v>3803</v>
      </c>
    </row>
    <row r="6786" spans="1:13" x14ac:dyDescent="0.25">
      <c r="A6786" t="s">
        <v>22419</v>
      </c>
      <c r="B6786" t="s">
        <v>22420</v>
      </c>
      <c r="C6786" t="s">
        <v>594</v>
      </c>
      <c r="D6786" t="s">
        <v>907</v>
      </c>
      <c r="E6786" t="s">
        <v>596</v>
      </c>
      <c r="F6786" t="s">
        <v>574</v>
      </c>
      <c r="G6786" t="s">
        <v>22421</v>
      </c>
      <c r="H6786" t="str">
        <f>HYPERLINK("https://baanknet.com/view-property/281413/F0B110B0A07A12C937E1E1F05CBBBC37F144E7A3A37C6D9F613D4682ECBA3244", "https://baanknet.com/view-property/281413/F0B110B0A07A12C937E1E1F05CBBBC37F144E7A3A37C6D9F613D4682ECBA3244")</f>
        <v>https://baanknet.com/view-property/281413/F0B110B0A07A12C937E1E1F05CBBBC37F144E7A3A37C6D9F613D4682ECBA3244</v>
      </c>
      <c r="I6786" t="str">
        <f>HYPERLINK("https://baanknet.com/view-property/281413/F0B110B0A07A12C937E1E1F05CBBBC37F144E7A3A37C6D9F613D4682ECBA3244", "Open")</f>
        <v>Open</v>
      </c>
      <c r="J6786" t="s">
        <v>3803</v>
      </c>
    </row>
    <row r="6787" spans="1:13" x14ac:dyDescent="0.25">
      <c r="A6787" t="s">
        <v>22422</v>
      </c>
      <c r="B6787" t="s">
        <v>22423</v>
      </c>
      <c r="C6787" t="s">
        <v>594</v>
      </c>
      <c r="D6787" t="s">
        <v>21067</v>
      </c>
      <c r="E6787" t="s">
        <v>596</v>
      </c>
      <c r="F6787" t="s">
        <v>574</v>
      </c>
      <c r="G6787" t="s">
        <v>22424</v>
      </c>
      <c r="H6787" t="str">
        <f>HYPERLINK("https://baanknet.com/view-property/83961/7F7731A1EF4100BB31973EE61850B7C7CCDCB0C7FE2242A507F8A67EB4BFBF67", "https://baanknet.com/view-property/83961/7F7731A1EF4100BB31973EE61850B7C7CCDCB0C7FE2242A507F8A67EB4BFBF67")</f>
        <v>https://baanknet.com/view-property/83961/7F7731A1EF4100BB31973EE61850B7C7CCDCB0C7FE2242A507F8A67EB4BFBF67</v>
      </c>
      <c r="I6787" t="str">
        <f>HYPERLINK("https://baanknet.com/view-property/83961/7F7731A1EF4100BB31973EE61850B7C7CCDCB0C7FE2242A507F8A67EB4BFBF67", "Open")</f>
        <v>Open</v>
      </c>
      <c r="J6787" t="s">
        <v>3803</v>
      </c>
      <c r="L6787">
        <v>907200</v>
      </c>
      <c r="M6787">
        <v>90720</v>
      </c>
    </row>
    <row r="6788" spans="1:13" x14ac:dyDescent="0.25">
      <c r="A6788" t="s">
        <v>22425</v>
      </c>
      <c r="B6788" t="s">
        <v>22426</v>
      </c>
      <c r="C6788" t="s">
        <v>121</v>
      </c>
      <c r="D6788" t="s">
        <v>9235</v>
      </c>
      <c r="E6788" t="s">
        <v>15507</v>
      </c>
      <c r="F6788" t="s">
        <v>15560</v>
      </c>
      <c r="G6788" t="s">
        <v>22427</v>
      </c>
      <c r="H6788" t="str">
        <f>HYPERLINK("https://baanknet.com/view-property/265910/08A0DD2FF41D8C375DC239BC87E17DB846E47C11FBFDF614801343537661A2D0", "https://baanknet.com/view-property/265910/08A0DD2FF41D8C375DC239BC87E17DB846E47C11FBFDF614801343537661A2D0")</f>
        <v>https://baanknet.com/view-property/265910/08A0DD2FF41D8C375DC239BC87E17DB846E47C11FBFDF614801343537661A2D0</v>
      </c>
      <c r="I6788" t="str">
        <f>HYPERLINK("https://baanknet.com/view-property/265910/08A0DD2FF41D8C375DC239BC87E17DB846E47C11FBFDF614801343537661A2D0", "Open")</f>
        <v>Open</v>
      </c>
      <c r="J6788" t="s">
        <v>3803</v>
      </c>
      <c r="L6788">
        <v>4095000</v>
      </c>
      <c r="M6788">
        <v>409500</v>
      </c>
    </row>
    <row r="6789" spans="1:13" x14ac:dyDescent="0.25">
      <c r="A6789" t="s">
        <v>22428</v>
      </c>
      <c r="B6789" t="s">
        <v>22429</v>
      </c>
      <c r="C6789" t="s">
        <v>121</v>
      </c>
      <c r="D6789" t="s">
        <v>8394</v>
      </c>
      <c r="E6789" t="s">
        <v>15507</v>
      </c>
      <c r="F6789" t="s">
        <v>15560</v>
      </c>
      <c r="G6789" t="s">
        <v>22430</v>
      </c>
      <c r="H6789" t="str">
        <f>HYPERLINK("https://baanknet.com/view-property/264196/7958AB6D4EE693B4B42F948B34B6E0D73D4506B944ADF18DAFD3B4F0A6D4CC28", "https://baanknet.com/view-property/264196/7958AB6D4EE693B4B42F948B34B6E0D73D4506B944ADF18DAFD3B4F0A6D4CC28")</f>
        <v>https://baanknet.com/view-property/264196/7958AB6D4EE693B4B42F948B34B6E0D73D4506B944ADF18DAFD3B4F0A6D4CC28</v>
      </c>
      <c r="I6789" t="str">
        <f>HYPERLINK("https://baanknet.com/view-property/264196/7958AB6D4EE693B4B42F948B34B6E0D73D4506B944ADF18DAFD3B4F0A6D4CC28", "Open")</f>
        <v>Open</v>
      </c>
      <c r="J6789" t="s">
        <v>3803</v>
      </c>
      <c r="L6789">
        <v>1870000</v>
      </c>
      <c r="M6789">
        <v>187000</v>
      </c>
    </row>
    <row r="6790" spans="1:13" x14ac:dyDescent="0.25">
      <c r="A6790" t="s">
        <v>22431</v>
      </c>
      <c r="B6790" t="s">
        <v>22432</v>
      </c>
      <c r="C6790" t="s">
        <v>121</v>
      </c>
      <c r="D6790" t="s">
        <v>22433</v>
      </c>
      <c r="E6790" t="s">
        <v>15507</v>
      </c>
      <c r="F6790" t="s">
        <v>15560</v>
      </c>
      <c r="G6790" t="s">
        <v>22434</v>
      </c>
      <c r="H6790" t="str">
        <f>HYPERLINK("https://baanknet.com/view-property/263334/7923A79F0E000D6BA6A6F1D13F8E143BE1098D7660C03DBF94998D90BBEEB2F7", "https://baanknet.com/view-property/263334/7923A79F0E000D6BA6A6F1D13F8E143BE1098D7660C03DBF94998D90BBEEB2F7")</f>
        <v>https://baanknet.com/view-property/263334/7923A79F0E000D6BA6A6F1D13F8E143BE1098D7660C03DBF94998D90BBEEB2F7</v>
      </c>
      <c r="I6790" t="str">
        <f>HYPERLINK("https://baanknet.com/view-property/263334/7923A79F0E000D6BA6A6F1D13F8E143BE1098D7660C03DBF94998D90BBEEB2F7", "Open")</f>
        <v>Open</v>
      </c>
      <c r="J6790" t="s">
        <v>3803</v>
      </c>
      <c r="L6790">
        <v>1880000</v>
      </c>
      <c r="M6790">
        <v>188000</v>
      </c>
    </row>
    <row r="6791" spans="1:13" x14ac:dyDescent="0.25">
      <c r="A6791" t="s">
        <v>22435</v>
      </c>
      <c r="B6791" t="s">
        <v>22436</v>
      </c>
      <c r="C6791" t="s">
        <v>121</v>
      </c>
      <c r="D6791" t="s">
        <v>1957</v>
      </c>
      <c r="E6791" t="s">
        <v>15507</v>
      </c>
      <c r="F6791" t="s">
        <v>15560</v>
      </c>
      <c r="G6791" t="s">
        <v>22437</v>
      </c>
      <c r="H6791" t="str">
        <f>HYPERLINK("https://baanknet.com/view-property/261962/7F6BC40E716ED053C39AD7BE7C383B8D06CEE6231242E73FDDDD059BD9EAD232", "https://baanknet.com/view-property/261962/7F6BC40E716ED053C39AD7BE7C383B8D06CEE6231242E73FDDDD059BD9EAD232")</f>
        <v>https://baanknet.com/view-property/261962/7F6BC40E716ED053C39AD7BE7C383B8D06CEE6231242E73FDDDD059BD9EAD232</v>
      </c>
      <c r="I6791" t="str">
        <f>HYPERLINK("https://baanknet.com/view-property/261962/7F6BC40E716ED053C39AD7BE7C383B8D06CEE6231242E73FDDDD059BD9EAD232", "Open")</f>
        <v>Open</v>
      </c>
      <c r="J6791" t="s">
        <v>3803</v>
      </c>
      <c r="L6791">
        <v>6020000</v>
      </c>
      <c r="M6791">
        <v>602000</v>
      </c>
    </row>
    <row r="6792" spans="1:13" x14ac:dyDescent="0.25">
      <c r="A6792" t="s">
        <v>22438</v>
      </c>
      <c r="B6792" t="s">
        <v>22439</v>
      </c>
      <c r="C6792" t="s">
        <v>121</v>
      </c>
      <c r="D6792" t="s">
        <v>1957</v>
      </c>
      <c r="E6792" t="s">
        <v>15507</v>
      </c>
      <c r="F6792" t="s">
        <v>15560</v>
      </c>
      <c r="G6792" t="s">
        <v>22440</v>
      </c>
      <c r="H6792" t="str">
        <f>HYPERLINK("https://baanknet.com/view-property/260634/0BB5456CE53FC9BD3D790813C5EA77EA94139EC68FBB4BC3C6FEC203D8BAE8BE", "https://baanknet.com/view-property/260634/0BB5456CE53FC9BD3D790813C5EA77EA94139EC68FBB4BC3C6FEC203D8BAE8BE")</f>
        <v>https://baanknet.com/view-property/260634/0BB5456CE53FC9BD3D790813C5EA77EA94139EC68FBB4BC3C6FEC203D8BAE8BE</v>
      </c>
      <c r="I6792" t="str">
        <f>HYPERLINK("https://baanknet.com/view-property/260634/0BB5456CE53FC9BD3D790813C5EA77EA94139EC68FBB4BC3C6FEC203D8BAE8BE", "Open")</f>
        <v>Open</v>
      </c>
      <c r="J6792" t="s">
        <v>3803</v>
      </c>
      <c r="L6792">
        <v>3245100</v>
      </c>
      <c r="M6792">
        <v>324510</v>
      </c>
    </row>
    <row r="6793" spans="1:13" x14ac:dyDescent="0.25">
      <c r="A6793" t="s">
        <v>22441</v>
      </c>
      <c r="B6793" t="s">
        <v>22442</v>
      </c>
      <c r="C6793" t="s">
        <v>121</v>
      </c>
      <c r="D6793" t="s">
        <v>219</v>
      </c>
      <c r="E6793" t="s">
        <v>15507</v>
      </c>
      <c r="F6793" t="s">
        <v>15560</v>
      </c>
      <c r="G6793" t="s">
        <v>22443</v>
      </c>
      <c r="H6793" t="str">
        <f>HYPERLINK("https://baanknet.com/view-property/260610/A3BCA88E6AB75C9DCABD25DE625415D345F5FAE39E626DC9685FDDF8B0CBE37C", "https://baanknet.com/view-property/260610/A3BCA88E6AB75C9DCABD25DE625415D345F5FAE39E626DC9685FDDF8B0CBE37C")</f>
        <v>https://baanknet.com/view-property/260610/A3BCA88E6AB75C9DCABD25DE625415D345F5FAE39E626DC9685FDDF8B0CBE37C</v>
      </c>
      <c r="I6793" t="str">
        <f>HYPERLINK("https://baanknet.com/view-property/260610/A3BCA88E6AB75C9DCABD25DE625415D345F5FAE39E626DC9685FDDF8B0CBE37C", "Open")</f>
        <v>Open</v>
      </c>
      <c r="J6793" t="s">
        <v>3803</v>
      </c>
      <c r="L6793">
        <v>2250000</v>
      </c>
      <c r="M6793">
        <v>225000</v>
      </c>
    </row>
    <row r="6794" spans="1:13" x14ac:dyDescent="0.25">
      <c r="A6794" t="s">
        <v>22444</v>
      </c>
      <c r="B6794" t="s">
        <v>22445</v>
      </c>
      <c r="C6794" t="s">
        <v>121</v>
      </c>
      <c r="D6794" t="s">
        <v>9235</v>
      </c>
      <c r="E6794" t="s">
        <v>15507</v>
      </c>
      <c r="F6794" t="s">
        <v>15560</v>
      </c>
      <c r="G6794" t="s">
        <v>22446</v>
      </c>
      <c r="H6794" t="str">
        <f>HYPERLINK("https://baanknet.com/view-property/260406/64BF46D580E78C70BEE9D687DECAD233B93A5427361BCC5E11C7A65504F28448", "https://baanknet.com/view-property/260406/64BF46D580E78C70BEE9D687DECAD233B93A5427361BCC5E11C7A65504F28448")</f>
        <v>https://baanknet.com/view-property/260406/64BF46D580E78C70BEE9D687DECAD233B93A5427361BCC5E11C7A65504F28448</v>
      </c>
      <c r="I6794" t="str">
        <f>HYPERLINK("https://baanknet.com/view-property/260406/64BF46D580E78C70BEE9D687DECAD233B93A5427361BCC5E11C7A65504F28448", "Open")</f>
        <v>Open</v>
      </c>
      <c r="J6794" t="s">
        <v>3803</v>
      </c>
      <c r="L6794">
        <v>3050000</v>
      </c>
      <c r="M6794">
        <v>305000</v>
      </c>
    </row>
    <row r="6795" spans="1:13" x14ac:dyDescent="0.25">
      <c r="A6795" t="s">
        <v>22447</v>
      </c>
      <c r="B6795" t="s">
        <v>22448</v>
      </c>
      <c r="C6795" t="s">
        <v>83</v>
      </c>
      <c r="D6795" t="s">
        <v>518</v>
      </c>
      <c r="E6795" t="s">
        <v>86</v>
      </c>
      <c r="F6795" t="s">
        <v>21846</v>
      </c>
      <c r="G6795" t="s">
        <v>22449</v>
      </c>
      <c r="H6795" t="str">
        <f>HYPERLINK("https://baanknet.com/view-property/203339/D914F49475746AD623DD0460349A36B343CE16EB2471611742D04F89C648037E", "https://baanknet.com/view-property/203339/D914F49475746AD623DD0460349A36B343CE16EB2471611742D04F89C648037E")</f>
        <v>https://baanknet.com/view-property/203339/D914F49475746AD623DD0460349A36B343CE16EB2471611742D04F89C648037E</v>
      </c>
      <c r="I6795" t="str">
        <f>HYPERLINK("https://baanknet.com/view-property/203339/D914F49475746AD623DD0460349A36B343CE16EB2471611742D04F89C648037E", "Open")</f>
        <v>Open</v>
      </c>
      <c r="J6795" t="s">
        <v>20</v>
      </c>
      <c r="K6795" t="s">
        <v>21</v>
      </c>
      <c r="L6795">
        <v>693000</v>
      </c>
      <c r="M6795">
        <v>69300</v>
      </c>
    </row>
    <row r="6796" spans="1:13" x14ac:dyDescent="0.25">
      <c r="A6796" t="s">
        <v>22450</v>
      </c>
      <c r="B6796" t="s">
        <v>22451</v>
      </c>
      <c r="C6796" t="s">
        <v>83</v>
      </c>
      <c r="D6796" t="s">
        <v>518</v>
      </c>
      <c r="E6796" t="s">
        <v>86</v>
      </c>
      <c r="F6796" t="s">
        <v>21846</v>
      </c>
      <c r="G6796" t="s">
        <v>22452</v>
      </c>
      <c r="H6796" t="str">
        <f>HYPERLINK("https://baanknet.com/view-property/203303/DD7CB1C9D064A2CA1528B83A77BE35524E02DDA2CD19C8642AD5202CF2C53CA2", "https://baanknet.com/view-property/203303/DD7CB1C9D064A2CA1528B83A77BE35524E02DDA2CD19C8642AD5202CF2C53CA2")</f>
        <v>https://baanknet.com/view-property/203303/DD7CB1C9D064A2CA1528B83A77BE35524E02DDA2CD19C8642AD5202CF2C53CA2</v>
      </c>
      <c r="I6796" t="str">
        <f>HYPERLINK("https://baanknet.com/view-property/203303/DD7CB1C9D064A2CA1528B83A77BE35524E02DDA2CD19C8642AD5202CF2C53CA2", "Open")</f>
        <v>Open</v>
      </c>
      <c r="J6796" t="s">
        <v>20</v>
      </c>
      <c r="K6796" t="s">
        <v>21</v>
      </c>
      <c r="L6796">
        <v>1764000</v>
      </c>
      <c r="M6796">
        <v>176400</v>
      </c>
    </row>
    <row r="6797" spans="1:13" x14ac:dyDescent="0.25">
      <c r="A6797" t="s">
        <v>22453</v>
      </c>
      <c r="B6797" t="s">
        <v>22454</v>
      </c>
      <c r="C6797" t="s">
        <v>83</v>
      </c>
      <c r="D6797" t="s">
        <v>6068</v>
      </c>
      <c r="E6797" t="s">
        <v>86</v>
      </c>
      <c r="F6797" t="s">
        <v>21846</v>
      </c>
      <c r="G6797" t="s">
        <v>22455</v>
      </c>
      <c r="H6797" t="str">
        <f>HYPERLINK("https://baanknet.com/view-property/237777/82FAB928FC1B70F792DC7A27D835CFF776A81E436C046336C9B55218DFB0B863", "https://baanknet.com/view-property/237777/82FAB928FC1B70F792DC7A27D835CFF776A81E436C046336C9B55218DFB0B863")</f>
        <v>https://baanknet.com/view-property/237777/82FAB928FC1B70F792DC7A27D835CFF776A81E436C046336C9B55218DFB0B863</v>
      </c>
      <c r="I6797" t="str">
        <f>HYPERLINK("https://baanknet.com/view-property/237777/82FAB928FC1B70F792DC7A27D835CFF776A81E436C046336C9B55218DFB0B863", "Open")</f>
        <v>Open</v>
      </c>
      <c r="J6797" t="s">
        <v>20</v>
      </c>
      <c r="K6797" t="s">
        <v>21</v>
      </c>
      <c r="L6797">
        <v>1220000</v>
      </c>
      <c r="M6797">
        <v>122000</v>
      </c>
    </row>
    <row r="6798" spans="1:13" x14ac:dyDescent="0.25">
      <c r="A6798" t="s">
        <v>22456</v>
      </c>
      <c r="B6798" t="s">
        <v>22457</v>
      </c>
      <c r="C6798" t="s">
        <v>83</v>
      </c>
      <c r="D6798" t="s">
        <v>5627</v>
      </c>
      <c r="E6798" t="s">
        <v>86</v>
      </c>
      <c r="F6798" t="s">
        <v>21846</v>
      </c>
      <c r="G6798" t="s">
        <v>22458</v>
      </c>
      <c r="H6798" t="str">
        <f>HYPERLINK("https://baanknet.com/view-property/203731/FB3266538AE2E2EDD551D4C3539FD72B803C0A09D7560C576FE1454F486231D8", "https://baanknet.com/view-property/203731/FB3266538AE2E2EDD551D4C3539FD72B803C0A09D7560C576FE1454F486231D8")</f>
        <v>https://baanknet.com/view-property/203731/FB3266538AE2E2EDD551D4C3539FD72B803C0A09D7560C576FE1454F486231D8</v>
      </c>
      <c r="I6798" t="str">
        <f>HYPERLINK("https://baanknet.com/view-property/203731/FB3266538AE2E2EDD551D4C3539FD72B803C0A09D7560C576FE1454F486231D8", "Open")</f>
        <v>Open</v>
      </c>
      <c r="J6798" t="s">
        <v>20</v>
      </c>
      <c r="K6798" t="s">
        <v>21</v>
      </c>
      <c r="L6798">
        <v>1485000</v>
      </c>
      <c r="M6798">
        <v>149000</v>
      </c>
    </row>
    <row r="6799" spans="1:13" x14ac:dyDescent="0.25">
      <c r="A6799" t="s">
        <v>22459</v>
      </c>
      <c r="B6799" t="s">
        <v>22460</v>
      </c>
      <c r="C6799" t="s">
        <v>83</v>
      </c>
      <c r="D6799" t="s">
        <v>518</v>
      </c>
      <c r="E6799" t="s">
        <v>86</v>
      </c>
      <c r="F6799" t="s">
        <v>21846</v>
      </c>
      <c r="G6799" t="s">
        <v>22461</v>
      </c>
      <c r="H6799" t="str">
        <f>HYPERLINK("https://baanknet.com/view-property/264379/B2B819696DC8FA8FDE6680A9CE4883A0EA82D14CE87A628E25CC44CDC31BDE1D", "https://baanknet.com/view-property/264379/B2B819696DC8FA8FDE6680A9CE4883A0EA82D14CE87A628E25CC44CDC31BDE1D")</f>
        <v>https://baanknet.com/view-property/264379/B2B819696DC8FA8FDE6680A9CE4883A0EA82D14CE87A628E25CC44CDC31BDE1D</v>
      </c>
      <c r="I6799" t="str">
        <f>HYPERLINK("https://baanknet.com/view-property/264379/B2B819696DC8FA8FDE6680A9CE4883A0EA82D14CE87A628E25CC44CDC31BDE1D", "Open")</f>
        <v>Open</v>
      </c>
      <c r="J6799" t="s">
        <v>20</v>
      </c>
      <c r="K6799" t="s">
        <v>21</v>
      </c>
      <c r="L6799">
        <v>1090000</v>
      </c>
      <c r="M6799">
        <v>109000</v>
      </c>
    </row>
    <row r="6800" spans="1:13" x14ac:dyDescent="0.25">
      <c r="A6800" t="s">
        <v>22462</v>
      </c>
      <c r="B6800" t="s">
        <v>22463</v>
      </c>
      <c r="C6800" t="s">
        <v>83</v>
      </c>
      <c r="D6800" t="s">
        <v>518</v>
      </c>
      <c r="E6800" t="s">
        <v>86</v>
      </c>
      <c r="F6800" t="s">
        <v>21846</v>
      </c>
      <c r="G6800" t="s">
        <v>22464</v>
      </c>
      <c r="H6800" t="str">
        <f>HYPERLINK("https://baanknet.com/view-property/254979/A107E1F74458BA3FB5C7FBD015C2C150C25925ABBB26214867551A5D25C761D5", "https://baanknet.com/view-property/254979/A107E1F74458BA3FB5C7FBD015C2C150C25925ABBB26214867551A5D25C761D5")</f>
        <v>https://baanknet.com/view-property/254979/A107E1F74458BA3FB5C7FBD015C2C150C25925ABBB26214867551A5D25C761D5</v>
      </c>
      <c r="I6800" t="str">
        <f>HYPERLINK("https://baanknet.com/view-property/254979/A107E1F74458BA3FB5C7FBD015C2C150C25925ABBB26214867551A5D25C761D5", "Open")</f>
        <v>Open</v>
      </c>
      <c r="J6800" t="s">
        <v>20</v>
      </c>
      <c r="K6800" t="s">
        <v>21</v>
      </c>
      <c r="L6800">
        <v>3780000</v>
      </c>
      <c r="M6800">
        <v>378000</v>
      </c>
    </row>
    <row r="6801" spans="1:13" x14ac:dyDescent="0.25">
      <c r="A6801" t="s">
        <v>22465</v>
      </c>
      <c r="B6801" t="s">
        <v>22466</v>
      </c>
      <c r="C6801" t="s">
        <v>83</v>
      </c>
      <c r="D6801" t="s">
        <v>5627</v>
      </c>
      <c r="E6801" t="s">
        <v>86</v>
      </c>
      <c r="F6801" t="s">
        <v>21846</v>
      </c>
      <c r="G6801" t="s">
        <v>22467</v>
      </c>
      <c r="H6801" t="str">
        <f>HYPERLINK("https://baanknet.com/view-property/203464/47779AA13939EACC58838D57BE519879D4B16B0B5C2F5357A930D138DDCF6327", "https://baanknet.com/view-property/203464/47779AA13939EACC58838D57BE519879D4B16B0B5C2F5357A930D138DDCF6327")</f>
        <v>https://baanknet.com/view-property/203464/47779AA13939EACC58838D57BE519879D4B16B0B5C2F5357A930D138DDCF6327</v>
      </c>
      <c r="I6801" t="str">
        <f>HYPERLINK("https://baanknet.com/view-property/203464/47779AA13939EACC58838D57BE519879D4B16B0B5C2F5357A930D138DDCF6327", "Open")</f>
        <v>Open</v>
      </c>
      <c r="J6801" t="s">
        <v>20</v>
      </c>
      <c r="K6801" t="s">
        <v>21</v>
      </c>
      <c r="L6801">
        <v>396000</v>
      </c>
      <c r="M6801">
        <v>40000</v>
      </c>
    </row>
    <row r="6802" spans="1:13" x14ac:dyDescent="0.25">
      <c r="A6802" t="s">
        <v>22468</v>
      </c>
      <c r="B6802" t="s">
        <v>22469</v>
      </c>
      <c r="C6802" t="s">
        <v>83</v>
      </c>
      <c r="D6802" t="s">
        <v>17718</v>
      </c>
      <c r="E6802" t="s">
        <v>86</v>
      </c>
      <c r="F6802" t="s">
        <v>21846</v>
      </c>
      <c r="G6802" t="s">
        <v>22470</v>
      </c>
      <c r="H6802" t="str">
        <f>HYPERLINK("https://baanknet.com/view-property/276896/31375582296B76AAF95EC12E8D956CD76905953C03C0D3837DB0E98328ABF206", "https://baanknet.com/view-property/276896/31375582296B76AAF95EC12E8D956CD76905953C03C0D3837DB0E98328ABF206")</f>
        <v>https://baanknet.com/view-property/276896/31375582296B76AAF95EC12E8D956CD76905953C03C0D3837DB0E98328ABF206</v>
      </c>
      <c r="I6802" t="str">
        <f>HYPERLINK("https://baanknet.com/view-property/276896/31375582296B76AAF95EC12E8D956CD76905953C03C0D3837DB0E98328ABF206", "Open")</f>
        <v>Open</v>
      </c>
      <c r="J6802" t="s">
        <v>20</v>
      </c>
      <c r="K6802" t="s">
        <v>21</v>
      </c>
      <c r="L6802">
        <v>1335000</v>
      </c>
      <c r="M6802">
        <v>133500</v>
      </c>
    </row>
    <row r="6803" spans="1:13" x14ac:dyDescent="0.25">
      <c r="A6803" t="s">
        <v>22471</v>
      </c>
      <c r="B6803" t="s">
        <v>22472</v>
      </c>
      <c r="C6803" t="s">
        <v>83</v>
      </c>
      <c r="D6803" t="s">
        <v>22473</v>
      </c>
      <c r="E6803" t="s">
        <v>86</v>
      </c>
      <c r="F6803" t="s">
        <v>21846</v>
      </c>
      <c r="G6803" t="s">
        <v>22474</v>
      </c>
      <c r="H6803" t="str">
        <f>HYPERLINK("https://baanknet.com/view-property/276991/D6225972644E06D8F9DB83DAB9833CCC6BBA4DAB2B819A8D12798092C2E96DFE", "https://baanknet.com/view-property/276991/D6225972644E06D8F9DB83DAB9833CCC6BBA4DAB2B819A8D12798092C2E96DFE")</f>
        <v>https://baanknet.com/view-property/276991/D6225972644E06D8F9DB83DAB9833CCC6BBA4DAB2B819A8D12798092C2E96DFE</v>
      </c>
      <c r="I6803" t="str">
        <f>HYPERLINK("https://baanknet.com/view-property/276991/D6225972644E06D8F9DB83DAB9833CCC6BBA4DAB2B819A8D12798092C2E96DFE", "Open")</f>
        <v>Open</v>
      </c>
      <c r="J6803" t="s">
        <v>20</v>
      </c>
      <c r="K6803" t="s">
        <v>21</v>
      </c>
      <c r="L6803">
        <v>1541000</v>
      </c>
      <c r="M6803">
        <v>154100</v>
      </c>
    </row>
    <row r="6804" spans="1:13" x14ac:dyDescent="0.25">
      <c r="A6804" t="s">
        <v>22475</v>
      </c>
      <c r="B6804" t="s">
        <v>22476</v>
      </c>
      <c r="C6804" t="s">
        <v>83</v>
      </c>
      <c r="D6804" t="s">
        <v>518</v>
      </c>
      <c r="E6804" t="s">
        <v>86</v>
      </c>
      <c r="F6804" t="s">
        <v>21846</v>
      </c>
      <c r="G6804" t="s">
        <v>22477</v>
      </c>
      <c r="H6804" t="str">
        <f>HYPERLINK("https://baanknet.com/view-property/239761/1CAEF062E30B1A57A92AB6284A329F620FA30893A8E43A4922C8E442068594D5", "https://baanknet.com/view-property/239761/1CAEF062E30B1A57A92AB6284A329F620FA30893A8E43A4922C8E442068594D5")</f>
        <v>https://baanknet.com/view-property/239761/1CAEF062E30B1A57A92AB6284A329F620FA30893A8E43A4922C8E442068594D5</v>
      </c>
      <c r="I6804" t="str">
        <f>HYPERLINK("https://baanknet.com/view-property/239761/1CAEF062E30B1A57A92AB6284A329F620FA30893A8E43A4922C8E442068594D5", "Open")</f>
        <v>Open</v>
      </c>
      <c r="J6804" t="s">
        <v>20</v>
      </c>
      <c r="K6804" t="s">
        <v>21</v>
      </c>
      <c r="L6804">
        <v>650000</v>
      </c>
      <c r="M6804">
        <v>65000</v>
      </c>
    </row>
    <row r="6805" spans="1:13" x14ac:dyDescent="0.25">
      <c r="A6805" t="s">
        <v>22478</v>
      </c>
      <c r="B6805" t="s">
        <v>22479</v>
      </c>
      <c r="C6805" t="s">
        <v>83</v>
      </c>
      <c r="D6805" t="s">
        <v>6068</v>
      </c>
      <c r="E6805" t="s">
        <v>86</v>
      </c>
      <c r="F6805" t="s">
        <v>21846</v>
      </c>
      <c r="G6805" t="s">
        <v>22480</v>
      </c>
      <c r="H6805" t="str">
        <f>HYPERLINK("https://baanknet.com/view-property/264380/B44369E696FD9731399513C0E025E87FC5D7416807213594E461048C9BE7937E", "https://baanknet.com/view-property/264380/B44369E696FD9731399513C0E025E87FC5D7416807213594E461048C9BE7937E")</f>
        <v>https://baanknet.com/view-property/264380/B44369E696FD9731399513C0E025E87FC5D7416807213594E461048C9BE7937E</v>
      </c>
      <c r="I6805" t="str">
        <f>HYPERLINK("https://baanknet.com/view-property/264380/B44369E696FD9731399513C0E025E87FC5D7416807213594E461048C9BE7937E", "Open")</f>
        <v>Open</v>
      </c>
      <c r="J6805" t="s">
        <v>20</v>
      </c>
      <c r="K6805" t="s">
        <v>21</v>
      </c>
      <c r="L6805">
        <v>2638000</v>
      </c>
      <c r="M6805">
        <v>264000</v>
      </c>
    </row>
    <row r="6806" spans="1:13" x14ac:dyDescent="0.25">
      <c r="A6806" t="s">
        <v>22481</v>
      </c>
      <c r="B6806" t="s">
        <v>22482</v>
      </c>
      <c r="C6806" t="s">
        <v>83</v>
      </c>
      <c r="D6806" t="s">
        <v>518</v>
      </c>
      <c r="E6806" t="s">
        <v>86</v>
      </c>
      <c r="F6806" t="s">
        <v>21846</v>
      </c>
      <c r="G6806" t="s">
        <v>22483</v>
      </c>
      <c r="H6806" t="str">
        <f>HYPERLINK("https://baanknet.com/view-property/107811/07AD66E9C50D18E73324065E6F461828EDACC49F71C522D16D09C9BD6FEA1ED0", "https://baanknet.com/view-property/107811/07AD66E9C50D18E73324065E6F461828EDACC49F71C522D16D09C9BD6FEA1ED0")</f>
        <v>https://baanknet.com/view-property/107811/07AD66E9C50D18E73324065E6F461828EDACC49F71C522D16D09C9BD6FEA1ED0</v>
      </c>
      <c r="I6806" t="str">
        <f>HYPERLINK("https://baanknet.com/view-property/107811/07AD66E9C50D18E73324065E6F461828EDACC49F71C522D16D09C9BD6FEA1ED0", "Open")</f>
        <v>Open</v>
      </c>
      <c r="J6806" t="s">
        <v>20</v>
      </c>
      <c r="K6806" t="s">
        <v>21</v>
      </c>
      <c r="L6806">
        <v>945000</v>
      </c>
      <c r="M6806">
        <v>95000</v>
      </c>
    </row>
    <row r="6807" spans="1:13" x14ac:dyDescent="0.25">
      <c r="A6807" t="s">
        <v>22484</v>
      </c>
      <c r="B6807" t="s">
        <v>22485</v>
      </c>
      <c r="C6807" t="s">
        <v>83</v>
      </c>
      <c r="D6807" t="s">
        <v>733</v>
      </c>
      <c r="E6807" t="s">
        <v>86</v>
      </c>
      <c r="F6807" t="s">
        <v>21846</v>
      </c>
      <c r="G6807" t="s">
        <v>22486</v>
      </c>
      <c r="H6807" t="str">
        <f>HYPERLINK("https://baanknet.com/view-property/260929/84FB2CB510178496A7741EB0613893D06928590E650ABFFF489032F9B964E4C3", "https://baanknet.com/view-property/260929/84FB2CB510178496A7741EB0613893D06928590E650ABFFF489032F9B964E4C3")</f>
        <v>https://baanknet.com/view-property/260929/84FB2CB510178496A7741EB0613893D06928590E650ABFFF489032F9B964E4C3</v>
      </c>
      <c r="I6807" t="str">
        <f>HYPERLINK("https://baanknet.com/view-property/260929/84FB2CB510178496A7741EB0613893D06928590E650ABFFF489032F9B964E4C3", "Open")</f>
        <v>Open</v>
      </c>
      <c r="J6807" t="s">
        <v>20</v>
      </c>
      <c r="K6807" t="s">
        <v>21</v>
      </c>
      <c r="L6807">
        <v>1455000</v>
      </c>
      <c r="M6807">
        <v>146000</v>
      </c>
    </row>
    <row r="6808" spans="1:13" x14ac:dyDescent="0.25">
      <c r="A6808" t="s">
        <v>22487</v>
      </c>
      <c r="B6808" t="s">
        <v>22488</v>
      </c>
      <c r="C6808" t="s">
        <v>83</v>
      </c>
      <c r="D6808" t="s">
        <v>518</v>
      </c>
      <c r="E6808" t="s">
        <v>86</v>
      </c>
      <c r="F6808" t="s">
        <v>21846</v>
      </c>
      <c r="G6808" t="s">
        <v>22489</v>
      </c>
      <c r="H6808" t="str">
        <f>HYPERLINK("https://baanknet.com/view-property/254024/AE5C9F08C9ABA5A0018DFC284EFE9EF24A76153846E595FFA5C6267408C9FB67", "https://baanknet.com/view-property/254024/AE5C9F08C9ABA5A0018DFC284EFE9EF24A76153846E595FFA5C6267408C9FB67")</f>
        <v>https://baanknet.com/view-property/254024/AE5C9F08C9ABA5A0018DFC284EFE9EF24A76153846E595FFA5C6267408C9FB67</v>
      </c>
      <c r="I6808" t="str">
        <f>HYPERLINK("https://baanknet.com/view-property/254024/AE5C9F08C9ABA5A0018DFC284EFE9EF24A76153846E595FFA5C6267408C9FB67", "Open")</f>
        <v>Open</v>
      </c>
      <c r="J6808" t="s">
        <v>20</v>
      </c>
      <c r="K6808" t="s">
        <v>21</v>
      </c>
      <c r="L6808">
        <v>950000</v>
      </c>
      <c r="M6808">
        <v>95000</v>
      </c>
    </row>
    <row r="6809" spans="1:13" x14ac:dyDescent="0.25">
      <c r="A6809" t="s">
        <v>22490</v>
      </c>
      <c r="B6809" t="s">
        <v>22491</v>
      </c>
      <c r="C6809" t="s">
        <v>83</v>
      </c>
      <c r="D6809" t="s">
        <v>518</v>
      </c>
      <c r="E6809" t="s">
        <v>86</v>
      </c>
      <c r="F6809" t="s">
        <v>21846</v>
      </c>
      <c r="G6809" t="s">
        <v>22492</v>
      </c>
      <c r="H6809" t="str">
        <f>HYPERLINK("https://baanknet.com/view-property/264375/3BDEF2D7AEF9FDF76DC9AC7CB78ED8B22C83C174162C0E73D20D667BAB339D52", "https://baanknet.com/view-property/264375/3BDEF2D7AEF9FDF76DC9AC7CB78ED8B22C83C174162C0E73D20D667BAB339D52")</f>
        <v>https://baanknet.com/view-property/264375/3BDEF2D7AEF9FDF76DC9AC7CB78ED8B22C83C174162C0E73D20D667BAB339D52</v>
      </c>
      <c r="I6809" t="str">
        <f>HYPERLINK("https://baanknet.com/view-property/264375/3BDEF2D7AEF9FDF76DC9AC7CB78ED8B22C83C174162C0E73D20D667BAB339D52", "Open")</f>
        <v>Open</v>
      </c>
      <c r="J6809" t="s">
        <v>20</v>
      </c>
      <c r="K6809" t="s">
        <v>21</v>
      </c>
      <c r="L6809">
        <v>1538000</v>
      </c>
      <c r="M6809">
        <v>154000</v>
      </c>
    </row>
    <row r="6810" spans="1:13" x14ac:dyDescent="0.25">
      <c r="A6810" t="s">
        <v>22493</v>
      </c>
      <c r="B6810" t="s">
        <v>22494</v>
      </c>
      <c r="C6810" t="s">
        <v>83</v>
      </c>
      <c r="D6810" t="s">
        <v>2541</v>
      </c>
      <c r="E6810" t="s">
        <v>86</v>
      </c>
      <c r="F6810" t="s">
        <v>21846</v>
      </c>
      <c r="G6810" t="s">
        <v>22495</v>
      </c>
      <c r="H6810" t="str">
        <f>HYPERLINK("https://baanknet.com/view-property/287129/84373ABAAA9B7268F1CCD7A34585555CD4C0B9FAA8AA4CD1ED5EDECE70228807", "https://baanknet.com/view-property/287129/84373ABAAA9B7268F1CCD7A34585555CD4C0B9FAA8AA4CD1ED5EDECE70228807")</f>
        <v>https://baanknet.com/view-property/287129/84373ABAAA9B7268F1CCD7A34585555CD4C0B9FAA8AA4CD1ED5EDECE70228807</v>
      </c>
      <c r="I6810" t="str">
        <f>HYPERLINK("https://baanknet.com/view-property/287129/84373ABAAA9B7268F1CCD7A34585555CD4C0B9FAA8AA4CD1ED5EDECE70228807", "Open")</f>
        <v>Open</v>
      </c>
      <c r="J6810" t="s">
        <v>20</v>
      </c>
      <c r="K6810" t="s">
        <v>21</v>
      </c>
      <c r="L6810">
        <v>1304000</v>
      </c>
      <c r="M6810">
        <v>130400</v>
      </c>
    </row>
    <row r="6811" spans="1:13" x14ac:dyDescent="0.25">
      <c r="A6811" t="s">
        <v>22496</v>
      </c>
      <c r="B6811" t="s">
        <v>22497</v>
      </c>
      <c r="C6811" t="s">
        <v>83</v>
      </c>
      <c r="D6811" t="s">
        <v>4061</v>
      </c>
      <c r="E6811" t="s">
        <v>86</v>
      </c>
      <c r="F6811" t="s">
        <v>21846</v>
      </c>
      <c r="G6811" t="s">
        <v>22498</v>
      </c>
      <c r="H6811" t="str">
        <f>HYPERLINK("https://baanknet.com/view-property/245893/15B9ED602B9D7A88CA301C9FCB125C841E1F97E31B54499818260575513ED390", "https://baanknet.com/view-property/245893/15B9ED602B9D7A88CA301C9FCB125C841E1F97E31B54499818260575513ED390")</f>
        <v>https://baanknet.com/view-property/245893/15B9ED602B9D7A88CA301C9FCB125C841E1F97E31B54499818260575513ED390</v>
      </c>
      <c r="I6811" t="str">
        <f>HYPERLINK("https://baanknet.com/view-property/245893/15B9ED602B9D7A88CA301C9FCB125C841E1F97E31B54499818260575513ED390", "Open")</f>
        <v>Open</v>
      </c>
      <c r="J6811" t="s">
        <v>20</v>
      </c>
      <c r="K6811" t="s">
        <v>21</v>
      </c>
      <c r="L6811">
        <v>2690000</v>
      </c>
      <c r="M6811">
        <v>269000</v>
      </c>
    </row>
    <row r="6812" spans="1:13" x14ac:dyDescent="0.25">
      <c r="A6812" t="s">
        <v>22499</v>
      </c>
      <c r="B6812" t="s">
        <v>22500</v>
      </c>
      <c r="C6812" t="s">
        <v>83</v>
      </c>
      <c r="D6812" t="s">
        <v>2561</v>
      </c>
      <c r="E6812" t="s">
        <v>86</v>
      </c>
      <c r="F6812" t="s">
        <v>21846</v>
      </c>
      <c r="G6812" t="s">
        <v>22501</v>
      </c>
      <c r="H6812" t="str">
        <f>HYPERLINK("https://baanknet.com/view-property/132609/E007CC79361704937C2652F35E0AE7CDE11ECDD4CF82BE85A214CA2C545AEFBF", "https://baanknet.com/view-property/132609/E007CC79361704937C2652F35E0AE7CDE11ECDD4CF82BE85A214CA2C545AEFBF")</f>
        <v>https://baanknet.com/view-property/132609/E007CC79361704937C2652F35E0AE7CDE11ECDD4CF82BE85A214CA2C545AEFBF</v>
      </c>
      <c r="I6812" t="str">
        <f>HYPERLINK("https://baanknet.com/view-property/132609/E007CC79361704937C2652F35E0AE7CDE11ECDD4CF82BE85A214CA2C545AEFBF", "Open")</f>
        <v>Open</v>
      </c>
      <c r="J6812" t="s">
        <v>20</v>
      </c>
      <c r="K6812" t="s">
        <v>21</v>
      </c>
      <c r="L6812">
        <v>4320000</v>
      </c>
      <c r="M6812">
        <v>432000</v>
      </c>
    </row>
    <row r="6813" spans="1:13" x14ac:dyDescent="0.25">
      <c r="A6813" t="s">
        <v>22502</v>
      </c>
      <c r="B6813" t="s">
        <v>22503</v>
      </c>
      <c r="C6813" t="s">
        <v>83</v>
      </c>
      <c r="D6813" t="s">
        <v>2561</v>
      </c>
      <c r="E6813" t="s">
        <v>86</v>
      </c>
      <c r="F6813" t="s">
        <v>21846</v>
      </c>
      <c r="G6813" t="s">
        <v>22504</v>
      </c>
      <c r="H6813" t="str">
        <f>HYPERLINK("https://baanknet.com/view-property/217504/AA2EF09906D2F7DDB2105A6102398BC8EF9DDD3793B9B633D1807576661231FC", "https://baanknet.com/view-property/217504/AA2EF09906D2F7DDB2105A6102398BC8EF9DDD3793B9B633D1807576661231FC")</f>
        <v>https://baanknet.com/view-property/217504/AA2EF09906D2F7DDB2105A6102398BC8EF9DDD3793B9B633D1807576661231FC</v>
      </c>
      <c r="I6813" t="str">
        <f>HYPERLINK("https://baanknet.com/view-property/217504/AA2EF09906D2F7DDB2105A6102398BC8EF9DDD3793B9B633D1807576661231FC", "Open")</f>
        <v>Open</v>
      </c>
      <c r="J6813" t="s">
        <v>20</v>
      </c>
      <c r="K6813" t="s">
        <v>21</v>
      </c>
      <c r="L6813">
        <v>6975000</v>
      </c>
      <c r="M6813">
        <v>697500</v>
      </c>
    </row>
    <row r="6814" spans="1:13" x14ac:dyDescent="0.25">
      <c r="A6814" t="s">
        <v>22505</v>
      </c>
      <c r="B6814" t="s">
        <v>22506</v>
      </c>
      <c r="C6814" t="s">
        <v>83</v>
      </c>
      <c r="D6814" t="s">
        <v>518</v>
      </c>
      <c r="E6814" t="s">
        <v>86</v>
      </c>
      <c r="F6814" t="s">
        <v>21846</v>
      </c>
      <c r="G6814" t="s">
        <v>22507</v>
      </c>
      <c r="H6814" t="str">
        <f>HYPERLINK("https://baanknet.com/view-property/264377/DF9D23F3556B17C80C9BF212BB2CD73EBF11D155EFD3B4471C979620754BB383", "https://baanknet.com/view-property/264377/DF9D23F3556B17C80C9BF212BB2CD73EBF11D155EFD3B4471C979620754BB383")</f>
        <v>https://baanknet.com/view-property/264377/DF9D23F3556B17C80C9BF212BB2CD73EBF11D155EFD3B4471C979620754BB383</v>
      </c>
      <c r="I6814" t="str">
        <f>HYPERLINK("https://baanknet.com/view-property/264377/DF9D23F3556B17C80C9BF212BB2CD73EBF11D155EFD3B4471C979620754BB383", "Open")</f>
        <v>Open</v>
      </c>
      <c r="J6814" t="s">
        <v>20</v>
      </c>
      <c r="K6814" t="s">
        <v>21</v>
      </c>
      <c r="L6814">
        <v>1494000</v>
      </c>
      <c r="M6814">
        <v>149400</v>
      </c>
    </row>
    <row r="6815" spans="1:13" x14ac:dyDescent="0.25">
      <c r="A6815" t="s">
        <v>22508</v>
      </c>
      <c r="B6815" t="s">
        <v>22509</v>
      </c>
      <c r="C6815" t="s">
        <v>83</v>
      </c>
      <c r="D6815" t="s">
        <v>518</v>
      </c>
      <c r="E6815" t="s">
        <v>86</v>
      </c>
      <c r="F6815" t="s">
        <v>21846</v>
      </c>
      <c r="G6815" t="s">
        <v>22510</v>
      </c>
      <c r="H6815" t="str">
        <f>HYPERLINK("https://baanknet.com/view-property/264374/7BBABC248C959297B2D7163FA466194F1D28504970BE0AC9DAA61F83C283C147", "https://baanknet.com/view-property/264374/7BBABC248C959297B2D7163FA466194F1D28504970BE0AC9DAA61F83C283C147")</f>
        <v>https://baanknet.com/view-property/264374/7BBABC248C959297B2D7163FA466194F1D28504970BE0AC9DAA61F83C283C147</v>
      </c>
      <c r="I6815" t="str">
        <f>HYPERLINK("https://baanknet.com/view-property/264374/7BBABC248C959297B2D7163FA466194F1D28504970BE0AC9DAA61F83C283C147", "Open")</f>
        <v>Open</v>
      </c>
      <c r="J6815" t="s">
        <v>20</v>
      </c>
      <c r="K6815" t="s">
        <v>21</v>
      </c>
      <c r="L6815">
        <v>1258000</v>
      </c>
      <c r="M6815">
        <v>126000</v>
      </c>
    </row>
    <row r="6816" spans="1:13" x14ac:dyDescent="0.25">
      <c r="A6816" t="s">
        <v>22511</v>
      </c>
      <c r="B6816" t="s">
        <v>22512</v>
      </c>
      <c r="C6816" t="s">
        <v>83</v>
      </c>
      <c r="D6816" t="s">
        <v>1070</v>
      </c>
      <c r="E6816" t="s">
        <v>86</v>
      </c>
      <c r="F6816" t="s">
        <v>21846</v>
      </c>
      <c r="G6816" t="s">
        <v>22513</v>
      </c>
      <c r="H6816" t="str">
        <f>HYPERLINK("https://baanknet.com/view-property/264750/299AAC1BE83F4BE32CF65CB9D329CDDF2B09007C205F351F514BF275CD6D95BB", "https://baanknet.com/view-property/264750/299AAC1BE83F4BE32CF65CB9D329CDDF2B09007C205F351F514BF275CD6D95BB")</f>
        <v>https://baanknet.com/view-property/264750/299AAC1BE83F4BE32CF65CB9D329CDDF2B09007C205F351F514BF275CD6D95BB</v>
      </c>
      <c r="I6816" t="str">
        <f>HYPERLINK("https://baanknet.com/view-property/264750/299AAC1BE83F4BE32CF65CB9D329CDDF2B09007C205F351F514BF275CD6D95BB", "Open")</f>
        <v>Open</v>
      </c>
      <c r="J6816" t="s">
        <v>20</v>
      </c>
      <c r="K6816" t="s">
        <v>21</v>
      </c>
      <c r="L6816">
        <v>1930000</v>
      </c>
      <c r="M6816">
        <v>193000</v>
      </c>
    </row>
    <row r="6817" spans="1:13" x14ac:dyDescent="0.25">
      <c r="A6817" t="s">
        <v>22514</v>
      </c>
      <c r="B6817" t="s">
        <v>22515</v>
      </c>
      <c r="C6817" t="s">
        <v>83</v>
      </c>
      <c r="D6817" t="s">
        <v>338</v>
      </c>
      <c r="E6817" t="s">
        <v>86</v>
      </c>
      <c r="F6817" t="s">
        <v>21846</v>
      </c>
      <c r="G6817" t="s">
        <v>22516</v>
      </c>
      <c r="H6817" t="str">
        <f>HYPERLINK("https://baanknet.com/view-property/275561/A45AB5387C265D42B6A647E59D4A77FC89C30C4C3BCA430BEB29D3F22DD712D4", "https://baanknet.com/view-property/275561/A45AB5387C265D42B6A647E59D4A77FC89C30C4C3BCA430BEB29D3F22DD712D4")</f>
        <v>https://baanknet.com/view-property/275561/A45AB5387C265D42B6A647E59D4A77FC89C30C4C3BCA430BEB29D3F22DD712D4</v>
      </c>
      <c r="I6817" t="str">
        <f>HYPERLINK("https://baanknet.com/view-property/275561/A45AB5387C265D42B6A647E59D4A77FC89C30C4C3BCA430BEB29D3F22DD712D4", "Open")</f>
        <v>Open</v>
      </c>
      <c r="J6817" t="s">
        <v>20</v>
      </c>
      <c r="K6817" t="s">
        <v>21</v>
      </c>
      <c r="L6817">
        <v>1490000</v>
      </c>
      <c r="M6817">
        <v>149000</v>
      </c>
    </row>
    <row r="6818" spans="1:13" x14ac:dyDescent="0.25">
      <c r="A6818" t="s">
        <v>22517</v>
      </c>
      <c r="B6818" t="s">
        <v>22518</v>
      </c>
      <c r="C6818" t="s">
        <v>83</v>
      </c>
      <c r="D6818" t="s">
        <v>282</v>
      </c>
      <c r="E6818" t="s">
        <v>86</v>
      </c>
      <c r="F6818" t="s">
        <v>21846</v>
      </c>
      <c r="G6818" t="s">
        <v>22519</v>
      </c>
      <c r="H6818" t="str">
        <f>HYPERLINK("https://baanknet.com/view-property/286842/9EFF8FEBBB7A29E9EDF932ADDD855E2D5A43CB96BE83416133A667DEFF35A09D", "https://baanknet.com/view-property/286842/9EFF8FEBBB7A29E9EDF932ADDD855E2D5A43CB96BE83416133A667DEFF35A09D")</f>
        <v>https://baanknet.com/view-property/286842/9EFF8FEBBB7A29E9EDF932ADDD855E2D5A43CB96BE83416133A667DEFF35A09D</v>
      </c>
      <c r="I6818" t="str">
        <f>HYPERLINK("https://baanknet.com/view-property/286842/9EFF8FEBBB7A29E9EDF932ADDD855E2D5A43CB96BE83416133A667DEFF35A09D", "Open")</f>
        <v>Open</v>
      </c>
      <c r="J6818" t="s">
        <v>20</v>
      </c>
      <c r="K6818" t="s">
        <v>21</v>
      </c>
      <c r="L6818">
        <v>2415000</v>
      </c>
      <c r="M6818">
        <v>241500</v>
      </c>
    </row>
    <row r="6819" spans="1:13" x14ac:dyDescent="0.25">
      <c r="A6819" t="s">
        <v>22520</v>
      </c>
      <c r="B6819" t="s">
        <v>22521</v>
      </c>
      <c r="C6819" t="s">
        <v>83</v>
      </c>
      <c r="D6819" t="s">
        <v>282</v>
      </c>
      <c r="E6819" t="s">
        <v>86</v>
      </c>
      <c r="F6819" t="s">
        <v>21846</v>
      </c>
      <c r="G6819" t="s">
        <v>22522</v>
      </c>
      <c r="H6819" t="str">
        <f>HYPERLINK("https://baanknet.com/view-property/286681/49B8D3EE07A2D8B2901CA76142C9DA0194525C323AD4C81DAACCEDB0188370A0", "https://baanknet.com/view-property/286681/49B8D3EE07A2D8B2901CA76142C9DA0194525C323AD4C81DAACCEDB0188370A0")</f>
        <v>https://baanknet.com/view-property/286681/49B8D3EE07A2D8B2901CA76142C9DA0194525C323AD4C81DAACCEDB0188370A0</v>
      </c>
      <c r="I6819" t="str">
        <f>HYPERLINK("https://baanknet.com/view-property/286681/49B8D3EE07A2D8B2901CA76142C9DA0194525C323AD4C81DAACCEDB0188370A0", "Open")</f>
        <v>Open</v>
      </c>
      <c r="J6819" t="s">
        <v>20</v>
      </c>
      <c r="K6819" t="s">
        <v>21</v>
      </c>
      <c r="L6819">
        <v>3465000</v>
      </c>
      <c r="M6819">
        <v>346500</v>
      </c>
    </row>
    <row r="6820" spans="1:13" x14ac:dyDescent="0.25">
      <c r="A6820" t="s">
        <v>22523</v>
      </c>
      <c r="B6820" t="s">
        <v>22524</v>
      </c>
      <c r="C6820" t="s">
        <v>83</v>
      </c>
      <c r="D6820" t="s">
        <v>282</v>
      </c>
      <c r="E6820" t="s">
        <v>86</v>
      </c>
      <c r="F6820" t="s">
        <v>21846</v>
      </c>
      <c r="G6820" t="s">
        <v>22525</v>
      </c>
      <c r="H6820" t="str">
        <f>HYPERLINK("https://baanknet.com/view-property/286680/ADF3143CF1C30F5148F889BBA3F593D7C1D36823059F180057617B26143C151C", "https://baanknet.com/view-property/286680/ADF3143CF1C30F5148F889BBA3F593D7C1D36823059F180057617B26143C151C")</f>
        <v>https://baanknet.com/view-property/286680/ADF3143CF1C30F5148F889BBA3F593D7C1D36823059F180057617B26143C151C</v>
      </c>
      <c r="I6820" t="str">
        <f>HYPERLINK("https://baanknet.com/view-property/286680/ADF3143CF1C30F5148F889BBA3F593D7C1D36823059F180057617B26143C151C", "Open")</f>
        <v>Open</v>
      </c>
      <c r="J6820" t="s">
        <v>20</v>
      </c>
      <c r="K6820" t="s">
        <v>21</v>
      </c>
      <c r="L6820">
        <v>3456000</v>
      </c>
      <c r="M6820">
        <v>345600</v>
      </c>
    </row>
    <row r="6821" spans="1:13" x14ac:dyDescent="0.25">
      <c r="A6821" t="s">
        <v>22526</v>
      </c>
      <c r="B6821" t="s">
        <v>22527</v>
      </c>
      <c r="C6821" t="s">
        <v>83</v>
      </c>
      <c r="D6821" t="s">
        <v>282</v>
      </c>
      <c r="E6821" t="s">
        <v>86</v>
      </c>
      <c r="F6821" t="s">
        <v>21846</v>
      </c>
      <c r="G6821" t="s">
        <v>22528</v>
      </c>
      <c r="H6821" t="str">
        <f>HYPERLINK("https://baanknet.com/view-property/286679/440C445EC3982695EA9EC7BC693BB8A42D480401B2BABC82B6FC3C5654BDFBA6", "https://baanknet.com/view-property/286679/440C445EC3982695EA9EC7BC693BB8A42D480401B2BABC82B6FC3C5654BDFBA6")</f>
        <v>https://baanknet.com/view-property/286679/440C445EC3982695EA9EC7BC693BB8A42D480401B2BABC82B6FC3C5654BDFBA6</v>
      </c>
      <c r="I6821" t="str">
        <f>HYPERLINK("https://baanknet.com/view-property/286679/440C445EC3982695EA9EC7BC693BB8A42D480401B2BABC82B6FC3C5654BDFBA6", "Open")</f>
        <v>Open</v>
      </c>
      <c r="J6821" t="s">
        <v>20</v>
      </c>
      <c r="K6821" t="s">
        <v>21</v>
      </c>
      <c r="L6821">
        <v>3361000</v>
      </c>
      <c r="M6821">
        <v>336100</v>
      </c>
    </row>
    <row r="6822" spans="1:13" x14ac:dyDescent="0.25">
      <c r="A6822" t="s">
        <v>22529</v>
      </c>
      <c r="B6822" t="s">
        <v>22530</v>
      </c>
      <c r="C6822" t="s">
        <v>83</v>
      </c>
      <c r="D6822" t="s">
        <v>5365</v>
      </c>
      <c r="E6822" t="s">
        <v>86</v>
      </c>
      <c r="F6822" t="s">
        <v>21846</v>
      </c>
      <c r="G6822" t="s">
        <v>22531</v>
      </c>
      <c r="H6822" t="str">
        <f>HYPERLINK("https://baanknet.com/view-property/276922/F97A1E4A8204ED76C8E4216FA202D4DEDE39490A08FB1CDA4015EF07CA9FC684", "https://baanknet.com/view-property/276922/F97A1E4A8204ED76C8E4216FA202D4DEDE39490A08FB1CDA4015EF07CA9FC684")</f>
        <v>https://baanknet.com/view-property/276922/F97A1E4A8204ED76C8E4216FA202D4DEDE39490A08FB1CDA4015EF07CA9FC684</v>
      </c>
      <c r="I6822" t="str">
        <f>HYPERLINK("https://baanknet.com/view-property/276922/F97A1E4A8204ED76C8E4216FA202D4DEDE39490A08FB1CDA4015EF07CA9FC684", "Open")</f>
        <v>Open</v>
      </c>
      <c r="J6822" t="s">
        <v>20</v>
      </c>
      <c r="K6822" t="s">
        <v>21</v>
      </c>
      <c r="L6822">
        <v>5638000</v>
      </c>
      <c r="M6822">
        <v>563800</v>
      </c>
    </row>
    <row r="6823" spans="1:13" x14ac:dyDescent="0.25">
      <c r="A6823" t="s">
        <v>22532</v>
      </c>
      <c r="B6823" t="s">
        <v>22533</v>
      </c>
      <c r="C6823" t="s">
        <v>83</v>
      </c>
      <c r="D6823" t="s">
        <v>4375</v>
      </c>
      <c r="E6823" t="s">
        <v>86</v>
      </c>
      <c r="F6823" t="s">
        <v>21846</v>
      </c>
      <c r="G6823" t="s">
        <v>22534</v>
      </c>
      <c r="H6823" t="str">
        <f>HYPERLINK("https://baanknet.com/view-property/241852/F436AC2438EBA4E37C248F3D239B3829492A0303E111CE39FFF24BCE508E4E45", "https://baanknet.com/view-property/241852/F436AC2438EBA4E37C248F3D239B3829492A0303E111CE39FFF24BCE508E4E45")</f>
        <v>https://baanknet.com/view-property/241852/F436AC2438EBA4E37C248F3D239B3829492A0303E111CE39FFF24BCE508E4E45</v>
      </c>
      <c r="I6823" t="str">
        <f>HYPERLINK("https://baanknet.com/view-property/241852/F436AC2438EBA4E37C248F3D239B3829492A0303E111CE39FFF24BCE508E4E45", "Open")</f>
        <v>Open</v>
      </c>
      <c r="J6823" t="s">
        <v>20</v>
      </c>
      <c r="K6823" t="s">
        <v>21</v>
      </c>
      <c r="L6823">
        <v>3142000</v>
      </c>
      <c r="M6823">
        <v>314200</v>
      </c>
    </row>
    <row r="6824" spans="1:13" x14ac:dyDescent="0.25">
      <c r="A6824" t="s">
        <v>22535</v>
      </c>
      <c r="B6824" t="s">
        <v>22536</v>
      </c>
      <c r="C6824" t="s">
        <v>83</v>
      </c>
      <c r="D6824" t="s">
        <v>11008</v>
      </c>
      <c r="E6824" t="s">
        <v>86</v>
      </c>
      <c r="F6824" t="s">
        <v>21846</v>
      </c>
      <c r="G6824" t="s">
        <v>22537</v>
      </c>
      <c r="H6824" t="str">
        <f>HYPERLINK("https://baanknet.com/view-property/271480/21922C2FDB0D8602F616EA794B957E9F05474A205DBE104C4491DCB324BE1573", "https://baanknet.com/view-property/271480/21922C2FDB0D8602F616EA794B957E9F05474A205DBE104C4491DCB324BE1573")</f>
        <v>https://baanknet.com/view-property/271480/21922C2FDB0D8602F616EA794B957E9F05474A205DBE104C4491DCB324BE1573</v>
      </c>
      <c r="I6824" t="str">
        <f>HYPERLINK("https://baanknet.com/view-property/271480/21922C2FDB0D8602F616EA794B957E9F05474A205DBE104C4491DCB324BE1573", "Open")</f>
        <v>Open</v>
      </c>
      <c r="J6824" t="s">
        <v>20</v>
      </c>
      <c r="K6824" t="s">
        <v>21</v>
      </c>
      <c r="L6824">
        <v>462000</v>
      </c>
      <c r="M6824">
        <v>46200</v>
      </c>
    </row>
    <row r="6825" spans="1:13" x14ac:dyDescent="0.25">
      <c r="A6825" t="s">
        <v>22538</v>
      </c>
      <c r="B6825" t="s">
        <v>22539</v>
      </c>
      <c r="C6825" t="s">
        <v>83</v>
      </c>
      <c r="D6825" t="s">
        <v>1619</v>
      </c>
      <c r="E6825" t="s">
        <v>86</v>
      </c>
      <c r="F6825" t="s">
        <v>21846</v>
      </c>
      <c r="G6825" t="s">
        <v>22540</v>
      </c>
      <c r="H6825" t="str">
        <f>HYPERLINK("https://baanknet.com/view-property/279021/7559334828B4AEBEEF86132373D033ECB50FF183BA4CF87F9E36B18CD6BCB20D", "https://baanknet.com/view-property/279021/7559334828B4AEBEEF86132373D033ECB50FF183BA4CF87F9E36B18CD6BCB20D")</f>
        <v>https://baanknet.com/view-property/279021/7559334828B4AEBEEF86132373D033ECB50FF183BA4CF87F9E36B18CD6BCB20D</v>
      </c>
      <c r="I6825" t="str">
        <f>HYPERLINK("https://baanknet.com/view-property/279021/7559334828B4AEBEEF86132373D033ECB50FF183BA4CF87F9E36B18CD6BCB20D", "Open")</f>
        <v>Open</v>
      </c>
      <c r="J6825" t="s">
        <v>20</v>
      </c>
      <c r="K6825" t="s">
        <v>21</v>
      </c>
      <c r="L6825">
        <v>1890000</v>
      </c>
      <c r="M6825">
        <v>189000</v>
      </c>
    </row>
    <row r="6826" spans="1:13" x14ac:dyDescent="0.25">
      <c r="A6826" t="s">
        <v>22541</v>
      </c>
      <c r="B6826" t="s">
        <v>22542</v>
      </c>
      <c r="C6826" t="s">
        <v>83</v>
      </c>
      <c r="D6826" t="s">
        <v>1619</v>
      </c>
      <c r="E6826" t="s">
        <v>86</v>
      </c>
      <c r="F6826" t="s">
        <v>21846</v>
      </c>
      <c r="G6826" t="s">
        <v>22543</v>
      </c>
      <c r="H6826" t="str">
        <f>HYPERLINK("https://baanknet.com/view-property/229452/B0AC91E6CEBC03DBA2452EBC1D671AB13A48DB14E1595A5226E16244CD27D6E7", "https://baanknet.com/view-property/229452/B0AC91E6CEBC03DBA2452EBC1D671AB13A48DB14E1595A5226E16244CD27D6E7")</f>
        <v>https://baanknet.com/view-property/229452/B0AC91E6CEBC03DBA2452EBC1D671AB13A48DB14E1595A5226E16244CD27D6E7</v>
      </c>
      <c r="I6826" t="str">
        <f>HYPERLINK("https://baanknet.com/view-property/229452/B0AC91E6CEBC03DBA2452EBC1D671AB13A48DB14E1595A5226E16244CD27D6E7", "Open")</f>
        <v>Open</v>
      </c>
      <c r="J6826" t="s">
        <v>20</v>
      </c>
      <c r="K6826" t="s">
        <v>21</v>
      </c>
      <c r="L6826">
        <v>810000</v>
      </c>
      <c r="M6826">
        <v>81000</v>
      </c>
    </row>
    <row r="6827" spans="1:13" x14ac:dyDescent="0.25">
      <c r="A6827" t="s">
        <v>22544</v>
      </c>
      <c r="B6827" t="s">
        <v>22545</v>
      </c>
      <c r="C6827" t="s">
        <v>83</v>
      </c>
      <c r="D6827" t="s">
        <v>7554</v>
      </c>
      <c r="E6827" t="s">
        <v>86</v>
      </c>
      <c r="F6827" t="s">
        <v>21846</v>
      </c>
      <c r="G6827" t="s">
        <v>22546</v>
      </c>
      <c r="H6827" t="str">
        <f>HYPERLINK("https://baanknet.com/view-property/230518/31E32AA39DD1592EA650A8BA9762D748E26E4D10C749D6F344710735629245E6", "https://baanknet.com/view-property/230518/31E32AA39DD1592EA650A8BA9762D748E26E4D10C749D6F344710735629245E6")</f>
        <v>https://baanknet.com/view-property/230518/31E32AA39DD1592EA650A8BA9762D748E26E4D10C749D6F344710735629245E6</v>
      </c>
      <c r="I6827" t="str">
        <f>HYPERLINK("https://baanknet.com/view-property/230518/31E32AA39DD1592EA650A8BA9762D748E26E4D10C749D6F344710735629245E6", "Open")</f>
        <v>Open</v>
      </c>
      <c r="J6827" t="s">
        <v>20</v>
      </c>
      <c r="K6827" t="s">
        <v>21</v>
      </c>
      <c r="L6827">
        <v>1730000</v>
      </c>
      <c r="M6827">
        <v>173000</v>
      </c>
    </row>
    <row r="6828" spans="1:13" x14ac:dyDescent="0.25">
      <c r="A6828" t="s">
        <v>22547</v>
      </c>
      <c r="B6828" t="s">
        <v>22548</v>
      </c>
      <c r="C6828" t="s">
        <v>83</v>
      </c>
      <c r="D6828" t="s">
        <v>7554</v>
      </c>
      <c r="E6828" t="s">
        <v>86</v>
      </c>
      <c r="F6828" t="s">
        <v>21846</v>
      </c>
      <c r="G6828" t="s">
        <v>22549</v>
      </c>
      <c r="H6828" t="str">
        <f>HYPERLINK("https://baanknet.com/view-property/232566/250501FF538615BDDC8072D32101FB4E062473379A74C9B2D8357A2CF0AF5032", "https://baanknet.com/view-property/232566/250501FF538615BDDC8072D32101FB4E062473379A74C9B2D8357A2CF0AF5032")</f>
        <v>https://baanknet.com/view-property/232566/250501FF538615BDDC8072D32101FB4E062473379A74C9B2D8357A2CF0AF5032</v>
      </c>
      <c r="I6828" t="str">
        <f>HYPERLINK("https://baanknet.com/view-property/232566/250501FF538615BDDC8072D32101FB4E062473379A74C9B2D8357A2CF0AF5032", "Open")</f>
        <v>Open</v>
      </c>
      <c r="J6828" t="s">
        <v>20</v>
      </c>
      <c r="K6828" t="s">
        <v>21</v>
      </c>
      <c r="L6828">
        <v>1377000</v>
      </c>
      <c r="M6828">
        <v>137700</v>
      </c>
    </row>
    <row r="6829" spans="1:13" x14ac:dyDescent="0.25">
      <c r="A6829" t="s">
        <v>22550</v>
      </c>
      <c r="B6829" t="s">
        <v>22551</v>
      </c>
      <c r="C6829" t="s">
        <v>594</v>
      </c>
      <c r="D6829" t="s">
        <v>2282</v>
      </c>
      <c r="E6829" t="s">
        <v>596</v>
      </c>
      <c r="F6829" t="s">
        <v>574</v>
      </c>
      <c r="G6829" t="s">
        <v>22552</v>
      </c>
      <c r="H6829" t="str">
        <f>HYPERLINK("https://baanknet.com/view-property/253254/A1C2F8AB548774B79A7DDE54E61A279118D1B884AD13465A41AD2480443D0C07", "https://baanknet.com/view-property/253254/A1C2F8AB548774B79A7DDE54E61A279118D1B884AD13465A41AD2480443D0C07")</f>
        <v>https://baanknet.com/view-property/253254/A1C2F8AB548774B79A7DDE54E61A279118D1B884AD13465A41AD2480443D0C07</v>
      </c>
      <c r="I6829" t="str">
        <f>HYPERLINK("https://baanknet.com/view-property/253254/A1C2F8AB548774B79A7DDE54E61A279118D1B884AD13465A41AD2480443D0C07", "Open")</f>
        <v>Open</v>
      </c>
      <c r="J6829" t="s">
        <v>3803</v>
      </c>
      <c r="L6829">
        <v>6100000</v>
      </c>
      <c r="M6829">
        <v>610000</v>
      </c>
    </row>
    <row r="6830" spans="1:13" x14ac:dyDescent="0.25">
      <c r="A6830" t="s">
        <v>22553</v>
      </c>
      <c r="B6830" t="s">
        <v>22554</v>
      </c>
      <c r="C6830" t="s">
        <v>594</v>
      </c>
      <c r="D6830" t="s">
        <v>1761</v>
      </c>
      <c r="E6830" t="s">
        <v>596</v>
      </c>
      <c r="F6830" t="s">
        <v>574</v>
      </c>
      <c r="G6830" t="s">
        <v>22555</v>
      </c>
      <c r="H6830" t="str">
        <f>HYPERLINK("https://baanknet.com/view-property/267632/AED9243884C084FFBAF516A40309BE7FA4CF47F2A57BD3F6106E703D15E36B35", "https://baanknet.com/view-property/267632/AED9243884C084FFBAF516A40309BE7FA4CF47F2A57BD3F6106E703D15E36B35")</f>
        <v>https://baanknet.com/view-property/267632/AED9243884C084FFBAF516A40309BE7FA4CF47F2A57BD3F6106E703D15E36B35</v>
      </c>
      <c r="I6830" t="str">
        <f>HYPERLINK("https://baanknet.com/view-property/267632/AED9243884C084FFBAF516A40309BE7FA4CF47F2A57BD3F6106E703D15E36B35", "Open")</f>
        <v>Open</v>
      </c>
      <c r="J6830" t="s">
        <v>3803</v>
      </c>
      <c r="L6830">
        <v>2876000</v>
      </c>
      <c r="M6830">
        <v>287600</v>
      </c>
    </row>
    <row r="6831" spans="1:13" x14ac:dyDescent="0.25">
      <c r="A6831" t="s">
        <v>22556</v>
      </c>
      <c r="B6831" t="s">
        <v>22557</v>
      </c>
      <c r="C6831" t="s">
        <v>594</v>
      </c>
      <c r="D6831" t="s">
        <v>1761</v>
      </c>
      <c r="E6831" t="s">
        <v>596</v>
      </c>
      <c r="F6831" t="s">
        <v>574</v>
      </c>
      <c r="G6831" t="s">
        <v>22558</v>
      </c>
      <c r="H6831" t="str">
        <f>HYPERLINK("https://baanknet.com/view-property/278831/B5870B7843170D1F32C3D4A72DC6070E5D1D33F981076F1EF7B96E3CAD3131EC", "https://baanknet.com/view-property/278831/B5870B7843170D1F32C3D4A72DC6070E5D1D33F981076F1EF7B96E3CAD3131EC")</f>
        <v>https://baanknet.com/view-property/278831/B5870B7843170D1F32C3D4A72DC6070E5D1D33F981076F1EF7B96E3CAD3131EC</v>
      </c>
      <c r="I6831" t="str">
        <f>HYPERLINK("https://baanknet.com/view-property/278831/B5870B7843170D1F32C3D4A72DC6070E5D1D33F981076F1EF7B96E3CAD3131EC", "Open")</f>
        <v>Open</v>
      </c>
      <c r="J6831" t="s">
        <v>3803</v>
      </c>
      <c r="L6831">
        <v>8362000</v>
      </c>
      <c r="M6831">
        <v>836200</v>
      </c>
    </row>
    <row r="6832" spans="1:13" x14ac:dyDescent="0.25">
      <c r="A6832" t="s">
        <v>22559</v>
      </c>
      <c r="B6832" t="s">
        <v>22560</v>
      </c>
      <c r="C6832" t="s">
        <v>121</v>
      </c>
      <c r="D6832" t="s">
        <v>3165</v>
      </c>
      <c r="E6832" t="s">
        <v>11024</v>
      </c>
      <c r="F6832" t="s">
        <v>11004</v>
      </c>
      <c r="G6832" t="s">
        <v>22561</v>
      </c>
      <c r="H6832" t="str">
        <f>HYPERLINK("https://baanknet.com/view-property/288228/71409F008F7765D7C459DB8046A17CE42A2B145B358F4CD181FAC86A12CC3D56", "https://baanknet.com/view-property/288228/71409F008F7765D7C459DB8046A17CE42A2B145B358F4CD181FAC86A12CC3D56")</f>
        <v>https://baanknet.com/view-property/288228/71409F008F7765D7C459DB8046A17CE42A2B145B358F4CD181FAC86A12CC3D56</v>
      </c>
      <c r="I6832" t="str">
        <f>HYPERLINK("https://baanknet.com/view-property/288228/71409F008F7765D7C459DB8046A17CE42A2B145B358F4CD181FAC86A12CC3D56", "Open")</f>
        <v>Open</v>
      </c>
      <c r="J6832" t="s">
        <v>3803</v>
      </c>
      <c r="L6832">
        <v>5760000</v>
      </c>
      <c r="M6832">
        <v>576000</v>
      </c>
    </row>
    <row r="6833" spans="1:13" x14ac:dyDescent="0.25">
      <c r="A6833" t="s">
        <v>22562</v>
      </c>
      <c r="B6833" t="s">
        <v>22563</v>
      </c>
      <c r="C6833" t="s">
        <v>83</v>
      </c>
      <c r="D6833" t="s">
        <v>309</v>
      </c>
      <c r="E6833" t="s">
        <v>86</v>
      </c>
      <c r="F6833" t="s">
        <v>21846</v>
      </c>
      <c r="G6833" t="s">
        <v>22564</v>
      </c>
      <c r="H6833" t="str">
        <f>HYPERLINK("https://baanknet.com/view-property/192343/16D3BB658644609C3A344568DDDEFA5105C255D95C87353BEDAAD4CDE8CB6E62", "https://baanknet.com/view-property/192343/16D3BB658644609C3A344568DDDEFA5105C255D95C87353BEDAAD4CDE8CB6E62")</f>
        <v>https://baanknet.com/view-property/192343/16D3BB658644609C3A344568DDDEFA5105C255D95C87353BEDAAD4CDE8CB6E62</v>
      </c>
      <c r="I6833" t="str">
        <f>HYPERLINK("https://baanknet.com/view-property/192343/16D3BB658644609C3A344568DDDEFA5105C255D95C87353BEDAAD4CDE8CB6E62", "Open")</f>
        <v>Open</v>
      </c>
      <c r="J6833" t="s">
        <v>20</v>
      </c>
      <c r="K6833" t="s">
        <v>21</v>
      </c>
      <c r="L6833">
        <v>2800000</v>
      </c>
      <c r="M6833">
        <v>280000</v>
      </c>
    </row>
    <row r="6834" spans="1:13" x14ac:dyDescent="0.25">
      <c r="A6834" t="s">
        <v>22565</v>
      </c>
      <c r="B6834" t="s">
        <v>22566</v>
      </c>
      <c r="C6834" t="s">
        <v>83</v>
      </c>
      <c r="D6834" t="s">
        <v>22567</v>
      </c>
      <c r="E6834" t="s">
        <v>86</v>
      </c>
      <c r="F6834" t="s">
        <v>21846</v>
      </c>
      <c r="G6834" t="s">
        <v>22568</v>
      </c>
      <c r="H6834" t="str">
        <f>HYPERLINK("https://baanknet.com/view-property/235102/5307DA878A839858090C1E284576779C18AFE377E97A8F683CF0FB3EF7F792C5", "https://baanknet.com/view-property/235102/5307DA878A839858090C1E284576779C18AFE377E97A8F683CF0FB3EF7F792C5")</f>
        <v>https://baanknet.com/view-property/235102/5307DA878A839858090C1E284576779C18AFE377E97A8F683CF0FB3EF7F792C5</v>
      </c>
      <c r="I6834" t="str">
        <f>HYPERLINK("https://baanknet.com/view-property/235102/5307DA878A839858090C1E284576779C18AFE377E97A8F683CF0FB3EF7F792C5", "Open")</f>
        <v>Open</v>
      </c>
      <c r="J6834" t="s">
        <v>20</v>
      </c>
      <c r="K6834" t="s">
        <v>21</v>
      </c>
      <c r="L6834">
        <v>1100000</v>
      </c>
      <c r="M6834">
        <v>110000</v>
      </c>
    </row>
    <row r="6835" spans="1:13" x14ac:dyDescent="0.25">
      <c r="A6835" t="s">
        <v>22569</v>
      </c>
      <c r="B6835" t="s">
        <v>22570</v>
      </c>
      <c r="C6835" t="s">
        <v>83</v>
      </c>
      <c r="D6835" t="s">
        <v>12804</v>
      </c>
      <c r="E6835" t="s">
        <v>86</v>
      </c>
      <c r="F6835" t="s">
        <v>21846</v>
      </c>
      <c r="G6835" t="s">
        <v>22571</v>
      </c>
      <c r="H6835" t="str">
        <f>HYPERLINK("https://baanknet.com/view-property/286713/741B078D61E9D8A48EF32E62D429399B93C5C54C46FC27B1410C858EDD889FDF", "https://baanknet.com/view-property/286713/741B078D61E9D8A48EF32E62D429399B93C5C54C46FC27B1410C858EDD889FDF")</f>
        <v>https://baanknet.com/view-property/286713/741B078D61E9D8A48EF32E62D429399B93C5C54C46FC27B1410C858EDD889FDF</v>
      </c>
      <c r="I6835" t="str">
        <f>HYPERLINK("https://baanknet.com/view-property/286713/741B078D61E9D8A48EF32E62D429399B93C5C54C46FC27B1410C858EDD889FDF", "Open")</f>
        <v>Open</v>
      </c>
      <c r="J6835" t="s">
        <v>20</v>
      </c>
      <c r="K6835" t="s">
        <v>21</v>
      </c>
      <c r="L6835">
        <v>4644000</v>
      </c>
      <c r="M6835">
        <v>464400</v>
      </c>
    </row>
    <row r="6836" spans="1:13" x14ac:dyDescent="0.25">
      <c r="A6836" t="s">
        <v>22572</v>
      </c>
      <c r="B6836" t="s">
        <v>22573</v>
      </c>
      <c r="C6836" t="s">
        <v>83</v>
      </c>
      <c r="D6836" t="s">
        <v>12804</v>
      </c>
      <c r="E6836" t="s">
        <v>86</v>
      </c>
      <c r="F6836" t="s">
        <v>21846</v>
      </c>
      <c r="G6836" t="s">
        <v>22574</v>
      </c>
      <c r="H6836" t="str">
        <f>HYPERLINK("https://baanknet.com/view-property/286712/79EF7EA87110592722EA08309DA6E7083568690F96D32E4F43B9636A8DEB586F", "https://baanknet.com/view-property/286712/79EF7EA87110592722EA08309DA6E7083568690F96D32E4F43B9636A8DEB586F")</f>
        <v>https://baanknet.com/view-property/286712/79EF7EA87110592722EA08309DA6E7083568690F96D32E4F43B9636A8DEB586F</v>
      </c>
      <c r="I6836" t="str">
        <f>HYPERLINK("https://baanknet.com/view-property/286712/79EF7EA87110592722EA08309DA6E7083568690F96D32E4F43B9636A8DEB586F", "Open")</f>
        <v>Open</v>
      </c>
      <c r="J6836" t="s">
        <v>20</v>
      </c>
      <c r="K6836" t="s">
        <v>21</v>
      </c>
      <c r="L6836">
        <v>4643730</v>
      </c>
      <c r="M6836">
        <v>464373</v>
      </c>
    </row>
    <row r="6837" spans="1:13" x14ac:dyDescent="0.25">
      <c r="A6837" t="s">
        <v>22575</v>
      </c>
      <c r="B6837" t="s">
        <v>22576</v>
      </c>
      <c r="C6837" t="s">
        <v>83</v>
      </c>
      <c r="D6837" t="s">
        <v>1896</v>
      </c>
      <c r="E6837" t="s">
        <v>86</v>
      </c>
      <c r="F6837" t="s">
        <v>21846</v>
      </c>
      <c r="G6837" t="s">
        <v>22577</v>
      </c>
      <c r="H6837" t="str">
        <f>HYPERLINK("https://baanknet.com/view-property/287504/607869F76EC159088E2EE261BCCFD98F9570BA0CB2AF869CB9E2E7F9DF2578F7", "https://baanknet.com/view-property/287504/607869F76EC159088E2EE261BCCFD98F9570BA0CB2AF869CB9E2E7F9DF2578F7")</f>
        <v>https://baanknet.com/view-property/287504/607869F76EC159088E2EE261BCCFD98F9570BA0CB2AF869CB9E2E7F9DF2578F7</v>
      </c>
      <c r="I6837" t="str">
        <f>HYPERLINK("https://baanknet.com/view-property/287504/607869F76EC159088E2EE261BCCFD98F9570BA0CB2AF869CB9E2E7F9DF2578F7", "Open")</f>
        <v>Open</v>
      </c>
      <c r="J6837" t="s">
        <v>20</v>
      </c>
      <c r="K6837" t="s">
        <v>21</v>
      </c>
      <c r="L6837">
        <v>3645000</v>
      </c>
      <c r="M6837">
        <v>364500</v>
      </c>
    </row>
    <row r="6838" spans="1:13" x14ac:dyDescent="0.25">
      <c r="A6838" t="s">
        <v>22578</v>
      </c>
      <c r="B6838" t="s">
        <v>22579</v>
      </c>
      <c r="C6838" t="s">
        <v>83</v>
      </c>
      <c r="D6838" t="s">
        <v>2052</v>
      </c>
      <c r="E6838" t="s">
        <v>86</v>
      </c>
      <c r="F6838" t="s">
        <v>21846</v>
      </c>
      <c r="G6838" t="s">
        <v>22580</v>
      </c>
      <c r="H6838" t="str">
        <f>HYPERLINK("https://baanknet.com/view-property/262913/BC22C7DE231B0AD33E67B80DA773E275BB4FE110E0970B83E3E4B8130C46B427", "https://baanknet.com/view-property/262913/BC22C7DE231B0AD33E67B80DA773E275BB4FE110E0970B83E3E4B8130C46B427")</f>
        <v>https://baanknet.com/view-property/262913/BC22C7DE231B0AD33E67B80DA773E275BB4FE110E0970B83E3E4B8130C46B427</v>
      </c>
      <c r="I6838" t="str">
        <f>HYPERLINK("https://baanknet.com/view-property/262913/BC22C7DE231B0AD33E67B80DA773E275BB4FE110E0970B83E3E4B8130C46B427", "Open")</f>
        <v>Open</v>
      </c>
      <c r="J6838" t="s">
        <v>20</v>
      </c>
      <c r="K6838" t="s">
        <v>21</v>
      </c>
      <c r="L6838">
        <v>2496258</v>
      </c>
      <c r="M6838">
        <v>249625.8</v>
      </c>
    </row>
    <row r="6839" spans="1:13" x14ac:dyDescent="0.25">
      <c r="A6839" t="s">
        <v>22581</v>
      </c>
      <c r="B6839" t="s">
        <v>22582</v>
      </c>
      <c r="C6839" t="s">
        <v>83</v>
      </c>
      <c r="D6839" t="s">
        <v>15924</v>
      </c>
      <c r="E6839" t="s">
        <v>86</v>
      </c>
      <c r="F6839" t="s">
        <v>21846</v>
      </c>
      <c r="G6839" t="s">
        <v>22583</v>
      </c>
      <c r="H6839" t="str">
        <f>HYPERLINK("https://baanknet.com/view-property/277287/FCF00933349BF18CDE04E37B51B80AC64AE9851FD82C999F592EF008BFA7022E", "https://baanknet.com/view-property/277287/FCF00933349BF18CDE04E37B51B80AC64AE9851FD82C999F592EF008BFA7022E")</f>
        <v>https://baanknet.com/view-property/277287/FCF00933349BF18CDE04E37B51B80AC64AE9851FD82C999F592EF008BFA7022E</v>
      </c>
      <c r="I6839" t="str">
        <f>HYPERLINK("https://baanknet.com/view-property/277287/FCF00933349BF18CDE04E37B51B80AC64AE9851FD82C999F592EF008BFA7022E", "Open")</f>
        <v>Open</v>
      </c>
      <c r="J6839" t="s">
        <v>20</v>
      </c>
      <c r="K6839" t="s">
        <v>21</v>
      </c>
      <c r="L6839">
        <v>8550000</v>
      </c>
      <c r="M6839">
        <v>855000</v>
      </c>
    </row>
    <row r="6840" spans="1:13" x14ac:dyDescent="0.25">
      <c r="A6840" t="s">
        <v>22584</v>
      </c>
      <c r="B6840" t="s">
        <v>22585</v>
      </c>
      <c r="C6840" t="s">
        <v>83</v>
      </c>
      <c r="D6840" t="s">
        <v>15924</v>
      </c>
      <c r="E6840" t="s">
        <v>86</v>
      </c>
      <c r="F6840" t="s">
        <v>21846</v>
      </c>
      <c r="G6840" t="s">
        <v>22586</v>
      </c>
      <c r="H6840" t="str">
        <f>HYPERLINK("https://baanknet.com/view-property/277284/55F9745BC18849A1FEBCD77DBC1BAC02A75D60D41CF57E4B5AC4E079A2F08C93", "https://baanknet.com/view-property/277284/55F9745BC18849A1FEBCD77DBC1BAC02A75D60D41CF57E4B5AC4E079A2F08C93")</f>
        <v>https://baanknet.com/view-property/277284/55F9745BC18849A1FEBCD77DBC1BAC02A75D60D41CF57E4B5AC4E079A2F08C93</v>
      </c>
      <c r="I6840" t="str">
        <f>HYPERLINK("https://baanknet.com/view-property/277284/55F9745BC18849A1FEBCD77DBC1BAC02A75D60D41CF57E4B5AC4E079A2F08C93", "Open")</f>
        <v>Open</v>
      </c>
      <c r="J6840" t="s">
        <v>20</v>
      </c>
      <c r="K6840" t="s">
        <v>21</v>
      </c>
      <c r="L6840">
        <v>5670000</v>
      </c>
      <c r="M6840">
        <v>567000</v>
      </c>
    </row>
    <row r="6841" spans="1:13" x14ac:dyDescent="0.25">
      <c r="A6841" t="s">
        <v>22587</v>
      </c>
      <c r="B6841" t="s">
        <v>22588</v>
      </c>
      <c r="C6841" t="s">
        <v>83</v>
      </c>
      <c r="D6841" t="s">
        <v>15924</v>
      </c>
      <c r="E6841" t="s">
        <v>86</v>
      </c>
      <c r="F6841" t="s">
        <v>21846</v>
      </c>
      <c r="G6841" t="s">
        <v>22589</v>
      </c>
      <c r="H6841" t="str">
        <f>HYPERLINK("https://baanknet.com/view-property/277129/3EF0799CC79F160FC8AC440C173CCA2120CB5D903235B00F14AD5EDDE26767F7", "https://baanknet.com/view-property/277129/3EF0799CC79F160FC8AC440C173CCA2120CB5D903235B00F14AD5EDDE26767F7")</f>
        <v>https://baanknet.com/view-property/277129/3EF0799CC79F160FC8AC440C173CCA2120CB5D903235B00F14AD5EDDE26767F7</v>
      </c>
      <c r="I6841" t="str">
        <f>HYPERLINK("https://baanknet.com/view-property/277129/3EF0799CC79F160FC8AC440C173CCA2120CB5D903235B00F14AD5EDDE26767F7", "Open")</f>
        <v>Open</v>
      </c>
      <c r="J6841" t="s">
        <v>20</v>
      </c>
      <c r="K6841" t="s">
        <v>21</v>
      </c>
      <c r="L6841">
        <v>4230000</v>
      </c>
      <c r="M6841">
        <v>423000</v>
      </c>
    </row>
    <row r="6842" spans="1:13" x14ac:dyDescent="0.25">
      <c r="A6842" t="s">
        <v>22590</v>
      </c>
      <c r="B6842" t="s">
        <v>22591</v>
      </c>
      <c r="C6842" t="s">
        <v>83</v>
      </c>
      <c r="D6842" t="s">
        <v>15924</v>
      </c>
      <c r="E6842" t="s">
        <v>86</v>
      </c>
      <c r="F6842" t="s">
        <v>21846</v>
      </c>
      <c r="G6842" t="s">
        <v>22592</v>
      </c>
      <c r="H6842" t="str">
        <f>HYPERLINK("https://baanknet.com/view-property/276957/E01148BB87290ED7FA99273F0B5D07E12905E443DB508703E6A8C7C218D8B79B", "https://baanknet.com/view-property/276957/E01148BB87290ED7FA99273F0B5D07E12905E443DB508703E6A8C7C218D8B79B")</f>
        <v>https://baanknet.com/view-property/276957/E01148BB87290ED7FA99273F0B5D07E12905E443DB508703E6A8C7C218D8B79B</v>
      </c>
      <c r="I6842" t="str">
        <f>HYPERLINK("https://baanknet.com/view-property/276957/E01148BB87290ED7FA99273F0B5D07E12905E443DB508703E6A8C7C218D8B79B", "Open")</f>
        <v>Open</v>
      </c>
      <c r="J6842" t="s">
        <v>20</v>
      </c>
      <c r="K6842" t="s">
        <v>21</v>
      </c>
      <c r="L6842">
        <v>7600000</v>
      </c>
      <c r="M6842">
        <v>760000</v>
      </c>
    </row>
    <row r="6843" spans="1:13" x14ac:dyDescent="0.25">
      <c r="A6843" t="s">
        <v>22593</v>
      </c>
      <c r="B6843" t="s">
        <v>22594</v>
      </c>
      <c r="C6843" t="s">
        <v>83</v>
      </c>
      <c r="D6843" t="s">
        <v>15924</v>
      </c>
      <c r="E6843" t="s">
        <v>86</v>
      </c>
      <c r="F6843" t="s">
        <v>21846</v>
      </c>
      <c r="G6843" t="s">
        <v>22595</v>
      </c>
      <c r="H6843" t="str">
        <f>HYPERLINK("https://baanknet.com/view-property/276954/A6468423FB826930BE6C8B06DDE7330BBE042913391138CA7DE56D6BB2F1710E", "https://baanknet.com/view-property/276954/A6468423FB826930BE6C8B06DDE7330BBE042913391138CA7DE56D6BB2F1710E")</f>
        <v>https://baanknet.com/view-property/276954/A6468423FB826930BE6C8B06DDE7330BBE042913391138CA7DE56D6BB2F1710E</v>
      </c>
      <c r="I6843" t="str">
        <f>HYPERLINK("https://baanknet.com/view-property/276954/A6468423FB826930BE6C8B06DDE7330BBE042913391138CA7DE56D6BB2F1710E", "Open")</f>
        <v>Open</v>
      </c>
      <c r="J6843" t="s">
        <v>20</v>
      </c>
      <c r="K6843" t="s">
        <v>21</v>
      </c>
      <c r="L6843">
        <v>4230000</v>
      </c>
      <c r="M6843">
        <v>423000</v>
      </c>
    </row>
    <row r="6844" spans="1:13" x14ac:dyDescent="0.25">
      <c r="A6844" t="s">
        <v>22596</v>
      </c>
      <c r="B6844" t="s">
        <v>22597</v>
      </c>
      <c r="C6844" t="s">
        <v>83</v>
      </c>
      <c r="D6844" t="s">
        <v>282</v>
      </c>
      <c r="E6844" t="s">
        <v>86</v>
      </c>
      <c r="F6844" t="s">
        <v>21846</v>
      </c>
      <c r="G6844" t="s">
        <v>22598</v>
      </c>
      <c r="H6844" t="str">
        <f>HYPERLINK("https://baanknet.com/view-property/286748/FDBBA4AD0E6AD057B05DA49C510E33D9DA3F22C57154673BBE0C52FB86910428", "https://baanknet.com/view-property/286748/FDBBA4AD0E6AD057B05DA49C510E33D9DA3F22C57154673BBE0C52FB86910428")</f>
        <v>https://baanknet.com/view-property/286748/FDBBA4AD0E6AD057B05DA49C510E33D9DA3F22C57154673BBE0C52FB86910428</v>
      </c>
      <c r="I6844" t="str">
        <f>HYPERLINK("https://baanknet.com/view-property/286748/FDBBA4AD0E6AD057B05DA49C510E33D9DA3F22C57154673BBE0C52FB86910428", "Open")</f>
        <v>Open</v>
      </c>
      <c r="J6844" t="s">
        <v>20</v>
      </c>
      <c r="K6844" t="s">
        <v>21</v>
      </c>
      <c r="L6844">
        <v>2283300</v>
      </c>
      <c r="M6844">
        <v>228330</v>
      </c>
    </row>
    <row r="6845" spans="1:13" x14ac:dyDescent="0.25">
      <c r="A6845" t="s">
        <v>22599</v>
      </c>
      <c r="B6845" t="s">
        <v>22600</v>
      </c>
      <c r="C6845" t="s">
        <v>83</v>
      </c>
      <c r="D6845" t="s">
        <v>22601</v>
      </c>
      <c r="E6845" t="s">
        <v>86</v>
      </c>
      <c r="F6845" t="s">
        <v>21846</v>
      </c>
      <c r="G6845" t="s">
        <v>22602</v>
      </c>
      <c r="H6845" t="str">
        <f>HYPERLINK("https://baanknet.com/view-property/124330/799C05ECCD38B20084D397FC1A0EE95C04FB1AEBD59FFA8F031E6CAA683072D3", "https://baanknet.com/view-property/124330/799C05ECCD38B20084D397FC1A0EE95C04FB1AEBD59FFA8F031E6CAA683072D3")</f>
        <v>https://baanknet.com/view-property/124330/799C05ECCD38B20084D397FC1A0EE95C04FB1AEBD59FFA8F031E6CAA683072D3</v>
      </c>
      <c r="I6845" t="str">
        <f>HYPERLINK("https://baanknet.com/view-property/124330/799C05ECCD38B20084D397FC1A0EE95C04FB1AEBD59FFA8F031E6CAA683072D3", "Open")</f>
        <v>Open</v>
      </c>
      <c r="J6845" t="s">
        <v>20</v>
      </c>
      <c r="K6845" t="s">
        <v>21</v>
      </c>
      <c r="L6845">
        <v>270000</v>
      </c>
      <c r="M6845">
        <v>27000</v>
      </c>
    </row>
    <row r="6846" spans="1:13" x14ac:dyDescent="0.25">
      <c r="A6846" t="s">
        <v>22603</v>
      </c>
      <c r="B6846" t="s">
        <v>22604</v>
      </c>
      <c r="C6846" t="s">
        <v>83</v>
      </c>
      <c r="D6846" t="s">
        <v>518</v>
      </c>
      <c r="E6846" t="s">
        <v>86</v>
      </c>
      <c r="F6846" t="s">
        <v>21846</v>
      </c>
      <c r="G6846" t="s">
        <v>22605</v>
      </c>
      <c r="H6846" t="str">
        <f>HYPERLINK("https://baanknet.com/view-property/275925/B9E5BA45EDAB1445E8C55616955E795617C43FE9EB523A91BB4A1CEE68EC1146", "https://baanknet.com/view-property/275925/B9E5BA45EDAB1445E8C55616955E795617C43FE9EB523A91BB4A1CEE68EC1146")</f>
        <v>https://baanknet.com/view-property/275925/B9E5BA45EDAB1445E8C55616955E795617C43FE9EB523A91BB4A1CEE68EC1146</v>
      </c>
      <c r="I6846" t="str">
        <f>HYPERLINK("https://baanknet.com/view-property/275925/B9E5BA45EDAB1445E8C55616955E795617C43FE9EB523A91BB4A1CEE68EC1146", "Open")</f>
        <v>Open</v>
      </c>
      <c r="J6846" t="s">
        <v>20</v>
      </c>
      <c r="K6846" t="s">
        <v>21</v>
      </c>
      <c r="L6846">
        <v>2929500</v>
      </c>
      <c r="M6846">
        <v>292950</v>
      </c>
    </row>
    <row r="6847" spans="1:13" x14ac:dyDescent="0.25">
      <c r="A6847" t="s">
        <v>22606</v>
      </c>
      <c r="B6847" t="s">
        <v>22607</v>
      </c>
      <c r="C6847" t="s">
        <v>83</v>
      </c>
      <c r="D6847" t="s">
        <v>518</v>
      </c>
      <c r="E6847" t="s">
        <v>86</v>
      </c>
      <c r="F6847" t="s">
        <v>21846</v>
      </c>
      <c r="G6847" t="s">
        <v>22608</v>
      </c>
      <c r="H6847" t="str">
        <f>HYPERLINK("https://baanknet.com/view-property/271497/77D513C82BB386A0D792CF103335DAD40A0F14D448786C1C9EF6399AE6A0F35E", "https://baanknet.com/view-property/271497/77D513C82BB386A0D792CF103335DAD40A0F14D448786C1C9EF6399AE6A0F35E")</f>
        <v>https://baanknet.com/view-property/271497/77D513C82BB386A0D792CF103335DAD40A0F14D448786C1C9EF6399AE6A0F35E</v>
      </c>
      <c r="I6847" t="str">
        <f>HYPERLINK("https://baanknet.com/view-property/271497/77D513C82BB386A0D792CF103335DAD40A0F14D448786C1C9EF6399AE6A0F35E", "Open")</f>
        <v>Open</v>
      </c>
      <c r="J6847" t="s">
        <v>20</v>
      </c>
      <c r="K6847" t="s">
        <v>21</v>
      </c>
      <c r="L6847">
        <v>1691000</v>
      </c>
      <c r="M6847">
        <v>169100</v>
      </c>
    </row>
    <row r="6848" spans="1:13" x14ac:dyDescent="0.25">
      <c r="A6848" t="s">
        <v>22609</v>
      </c>
      <c r="B6848" t="s">
        <v>22610</v>
      </c>
      <c r="C6848" t="s">
        <v>83</v>
      </c>
      <c r="D6848" t="s">
        <v>6068</v>
      </c>
      <c r="E6848" t="s">
        <v>86</v>
      </c>
      <c r="F6848" t="s">
        <v>21846</v>
      </c>
      <c r="G6848" t="s">
        <v>22611</v>
      </c>
      <c r="H6848" t="str">
        <f>HYPERLINK("https://baanknet.com/view-property/351/930FB070778F3A8478C3414DD689AFA0821334F1A4DFCCD2B9344A6032716F15", "https://baanknet.com/view-property/351/930FB070778F3A8478C3414DD689AFA0821334F1A4DFCCD2B9344A6032716F15")</f>
        <v>https://baanknet.com/view-property/351/930FB070778F3A8478C3414DD689AFA0821334F1A4DFCCD2B9344A6032716F15</v>
      </c>
      <c r="I6848" t="str">
        <f>HYPERLINK("https://baanknet.com/view-property/351/930FB070778F3A8478C3414DD689AFA0821334F1A4DFCCD2B9344A6032716F15", "Open")</f>
        <v>Open</v>
      </c>
      <c r="J6848" t="s">
        <v>20</v>
      </c>
      <c r="K6848" t="s">
        <v>21</v>
      </c>
      <c r="L6848">
        <v>1089000</v>
      </c>
      <c r="M6848">
        <v>108900</v>
      </c>
    </row>
    <row r="6849" spans="1:13" x14ac:dyDescent="0.25">
      <c r="A6849" t="s">
        <v>22612</v>
      </c>
      <c r="B6849" t="s">
        <v>22613</v>
      </c>
      <c r="C6849" t="s">
        <v>83</v>
      </c>
      <c r="D6849" t="s">
        <v>572</v>
      </c>
      <c r="E6849" t="s">
        <v>86</v>
      </c>
      <c r="F6849" t="s">
        <v>21846</v>
      </c>
      <c r="G6849" t="s">
        <v>22614</v>
      </c>
      <c r="H6849" t="str">
        <f>HYPERLINK("https://baanknet.com/view-property/132946/25F228DC360220E6449FCE5C867B1144B4C4C3B66138DB87B79937F1E91015D8", "https://baanknet.com/view-property/132946/25F228DC360220E6449FCE5C867B1144B4C4C3B66138DB87B79937F1E91015D8")</f>
        <v>https://baanknet.com/view-property/132946/25F228DC360220E6449FCE5C867B1144B4C4C3B66138DB87B79937F1E91015D8</v>
      </c>
      <c r="I6849" t="str">
        <f>HYPERLINK("https://baanknet.com/view-property/132946/25F228DC360220E6449FCE5C867B1144B4C4C3B66138DB87B79937F1E91015D8", "Open")</f>
        <v>Open</v>
      </c>
      <c r="J6849" t="s">
        <v>20</v>
      </c>
      <c r="K6849" t="s">
        <v>21</v>
      </c>
      <c r="L6849">
        <v>1071000</v>
      </c>
      <c r="M6849">
        <v>107100</v>
      </c>
    </row>
    <row r="6850" spans="1:13" x14ac:dyDescent="0.25">
      <c r="A6850" t="s">
        <v>22615</v>
      </c>
      <c r="B6850" t="s">
        <v>22616</v>
      </c>
      <c r="C6850" t="s">
        <v>83</v>
      </c>
      <c r="D6850" t="s">
        <v>518</v>
      </c>
      <c r="E6850" t="s">
        <v>86</v>
      </c>
      <c r="F6850" t="s">
        <v>21846</v>
      </c>
      <c r="G6850" t="s">
        <v>22617</v>
      </c>
      <c r="H6850" t="str">
        <f>HYPERLINK("https://baanknet.com/view-property/212088/CF32C4717E71887A07572FF9899CAF6EFD80EFC16A56DD2E7B4E5A5F068F2883", "https://baanknet.com/view-property/212088/CF32C4717E71887A07572FF9899CAF6EFD80EFC16A56DD2E7B4E5A5F068F2883")</f>
        <v>https://baanknet.com/view-property/212088/CF32C4717E71887A07572FF9899CAF6EFD80EFC16A56DD2E7B4E5A5F068F2883</v>
      </c>
      <c r="I6850" t="str">
        <f>HYPERLINK("https://baanknet.com/view-property/212088/CF32C4717E71887A07572FF9899CAF6EFD80EFC16A56DD2E7B4E5A5F068F2883", "Open")</f>
        <v>Open</v>
      </c>
      <c r="J6850" t="s">
        <v>20</v>
      </c>
      <c r="K6850" t="s">
        <v>21</v>
      </c>
      <c r="L6850">
        <v>1340000</v>
      </c>
      <c r="M6850">
        <v>134000</v>
      </c>
    </row>
    <row r="6851" spans="1:13" x14ac:dyDescent="0.25">
      <c r="A6851" t="s">
        <v>22618</v>
      </c>
      <c r="B6851" t="s">
        <v>22619</v>
      </c>
      <c r="C6851" t="s">
        <v>83</v>
      </c>
      <c r="D6851" t="s">
        <v>518</v>
      </c>
      <c r="E6851" t="s">
        <v>86</v>
      </c>
      <c r="F6851" t="s">
        <v>21846</v>
      </c>
      <c r="G6851" t="s">
        <v>22620</v>
      </c>
      <c r="H6851" t="str">
        <f>HYPERLINK("https://baanknet.com/view-property/207904/F225A97098B99880AF2C7C5ACAE1136894B4A98675D873C6CACE58D0C9822475", "https://baanknet.com/view-property/207904/F225A97098B99880AF2C7C5ACAE1136894B4A98675D873C6CACE58D0C9822475")</f>
        <v>https://baanknet.com/view-property/207904/F225A97098B99880AF2C7C5ACAE1136894B4A98675D873C6CACE58D0C9822475</v>
      </c>
      <c r="I6851" t="str">
        <f>HYPERLINK("https://baanknet.com/view-property/207904/F225A97098B99880AF2C7C5ACAE1136894B4A98675D873C6CACE58D0C9822475", "Open")</f>
        <v>Open</v>
      </c>
      <c r="J6851" t="s">
        <v>20</v>
      </c>
      <c r="K6851" t="s">
        <v>21</v>
      </c>
      <c r="L6851">
        <v>2550000</v>
      </c>
      <c r="M6851">
        <v>255000</v>
      </c>
    </row>
    <row r="6852" spans="1:13" x14ac:dyDescent="0.25">
      <c r="A6852" t="s">
        <v>22621</v>
      </c>
      <c r="B6852" t="s">
        <v>22622</v>
      </c>
      <c r="C6852" t="s">
        <v>83</v>
      </c>
      <c r="D6852" t="s">
        <v>572</v>
      </c>
      <c r="E6852" t="s">
        <v>86</v>
      </c>
      <c r="F6852" t="s">
        <v>21846</v>
      </c>
      <c r="G6852" t="s">
        <v>22623</v>
      </c>
      <c r="H6852" t="str">
        <f>HYPERLINK("https://baanknet.com/view-property/207898/DE67488E2473DA6EA599654E1E41970533AE5F9A25836B5BF66698692AB6808F", "https://baanknet.com/view-property/207898/DE67488E2473DA6EA599654E1E41970533AE5F9A25836B5BF66698692AB6808F")</f>
        <v>https://baanknet.com/view-property/207898/DE67488E2473DA6EA599654E1E41970533AE5F9A25836B5BF66698692AB6808F</v>
      </c>
      <c r="I6852" t="str">
        <f>HYPERLINK("https://baanknet.com/view-property/207898/DE67488E2473DA6EA599654E1E41970533AE5F9A25836B5BF66698692AB6808F", "Open")</f>
        <v>Open</v>
      </c>
      <c r="J6852" t="s">
        <v>20</v>
      </c>
      <c r="K6852" t="s">
        <v>21</v>
      </c>
      <c r="L6852">
        <v>765000</v>
      </c>
      <c r="M6852">
        <v>76500</v>
      </c>
    </row>
    <row r="6853" spans="1:13" x14ac:dyDescent="0.25">
      <c r="A6853" t="s">
        <v>22624</v>
      </c>
      <c r="B6853" t="s">
        <v>22625</v>
      </c>
      <c r="C6853" t="s">
        <v>83</v>
      </c>
      <c r="D6853" t="s">
        <v>7466</v>
      </c>
      <c r="E6853" t="s">
        <v>86</v>
      </c>
      <c r="F6853" t="s">
        <v>21846</v>
      </c>
      <c r="G6853" t="s">
        <v>22626</v>
      </c>
      <c r="H6853" t="str">
        <f>HYPERLINK("https://baanknet.com/view-property/287245/9B9F474CCFDC193622D415B9B0979C3C5AAB3643A01F2759EBB8683017056F57", "https://baanknet.com/view-property/287245/9B9F474CCFDC193622D415B9B0979C3C5AAB3643A01F2759EBB8683017056F57")</f>
        <v>https://baanknet.com/view-property/287245/9B9F474CCFDC193622D415B9B0979C3C5AAB3643A01F2759EBB8683017056F57</v>
      </c>
      <c r="I6853" t="str">
        <f>HYPERLINK("https://baanknet.com/view-property/287245/9B9F474CCFDC193622D415B9B0979C3C5AAB3643A01F2759EBB8683017056F57", "Open")</f>
        <v>Open</v>
      </c>
      <c r="J6853" t="s">
        <v>20</v>
      </c>
      <c r="K6853" t="s">
        <v>21</v>
      </c>
      <c r="L6853">
        <v>3033000</v>
      </c>
      <c r="M6853">
        <v>303300</v>
      </c>
    </row>
    <row r="6854" spans="1:13" x14ac:dyDescent="0.25">
      <c r="A6854" t="s">
        <v>22627</v>
      </c>
      <c r="B6854" t="s">
        <v>22628</v>
      </c>
      <c r="C6854" t="s">
        <v>83</v>
      </c>
      <c r="D6854" t="s">
        <v>5627</v>
      </c>
      <c r="E6854" t="s">
        <v>86</v>
      </c>
      <c r="F6854" t="s">
        <v>21846</v>
      </c>
      <c r="G6854" t="s">
        <v>22629</v>
      </c>
      <c r="H6854" t="str">
        <f>HYPERLINK("https://baanknet.com/view-property/207907/81AF327ED087759925D8EC08D645A99713513A111C62FBC1290E7D8905FC92FC", "https://baanknet.com/view-property/207907/81AF327ED087759925D8EC08D645A99713513A111C62FBC1290E7D8905FC92FC")</f>
        <v>https://baanknet.com/view-property/207907/81AF327ED087759925D8EC08D645A99713513A111C62FBC1290E7D8905FC92FC</v>
      </c>
      <c r="I6854" t="str">
        <f>HYPERLINK("https://baanknet.com/view-property/207907/81AF327ED087759925D8EC08D645A99713513A111C62FBC1290E7D8905FC92FC", "Open")</f>
        <v>Open</v>
      </c>
      <c r="J6854" t="s">
        <v>20</v>
      </c>
      <c r="K6854" t="s">
        <v>21</v>
      </c>
      <c r="L6854">
        <v>1298000</v>
      </c>
      <c r="M6854">
        <v>129800</v>
      </c>
    </row>
    <row r="6855" spans="1:13" x14ac:dyDescent="0.25">
      <c r="A6855" t="s">
        <v>22630</v>
      </c>
      <c r="B6855" t="s">
        <v>22631</v>
      </c>
      <c r="C6855" t="s">
        <v>83</v>
      </c>
      <c r="D6855" t="s">
        <v>7466</v>
      </c>
      <c r="E6855" t="s">
        <v>86</v>
      </c>
      <c r="F6855" t="s">
        <v>21846</v>
      </c>
      <c r="G6855" t="s">
        <v>22632</v>
      </c>
      <c r="H6855" t="str">
        <f>HYPERLINK("https://baanknet.com/view-property/287244/1C6E02F806682C25138A9284B8EFA89858CEDB63AC2D53AAFB7BDC410035C15E", "https://baanknet.com/view-property/287244/1C6E02F806682C25138A9284B8EFA89858CEDB63AC2D53AAFB7BDC410035C15E")</f>
        <v>https://baanknet.com/view-property/287244/1C6E02F806682C25138A9284B8EFA89858CEDB63AC2D53AAFB7BDC410035C15E</v>
      </c>
      <c r="I6855" t="str">
        <f>HYPERLINK("https://baanknet.com/view-property/287244/1C6E02F806682C25138A9284B8EFA89858CEDB63AC2D53AAFB7BDC410035C15E", "Open")</f>
        <v>Open</v>
      </c>
      <c r="J6855" t="s">
        <v>20</v>
      </c>
      <c r="K6855" t="s">
        <v>21</v>
      </c>
      <c r="L6855">
        <v>2682000</v>
      </c>
      <c r="M6855">
        <v>268200</v>
      </c>
    </row>
    <row r="6856" spans="1:13" x14ac:dyDescent="0.25">
      <c r="A6856" t="s">
        <v>22633</v>
      </c>
      <c r="B6856" t="s">
        <v>22634</v>
      </c>
      <c r="C6856" t="s">
        <v>83</v>
      </c>
      <c r="D6856" t="s">
        <v>5365</v>
      </c>
      <c r="E6856" t="s">
        <v>86</v>
      </c>
      <c r="F6856" t="s">
        <v>21846</v>
      </c>
      <c r="G6856" t="s">
        <v>22635</v>
      </c>
      <c r="H6856" t="str">
        <f>HYPERLINK("https://baanknet.com/view-property/287514/F2DF025559CE0F966C900A59A85DE8FDB78147DD4D119B5FDC37EA5AE3765570", "https://baanknet.com/view-property/287514/F2DF025559CE0F966C900A59A85DE8FDB78147DD4D119B5FDC37EA5AE3765570")</f>
        <v>https://baanknet.com/view-property/287514/F2DF025559CE0F966C900A59A85DE8FDB78147DD4D119B5FDC37EA5AE3765570</v>
      </c>
      <c r="I6856" t="str">
        <f>HYPERLINK("https://baanknet.com/view-property/287514/F2DF025559CE0F966C900A59A85DE8FDB78147DD4D119B5FDC37EA5AE3765570", "Open")</f>
        <v>Open</v>
      </c>
      <c r="J6856" t="s">
        <v>20</v>
      </c>
      <c r="K6856" t="s">
        <v>21</v>
      </c>
      <c r="L6856">
        <v>3200000</v>
      </c>
      <c r="M6856">
        <v>320000</v>
      </c>
    </row>
    <row r="6857" spans="1:13" x14ac:dyDescent="0.25">
      <c r="A6857" t="s">
        <v>22636</v>
      </c>
      <c r="B6857" t="s">
        <v>22637</v>
      </c>
      <c r="C6857" t="s">
        <v>83</v>
      </c>
      <c r="D6857" t="s">
        <v>5068</v>
      </c>
      <c r="E6857" t="s">
        <v>86</v>
      </c>
      <c r="F6857" t="s">
        <v>21846</v>
      </c>
      <c r="G6857" t="s">
        <v>22638</v>
      </c>
      <c r="H6857" t="str">
        <f>HYPERLINK("https://baanknet.com/view-property/102028/6D4EC0E5DCC4F23FEFF2AC369B76A7DCABED6D3DD438A188BF9E6A39D1D76284", "https://baanknet.com/view-property/102028/6D4EC0E5DCC4F23FEFF2AC369B76A7DCABED6D3DD438A188BF9E6A39D1D76284")</f>
        <v>https://baanknet.com/view-property/102028/6D4EC0E5DCC4F23FEFF2AC369B76A7DCABED6D3DD438A188BF9E6A39D1D76284</v>
      </c>
      <c r="I6857" t="str">
        <f>HYPERLINK("https://baanknet.com/view-property/102028/6D4EC0E5DCC4F23FEFF2AC369B76A7DCABED6D3DD438A188BF9E6A39D1D76284", "Open")</f>
        <v>Open</v>
      </c>
      <c r="J6857" t="s">
        <v>20</v>
      </c>
      <c r="K6857" t="s">
        <v>21</v>
      </c>
      <c r="L6857">
        <v>4018000</v>
      </c>
      <c r="M6857">
        <v>401800</v>
      </c>
    </row>
    <row r="6858" spans="1:13" x14ac:dyDescent="0.25">
      <c r="A6858" t="s">
        <v>22639</v>
      </c>
      <c r="B6858" t="s">
        <v>22640</v>
      </c>
      <c r="C6858" t="s">
        <v>83</v>
      </c>
      <c r="D6858" t="s">
        <v>6003</v>
      </c>
      <c r="E6858" t="s">
        <v>86</v>
      </c>
      <c r="F6858" t="s">
        <v>21846</v>
      </c>
      <c r="G6858" t="s">
        <v>22641</v>
      </c>
      <c r="H6858" t="str">
        <f>HYPERLINK("https://baanknet.com/view-property/85425/FDC4E6C059C8F6F94B07CE57E0CE6FC514EAB3FA224B0BB4D801C176CE38E933", "https://baanknet.com/view-property/85425/FDC4E6C059C8F6F94B07CE57E0CE6FC514EAB3FA224B0BB4D801C176CE38E933")</f>
        <v>https://baanknet.com/view-property/85425/FDC4E6C059C8F6F94B07CE57E0CE6FC514EAB3FA224B0BB4D801C176CE38E933</v>
      </c>
      <c r="I6858" t="str">
        <f>HYPERLINK("https://baanknet.com/view-property/85425/FDC4E6C059C8F6F94B07CE57E0CE6FC514EAB3FA224B0BB4D801C176CE38E933", "Open")</f>
        <v>Open</v>
      </c>
      <c r="J6858" t="s">
        <v>20</v>
      </c>
      <c r="K6858" t="s">
        <v>21</v>
      </c>
      <c r="L6858">
        <v>3895720</v>
      </c>
      <c r="M6858">
        <v>389572</v>
      </c>
    </row>
    <row r="6859" spans="1:13" x14ac:dyDescent="0.25">
      <c r="A6859" t="s">
        <v>22642</v>
      </c>
      <c r="B6859" t="s">
        <v>22643</v>
      </c>
      <c r="C6859" t="s">
        <v>83</v>
      </c>
      <c r="D6859" t="s">
        <v>518</v>
      </c>
      <c r="E6859" t="s">
        <v>86</v>
      </c>
      <c r="F6859" t="s">
        <v>21846</v>
      </c>
      <c r="G6859" t="s">
        <v>22644</v>
      </c>
      <c r="H6859" t="str">
        <f>HYPERLINK("https://baanknet.com/view-property/287163/BD73511B68518FC41D4E07EFEBEC55015633314C489E04FC320820444DA3DB78", "https://baanknet.com/view-property/287163/BD73511B68518FC41D4E07EFEBEC55015633314C489E04FC320820444DA3DB78")</f>
        <v>https://baanknet.com/view-property/287163/BD73511B68518FC41D4E07EFEBEC55015633314C489E04FC320820444DA3DB78</v>
      </c>
      <c r="I6859" t="str">
        <f>HYPERLINK("https://baanknet.com/view-property/287163/BD73511B68518FC41D4E07EFEBEC55015633314C489E04FC320820444DA3DB78", "Open")</f>
        <v>Open</v>
      </c>
      <c r="J6859" t="s">
        <v>20</v>
      </c>
      <c r="K6859" t="s">
        <v>21</v>
      </c>
      <c r="L6859">
        <v>9616000</v>
      </c>
      <c r="M6859">
        <v>962000</v>
      </c>
    </row>
    <row r="6860" spans="1:13" x14ac:dyDescent="0.25">
      <c r="A6860" t="s">
        <v>22645</v>
      </c>
      <c r="B6860" t="s">
        <v>22646</v>
      </c>
      <c r="C6860" t="s">
        <v>83</v>
      </c>
      <c r="D6860" t="s">
        <v>595</v>
      </c>
      <c r="E6860" t="s">
        <v>86</v>
      </c>
      <c r="F6860" t="s">
        <v>21846</v>
      </c>
      <c r="G6860" t="s">
        <v>22647</v>
      </c>
      <c r="H6860" t="str">
        <f>HYPERLINK("https://baanknet.com/view-property/285459/10C68B0C84B64114D2AC98F6919F8B75F1203BF3729F93734EB9C5DC39A87F5A", "https://baanknet.com/view-property/285459/10C68B0C84B64114D2AC98F6919F8B75F1203BF3729F93734EB9C5DC39A87F5A")</f>
        <v>https://baanknet.com/view-property/285459/10C68B0C84B64114D2AC98F6919F8B75F1203BF3729F93734EB9C5DC39A87F5A</v>
      </c>
      <c r="I6860" t="str">
        <f>HYPERLINK("https://baanknet.com/view-property/285459/10C68B0C84B64114D2AC98F6919F8B75F1203BF3729F93734EB9C5DC39A87F5A", "Open")</f>
        <v>Open</v>
      </c>
      <c r="J6860" t="s">
        <v>20</v>
      </c>
      <c r="K6860" t="s">
        <v>21</v>
      </c>
      <c r="L6860">
        <v>3560310</v>
      </c>
      <c r="M6860">
        <v>356031</v>
      </c>
    </row>
    <row r="6861" spans="1:13" x14ac:dyDescent="0.25">
      <c r="A6861" t="s">
        <v>22648</v>
      </c>
      <c r="B6861" t="s">
        <v>22649</v>
      </c>
      <c r="C6861" t="s">
        <v>83</v>
      </c>
      <c r="D6861" t="s">
        <v>718</v>
      </c>
      <c r="E6861" t="s">
        <v>86</v>
      </c>
      <c r="F6861" t="s">
        <v>21846</v>
      </c>
      <c r="G6861" t="s">
        <v>22650</v>
      </c>
      <c r="H6861" t="str">
        <f>HYPERLINK("https://baanknet.com/view-property/259026/C34046B12B9285869FEE425D29CB7AE5E631A746EAF69B67E2A980AF6E955FD9", "https://baanknet.com/view-property/259026/C34046B12B9285869FEE425D29CB7AE5E631A746EAF69B67E2A980AF6E955FD9")</f>
        <v>https://baanknet.com/view-property/259026/C34046B12B9285869FEE425D29CB7AE5E631A746EAF69B67E2A980AF6E955FD9</v>
      </c>
      <c r="I6861" t="str">
        <f>HYPERLINK("https://baanknet.com/view-property/259026/C34046B12B9285869FEE425D29CB7AE5E631A746EAF69B67E2A980AF6E955FD9", "Open")</f>
        <v>Open</v>
      </c>
      <c r="J6861" t="s">
        <v>20</v>
      </c>
      <c r="K6861" t="s">
        <v>21</v>
      </c>
      <c r="L6861">
        <v>1220000</v>
      </c>
      <c r="M6861">
        <v>122000</v>
      </c>
    </row>
    <row r="6862" spans="1:13" x14ac:dyDescent="0.25">
      <c r="A6862" t="s">
        <v>22651</v>
      </c>
      <c r="B6862" t="s">
        <v>22652</v>
      </c>
      <c r="C6862" t="s">
        <v>83</v>
      </c>
      <c r="D6862" t="s">
        <v>32</v>
      </c>
      <c r="E6862" t="s">
        <v>128</v>
      </c>
      <c r="F6862" t="s">
        <v>132</v>
      </c>
      <c r="G6862" t="s">
        <v>22653</v>
      </c>
      <c r="H6862" t="str">
        <f>HYPERLINK("https://baanknet.com/view-property/242462/360E2FC61DA868E8180476D96085EEF0B5DB0942E9E39F9E83AA7AFCBBA97C55", "https://baanknet.com/view-property/242462/360E2FC61DA868E8180476D96085EEF0B5DB0942E9E39F9E83AA7AFCBBA97C55")</f>
        <v>https://baanknet.com/view-property/242462/360E2FC61DA868E8180476D96085EEF0B5DB0942E9E39F9E83AA7AFCBBA97C55</v>
      </c>
      <c r="I6862" t="str">
        <f>HYPERLINK("https://baanknet.com/view-property/242462/360E2FC61DA868E8180476D96085EEF0B5DB0942E9E39F9E83AA7AFCBBA97C55", "Open")</f>
        <v>Open</v>
      </c>
      <c r="J6862" t="s">
        <v>20</v>
      </c>
      <c r="K6862" t="s">
        <v>21</v>
      </c>
      <c r="L6862">
        <v>3090000</v>
      </c>
      <c r="M6862">
        <v>309000</v>
      </c>
    </row>
    <row r="6863" spans="1:13" x14ac:dyDescent="0.25">
      <c r="A6863" t="s">
        <v>22654</v>
      </c>
      <c r="B6863" t="s">
        <v>22655</v>
      </c>
      <c r="C6863" t="s">
        <v>83</v>
      </c>
      <c r="D6863" t="s">
        <v>32</v>
      </c>
      <c r="E6863" t="s">
        <v>128</v>
      </c>
      <c r="F6863" t="s">
        <v>132</v>
      </c>
      <c r="G6863" t="s">
        <v>22656</v>
      </c>
      <c r="H6863" t="str">
        <f>HYPERLINK("https://baanknet.com/view-property/242459/6B492CFC6EBEB77C7F23CD18BF107CC7090B3F39C1D9CD70E22C7046940D7687", "https://baanknet.com/view-property/242459/6B492CFC6EBEB77C7F23CD18BF107CC7090B3F39C1D9CD70E22C7046940D7687")</f>
        <v>https://baanknet.com/view-property/242459/6B492CFC6EBEB77C7F23CD18BF107CC7090B3F39C1D9CD70E22C7046940D7687</v>
      </c>
      <c r="I6863" t="str">
        <f>HYPERLINK("https://baanknet.com/view-property/242459/6B492CFC6EBEB77C7F23CD18BF107CC7090B3F39C1D9CD70E22C7046940D7687", "Open")</f>
        <v>Open</v>
      </c>
      <c r="J6863" t="s">
        <v>20</v>
      </c>
      <c r="K6863" t="s">
        <v>21</v>
      </c>
      <c r="L6863">
        <v>2570000</v>
      </c>
      <c r="M6863">
        <v>257000</v>
      </c>
    </row>
    <row r="6864" spans="1:13" x14ac:dyDescent="0.25">
      <c r="A6864" t="s">
        <v>22657</v>
      </c>
      <c r="B6864" t="s">
        <v>22658</v>
      </c>
      <c r="C6864" t="s">
        <v>83</v>
      </c>
      <c r="D6864" t="s">
        <v>22659</v>
      </c>
      <c r="E6864" t="s">
        <v>86</v>
      </c>
      <c r="F6864" t="s">
        <v>21846</v>
      </c>
      <c r="G6864" t="s">
        <v>22660</v>
      </c>
      <c r="H6864" t="str">
        <f>HYPERLINK("https://baanknet.com/view-property/287117/3E7977D8F9F892C0D6F0E047A5032C8FB1401C691CF77B88FC238DEA92F6019C", "https://baanknet.com/view-property/287117/3E7977D8F9F892C0D6F0E047A5032C8FB1401C691CF77B88FC238DEA92F6019C")</f>
        <v>https://baanknet.com/view-property/287117/3E7977D8F9F892C0D6F0E047A5032C8FB1401C691CF77B88FC238DEA92F6019C</v>
      </c>
      <c r="I6864" t="str">
        <f>HYPERLINK("https://baanknet.com/view-property/287117/3E7977D8F9F892C0D6F0E047A5032C8FB1401C691CF77B88FC238DEA92F6019C", "Open")</f>
        <v>Open</v>
      </c>
      <c r="J6864" t="s">
        <v>20</v>
      </c>
      <c r="K6864" t="s">
        <v>21</v>
      </c>
      <c r="L6864">
        <v>1785000</v>
      </c>
      <c r="M6864">
        <v>178500</v>
      </c>
    </row>
    <row r="6865" spans="1:13" x14ac:dyDescent="0.25">
      <c r="A6865" t="s">
        <v>22661</v>
      </c>
      <c r="B6865" t="s">
        <v>22662</v>
      </c>
      <c r="C6865" t="s">
        <v>83</v>
      </c>
      <c r="D6865" t="s">
        <v>22663</v>
      </c>
      <c r="E6865" t="s">
        <v>86</v>
      </c>
      <c r="F6865" t="s">
        <v>21846</v>
      </c>
      <c r="G6865" t="s">
        <v>22664</v>
      </c>
      <c r="H6865" t="str">
        <f>HYPERLINK("https://baanknet.com/view-property/233362/DCDDE8F61A3F27DB75403A234D147E4DF661BD960DFC0BB1EF08B63E5769497B", "https://baanknet.com/view-property/233362/DCDDE8F61A3F27DB75403A234D147E4DF661BD960DFC0BB1EF08B63E5769497B")</f>
        <v>https://baanknet.com/view-property/233362/DCDDE8F61A3F27DB75403A234D147E4DF661BD960DFC0BB1EF08B63E5769497B</v>
      </c>
      <c r="I6865" t="str">
        <f>HYPERLINK("https://baanknet.com/view-property/233362/DCDDE8F61A3F27DB75403A234D147E4DF661BD960DFC0BB1EF08B63E5769497B", "Open")</f>
        <v>Open</v>
      </c>
      <c r="J6865" t="s">
        <v>20</v>
      </c>
      <c r="K6865" t="s">
        <v>21</v>
      </c>
      <c r="L6865">
        <v>1310000</v>
      </c>
      <c r="M6865">
        <v>131000</v>
      </c>
    </row>
    <row r="6866" spans="1:13" x14ac:dyDescent="0.25">
      <c r="A6866" t="s">
        <v>22665</v>
      </c>
      <c r="B6866" t="s">
        <v>22666</v>
      </c>
      <c r="C6866" t="s">
        <v>594</v>
      </c>
      <c r="D6866" t="s">
        <v>1761</v>
      </c>
      <c r="E6866" t="s">
        <v>596</v>
      </c>
      <c r="F6866" t="s">
        <v>574</v>
      </c>
      <c r="G6866" t="s">
        <v>22667</v>
      </c>
      <c r="H6866" t="str">
        <f>HYPERLINK("https://baanknet.com/view-property/267714/E9C424C452FBB95AEAF12C285D49A5EB80AB659EF45EBA080E783B05FE6B56C4", "https://baanknet.com/view-property/267714/E9C424C452FBB95AEAF12C285D49A5EB80AB659EF45EBA080E783B05FE6B56C4")</f>
        <v>https://baanknet.com/view-property/267714/E9C424C452FBB95AEAF12C285D49A5EB80AB659EF45EBA080E783B05FE6B56C4</v>
      </c>
      <c r="I6866" t="str">
        <f>HYPERLINK("https://baanknet.com/view-property/267714/E9C424C452FBB95AEAF12C285D49A5EB80AB659EF45EBA080E783B05FE6B56C4", "Open")</f>
        <v>Open</v>
      </c>
      <c r="J6866" t="s">
        <v>3803</v>
      </c>
      <c r="L6866">
        <v>2089000</v>
      </c>
      <c r="M6866">
        <v>208900</v>
      </c>
    </row>
    <row r="6867" spans="1:13" x14ac:dyDescent="0.25">
      <c r="A6867" t="s">
        <v>22668</v>
      </c>
      <c r="B6867" t="s">
        <v>22669</v>
      </c>
      <c r="C6867" t="s">
        <v>594</v>
      </c>
      <c r="D6867" t="s">
        <v>1761</v>
      </c>
      <c r="E6867" t="s">
        <v>596</v>
      </c>
      <c r="F6867" t="s">
        <v>574</v>
      </c>
      <c r="G6867" t="s">
        <v>22670</v>
      </c>
      <c r="H6867" t="str">
        <f>HYPERLINK("https://baanknet.com/view-property/267718/E86E4B8FF21EA4E36D86F69F4137854DCEFBBB8A874F6DCE785A9F9D8C7CA293", "https://baanknet.com/view-property/267718/E86E4B8FF21EA4E36D86F69F4137854DCEFBBB8A874F6DCE785A9F9D8C7CA293")</f>
        <v>https://baanknet.com/view-property/267718/E86E4B8FF21EA4E36D86F69F4137854DCEFBBB8A874F6DCE785A9F9D8C7CA293</v>
      </c>
      <c r="I6867" t="str">
        <f>HYPERLINK("https://baanknet.com/view-property/267718/E86E4B8FF21EA4E36D86F69F4137854DCEFBBB8A874F6DCE785A9F9D8C7CA293", "Open")</f>
        <v>Open</v>
      </c>
      <c r="J6867" t="s">
        <v>3803</v>
      </c>
      <c r="L6867">
        <v>1037000</v>
      </c>
      <c r="M6867">
        <v>103700</v>
      </c>
    </row>
    <row r="6868" spans="1:13" x14ac:dyDescent="0.25">
      <c r="A6868" t="s">
        <v>22671</v>
      </c>
      <c r="B6868" t="s">
        <v>22672</v>
      </c>
      <c r="C6868" t="s">
        <v>594</v>
      </c>
      <c r="D6868" t="s">
        <v>1761</v>
      </c>
      <c r="E6868" t="s">
        <v>596</v>
      </c>
      <c r="F6868" t="s">
        <v>574</v>
      </c>
      <c r="G6868" t="s">
        <v>22673</v>
      </c>
      <c r="H6868" t="str">
        <f>HYPERLINK("https://baanknet.com/view-property/267724/901C2631E1E9773C10CEDD5289441E7DAC5608E688C3C4289281EEC63BD17CEE", "https://baanknet.com/view-property/267724/901C2631E1E9773C10CEDD5289441E7DAC5608E688C3C4289281EEC63BD17CEE")</f>
        <v>https://baanknet.com/view-property/267724/901C2631E1E9773C10CEDD5289441E7DAC5608E688C3C4289281EEC63BD17CEE</v>
      </c>
      <c r="I6868" t="str">
        <f>HYPERLINK("https://baanknet.com/view-property/267724/901C2631E1E9773C10CEDD5289441E7DAC5608E688C3C4289281EEC63BD17CEE", "Open")</f>
        <v>Open</v>
      </c>
      <c r="J6868" t="s">
        <v>3803</v>
      </c>
      <c r="L6868">
        <v>1454000</v>
      </c>
      <c r="M6868">
        <v>145400</v>
      </c>
    </row>
    <row r="6869" spans="1:13" x14ac:dyDescent="0.25">
      <c r="A6869" t="s">
        <v>22674</v>
      </c>
      <c r="B6869" t="s">
        <v>22675</v>
      </c>
      <c r="C6869" t="s">
        <v>594</v>
      </c>
      <c r="D6869" t="s">
        <v>1218</v>
      </c>
      <c r="E6869" t="s">
        <v>596</v>
      </c>
      <c r="F6869" t="s">
        <v>574</v>
      </c>
      <c r="G6869" t="s">
        <v>22676</v>
      </c>
      <c r="H6869" t="str">
        <f>HYPERLINK("https://baanknet.com/view-property/278843/02F761152E55C489280060CC3D90C4EFEC860024B4F3AF789575DBFCD4BD913F", "https://baanknet.com/view-property/278843/02F761152E55C489280060CC3D90C4EFEC860024B4F3AF789575DBFCD4BD913F")</f>
        <v>https://baanknet.com/view-property/278843/02F761152E55C489280060CC3D90C4EFEC860024B4F3AF789575DBFCD4BD913F</v>
      </c>
      <c r="I6869" t="str">
        <f>HYPERLINK("https://baanknet.com/view-property/278843/02F761152E55C489280060CC3D90C4EFEC860024B4F3AF789575DBFCD4BD913F", "Open")</f>
        <v>Open</v>
      </c>
      <c r="J6869" t="s">
        <v>3803</v>
      </c>
      <c r="L6869">
        <v>2466000</v>
      </c>
      <c r="M6869">
        <v>246600</v>
      </c>
    </row>
    <row r="6870" spans="1:13" x14ac:dyDescent="0.25">
      <c r="A6870" t="s">
        <v>22677</v>
      </c>
      <c r="B6870" t="s">
        <v>22678</v>
      </c>
      <c r="C6870" t="s">
        <v>594</v>
      </c>
      <c r="D6870" t="s">
        <v>22679</v>
      </c>
      <c r="E6870" t="s">
        <v>596</v>
      </c>
      <c r="F6870" t="s">
        <v>574</v>
      </c>
      <c r="G6870" t="s">
        <v>22680</v>
      </c>
      <c r="H6870" t="str">
        <f>HYPERLINK("https://baanknet.com/view-property/20196/1B290921D089C93CD9577D633469FEC12741062DA955D0211FD50552487B31C0", "https://baanknet.com/view-property/20196/1B290921D089C93CD9577D633469FEC12741062DA955D0211FD50552487B31C0")</f>
        <v>https://baanknet.com/view-property/20196/1B290921D089C93CD9577D633469FEC12741062DA955D0211FD50552487B31C0</v>
      </c>
      <c r="I6870" t="str">
        <f>HYPERLINK("https://baanknet.com/view-property/20196/1B290921D089C93CD9577D633469FEC12741062DA955D0211FD50552487B31C0", "Open")</f>
        <v>Open</v>
      </c>
      <c r="J6870" t="s">
        <v>3803</v>
      </c>
      <c r="L6870">
        <v>1454000</v>
      </c>
      <c r="M6870">
        <v>145400</v>
      </c>
    </row>
    <row r="6871" spans="1:13" x14ac:dyDescent="0.25">
      <c r="A6871" t="s">
        <v>22681</v>
      </c>
      <c r="B6871" t="s">
        <v>22682</v>
      </c>
      <c r="C6871" t="s">
        <v>594</v>
      </c>
      <c r="D6871" t="s">
        <v>22683</v>
      </c>
      <c r="E6871" t="s">
        <v>596</v>
      </c>
      <c r="F6871" t="s">
        <v>574</v>
      </c>
      <c r="G6871" t="s">
        <v>22684</v>
      </c>
      <c r="H6871" t="str">
        <f>HYPERLINK("https://baanknet.com/view-property/271439/FBC2A034CC5375E7A916851F65E21D584E1924572A233F665448F2192CE9D657", "https://baanknet.com/view-property/271439/FBC2A034CC5375E7A916851F65E21D584E1924572A233F665448F2192CE9D657")</f>
        <v>https://baanknet.com/view-property/271439/FBC2A034CC5375E7A916851F65E21D584E1924572A233F665448F2192CE9D657</v>
      </c>
      <c r="I6871" t="str">
        <f>HYPERLINK("https://baanknet.com/view-property/271439/FBC2A034CC5375E7A916851F65E21D584E1924572A233F665448F2192CE9D657", "Open")</f>
        <v>Open</v>
      </c>
      <c r="J6871" t="s">
        <v>3803</v>
      </c>
      <c r="L6871">
        <v>8060000</v>
      </c>
      <c r="M6871">
        <v>806000</v>
      </c>
    </row>
    <row r="6872" spans="1:13" x14ac:dyDescent="0.25">
      <c r="A6872" t="s">
        <v>22685</v>
      </c>
      <c r="B6872" t="s">
        <v>22686</v>
      </c>
      <c r="C6872" t="s">
        <v>594</v>
      </c>
      <c r="D6872" t="s">
        <v>20370</v>
      </c>
      <c r="E6872" t="s">
        <v>596</v>
      </c>
      <c r="F6872" t="s">
        <v>574</v>
      </c>
      <c r="G6872" t="s">
        <v>22687</v>
      </c>
      <c r="H6872" t="str">
        <f>HYPERLINK("https://baanknet.com/view-property/259679/FB0A39818B149F492E8533C26B008D3081485C24183603049E6D855B122732E1", "https://baanknet.com/view-property/259679/FB0A39818B149F492E8533C26B008D3081485C24183603049E6D855B122732E1")</f>
        <v>https://baanknet.com/view-property/259679/FB0A39818B149F492E8533C26B008D3081485C24183603049E6D855B122732E1</v>
      </c>
      <c r="I6872" t="str">
        <f>HYPERLINK("https://baanknet.com/view-property/259679/FB0A39818B149F492E8533C26B008D3081485C24183603049E6D855B122732E1", "Open")</f>
        <v>Open</v>
      </c>
      <c r="J6872" t="s">
        <v>3803</v>
      </c>
      <c r="L6872">
        <v>3501000</v>
      </c>
      <c r="M6872">
        <v>350100</v>
      </c>
    </row>
    <row r="6873" spans="1:13" x14ac:dyDescent="0.25">
      <c r="A6873" t="s">
        <v>22688</v>
      </c>
      <c r="B6873" t="s">
        <v>22689</v>
      </c>
      <c r="C6873" t="s">
        <v>594</v>
      </c>
      <c r="D6873" t="s">
        <v>533</v>
      </c>
      <c r="E6873" t="s">
        <v>596</v>
      </c>
      <c r="F6873" t="s">
        <v>574</v>
      </c>
      <c r="G6873" t="s">
        <v>22690</v>
      </c>
      <c r="H6873" t="str">
        <f>HYPERLINK("https://baanknet.com/view-property/283409/1B59E0302549D4EF3CC4B12F37BB7DDD75A4CCC1246A781DA6E8353611A083AE", "https://baanknet.com/view-property/283409/1B59E0302549D4EF3CC4B12F37BB7DDD75A4CCC1246A781DA6E8353611A083AE")</f>
        <v>https://baanknet.com/view-property/283409/1B59E0302549D4EF3CC4B12F37BB7DDD75A4CCC1246A781DA6E8353611A083AE</v>
      </c>
      <c r="I6873" t="str">
        <f>HYPERLINK("https://baanknet.com/view-property/283409/1B59E0302549D4EF3CC4B12F37BB7DDD75A4CCC1246A781DA6E8353611A083AE", "Open")</f>
        <v>Open</v>
      </c>
      <c r="J6873" t="s">
        <v>3803</v>
      </c>
      <c r="L6873">
        <v>7150000</v>
      </c>
      <c r="M6873">
        <v>715000</v>
      </c>
    </row>
    <row r="6874" spans="1:13" x14ac:dyDescent="0.25">
      <c r="A6874" t="s">
        <v>22691</v>
      </c>
      <c r="B6874" t="s">
        <v>22692</v>
      </c>
      <c r="C6874" t="s">
        <v>121</v>
      </c>
      <c r="D6874" t="s">
        <v>3165</v>
      </c>
      <c r="E6874" t="s">
        <v>11024</v>
      </c>
      <c r="F6874" t="s">
        <v>11004</v>
      </c>
      <c r="G6874" t="s">
        <v>22693</v>
      </c>
      <c r="H6874" t="str">
        <f>HYPERLINK("https://baanknet.com/view-property/225287/49D6DE0A566E51938EB9EF3006E9758F3438E0F570CB7B0FEEA7B26F0147E6D0", "https://baanknet.com/view-property/225287/49D6DE0A566E51938EB9EF3006E9758F3438E0F570CB7B0FEEA7B26F0147E6D0")</f>
        <v>https://baanknet.com/view-property/225287/49D6DE0A566E51938EB9EF3006E9758F3438E0F570CB7B0FEEA7B26F0147E6D0</v>
      </c>
      <c r="I6874" t="str">
        <f>HYPERLINK("https://baanknet.com/view-property/225287/49D6DE0A566E51938EB9EF3006E9758F3438E0F570CB7B0FEEA7B26F0147E6D0", "Open")</f>
        <v>Open</v>
      </c>
      <c r="J6874" t="s">
        <v>3803</v>
      </c>
      <c r="L6874">
        <v>5100000</v>
      </c>
      <c r="M6874">
        <v>510000</v>
      </c>
    </row>
    <row r="6875" spans="1:13" x14ac:dyDescent="0.25">
      <c r="A6875" t="s">
        <v>22694</v>
      </c>
      <c r="B6875" t="s">
        <v>22695</v>
      </c>
      <c r="C6875" t="s">
        <v>83</v>
      </c>
      <c r="D6875" t="s">
        <v>8458</v>
      </c>
      <c r="E6875" t="s">
        <v>86</v>
      </c>
      <c r="F6875" t="s">
        <v>21846</v>
      </c>
      <c r="G6875" t="s">
        <v>22696</v>
      </c>
      <c r="H6875" t="str">
        <f>HYPERLINK("https://baanknet.com/view-property/280793/EC5C38E73A9B0B4EAE6AAAE1F6CE03F292E8B39D43D071D3FC3F38DD23DBDCF8", "https://baanknet.com/view-property/280793/EC5C38E73A9B0B4EAE6AAAE1F6CE03F292E8B39D43D071D3FC3F38DD23DBDCF8")</f>
        <v>https://baanknet.com/view-property/280793/EC5C38E73A9B0B4EAE6AAAE1F6CE03F292E8B39D43D071D3FC3F38DD23DBDCF8</v>
      </c>
      <c r="I6875" t="str">
        <f>HYPERLINK("https://baanknet.com/view-property/280793/EC5C38E73A9B0B4EAE6AAAE1F6CE03F292E8B39D43D071D3FC3F38DD23DBDCF8", "Open")</f>
        <v>Open</v>
      </c>
      <c r="J6875" t="s">
        <v>20</v>
      </c>
      <c r="K6875" t="s">
        <v>21</v>
      </c>
      <c r="L6875">
        <v>721000</v>
      </c>
      <c r="M6875">
        <v>72100</v>
      </c>
    </row>
    <row r="6876" spans="1:13" x14ac:dyDescent="0.25">
      <c r="A6876" t="s">
        <v>22697</v>
      </c>
      <c r="B6876" t="s">
        <v>22698</v>
      </c>
      <c r="C6876" t="s">
        <v>83</v>
      </c>
      <c r="D6876" t="s">
        <v>22699</v>
      </c>
      <c r="E6876" t="s">
        <v>86</v>
      </c>
      <c r="F6876" t="s">
        <v>21846</v>
      </c>
      <c r="G6876" t="s">
        <v>22700</v>
      </c>
      <c r="H6876" t="str">
        <f>HYPERLINK("https://baanknet.com/view-property/237517/E0721078696CC4D81B29115554ED3DBCBCE128A9B1C09380DE2A00311E60D5CF", "https://baanknet.com/view-property/237517/E0721078696CC4D81B29115554ED3DBCBCE128A9B1C09380DE2A00311E60D5CF")</f>
        <v>https://baanknet.com/view-property/237517/E0721078696CC4D81B29115554ED3DBCBCE128A9B1C09380DE2A00311E60D5CF</v>
      </c>
      <c r="I6876" t="str">
        <f>HYPERLINK("https://baanknet.com/view-property/237517/E0721078696CC4D81B29115554ED3DBCBCE128A9B1C09380DE2A00311E60D5CF", "Open")</f>
        <v>Open</v>
      </c>
      <c r="J6876" t="s">
        <v>20</v>
      </c>
      <c r="K6876" t="s">
        <v>21</v>
      </c>
      <c r="L6876">
        <v>731025</v>
      </c>
      <c r="M6876">
        <v>73102.5</v>
      </c>
    </row>
    <row r="6877" spans="1:13" x14ac:dyDescent="0.25">
      <c r="A6877" t="s">
        <v>22701</v>
      </c>
      <c r="B6877" t="s">
        <v>22702</v>
      </c>
      <c r="C6877" t="s">
        <v>83</v>
      </c>
      <c r="D6877" t="s">
        <v>11927</v>
      </c>
      <c r="E6877" t="s">
        <v>86</v>
      </c>
      <c r="F6877" t="s">
        <v>21846</v>
      </c>
      <c r="G6877" t="s">
        <v>22703</v>
      </c>
      <c r="H6877" t="str">
        <f>HYPERLINK("https://baanknet.com/view-property/288101/6ADA44AEB6578639195D63408A542CEA7B99819A2B423C66DE5A7DE4D9532B77", "https://baanknet.com/view-property/288101/6ADA44AEB6578639195D63408A542CEA7B99819A2B423C66DE5A7DE4D9532B77")</f>
        <v>https://baanknet.com/view-property/288101/6ADA44AEB6578639195D63408A542CEA7B99819A2B423C66DE5A7DE4D9532B77</v>
      </c>
      <c r="I6877" t="str">
        <f>HYPERLINK("https://baanknet.com/view-property/288101/6ADA44AEB6578639195D63408A542CEA7B99819A2B423C66DE5A7DE4D9532B77", "Open")</f>
        <v>Open</v>
      </c>
      <c r="J6877" t="s">
        <v>20</v>
      </c>
      <c r="K6877" t="s">
        <v>21</v>
      </c>
      <c r="L6877">
        <v>4643730</v>
      </c>
      <c r="M6877">
        <v>464373</v>
      </c>
    </row>
    <row r="6878" spans="1:13" x14ac:dyDescent="0.25">
      <c r="A6878" t="s">
        <v>22704</v>
      </c>
      <c r="B6878" t="s">
        <v>22705</v>
      </c>
      <c r="C6878" t="s">
        <v>83</v>
      </c>
      <c r="D6878" t="s">
        <v>11927</v>
      </c>
      <c r="E6878" t="s">
        <v>86</v>
      </c>
      <c r="F6878" t="s">
        <v>21846</v>
      </c>
      <c r="G6878" t="s">
        <v>22706</v>
      </c>
      <c r="H6878" t="str">
        <f>HYPERLINK("https://baanknet.com/view-property/288104/45E1CD5229AED64EABCDBD7773A618F5B5A32F2E02F8DC1ACB7125C080BAEBA7", "https://baanknet.com/view-property/288104/45E1CD5229AED64EABCDBD7773A618F5B5A32F2E02F8DC1ACB7125C080BAEBA7")</f>
        <v>https://baanknet.com/view-property/288104/45E1CD5229AED64EABCDBD7773A618F5B5A32F2E02F8DC1ACB7125C080BAEBA7</v>
      </c>
      <c r="I6878" t="str">
        <f>HYPERLINK("https://baanknet.com/view-property/288104/45E1CD5229AED64EABCDBD7773A618F5B5A32F2E02F8DC1ACB7125C080BAEBA7", "Open")</f>
        <v>Open</v>
      </c>
      <c r="J6878" t="s">
        <v>20</v>
      </c>
      <c r="K6878" t="s">
        <v>21</v>
      </c>
      <c r="L6878">
        <v>4643730</v>
      </c>
      <c r="M6878">
        <v>464373</v>
      </c>
    </row>
    <row r="6879" spans="1:13" x14ac:dyDescent="0.25">
      <c r="A6879" t="s">
        <v>22707</v>
      </c>
      <c r="B6879" t="s">
        <v>22708</v>
      </c>
      <c r="C6879" t="s">
        <v>15</v>
      </c>
      <c r="D6879" t="s">
        <v>10735</v>
      </c>
      <c r="E6879" t="s">
        <v>22709</v>
      </c>
      <c r="F6879" t="s">
        <v>22710</v>
      </c>
      <c r="G6879" t="s">
        <v>22711</v>
      </c>
      <c r="H6879" t="str">
        <f>HYPERLINK("https://baanknet.com/view-property/284758/2665E8166127F58D6BB83A59B05148C3CD3B2FCC31AF54AEB8631AC32151D67D", "https://baanknet.com/view-property/284758/2665E8166127F58D6BB83A59B05148C3CD3B2FCC31AF54AEB8631AC32151D67D")</f>
        <v>https://baanknet.com/view-property/284758/2665E8166127F58D6BB83A59B05148C3CD3B2FCC31AF54AEB8631AC32151D67D</v>
      </c>
      <c r="I6879" t="str">
        <f>HYPERLINK("https://baanknet.com/view-property/284758/2665E8166127F58D6BB83A59B05148C3CD3B2FCC31AF54AEB8631AC32151D67D", "Open")</f>
        <v>Open</v>
      </c>
      <c r="J6879" t="s">
        <v>20</v>
      </c>
      <c r="K6879" t="s">
        <v>21</v>
      </c>
      <c r="L6879">
        <v>3180000</v>
      </c>
      <c r="M6879">
        <v>318000</v>
      </c>
    </row>
    <row r="6880" spans="1:13" x14ac:dyDescent="0.25">
      <c r="A6880" t="s">
        <v>22712</v>
      </c>
      <c r="B6880" t="s">
        <v>22713</v>
      </c>
      <c r="C6880" t="s">
        <v>121</v>
      </c>
      <c r="D6880" t="s">
        <v>3460</v>
      </c>
      <c r="E6880" t="s">
        <v>841</v>
      </c>
      <c r="F6880" t="s">
        <v>334</v>
      </c>
      <c r="G6880" t="s">
        <v>22714</v>
      </c>
      <c r="H6880" t="str">
        <f>HYPERLINK("https://baanknet.com/view-property/231938/9983816FF1A4747A5443A3ECBB96F14B4BF362A42643FFC8078A078BE9795941", "https://baanknet.com/view-property/231938/9983816FF1A4747A5443A3ECBB96F14B4BF362A42643FFC8078A078BE9795941")</f>
        <v>https://baanknet.com/view-property/231938/9983816FF1A4747A5443A3ECBB96F14B4BF362A42643FFC8078A078BE9795941</v>
      </c>
      <c r="I6880" t="str">
        <f>HYPERLINK("https://baanknet.com/view-property/231938/9983816FF1A4747A5443A3ECBB96F14B4BF362A42643FFC8078A078BE9795941", "Open")</f>
        <v>Open</v>
      </c>
      <c r="J6880" t="s">
        <v>20</v>
      </c>
      <c r="K6880" t="s">
        <v>21</v>
      </c>
      <c r="L6880">
        <v>3278000</v>
      </c>
      <c r="M6880">
        <v>327800</v>
      </c>
    </row>
    <row r="6881" spans="1:13" x14ac:dyDescent="0.25">
      <c r="A6881" t="s">
        <v>22715</v>
      </c>
      <c r="B6881" t="s">
        <v>22716</v>
      </c>
      <c r="C6881" t="s">
        <v>144</v>
      </c>
      <c r="D6881" t="s">
        <v>1246</v>
      </c>
      <c r="E6881" t="s">
        <v>654</v>
      </c>
      <c r="F6881" t="s">
        <v>510</v>
      </c>
      <c r="G6881" t="s">
        <v>22717</v>
      </c>
      <c r="H6881" t="str">
        <f>HYPERLINK("https://baanknet.com/view-property/286100/2A7B0CED8C0CA957EFADC5E4E272B9F5241444CA7CB23E027220C3483CBE31AE", "https://baanknet.com/view-property/286100/2A7B0CED8C0CA957EFADC5E4E272B9F5241444CA7CB23E027220C3483CBE31AE")</f>
        <v>https://baanknet.com/view-property/286100/2A7B0CED8C0CA957EFADC5E4E272B9F5241444CA7CB23E027220C3483CBE31AE</v>
      </c>
      <c r="I6881" t="str">
        <f>HYPERLINK("https://baanknet.com/view-property/286100/2A7B0CED8C0CA957EFADC5E4E272B9F5241444CA7CB23E027220C3483CBE31AE", "Open")</f>
        <v>Open</v>
      </c>
      <c r="J6881" t="s">
        <v>20</v>
      </c>
      <c r="K6881" t="s">
        <v>21</v>
      </c>
      <c r="L6881">
        <v>8450000</v>
      </c>
      <c r="M6881">
        <v>845000</v>
      </c>
    </row>
    <row r="6882" spans="1:13" x14ac:dyDescent="0.25">
      <c r="A6882" t="s">
        <v>22718</v>
      </c>
      <c r="B6882" t="s">
        <v>22719</v>
      </c>
      <c r="C6882" t="s">
        <v>121</v>
      </c>
      <c r="D6882" t="s">
        <v>509</v>
      </c>
      <c r="E6882" t="s">
        <v>654</v>
      </c>
      <c r="F6882" t="s">
        <v>334</v>
      </c>
      <c r="G6882" t="s">
        <v>22720</v>
      </c>
      <c r="H6882" t="str">
        <f>HYPERLINK("https://baanknet.com/view-property/285711/D2E8574A678FF371FF50220D6F76A675ACFD809A25BE5A4E370E14FC77BCDC4D", "https://baanknet.com/view-property/285711/D2E8574A678FF371FF50220D6F76A675ACFD809A25BE5A4E370E14FC77BCDC4D")</f>
        <v>https://baanknet.com/view-property/285711/D2E8574A678FF371FF50220D6F76A675ACFD809A25BE5A4E370E14FC77BCDC4D</v>
      </c>
      <c r="I6882" t="str">
        <f>HYPERLINK("https://baanknet.com/view-property/285711/D2E8574A678FF371FF50220D6F76A675ACFD809A25BE5A4E370E14FC77BCDC4D", "Open")</f>
        <v>Open</v>
      </c>
      <c r="J6882" t="s">
        <v>20</v>
      </c>
      <c r="K6882" t="s">
        <v>21</v>
      </c>
      <c r="L6882">
        <v>958000</v>
      </c>
      <c r="M6882">
        <v>95800</v>
      </c>
    </row>
    <row r="6883" spans="1:13" x14ac:dyDescent="0.25">
      <c r="A6883" t="s">
        <v>22721</v>
      </c>
      <c r="B6883" t="s">
        <v>22722</v>
      </c>
      <c r="C6883" t="s">
        <v>121</v>
      </c>
      <c r="D6883" t="s">
        <v>157</v>
      </c>
      <c r="E6883" t="s">
        <v>654</v>
      </c>
      <c r="F6883" t="s">
        <v>334</v>
      </c>
      <c r="G6883" t="s">
        <v>22723</v>
      </c>
      <c r="H6883" t="str">
        <f>HYPERLINK("https://baanknet.com/view-property/266190/DB2A836B3AE5ABF7E49900F1030AD4C683FC282CA0A1DE578E5224B5A2D3B3ED", "https://baanknet.com/view-property/266190/DB2A836B3AE5ABF7E49900F1030AD4C683FC282CA0A1DE578E5224B5A2D3B3ED")</f>
        <v>https://baanknet.com/view-property/266190/DB2A836B3AE5ABF7E49900F1030AD4C683FC282CA0A1DE578E5224B5A2D3B3ED</v>
      </c>
      <c r="I6883" t="str">
        <f>HYPERLINK("https://baanknet.com/view-property/266190/DB2A836B3AE5ABF7E49900F1030AD4C683FC282CA0A1DE578E5224B5A2D3B3ED", "Open")</f>
        <v>Open</v>
      </c>
      <c r="J6883" t="s">
        <v>20</v>
      </c>
      <c r="K6883" t="s">
        <v>21</v>
      </c>
      <c r="L6883">
        <v>5230000</v>
      </c>
      <c r="M6883">
        <v>523000</v>
      </c>
    </row>
    <row r="6884" spans="1:13" x14ac:dyDescent="0.25">
      <c r="A6884" t="s">
        <v>22724</v>
      </c>
      <c r="B6884" t="s">
        <v>22725</v>
      </c>
      <c r="C6884" t="s">
        <v>121</v>
      </c>
      <c r="D6884" t="s">
        <v>1263</v>
      </c>
      <c r="E6884" t="s">
        <v>654</v>
      </c>
      <c r="F6884" t="s">
        <v>334</v>
      </c>
      <c r="G6884" t="s">
        <v>22726</v>
      </c>
      <c r="H6884" t="str">
        <f>HYPERLINK("https://baanknet.com/view-property/286041/4AA4B55E61E6CF8D75AD1CF9C7419F96B9D6203F1D34907227E6CC3281F394EF", "https://baanknet.com/view-property/286041/4AA4B55E61E6CF8D75AD1CF9C7419F96B9D6203F1D34907227E6CC3281F394EF")</f>
        <v>https://baanknet.com/view-property/286041/4AA4B55E61E6CF8D75AD1CF9C7419F96B9D6203F1D34907227E6CC3281F394EF</v>
      </c>
      <c r="I6884" t="str">
        <f>HYPERLINK("https://baanknet.com/view-property/286041/4AA4B55E61E6CF8D75AD1CF9C7419F96B9D6203F1D34907227E6CC3281F394EF", "Open")</f>
        <v>Open</v>
      </c>
      <c r="J6884" t="s">
        <v>20</v>
      </c>
      <c r="K6884" t="s">
        <v>21</v>
      </c>
      <c r="L6884">
        <v>1406000</v>
      </c>
      <c r="M6884">
        <v>140600</v>
      </c>
    </row>
    <row r="6885" spans="1:13" x14ac:dyDescent="0.25">
      <c r="A6885" t="s">
        <v>22727</v>
      </c>
      <c r="B6885" t="s">
        <v>22728</v>
      </c>
      <c r="C6885" t="s">
        <v>121</v>
      </c>
      <c r="D6885" t="s">
        <v>2167</v>
      </c>
      <c r="E6885" t="s">
        <v>654</v>
      </c>
      <c r="F6885" t="s">
        <v>334</v>
      </c>
      <c r="G6885" t="s">
        <v>22729</v>
      </c>
      <c r="H6885" t="str">
        <f>HYPERLINK("https://baanknet.com/view-property/279526/CCCC4635CDB37F390A706FB5ACA7B884A73F562621DFD475D224E336A260200D", "https://baanknet.com/view-property/279526/CCCC4635CDB37F390A706FB5ACA7B884A73F562621DFD475D224E336A260200D")</f>
        <v>https://baanknet.com/view-property/279526/CCCC4635CDB37F390A706FB5ACA7B884A73F562621DFD475D224E336A260200D</v>
      </c>
      <c r="I6885" t="str">
        <f>HYPERLINK("https://baanknet.com/view-property/279526/CCCC4635CDB37F390A706FB5ACA7B884A73F562621DFD475D224E336A260200D", "Open")</f>
        <v>Open</v>
      </c>
      <c r="J6885" t="s">
        <v>20</v>
      </c>
      <c r="K6885" t="s">
        <v>21</v>
      </c>
      <c r="L6885">
        <v>12852000</v>
      </c>
      <c r="M6885">
        <v>1285200</v>
      </c>
    </row>
    <row r="6886" spans="1:13" x14ac:dyDescent="0.25">
      <c r="A6886" t="s">
        <v>22730</v>
      </c>
      <c r="B6886" t="s">
        <v>22731</v>
      </c>
      <c r="C6886" t="s">
        <v>121</v>
      </c>
      <c r="D6886" t="s">
        <v>2185</v>
      </c>
      <c r="E6886" t="s">
        <v>654</v>
      </c>
      <c r="F6886" t="s">
        <v>334</v>
      </c>
      <c r="G6886" t="s">
        <v>22732</v>
      </c>
      <c r="H6886" t="str">
        <f>HYPERLINK("https://baanknet.com/view-property/258700/17CEDA1342EBEF07BB27705E7B6575BEBE3E2ADC055D346644112EECCB312BDA", "https://baanknet.com/view-property/258700/17CEDA1342EBEF07BB27705E7B6575BEBE3E2ADC055D346644112EECCB312BDA")</f>
        <v>https://baanknet.com/view-property/258700/17CEDA1342EBEF07BB27705E7B6575BEBE3E2ADC055D346644112EECCB312BDA</v>
      </c>
      <c r="I6886" t="str">
        <f>HYPERLINK("https://baanknet.com/view-property/258700/17CEDA1342EBEF07BB27705E7B6575BEBE3E2ADC055D346644112EECCB312BDA", "Open")</f>
        <v>Open</v>
      </c>
      <c r="J6886" t="s">
        <v>20</v>
      </c>
      <c r="K6886" t="s">
        <v>21</v>
      </c>
      <c r="L6886">
        <v>2754000</v>
      </c>
      <c r="M6886">
        <v>275400</v>
      </c>
    </row>
    <row r="6887" spans="1:13" x14ac:dyDescent="0.25">
      <c r="A6887" t="s">
        <v>22733</v>
      </c>
      <c r="B6887" t="s">
        <v>22734</v>
      </c>
      <c r="C6887" t="s">
        <v>121</v>
      </c>
      <c r="D6887" t="s">
        <v>1602</v>
      </c>
      <c r="E6887" t="s">
        <v>654</v>
      </c>
      <c r="F6887" t="s">
        <v>334</v>
      </c>
      <c r="G6887" t="s">
        <v>22735</v>
      </c>
      <c r="H6887" t="str">
        <f>HYPERLINK("https://baanknet.com/view-property/274944/3AB0A28EA09809BFAB692E25662DA896666C8A27D5B9BB82EDCDF3714C4EBB53", "https://baanknet.com/view-property/274944/3AB0A28EA09809BFAB692E25662DA896666C8A27D5B9BB82EDCDF3714C4EBB53")</f>
        <v>https://baanknet.com/view-property/274944/3AB0A28EA09809BFAB692E25662DA896666C8A27D5B9BB82EDCDF3714C4EBB53</v>
      </c>
      <c r="I6887" t="str">
        <f>HYPERLINK("https://baanknet.com/view-property/274944/3AB0A28EA09809BFAB692E25662DA896666C8A27D5B9BB82EDCDF3714C4EBB53", "Open")</f>
        <v>Open</v>
      </c>
      <c r="J6887" t="s">
        <v>20</v>
      </c>
      <c r="K6887" t="s">
        <v>21</v>
      </c>
      <c r="L6887">
        <v>937000</v>
      </c>
      <c r="M6887">
        <v>93700</v>
      </c>
    </row>
    <row r="6888" spans="1:13" x14ac:dyDescent="0.25">
      <c r="A6888" t="s">
        <v>22736</v>
      </c>
      <c r="B6888" t="s">
        <v>22737</v>
      </c>
      <c r="C6888" t="s">
        <v>121</v>
      </c>
      <c r="D6888" t="s">
        <v>8438</v>
      </c>
      <c r="E6888" t="s">
        <v>654</v>
      </c>
      <c r="F6888" t="s">
        <v>334</v>
      </c>
      <c r="G6888" t="s">
        <v>22738</v>
      </c>
      <c r="H6888" t="str">
        <f>HYPERLINK("https://baanknet.com/view-property/285277/2F26577B06683598D1A48681E2D91B3170AEFEE4FFCCBB33F8A3D4B5050E585A", "https://baanknet.com/view-property/285277/2F26577B06683598D1A48681E2D91B3170AEFEE4FFCCBB33F8A3D4B5050E585A")</f>
        <v>https://baanknet.com/view-property/285277/2F26577B06683598D1A48681E2D91B3170AEFEE4FFCCBB33F8A3D4B5050E585A</v>
      </c>
      <c r="I6888" t="str">
        <f>HYPERLINK("https://baanknet.com/view-property/285277/2F26577B06683598D1A48681E2D91B3170AEFEE4FFCCBB33F8A3D4B5050E585A", "Open")</f>
        <v>Open</v>
      </c>
      <c r="J6888" t="s">
        <v>20</v>
      </c>
      <c r="K6888" t="s">
        <v>21</v>
      </c>
      <c r="L6888">
        <v>8000000</v>
      </c>
      <c r="M6888">
        <v>800000</v>
      </c>
    </row>
    <row r="6889" spans="1:13" x14ac:dyDescent="0.25">
      <c r="A6889" t="s">
        <v>22739</v>
      </c>
      <c r="B6889" t="s">
        <v>22740</v>
      </c>
      <c r="C6889" t="s">
        <v>121</v>
      </c>
      <c r="D6889" t="s">
        <v>608</v>
      </c>
      <c r="E6889" t="s">
        <v>654</v>
      </c>
      <c r="F6889" t="s">
        <v>538</v>
      </c>
      <c r="G6889" t="s">
        <v>22741</v>
      </c>
      <c r="H6889" t="str">
        <f>HYPERLINK("https://baanknet.com/view-property/175791/0F900738A6ED7E33B33E57A88EE1215BE090D5396114356E3BCCD00A6418C18E", "https://baanknet.com/view-property/175791/0F900738A6ED7E33B33E57A88EE1215BE090D5396114356E3BCCD00A6418C18E")</f>
        <v>https://baanknet.com/view-property/175791/0F900738A6ED7E33B33E57A88EE1215BE090D5396114356E3BCCD00A6418C18E</v>
      </c>
      <c r="I6889" t="str">
        <f>HYPERLINK("https://baanknet.com/view-property/175791/0F900738A6ED7E33B33E57A88EE1215BE090D5396114356E3BCCD00A6418C18E", "Open")</f>
        <v>Open</v>
      </c>
      <c r="J6889" t="s">
        <v>20</v>
      </c>
      <c r="K6889" t="s">
        <v>21</v>
      </c>
      <c r="L6889">
        <v>3342000</v>
      </c>
      <c r="M6889">
        <v>334200</v>
      </c>
    </row>
    <row r="6890" spans="1:13" x14ac:dyDescent="0.25">
      <c r="A6890" t="s">
        <v>22742</v>
      </c>
      <c r="B6890" t="s">
        <v>22743</v>
      </c>
      <c r="C6890" t="s">
        <v>594</v>
      </c>
      <c r="D6890" t="s">
        <v>6876</v>
      </c>
      <c r="E6890" t="s">
        <v>596</v>
      </c>
      <c r="F6890" t="s">
        <v>574</v>
      </c>
      <c r="G6890" t="s">
        <v>22744</v>
      </c>
      <c r="H6890" t="str">
        <f>HYPERLINK("https://baanknet.com/view-property/287854/201039879DDDB9F78D80BF93A1EAF9E3AEAA5FFFA2C0B7CBD6A7520956464DD7", "https://baanknet.com/view-property/287854/201039879DDDB9F78D80BF93A1EAF9E3AEAA5FFFA2C0B7CBD6A7520956464DD7")</f>
        <v>https://baanknet.com/view-property/287854/201039879DDDB9F78D80BF93A1EAF9E3AEAA5FFFA2C0B7CBD6A7520956464DD7</v>
      </c>
      <c r="I6890" t="str">
        <f>HYPERLINK("https://baanknet.com/view-property/287854/201039879DDDB9F78D80BF93A1EAF9E3AEAA5FFFA2C0B7CBD6A7520956464DD7", "Open")</f>
        <v>Open</v>
      </c>
      <c r="J6890" t="s">
        <v>20</v>
      </c>
      <c r="K6890" t="s">
        <v>21</v>
      </c>
      <c r="L6890">
        <v>3646000</v>
      </c>
      <c r="M6890">
        <v>364600</v>
      </c>
    </row>
    <row r="6891" spans="1:13" x14ac:dyDescent="0.25">
      <c r="A6891" t="s">
        <v>22745</v>
      </c>
      <c r="B6891" t="s">
        <v>22746</v>
      </c>
      <c r="C6891" t="s">
        <v>589</v>
      </c>
      <c r="D6891" t="s">
        <v>1190</v>
      </c>
      <c r="E6891" t="s">
        <v>623</v>
      </c>
      <c r="F6891" t="s">
        <v>624</v>
      </c>
      <c r="G6891" t="s">
        <v>22747</v>
      </c>
      <c r="H6891" t="str">
        <f>HYPERLINK("https://baanknet.com/view-property/285394/5E7E446BC25C7D34216764474B123125F14335EABBB75525F4335715BBEF5556", "https://baanknet.com/view-property/285394/5E7E446BC25C7D34216764474B123125F14335EABBB75525F4335715BBEF5556")</f>
        <v>https://baanknet.com/view-property/285394/5E7E446BC25C7D34216764474B123125F14335EABBB75525F4335715BBEF5556</v>
      </c>
      <c r="I6891" t="str">
        <f>HYPERLINK("https://baanknet.com/view-property/285394/5E7E446BC25C7D34216764474B123125F14335EABBB75525F4335715BBEF5556", "Open")</f>
        <v>Open</v>
      </c>
      <c r="J6891" t="s">
        <v>20</v>
      </c>
      <c r="K6891" t="s">
        <v>21</v>
      </c>
      <c r="L6891">
        <v>3181000</v>
      </c>
      <c r="M6891">
        <v>318100</v>
      </c>
    </row>
    <row r="6892" spans="1:13" x14ac:dyDescent="0.25">
      <c r="A6892" t="s">
        <v>22748</v>
      </c>
      <c r="B6892" t="s">
        <v>22749</v>
      </c>
      <c r="C6892" t="s">
        <v>15</v>
      </c>
      <c r="D6892" t="s">
        <v>22750</v>
      </c>
      <c r="E6892" t="s">
        <v>10624</v>
      </c>
      <c r="F6892" t="s">
        <v>10625</v>
      </c>
      <c r="G6892" t="s">
        <v>22751</v>
      </c>
      <c r="H6892" t="str">
        <f>HYPERLINK("https://baanknet.com/view-property/191497/1B01EB8BB92D32DCDE6690DF18B448C7FF1251DA3727420D1D1FFB2A2BAEA3A0", "https://baanknet.com/view-property/191497/1B01EB8BB92D32DCDE6690DF18B448C7FF1251DA3727420D1D1FFB2A2BAEA3A0")</f>
        <v>https://baanknet.com/view-property/191497/1B01EB8BB92D32DCDE6690DF18B448C7FF1251DA3727420D1D1FFB2A2BAEA3A0</v>
      </c>
      <c r="I6892" t="str">
        <f>HYPERLINK("https://baanknet.com/view-property/191497/1B01EB8BB92D32DCDE6690DF18B448C7FF1251DA3727420D1D1FFB2A2BAEA3A0", "Open")</f>
        <v>Open</v>
      </c>
      <c r="J6892" t="s">
        <v>20</v>
      </c>
      <c r="K6892" t="s">
        <v>21</v>
      </c>
      <c r="L6892">
        <v>2100000</v>
      </c>
      <c r="M6892">
        <v>210000</v>
      </c>
    </row>
    <row r="6893" spans="1:13" x14ac:dyDescent="0.25">
      <c r="A6893" t="s">
        <v>22752</v>
      </c>
      <c r="B6893" t="s">
        <v>22753</v>
      </c>
      <c r="C6893" t="s">
        <v>121</v>
      </c>
      <c r="D6893" t="s">
        <v>5365</v>
      </c>
      <c r="E6893" t="s">
        <v>11024</v>
      </c>
      <c r="F6893" t="s">
        <v>11004</v>
      </c>
      <c r="G6893" t="s">
        <v>22754</v>
      </c>
      <c r="H6893" t="str">
        <f>HYPERLINK("https://baanknet.com/view-property/285868/43E30DD77D69FB458F3E027B7643E63F13E0A5A8DC66649BF9F7AD4EEFCF6C6B", "https://baanknet.com/view-property/285868/43E30DD77D69FB458F3E027B7643E63F13E0A5A8DC66649BF9F7AD4EEFCF6C6B")</f>
        <v>https://baanknet.com/view-property/285868/43E30DD77D69FB458F3E027B7643E63F13E0A5A8DC66649BF9F7AD4EEFCF6C6B</v>
      </c>
      <c r="I6893" t="str">
        <f>HYPERLINK("https://baanknet.com/view-property/285868/43E30DD77D69FB458F3E027B7643E63F13E0A5A8DC66649BF9F7AD4EEFCF6C6B", "Open")</f>
        <v>Open</v>
      </c>
      <c r="J6893" t="s">
        <v>20</v>
      </c>
      <c r="K6893" t="s">
        <v>21</v>
      </c>
      <c r="L6893">
        <v>10013000</v>
      </c>
      <c r="M6893">
        <v>1001300</v>
      </c>
    </row>
    <row r="6894" spans="1:13" x14ac:dyDescent="0.25">
      <c r="A6894" t="s">
        <v>22755</v>
      </c>
      <c r="B6894" t="s">
        <v>22756</v>
      </c>
      <c r="C6894" t="s">
        <v>15</v>
      </c>
      <c r="D6894" t="s">
        <v>13582</v>
      </c>
      <c r="E6894" t="s">
        <v>11981</v>
      </c>
      <c r="F6894" t="s">
        <v>11048</v>
      </c>
      <c r="G6894" t="s">
        <v>22757</v>
      </c>
      <c r="H6894" t="str">
        <f>HYPERLINK("https://baanknet.com/view-property/271076/9013DC1DBD6BC643BDEF24B6BD3360AF7BB97533167B003BCF9DA7604540AB20", "https://baanknet.com/view-property/271076/9013DC1DBD6BC643BDEF24B6BD3360AF7BB97533167B003BCF9DA7604540AB20")</f>
        <v>https://baanknet.com/view-property/271076/9013DC1DBD6BC643BDEF24B6BD3360AF7BB97533167B003BCF9DA7604540AB20</v>
      </c>
      <c r="I6894" t="str">
        <f>HYPERLINK("https://baanknet.com/view-property/271076/9013DC1DBD6BC643BDEF24B6BD3360AF7BB97533167B003BCF9DA7604540AB20", "Open")</f>
        <v>Open</v>
      </c>
      <c r="J6894" t="s">
        <v>20</v>
      </c>
      <c r="K6894" t="s">
        <v>21</v>
      </c>
      <c r="L6894">
        <v>1000000</v>
      </c>
      <c r="M6894">
        <v>100000</v>
      </c>
    </row>
    <row r="6895" spans="1:13" x14ac:dyDescent="0.25">
      <c r="A6895" t="s">
        <v>22758</v>
      </c>
      <c r="B6895" t="s">
        <v>22759</v>
      </c>
      <c r="C6895" t="s">
        <v>15</v>
      </c>
      <c r="D6895" t="s">
        <v>10993</v>
      </c>
      <c r="E6895" t="s">
        <v>77</v>
      </c>
      <c r="F6895" t="s">
        <v>78</v>
      </c>
      <c r="G6895" t="s">
        <v>22760</v>
      </c>
      <c r="H6895" t="str">
        <f>HYPERLINK("https://baanknet.com/view-property/223997/70FB0E6DA5E42E1FA35E5D9A1F2E36E07920B62775E03C6E3055F4DACFB70559", "https://baanknet.com/view-property/223997/70FB0E6DA5E42E1FA35E5D9A1F2E36E07920B62775E03C6E3055F4DACFB70559")</f>
        <v>https://baanknet.com/view-property/223997/70FB0E6DA5E42E1FA35E5D9A1F2E36E07920B62775E03C6E3055F4DACFB70559</v>
      </c>
      <c r="I6895" t="str">
        <f>HYPERLINK("https://baanknet.com/view-property/223997/70FB0E6DA5E42E1FA35E5D9A1F2E36E07920B62775E03C6E3055F4DACFB70559", "Open")</f>
        <v>Open</v>
      </c>
      <c r="J6895" t="s">
        <v>20</v>
      </c>
      <c r="K6895" t="s">
        <v>80</v>
      </c>
      <c r="L6895">
        <v>1300000</v>
      </c>
      <c r="M6895">
        <v>130000</v>
      </c>
    </row>
    <row r="6896" spans="1:13" x14ac:dyDescent="0.25">
      <c r="A6896" t="s">
        <v>22761</v>
      </c>
      <c r="B6896" t="s">
        <v>22762</v>
      </c>
      <c r="C6896" t="s">
        <v>15</v>
      </c>
      <c r="D6896" t="s">
        <v>3473</v>
      </c>
      <c r="E6896" t="s">
        <v>77</v>
      </c>
      <c r="F6896" t="s">
        <v>78</v>
      </c>
      <c r="G6896" t="s">
        <v>22763</v>
      </c>
      <c r="H6896" t="str">
        <f>HYPERLINK("https://baanknet.com/view-property/279669/16168FD7215AAEC072E2B0164720A63BA9EDFB972783E616CFF78F4F2044279B", "https://baanknet.com/view-property/279669/16168FD7215AAEC072E2B0164720A63BA9EDFB972783E616CFF78F4F2044279B")</f>
        <v>https://baanknet.com/view-property/279669/16168FD7215AAEC072E2B0164720A63BA9EDFB972783E616CFF78F4F2044279B</v>
      </c>
      <c r="I6896" t="str">
        <f>HYPERLINK("https://baanknet.com/view-property/279669/16168FD7215AAEC072E2B0164720A63BA9EDFB972783E616CFF78F4F2044279B", "Open")</f>
        <v>Open</v>
      </c>
      <c r="J6896" t="s">
        <v>20</v>
      </c>
      <c r="K6896" t="s">
        <v>80</v>
      </c>
      <c r="L6896">
        <v>3800000</v>
      </c>
      <c r="M6896">
        <v>380000</v>
      </c>
    </row>
    <row r="6897" spans="1:13" x14ac:dyDescent="0.25">
      <c r="A6897" t="s">
        <v>22764</v>
      </c>
      <c r="B6897" t="s">
        <v>22765</v>
      </c>
      <c r="C6897" t="s">
        <v>15</v>
      </c>
      <c r="D6897" t="s">
        <v>22766</v>
      </c>
      <c r="E6897" t="s">
        <v>85</v>
      </c>
      <c r="F6897" t="s">
        <v>86</v>
      </c>
      <c r="G6897" t="s">
        <v>22767</v>
      </c>
      <c r="H6897" t="str">
        <f>HYPERLINK("https://baanknet.com/view-property/223473/23FE7963EFA2EC9DC93BE397C94B327EC6FD7EF97DEC800B638B57A99EF59322", "https://baanknet.com/view-property/223473/23FE7963EFA2EC9DC93BE397C94B327EC6FD7EF97DEC800B638B57A99EF59322")</f>
        <v>https://baanknet.com/view-property/223473/23FE7963EFA2EC9DC93BE397C94B327EC6FD7EF97DEC800B638B57A99EF59322</v>
      </c>
      <c r="I6897" t="str">
        <f>HYPERLINK("https://baanknet.com/view-property/223473/23FE7963EFA2EC9DC93BE397C94B327EC6FD7EF97DEC800B638B57A99EF59322", "Open")</f>
        <v>Open</v>
      </c>
      <c r="J6897" t="s">
        <v>20</v>
      </c>
      <c r="K6897" t="s">
        <v>80</v>
      </c>
      <c r="L6897">
        <v>1670000</v>
      </c>
      <c r="M6897">
        <v>167000</v>
      </c>
    </row>
    <row r="6898" spans="1:13" x14ac:dyDescent="0.25">
      <c r="A6898" t="s">
        <v>22768</v>
      </c>
      <c r="B6898" t="s">
        <v>22769</v>
      </c>
      <c r="C6898" t="s">
        <v>15</v>
      </c>
      <c r="D6898" t="s">
        <v>90</v>
      </c>
      <c r="E6898" t="s">
        <v>85</v>
      </c>
      <c r="F6898" t="s">
        <v>86</v>
      </c>
      <c r="G6898" t="s">
        <v>22770</v>
      </c>
      <c r="H6898" t="str">
        <f>HYPERLINK("https://baanknet.com/view-property/228745/0A21A12A6EC423637E32C41335142FEFEE5CC52A7E9EC1C091F6D406D6138EBE", "https://baanknet.com/view-property/228745/0A21A12A6EC423637E32C41335142FEFEE5CC52A7E9EC1C091F6D406D6138EBE")</f>
        <v>https://baanknet.com/view-property/228745/0A21A12A6EC423637E32C41335142FEFEE5CC52A7E9EC1C091F6D406D6138EBE</v>
      </c>
      <c r="I6898" t="str">
        <f>HYPERLINK("https://baanknet.com/view-property/228745/0A21A12A6EC423637E32C41335142FEFEE5CC52A7E9EC1C091F6D406D6138EBE", "Open")</f>
        <v>Open</v>
      </c>
      <c r="J6898" t="s">
        <v>20</v>
      </c>
      <c r="K6898" t="s">
        <v>80</v>
      </c>
      <c r="L6898">
        <v>1175000</v>
      </c>
      <c r="M6898">
        <v>117500</v>
      </c>
    </row>
    <row r="6899" spans="1:13" x14ac:dyDescent="0.25">
      <c r="A6899" t="s">
        <v>22771</v>
      </c>
      <c r="B6899" t="s">
        <v>22772</v>
      </c>
      <c r="C6899" t="s">
        <v>15</v>
      </c>
      <c r="D6899" t="s">
        <v>22773</v>
      </c>
      <c r="E6899" t="s">
        <v>85</v>
      </c>
      <c r="F6899" t="s">
        <v>86</v>
      </c>
      <c r="G6899" t="s">
        <v>22774</v>
      </c>
      <c r="H6899" t="str">
        <f>HYPERLINK("https://baanknet.com/view-property/198378/3B46E428DC6DF3C811520415D7DE7F71955618DE6D3FD647EAA557CE689C012C", "https://baanknet.com/view-property/198378/3B46E428DC6DF3C811520415D7DE7F71955618DE6D3FD647EAA557CE689C012C")</f>
        <v>https://baanknet.com/view-property/198378/3B46E428DC6DF3C811520415D7DE7F71955618DE6D3FD647EAA557CE689C012C</v>
      </c>
      <c r="I6899" t="str">
        <f>HYPERLINK("https://baanknet.com/view-property/198378/3B46E428DC6DF3C811520415D7DE7F71955618DE6D3FD647EAA557CE689C012C", "Open")</f>
        <v>Open</v>
      </c>
      <c r="J6899" t="s">
        <v>20</v>
      </c>
      <c r="K6899" t="s">
        <v>80</v>
      </c>
      <c r="L6899">
        <v>580000</v>
      </c>
      <c r="M6899">
        <v>58000</v>
      </c>
    </row>
    <row r="6900" spans="1:13" x14ac:dyDescent="0.25">
      <c r="A6900" t="s">
        <v>22775</v>
      </c>
      <c r="B6900" t="s">
        <v>22776</v>
      </c>
      <c r="C6900" t="s">
        <v>15</v>
      </c>
      <c r="D6900" t="s">
        <v>309</v>
      </c>
      <c r="E6900" t="s">
        <v>85</v>
      </c>
      <c r="F6900" t="s">
        <v>86</v>
      </c>
      <c r="G6900" t="s">
        <v>22777</v>
      </c>
      <c r="H6900" t="str">
        <f>HYPERLINK("https://baanknet.com/view-property/245784/5608AF3FD0F3084FE73AE0526FA3F5BF60237F8B5A38CA2F767ACB397D0B04CC", "https://baanknet.com/view-property/245784/5608AF3FD0F3084FE73AE0526FA3F5BF60237F8B5A38CA2F767ACB397D0B04CC")</f>
        <v>https://baanknet.com/view-property/245784/5608AF3FD0F3084FE73AE0526FA3F5BF60237F8B5A38CA2F767ACB397D0B04CC</v>
      </c>
      <c r="I6900" t="str">
        <f>HYPERLINK("https://baanknet.com/view-property/245784/5608AF3FD0F3084FE73AE0526FA3F5BF60237F8B5A38CA2F767ACB397D0B04CC", "Open")</f>
        <v>Open</v>
      </c>
      <c r="J6900" t="s">
        <v>20</v>
      </c>
      <c r="K6900" t="s">
        <v>80</v>
      </c>
      <c r="L6900">
        <v>6950000</v>
      </c>
      <c r="M6900">
        <v>695000</v>
      </c>
    </row>
    <row r="6901" spans="1:13" x14ac:dyDescent="0.25">
      <c r="A6901" t="s">
        <v>22778</v>
      </c>
      <c r="B6901" t="s">
        <v>22779</v>
      </c>
      <c r="C6901" t="s">
        <v>15</v>
      </c>
      <c r="D6901" t="s">
        <v>309</v>
      </c>
      <c r="E6901" t="s">
        <v>85</v>
      </c>
      <c r="F6901" t="s">
        <v>86</v>
      </c>
      <c r="G6901" t="s">
        <v>22780</v>
      </c>
      <c r="H6901" t="str">
        <f>HYPERLINK("https://baanknet.com/view-property/245783/ED3BC1CECCC722B50E1DAA0D87268ACD43F04D0353171B651D178DDACB71ECF0", "https://baanknet.com/view-property/245783/ED3BC1CECCC722B50E1DAA0D87268ACD43F04D0353171B651D178DDACB71ECF0")</f>
        <v>https://baanknet.com/view-property/245783/ED3BC1CECCC722B50E1DAA0D87268ACD43F04D0353171B651D178DDACB71ECF0</v>
      </c>
      <c r="I6901" t="str">
        <f>HYPERLINK("https://baanknet.com/view-property/245783/ED3BC1CECCC722B50E1DAA0D87268ACD43F04D0353171B651D178DDACB71ECF0", "Open")</f>
        <v>Open</v>
      </c>
      <c r="J6901" t="s">
        <v>20</v>
      </c>
      <c r="K6901" t="s">
        <v>80</v>
      </c>
      <c r="L6901">
        <v>875000</v>
      </c>
      <c r="M6901">
        <v>87500</v>
      </c>
    </row>
    <row r="6902" spans="1:13" x14ac:dyDescent="0.25">
      <c r="A6902" t="s">
        <v>22781</v>
      </c>
      <c r="B6902" t="s">
        <v>22782</v>
      </c>
      <c r="C6902" t="s">
        <v>83</v>
      </c>
      <c r="D6902" t="s">
        <v>22783</v>
      </c>
      <c r="E6902" t="s">
        <v>85</v>
      </c>
      <c r="F6902" t="s">
        <v>21839</v>
      </c>
      <c r="G6902" t="s">
        <v>22784</v>
      </c>
      <c r="H6902" t="str">
        <f>HYPERLINK("https://baanknet.com/view-property/106336/0D14F35BF41DC1528E9FE8B24C1C45E3C542141EA09D56D96B162C3DFE86B922", "https://baanknet.com/view-property/106336/0D14F35BF41DC1528E9FE8B24C1C45E3C542141EA09D56D96B162C3DFE86B922")</f>
        <v>https://baanknet.com/view-property/106336/0D14F35BF41DC1528E9FE8B24C1C45E3C542141EA09D56D96B162C3DFE86B922</v>
      </c>
      <c r="I6902" t="str">
        <f>HYPERLINK("https://baanknet.com/view-property/106336/0D14F35BF41DC1528E9FE8B24C1C45E3C542141EA09D56D96B162C3DFE86B922", "Open")</f>
        <v>Open</v>
      </c>
      <c r="J6902" t="s">
        <v>20</v>
      </c>
      <c r="K6902" t="s">
        <v>80</v>
      </c>
      <c r="L6902">
        <v>920000</v>
      </c>
      <c r="M6902">
        <v>92000</v>
      </c>
    </row>
    <row r="6903" spans="1:13" x14ac:dyDescent="0.25">
      <c r="A6903" t="s">
        <v>22785</v>
      </c>
      <c r="B6903" t="s">
        <v>22786</v>
      </c>
      <c r="C6903" t="s">
        <v>83</v>
      </c>
      <c r="D6903" t="s">
        <v>1051</v>
      </c>
      <c r="E6903" t="s">
        <v>85</v>
      </c>
      <c r="F6903" t="s">
        <v>21839</v>
      </c>
      <c r="G6903" t="s">
        <v>22787</v>
      </c>
      <c r="H6903" t="str">
        <f>HYPERLINK("https://baanknet.com/view-property/286162/45C08C6D816283FF38E8899516C34D66FE1A721BE5D08560D71F0C1247043FCD", "https://baanknet.com/view-property/286162/45C08C6D816283FF38E8899516C34D66FE1A721BE5D08560D71F0C1247043FCD")</f>
        <v>https://baanknet.com/view-property/286162/45C08C6D816283FF38E8899516C34D66FE1A721BE5D08560D71F0C1247043FCD</v>
      </c>
      <c r="I6903" t="str">
        <f>HYPERLINK("https://baanknet.com/view-property/286162/45C08C6D816283FF38E8899516C34D66FE1A721BE5D08560D71F0C1247043FCD", "Open")</f>
        <v>Open</v>
      </c>
      <c r="J6903" t="s">
        <v>20</v>
      </c>
      <c r="K6903" t="s">
        <v>80</v>
      </c>
      <c r="L6903">
        <v>2138000</v>
      </c>
      <c r="M6903">
        <v>213800</v>
      </c>
    </row>
    <row r="6904" spans="1:13" x14ac:dyDescent="0.25">
      <c r="A6904" t="s">
        <v>22788</v>
      </c>
      <c r="B6904" t="s">
        <v>22789</v>
      </c>
      <c r="C6904" t="s">
        <v>332</v>
      </c>
      <c r="D6904" t="s">
        <v>1310</v>
      </c>
      <c r="E6904" t="s">
        <v>85</v>
      </c>
      <c r="F6904" t="s">
        <v>21839</v>
      </c>
      <c r="G6904" t="s">
        <v>22790</v>
      </c>
      <c r="H6904" t="str">
        <f>HYPERLINK("https://baanknet.com/view-property/243952/7BB77F9A324084A0EDE7261C7947BAFF34B560243D353F7AB7CB9CDF21AAF1B9", "https://baanknet.com/view-property/243952/7BB77F9A324084A0EDE7261C7947BAFF34B560243D353F7AB7CB9CDF21AAF1B9")</f>
        <v>https://baanknet.com/view-property/243952/7BB77F9A324084A0EDE7261C7947BAFF34B560243D353F7AB7CB9CDF21AAF1B9</v>
      </c>
      <c r="I6904" t="str">
        <f>HYPERLINK("https://baanknet.com/view-property/243952/7BB77F9A324084A0EDE7261C7947BAFF34B560243D353F7AB7CB9CDF21AAF1B9", "Open")</f>
        <v>Open</v>
      </c>
      <c r="J6904" t="s">
        <v>20</v>
      </c>
      <c r="K6904" t="s">
        <v>80</v>
      </c>
      <c r="L6904">
        <v>6518000</v>
      </c>
      <c r="M6904">
        <v>651800</v>
      </c>
    </row>
    <row r="6905" spans="1:13" x14ac:dyDescent="0.25">
      <c r="A6905" t="s">
        <v>22791</v>
      </c>
      <c r="B6905" t="s">
        <v>22792</v>
      </c>
      <c r="C6905" t="s">
        <v>83</v>
      </c>
      <c r="D6905" t="s">
        <v>436</v>
      </c>
      <c r="E6905" t="s">
        <v>85</v>
      </c>
      <c r="F6905" t="s">
        <v>132</v>
      </c>
      <c r="G6905" t="s">
        <v>22793</v>
      </c>
      <c r="H6905" t="str">
        <f>HYPERLINK("https://baanknet.com/view-property/284888/EE2C7CC9DF8E7112CF703FB8A1FB7300C023015CFAE8EDC38887E8A785A89467", "https://baanknet.com/view-property/284888/EE2C7CC9DF8E7112CF703FB8A1FB7300C023015CFAE8EDC38887E8A785A89467")</f>
        <v>https://baanknet.com/view-property/284888/EE2C7CC9DF8E7112CF703FB8A1FB7300C023015CFAE8EDC38887E8A785A89467</v>
      </c>
      <c r="I6905" t="str">
        <f>HYPERLINK("https://baanknet.com/view-property/284888/EE2C7CC9DF8E7112CF703FB8A1FB7300C023015CFAE8EDC38887E8A785A89467", "Open")</f>
        <v>Open</v>
      </c>
      <c r="J6905" t="s">
        <v>20</v>
      </c>
      <c r="K6905" t="s">
        <v>80</v>
      </c>
      <c r="L6905">
        <v>10400000</v>
      </c>
      <c r="M6905">
        <v>1040000</v>
      </c>
    </row>
    <row r="6906" spans="1:13" x14ac:dyDescent="0.25">
      <c r="A6906" t="s">
        <v>22794</v>
      </c>
      <c r="B6906" t="s">
        <v>22795</v>
      </c>
      <c r="C6906" t="s">
        <v>332</v>
      </c>
      <c r="D6906" t="s">
        <v>10880</v>
      </c>
      <c r="E6906" t="s">
        <v>85</v>
      </c>
      <c r="F6906" t="s">
        <v>132</v>
      </c>
      <c r="G6906" t="s">
        <v>22796</v>
      </c>
      <c r="H6906" t="str">
        <f>HYPERLINK("https://baanknet.com/view-property/255692/094F3F86622CA348E3E4AB6193B662B2EB10FE8E659CC4C4BB7014ED3BBF7171", "https://baanknet.com/view-property/255692/094F3F86622CA348E3E4AB6193B662B2EB10FE8E659CC4C4BB7014ED3BBF7171")</f>
        <v>https://baanknet.com/view-property/255692/094F3F86622CA348E3E4AB6193B662B2EB10FE8E659CC4C4BB7014ED3BBF7171</v>
      </c>
      <c r="I6906" t="str">
        <f>HYPERLINK("https://baanknet.com/view-property/255692/094F3F86622CA348E3E4AB6193B662B2EB10FE8E659CC4C4BB7014ED3BBF7171", "Open")</f>
        <v>Open</v>
      </c>
      <c r="J6906" t="s">
        <v>20</v>
      </c>
      <c r="K6906" t="s">
        <v>80</v>
      </c>
      <c r="L6906">
        <v>1650000</v>
      </c>
      <c r="M6906">
        <v>165000</v>
      </c>
    </row>
    <row r="6907" spans="1:13" x14ac:dyDescent="0.25">
      <c r="A6907" t="s">
        <v>22797</v>
      </c>
      <c r="B6907" t="s">
        <v>22798</v>
      </c>
      <c r="C6907" t="s">
        <v>594</v>
      </c>
      <c r="D6907" t="s">
        <v>12721</v>
      </c>
      <c r="E6907" t="s">
        <v>596</v>
      </c>
      <c r="F6907" t="s">
        <v>574</v>
      </c>
      <c r="G6907" t="s">
        <v>22799</v>
      </c>
      <c r="H6907" t="str">
        <f>HYPERLINK("https://baanknet.com/view-property/60638/3D7D86050DAE88B18C35BD7ED8B5ECDA850EF161D3962CD7470EC228D91635B6", "https://baanknet.com/view-property/60638/3D7D86050DAE88B18C35BD7ED8B5ECDA850EF161D3962CD7470EC228D91635B6")</f>
        <v>https://baanknet.com/view-property/60638/3D7D86050DAE88B18C35BD7ED8B5ECDA850EF161D3962CD7470EC228D91635B6</v>
      </c>
      <c r="I6907" t="str">
        <f>HYPERLINK("https://baanknet.com/view-property/60638/3D7D86050DAE88B18C35BD7ED8B5ECDA850EF161D3962CD7470EC228D91635B6", "Open")</f>
        <v>Open</v>
      </c>
      <c r="J6907" t="s">
        <v>20</v>
      </c>
      <c r="K6907" t="s">
        <v>80</v>
      </c>
      <c r="L6907">
        <v>3229000</v>
      </c>
      <c r="M6907">
        <v>322900</v>
      </c>
    </row>
    <row r="6908" spans="1:13" x14ac:dyDescent="0.25">
      <c r="A6908" t="s">
        <v>22800</v>
      </c>
      <c r="B6908" t="s">
        <v>22801</v>
      </c>
      <c r="C6908" t="s">
        <v>571</v>
      </c>
      <c r="D6908" t="s">
        <v>12673</v>
      </c>
      <c r="E6908" t="s">
        <v>11024</v>
      </c>
      <c r="F6908" t="s">
        <v>11004</v>
      </c>
      <c r="G6908" t="s">
        <v>22802</v>
      </c>
      <c r="H6908" t="str">
        <f>HYPERLINK("https://baanknet.com/view-property/286223/AC63ADE0E105AE31649BFC9861DA52A20DB41CFCDF2B25AE5A40E43BCB91EE22", "https://baanknet.com/view-property/286223/AC63ADE0E105AE31649BFC9861DA52A20DB41CFCDF2B25AE5A40E43BCB91EE22")</f>
        <v>https://baanknet.com/view-property/286223/AC63ADE0E105AE31649BFC9861DA52A20DB41CFCDF2B25AE5A40E43BCB91EE22</v>
      </c>
      <c r="I6908" t="str">
        <f>HYPERLINK("https://baanknet.com/view-property/286223/AC63ADE0E105AE31649BFC9861DA52A20DB41CFCDF2B25AE5A40E43BCB91EE22", "Open")</f>
        <v>Open</v>
      </c>
      <c r="J6908" t="s">
        <v>20</v>
      </c>
      <c r="K6908" t="s">
        <v>80</v>
      </c>
      <c r="L6908">
        <v>2347000</v>
      </c>
      <c r="M6908">
        <v>234700</v>
      </c>
    </row>
    <row r="6909" spans="1:13" x14ac:dyDescent="0.25">
      <c r="A6909" t="s">
        <v>22803</v>
      </c>
      <c r="B6909" t="s">
        <v>22804</v>
      </c>
      <c r="C6909" t="s">
        <v>15</v>
      </c>
      <c r="D6909" t="s">
        <v>22805</v>
      </c>
      <c r="E6909" t="s">
        <v>22806</v>
      </c>
      <c r="F6909" t="s">
        <v>77</v>
      </c>
      <c r="G6909" t="s">
        <v>22807</v>
      </c>
      <c r="H6909" t="str">
        <f>HYPERLINK("https://baanknet.com/view-property/284371/000BD4D2E40DD85285082799079558DBCB10CE939761F229423000EA971DF550", "https://baanknet.com/view-property/284371/000BD4D2E40DD85285082799079558DBCB10CE939761F229423000EA971DF550")</f>
        <v>https://baanknet.com/view-property/284371/000BD4D2E40DD85285082799079558DBCB10CE939761F229423000EA971DF550</v>
      </c>
      <c r="I6909" t="str">
        <f>HYPERLINK("https://baanknet.com/view-property/284371/000BD4D2E40DD85285082799079558DBCB10CE939761F229423000EA971DF550", "Open")</f>
        <v>Open</v>
      </c>
      <c r="J6909" t="s">
        <v>20</v>
      </c>
      <c r="K6909" t="s">
        <v>80</v>
      </c>
      <c r="L6909">
        <v>5900000</v>
      </c>
      <c r="M6909">
        <v>590000</v>
      </c>
    </row>
    <row r="6910" spans="1:13" x14ac:dyDescent="0.25">
      <c r="A6910" t="s">
        <v>22808</v>
      </c>
      <c r="B6910" t="s">
        <v>22809</v>
      </c>
      <c r="C6910" t="s">
        <v>15</v>
      </c>
      <c r="D6910" t="s">
        <v>14043</v>
      </c>
      <c r="E6910" t="s">
        <v>22806</v>
      </c>
      <c r="F6910" t="s">
        <v>77</v>
      </c>
      <c r="G6910" t="s">
        <v>22810</v>
      </c>
      <c r="H6910" t="str">
        <f>HYPERLINK("https://baanknet.com/view-property/284374/1355171FA8DADA68E718A6EB14EAB6C6FDF8A977B4AD1AA217053F5C5CB4F618", "https://baanknet.com/view-property/284374/1355171FA8DADA68E718A6EB14EAB6C6FDF8A977B4AD1AA217053F5C5CB4F618")</f>
        <v>https://baanknet.com/view-property/284374/1355171FA8DADA68E718A6EB14EAB6C6FDF8A977B4AD1AA217053F5C5CB4F618</v>
      </c>
      <c r="I6910" t="str">
        <f>HYPERLINK("https://baanknet.com/view-property/284374/1355171FA8DADA68E718A6EB14EAB6C6FDF8A977B4AD1AA217053F5C5CB4F618", "Open")</f>
        <v>Open</v>
      </c>
      <c r="J6910" t="s">
        <v>20</v>
      </c>
      <c r="K6910" t="s">
        <v>80</v>
      </c>
      <c r="L6910">
        <v>7900000</v>
      </c>
      <c r="M6910">
        <v>790000</v>
      </c>
    </row>
    <row r="6911" spans="1:13" x14ac:dyDescent="0.25">
      <c r="A6911" t="s">
        <v>22811</v>
      </c>
      <c r="B6911" t="s">
        <v>22812</v>
      </c>
      <c r="C6911" t="s">
        <v>15</v>
      </c>
      <c r="D6911" t="s">
        <v>7920</v>
      </c>
      <c r="E6911" t="s">
        <v>22806</v>
      </c>
      <c r="F6911" t="s">
        <v>77</v>
      </c>
      <c r="G6911" t="s">
        <v>22813</v>
      </c>
      <c r="H6911" t="str">
        <f>HYPERLINK("https://baanknet.com/view-property/284373/9088E1EEC02FDE882FE1BEA561D05BD9B2525A157B7E404690B9F8444925AB22", "https://baanknet.com/view-property/284373/9088E1EEC02FDE882FE1BEA561D05BD9B2525A157B7E404690B9F8444925AB22")</f>
        <v>https://baanknet.com/view-property/284373/9088E1EEC02FDE882FE1BEA561D05BD9B2525A157B7E404690B9F8444925AB22</v>
      </c>
      <c r="I6911" t="str">
        <f>HYPERLINK("https://baanknet.com/view-property/284373/9088E1EEC02FDE882FE1BEA561D05BD9B2525A157B7E404690B9F8444925AB22", "Open")</f>
        <v>Open</v>
      </c>
      <c r="J6911" t="s">
        <v>20</v>
      </c>
      <c r="K6911" t="s">
        <v>80</v>
      </c>
      <c r="L6911">
        <v>3300000</v>
      </c>
      <c r="M6911">
        <v>330000</v>
      </c>
    </row>
    <row r="6912" spans="1:13" x14ac:dyDescent="0.25">
      <c r="A6912" t="s">
        <v>22814</v>
      </c>
      <c r="B6912" t="s">
        <v>22815</v>
      </c>
      <c r="C6912" t="s">
        <v>15</v>
      </c>
      <c r="D6912" t="s">
        <v>5869</v>
      </c>
      <c r="E6912" t="s">
        <v>22806</v>
      </c>
      <c r="F6912" t="s">
        <v>77</v>
      </c>
      <c r="G6912" t="s">
        <v>22816</v>
      </c>
      <c r="H6912" t="str">
        <f>HYPERLINK("https://baanknet.com/view-property/284597/A7853D32DDC3CD75DB3E881094A10DE1A5E0063451C0CE4B3D371E8F0D92F79B", "https://baanknet.com/view-property/284597/A7853D32DDC3CD75DB3E881094A10DE1A5E0063451C0CE4B3D371E8F0D92F79B")</f>
        <v>https://baanknet.com/view-property/284597/A7853D32DDC3CD75DB3E881094A10DE1A5E0063451C0CE4B3D371E8F0D92F79B</v>
      </c>
      <c r="I6912" t="str">
        <f>HYPERLINK("https://baanknet.com/view-property/284597/A7853D32DDC3CD75DB3E881094A10DE1A5E0063451C0CE4B3D371E8F0D92F79B", "Open")</f>
        <v>Open</v>
      </c>
      <c r="J6912" t="s">
        <v>20</v>
      </c>
      <c r="K6912" t="s">
        <v>80</v>
      </c>
      <c r="L6912">
        <v>2920000</v>
      </c>
      <c r="M6912">
        <v>292000</v>
      </c>
    </row>
    <row r="6913" spans="1:13" x14ac:dyDescent="0.25">
      <c r="A6913" t="s">
        <v>22817</v>
      </c>
      <c r="B6913" t="s">
        <v>22818</v>
      </c>
      <c r="C6913" t="s">
        <v>15</v>
      </c>
      <c r="D6913" t="s">
        <v>32</v>
      </c>
      <c r="E6913" t="s">
        <v>22806</v>
      </c>
      <c r="F6913" t="s">
        <v>77</v>
      </c>
      <c r="G6913" t="s">
        <v>22819</v>
      </c>
      <c r="H6913" t="str">
        <f>HYPERLINK("https://baanknet.com/view-property/221569/0D77BF057BF349C97DC2B9D420885BE285544B2C8080C3545093242CFD3229D9", "https://baanknet.com/view-property/221569/0D77BF057BF349C97DC2B9D420885BE285544B2C8080C3545093242CFD3229D9")</f>
        <v>https://baanknet.com/view-property/221569/0D77BF057BF349C97DC2B9D420885BE285544B2C8080C3545093242CFD3229D9</v>
      </c>
      <c r="I6913" t="str">
        <f>HYPERLINK("https://baanknet.com/view-property/221569/0D77BF057BF349C97DC2B9D420885BE285544B2C8080C3545093242CFD3229D9", "Open")</f>
        <v>Open</v>
      </c>
      <c r="J6913" t="s">
        <v>20</v>
      </c>
      <c r="K6913" t="s">
        <v>80</v>
      </c>
      <c r="L6913">
        <v>5300000</v>
      </c>
      <c r="M6913">
        <v>530000</v>
      </c>
    </row>
    <row r="6914" spans="1:13" x14ac:dyDescent="0.25">
      <c r="A6914" t="s">
        <v>22820</v>
      </c>
      <c r="B6914" t="s">
        <v>22821</v>
      </c>
      <c r="C6914" t="s">
        <v>15</v>
      </c>
      <c r="D6914" t="s">
        <v>8913</v>
      </c>
      <c r="E6914" t="s">
        <v>22806</v>
      </c>
      <c r="F6914" t="s">
        <v>77</v>
      </c>
      <c r="G6914" t="s">
        <v>22822</v>
      </c>
      <c r="H6914" t="str">
        <f>HYPERLINK("https://baanknet.com/view-property/267932/AD610360AC42CB1B3AD43D2B21B054385C20C1CD0465B1CC5CED04A8F6D403A6", "https://baanknet.com/view-property/267932/AD610360AC42CB1B3AD43D2B21B054385C20C1CD0465B1CC5CED04A8F6D403A6")</f>
        <v>https://baanknet.com/view-property/267932/AD610360AC42CB1B3AD43D2B21B054385C20C1CD0465B1CC5CED04A8F6D403A6</v>
      </c>
      <c r="I6914" t="str">
        <f>HYPERLINK("https://baanknet.com/view-property/267932/AD610360AC42CB1B3AD43D2B21B054385C20C1CD0465B1CC5CED04A8F6D403A6", "Open")</f>
        <v>Open</v>
      </c>
      <c r="J6914" t="s">
        <v>20</v>
      </c>
      <c r="K6914" t="s">
        <v>80</v>
      </c>
      <c r="L6914">
        <v>17060000</v>
      </c>
      <c r="M6914">
        <v>1706000</v>
      </c>
    </row>
    <row r="6915" spans="1:13" x14ac:dyDescent="0.25">
      <c r="A6915" t="s">
        <v>22823</v>
      </c>
      <c r="B6915" t="s">
        <v>22824</v>
      </c>
      <c r="C6915" t="s">
        <v>15</v>
      </c>
      <c r="D6915" t="s">
        <v>22825</v>
      </c>
      <c r="E6915" t="s">
        <v>22806</v>
      </c>
      <c r="F6915" t="s">
        <v>77</v>
      </c>
      <c r="G6915" t="s">
        <v>22826</v>
      </c>
      <c r="H6915" t="str">
        <f>HYPERLINK("https://baanknet.com/view-property/267908/A8A1C0D44BC01397868E6A784D0634A34291CC73C61B6C600ADA25F4B45C5DE9", "https://baanknet.com/view-property/267908/A8A1C0D44BC01397868E6A784D0634A34291CC73C61B6C600ADA25F4B45C5DE9")</f>
        <v>https://baanknet.com/view-property/267908/A8A1C0D44BC01397868E6A784D0634A34291CC73C61B6C600ADA25F4B45C5DE9</v>
      </c>
      <c r="I6915" t="str">
        <f>HYPERLINK("https://baanknet.com/view-property/267908/A8A1C0D44BC01397868E6A784D0634A34291CC73C61B6C600ADA25F4B45C5DE9", "Open")</f>
        <v>Open</v>
      </c>
      <c r="J6915" t="s">
        <v>20</v>
      </c>
      <c r="K6915" t="s">
        <v>80</v>
      </c>
      <c r="L6915">
        <v>3600000</v>
      </c>
      <c r="M6915">
        <v>360000</v>
      </c>
    </row>
    <row r="6916" spans="1:13" x14ac:dyDescent="0.25">
      <c r="A6916" t="s">
        <v>22827</v>
      </c>
      <c r="B6916" t="s">
        <v>22828</v>
      </c>
      <c r="C6916" t="s">
        <v>15</v>
      </c>
      <c r="D6916" t="s">
        <v>22825</v>
      </c>
      <c r="E6916" t="s">
        <v>22806</v>
      </c>
      <c r="F6916" t="s">
        <v>77</v>
      </c>
      <c r="G6916" t="s">
        <v>22829</v>
      </c>
      <c r="H6916" t="str">
        <f>HYPERLINK("https://baanknet.com/view-property/267914/0BBBC01ACB5C7182C745C6710B90ABBD9A07A832568414DF4312BD76CEB059DF", "https://baanknet.com/view-property/267914/0BBBC01ACB5C7182C745C6710B90ABBD9A07A832568414DF4312BD76CEB059DF")</f>
        <v>https://baanknet.com/view-property/267914/0BBBC01ACB5C7182C745C6710B90ABBD9A07A832568414DF4312BD76CEB059DF</v>
      </c>
      <c r="I6916" t="str">
        <f>HYPERLINK("https://baanknet.com/view-property/267914/0BBBC01ACB5C7182C745C6710B90ABBD9A07A832568414DF4312BD76CEB059DF", "Open")</f>
        <v>Open</v>
      </c>
      <c r="J6916" t="s">
        <v>20</v>
      </c>
      <c r="K6916" t="s">
        <v>80</v>
      </c>
      <c r="L6916">
        <v>855000</v>
      </c>
      <c r="M6916">
        <v>85500</v>
      </c>
    </row>
    <row r="6917" spans="1:13" x14ac:dyDescent="0.25">
      <c r="A6917" t="s">
        <v>22830</v>
      </c>
      <c r="B6917" t="s">
        <v>22831</v>
      </c>
      <c r="C6917" t="s">
        <v>15</v>
      </c>
      <c r="D6917" t="s">
        <v>11979</v>
      </c>
      <c r="E6917" t="s">
        <v>22806</v>
      </c>
      <c r="F6917" t="s">
        <v>78</v>
      </c>
      <c r="G6917" t="s">
        <v>22832</v>
      </c>
      <c r="H6917" t="str">
        <f>HYPERLINK("https://baanknet.com/view-property/266481/4967755B0A4B4F20C574C663E570AE67CF16923E8E991561647AD2E99827A341", "https://baanknet.com/view-property/266481/4967755B0A4B4F20C574C663E570AE67CF16923E8E991561647AD2E99827A341")</f>
        <v>https://baanknet.com/view-property/266481/4967755B0A4B4F20C574C663E570AE67CF16923E8E991561647AD2E99827A341</v>
      </c>
      <c r="I6917" t="str">
        <f>HYPERLINK("https://baanknet.com/view-property/266481/4967755B0A4B4F20C574C663E570AE67CF16923E8E991561647AD2E99827A341", "Open")</f>
        <v>Open</v>
      </c>
      <c r="J6917" t="s">
        <v>20</v>
      </c>
      <c r="K6917" t="s">
        <v>80</v>
      </c>
      <c r="L6917">
        <v>1400000</v>
      </c>
      <c r="M6917">
        <v>140000</v>
      </c>
    </row>
    <row r="6918" spans="1:13" x14ac:dyDescent="0.25">
      <c r="A6918" t="s">
        <v>22833</v>
      </c>
      <c r="B6918" t="s">
        <v>22834</v>
      </c>
      <c r="C6918" t="s">
        <v>15</v>
      </c>
      <c r="D6918" t="s">
        <v>11979</v>
      </c>
      <c r="E6918" t="s">
        <v>22806</v>
      </c>
      <c r="F6918" t="s">
        <v>78</v>
      </c>
      <c r="G6918" t="s">
        <v>22835</v>
      </c>
      <c r="H6918" t="str">
        <f>HYPERLINK("https://baanknet.com/view-property/234362/94F3D5AA82BD4FB3BCEC2876AC0FF082BD3A40F5A734A88176F6C060AD58ECBF", "https://baanknet.com/view-property/234362/94F3D5AA82BD4FB3BCEC2876AC0FF082BD3A40F5A734A88176F6C060AD58ECBF")</f>
        <v>https://baanknet.com/view-property/234362/94F3D5AA82BD4FB3BCEC2876AC0FF082BD3A40F5A734A88176F6C060AD58ECBF</v>
      </c>
      <c r="I6918" t="str">
        <f>HYPERLINK("https://baanknet.com/view-property/234362/94F3D5AA82BD4FB3BCEC2876AC0FF082BD3A40F5A734A88176F6C060AD58ECBF", "Open")</f>
        <v>Open</v>
      </c>
      <c r="J6918" t="s">
        <v>20</v>
      </c>
      <c r="K6918" t="s">
        <v>80</v>
      </c>
      <c r="L6918">
        <v>240000</v>
      </c>
      <c r="M6918">
        <v>24000</v>
      </c>
    </row>
    <row r="6919" spans="1:13" x14ac:dyDescent="0.25">
      <c r="A6919" t="s">
        <v>22836</v>
      </c>
      <c r="B6919" t="s">
        <v>22837</v>
      </c>
      <c r="C6919" t="s">
        <v>15</v>
      </c>
      <c r="D6919" t="s">
        <v>22838</v>
      </c>
      <c r="E6919" t="s">
        <v>22806</v>
      </c>
      <c r="F6919" t="s">
        <v>78</v>
      </c>
      <c r="G6919" t="s">
        <v>22839</v>
      </c>
      <c r="H6919" t="str">
        <f>HYPERLINK("https://baanknet.com/view-property/246757/8CA008B7C336C09D33875AB148E8125C4A23FA25F17A3D367A4E7441C58CB874", "https://baanknet.com/view-property/246757/8CA008B7C336C09D33875AB148E8125C4A23FA25F17A3D367A4E7441C58CB874")</f>
        <v>https://baanknet.com/view-property/246757/8CA008B7C336C09D33875AB148E8125C4A23FA25F17A3D367A4E7441C58CB874</v>
      </c>
      <c r="I6919" t="str">
        <f>HYPERLINK("https://baanknet.com/view-property/246757/8CA008B7C336C09D33875AB148E8125C4A23FA25F17A3D367A4E7441C58CB874", "Open")</f>
        <v>Open</v>
      </c>
      <c r="J6919" t="s">
        <v>20</v>
      </c>
      <c r="K6919" t="s">
        <v>80</v>
      </c>
      <c r="L6919">
        <v>3200000</v>
      </c>
      <c r="M6919">
        <v>320000</v>
      </c>
    </row>
    <row r="6920" spans="1:13" x14ac:dyDescent="0.25">
      <c r="A6920" t="s">
        <v>22840</v>
      </c>
      <c r="B6920" t="s">
        <v>22841</v>
      </c>
      <c r="C6920" t="s">
        <v>15</v>
      </c>
      <c r="D6920" t="s">
        <v>22842</v>
      </c>
      <c r="E6920" t="s">
        <v>22806</v>
      </c>
      <c r="F6920" t="s">
        <v>78</v>
      </c>
      <c r="G6920" t="s">
        <v>22843</v>
      </c>
      <c r="H6920" t="str">
        <f>HYPERLINK("https://baanknet.com/view-property/282542/80C151BF467FECDD5E31139590E6D0C2D0D7734F592DFFFD11AACB5C5D6110F7", "https://baanknet.com/view-property/282542/80C151BF467FECDD5E31139590E6D0C2D0D7734F592DFFFD11AACB5C5D6110F7")</f>
        <v>https://baanknet.com/view-property/282542/80C151BF467FECDD5E31139590E6D0C2D0D7734F592DFFFD11AACB5C5D6110F7</v>
      </c>
      <c r="I6920" t="str">
        <f>HYPERLINK("https://baanknet.com/view-property/282542/80C151BF467FECDD5E31139590E6D0C2D0D7734F592DFFFD11AACB5C5D6110F7", "Open")</f>
        <v>Open</v>
      </c>
      <c r="J6920" t="s">
        <v>20</v>
      </c>
      <c r="K6920" t="s">
        <v>80</v>
      </c>
      <c r="L6920">
        <v>270000</v>
      </c>
      <c r="M6920">
        <v>27000</v>
      </c>
    </row>
    <row r="6921" spans="1:13" x14ac:dyDescent="0.25">
      <c r="A6921" t="s">
        <v>22844</v>
      </c>
      <c r="B6921" t="s">
        <v>22845</v>
      </c>
      <c r="C6921" t="s">
        <v>15</v>
      </c>
      <c r="D6921" t="s">
        <v>3541</v>
      </c>
      <c r="E6921" t="s">
        <v>22806</v>
      </c>
      <c r="F6921" t="s">
        <v>78</v>
      </c>
      <c r="G6921" t="s">
        <v>22846</v>
      </c>
      <c r="H6921" t="str">
        <f>HYPERLINK("https://baanknet.com/view-property/271864/75E6AD2845FCDA34494554991BFED52C9BDD462D083BA22540B0E53AC06BB6BF", "https://baanknet.com/view-property/271864/75E6AD2845FCDA34494554991BFED52C9BDD462D083BA22540B0E53AC06BB6BF")</f>
        <v>https://baanknet.com/view-property/271864/75E6AD2845FCDA34494554991BFED52C9BDD462D083BA22540B0E53AC06BB6BF</v>
      </c>
      <c r="I6921" t="str">
        <f>HYPERLINK("https://baanknet.com/view-property/271864/75E6AD2845FCDA34494554991BFED52C9BDD462D083BA22540B0E53AC06BB6BF", "Open")</f>
        <v>Open</v>
      </c>
      <c r="J6921" t="s">
        <v>20</v>
      </c>
      <c r="K6921" t="s">
        <v>80</v>
      </c>
      <c r="L6921">
        <v>940000</v>
      </c>
      <c r="M6921">
        <v>94000</v>
      </c>
    </row>
    <row r="6922" spans="1:13" x14ac:dyDescent="0.25">
      <c r="A6922" t="s">
        <v>22847</v>
      </c>
      <c r="B6922" t="s">
        <v>22848</v>
      </c>
      <c r="C6922" t="s">
        <v>15</v>
      </c>
      <c r="D6922" t="s">
        <v>22849</v>
      </c>
      <c r="E6922" t="s">
        <v>22806</v>
      </c>
      <c r="F6922" t="s">
        <v>78</v>
      </c>
      <c r="G6922" t="s">
        <v>22850</v>
      </c>
      <c r="H6922" t="str">
        <f>HYPERLINK("https://baanknet.com/view-property/250025/F0CED06C0A4BFBF3EA72824466F0ED9BAA7089E59C8A8D750C08236F397A10F6", "https://baanknet.com/view-property/250025/F0CED06C0A4BFBF3EA72824466F0ED9BAA7089E59C8A8D750C08236F397A10F6")</f>
        <v>https://baanknet.com/view-property/250025/F0CED06C0A4BFBF3EA72824466F0ED9BAA7089E59C8A8D750C08236F397A10F6</v>
      </c>
      <c r="I6922" t="str">
        <f>HYPERLINK("https://baanknet.com/view-property/250025/F0CED06C0A4BFBF3EA72824466F0ED9BAA7089E59C8A8D750C08236F397A10F6", "Open")</f>
        <v>Open</v>
      </c>
      <c r="J6922" t="s">
        <v>20</v>
      </c>
      <c r="K6922" t="s">
        <v>80</v>
      </c>
      <c r="L6922">
        <v>729000</v>
      </c>
      <c r="M6922">
        <v>72900</v>
      </c>
    </row>
    <row r="6923" spans="1:13" x14ac:dyDescent="0.25">
      <c r="A6923" t="s">
        <v>22851</v>
      </c>
      <c r="B6923" t="s">
        <v>22852</v>
      </c>
      <c r="C6923" t="s">
        <v>15</v>
      </c>
      <c r="D6923" t="s">
        <v>3607</v>
      </c>
      <c r="E6923" t="s">
        <v>22806</v>
      </c>
      <c r="F6923" t="s">
        <v>78</v>
      </c>
      <c r="G6923" t="s">
        <v>22853</v>
      </c>
      <c r="H6923" t="str">
        <f>HYPERLINK("https://baanknet.com/view-property/241184/0A4A4FDC7B309F69C6FFE34630574C509F3ED50AB093D86F2B7059EEFA254A5E", "https://baanknet.com/view-property/241184/0A4A4FDC7B309F69C6FFE34630574C509F3ED50AB093D86F2B7059EEFA254A5E")</f>
        <v>https://baanknet.com/view-property/241184/0A4A4FDC7B309F69C6FFE34630574C509F3ED50AB093D86F2B7059EEFA254A5E</v>
      </c>
      <c r="I6923" t="str">
        <f>HYPERLINK("https://baanknet.com/view-property/241184/0A4A4FDC7B309F69C6FFE34630574C509F3ED50AB093D86F2B7059EEFA254A5E", "Open")</f>
        <v>Open</v>
      </c>
      <c r="J6923" t="s">
        <v>20</v>
      </c>
      <c r="K6923" t="s">
        <v>80</v>
      </c>
      <c r="L6923">
        <v>8500000</v>
      </c>
      <c r="M6923">
        <v>850000</v>
      </c>
    </row>
    <row r="6924" spans="1:13" x14ac:dyDescent="0.25">
      <c r="A6924" t="s">
        <v>22854</v>
      </c>
      <c r="B6924" t="s">
        <v>22855</v>
      </c>
      <c r="C6924" t="s">
        <v>15</v>
      </c>
      <c r="D6924" t="s">
        <v>3607</v>
      </c>
      <c r="E6924" t="s">
        <v>22806</v>
      </c>
      <c r="F6924" t="s">
        <v>78</v>
      </c>
      <c r="G6924" t="s">
        <v>22856</v>
      </c>
      <c r="H6924" t="str">
        <f>HYPERLINK("https://baanknet.com/view-property/248789/0E67AC4E8C2901606A63FE82BA51F352BBBDDFB9C5F7BA033C4B0A2E247D94BF", "https://baanknet.com/view-property/248789/0E67AC4E8C2901606A63FE82BA51F352BBBDDFB9C5F7BA033C4B0A2E247D94BF")</f>
        <v>https://baanknet.com/view-property/248789/0E67AC4E8C2901606A63FE82BA51F352BBBDDFB9C5F7BA033C4B0A2E247D94BF</v>
      </c>
      <c r="I6924" t="str">
        <f>HYPERLINK("https://baanknet.com/view-property/248789/0E67AC4E8C2901606A63FE82BA51F352BBBDDFB9C5F7BA033C4B0A2E247D94BF", "Open")</f>
        <v>Open</v>
      </c>
      <c r="J6924" t="s">
        <v>20</v>
      </c>
      <c r="K6924" t="s">
        <v>80</v>
      </c>
      <c r="L6924">
        <v>2300000</v>
      </c>
      <c r="M6924">
        <v>230000</v>
      </c>
    </row>
    <row r="6925" spans="1:13" x14ac:dyDescent="0.25">
      <c r="A6925" t="s">
        <v>22857</v>
      </c>
      <c r="B6925" t="s">
        <v>22858</v>
      </c>
      <c r="C6925" t="s">
        <v>15</v>
      </c>
      <c r="D6925" t="s">
        <v>3607</v>
      </c>
      <c r="E6925" t="s">
        <v>22806</v>
      </c>
      <c r="F6925" t="s">
        <v>78</v>
      </c>
      <c r="G6925" t="s">
        <v>22859</v>
      </c>
      <c r="H6925" t="str">
        <f>HYPERLINK("https://baanknet.com/view-property/201961/82DEEC383685E8D4A288C673013D7E0FBDA65947AB2FC3F41C6290B8CA67942C", "https://baanknet.com/view-property/201961/82DEEC383685E8D4A288C673013D7E0FBDA65947AB2FC3F41C6290B8CA67942C")</f>
        <v>https://baanknet.com/view-property/201961/82DEEC383685E8D4A288C673013D7E0FBDA65947AB2FC3F41C6290B8CA67942C</v>
      </c>
      <c r="I6925" t="str">
        <f>HYPERLINK("https://baanknet.com/view-property/201961/82DEEC383685E8D4A288C673013D7E0FBDA65947AB2FC3F41C6290B8CA67942C", "Open")</f>
        <v>Open</v>
      </c>
      <c r="J6925" t="s">
        <v>20</v>
      </c>
      <c r="K6925" t="s">
        <v>80</v>
      </c>
      <c r="L6925">
        <v>990000</v>
      </c>
      <c r="M6925">
        <v>99000</v>
      </c>
    </row>
    <row r="6926" spans="1:13" x14ac:dyDescent="0.25">
      <c r="A6926" t="s">
        <v>22860</v>
      </c>
      <c r="B6926" t="s">
        <v>22861</v>
      </c>
      <c r="C6926" t="s">
        <v>332</v>
      </c>
      <c r="D6926" t="s">
        <v>22862</v>
      </c>
      <c r="E6926" t="s">
        <v>11024</v>
      </c>
      <c r="F6926" t="s">
        <v>11004</v>
      </c>
      <c r="G6926" t="s">
        <v>22863</v>
      </c>
      <c r="H6926" t="str">
        <f>HYPERLINK("https://baanknet.com/view-property/285425/B1477F0DFE25544451521851EEBE244E657857CDE17FD377F341D5BC5418EC4C", "https://baanknet.com/view-property/285425/B1477F0DFE25544451521851EEBE244E657857CDE17FD377F341D5BC5418EC4C")</f>
        <v>https://baanknet.com/view-property/285425/B1477F0DFE25544451521851EEBE244E657857CDE17FD377F341D5BC5418EC4C</v>
      </c>
      <c r="I6926" t="str">
        <f>HYPERLINK("https://baanknet.com/view-property/285425/B1477F0DFE25544451521851EEBE244E657857CDE17FD377F341D5BC5418EC4C", "Open")</f>
        <v>Open</v>
      </c>
      <c r="J6926" t="s">
        <v>20</v>
      </c>
      <c r="K6926" t="s">
        <v>80</v>
      </c>
      <c r="L6926">
        <v>5321700</v>
      </c>
      <c r="M6926">
        <v>532170</v>
      </c>
    </row>
    <row r="6927" spans="1:13" x14ac:dyDescent="0.25">
      <c r="A6927" t="s">
        <v>22864</v>
      </c>
      <c r="B6927" t="s">
        <v>22865</v>
      </c>
      <c r="C6927" t="s">
        <v>144</v>
      </c>
      <c r="D6927" t="s">
        <v>4679</v>
      </c>
      <c r="E6927" t="s">
        <v>19806</v>
      </c>
      <c r="F6927" t="s">
        <v>19820</v>
      </c>
      <c r="G6927" t="s">
        <v>22866</v>
      </c>
      <c r="H6927" t="str">
        <f>HYPERLINK("https://baanknet.com/view-property/285496/16A2FC46370E1B1CF42835672CE0B75FB23217D70B4E8F81B64AE339A74013A6", "https://baanknet.com/view-property/285496/16A2FC46370E1B1CF42835672CE0B75FB23217D70B4E8F81B64AE339A74013A6")</f>
        <v>https://baanknet.com/view-property/285496/16A2FC46370E1B1CF42835672CE0B75FB23217D70B4E8F81B64AE339A74013A6</v>
      </c>
      <c r="I6927" t="str">
        <f>HYPERLINK("https://baanknet.com/view-property/285496/16A2FC46370E1B1CF42835672CE0B75FB23217D70B4E8F81B64AE339A74013A6", "Open")</f>
        <v>Open</v>
      </c>
      <c r="J6927" t="s">
        <v>20</v>
      </c>
      <c r="K6927" t="s">
        <v>80</v>
      </c>
      <c r="L6927">
        <v>1712000</v>
      </c>
      <c r="M6927">
        <v>171200</v>
      </c>
    </row>
    <row r="6928" spans="1:13" x14ac:dyDescent="0.25">
      <c r="A6928" t="s">
        <v>22867</v>
      </c>
      <c r="B6928" t="s">
        <v>22868</v>
      </c>
      <c r="C6928" t="s">
        <v>571</v>
      </c>
      <c r="D6928" t="s">
        <v>22869</v>
      </c>
      <c r="E6928" t="s">
        <v>21279</v>
      </c>
      <c r="F6928" t="s">
        <v>21280</v>
      </c>
      <c r="G6928" t="s">
        <v>22870</v>
      </c>
      <c r="H6928" t="str">
        <f>HYPERLINK("https://baanknet.com/view-property/286410/AFEE5838F346CFF2FF159D5A175BBD1EBD468E27EC87956A1D6F3C24FAFE655C", "https://baanknet.com/view-property/286410/AFEE5838F346CFF2FF159D5A175BBD1EBD468E27EC87956A1D6F3C24FAFE655C")</f>
        <v>https://baanknet.com/view-property/286410/AFEE5838F346CFF2FF159D5A175BBD1EBD468E27EC87956A1D6F3C24FAFE655C</v>
      </c>
      <c r="I6928" t="str">
        <f>HYPERLINK("https://baanknet.com/view-property/286410/AFEE5838F346CFF2FF159D5A175BBD1EBD468E27EC87956A1D6F3C24FAFE655C", "Open")</f>
        <v>Open</v>
      </c>
      <c r="J6928" t="s">
        <v>20</v>
      </c>
      <c r="K6928" t="s">
        <v>80</v>
      </c>
      <c r="L6928">
        <v>2722000</v>
      </c>
      <c r="M6928">
        <v>272200</v>
      </c>
    </row>
    <row r="6929" spans="1:13" x14ac:dyDescent="0.25">
      <c r="A6929" t="s">
        <v>22871</v>
      </c>
      <c r="B6929" t="s">
        <v>22872</v>
      </c>
      <c r="C6929" t="s">
        <v>571</v>
      </c>
      <c r="D6929" t="s">
        <v>518</v>
      </c>
      <c r="E6929" t="s">
        <v>573</v>
      </c>
      <c r="F6929" t="s">
        <v>574</v>
      </c>
      <c r="G6929" t="s">
        <v>22873</v>
      </c>
      <c r="H6929" t="str">
        <f>HYPERLINK("https://baanknet.com/view-property/96149/051CAFC80BD1B4993245739CCF3C088F1C8EA540725AC12BA1AC954862993D39", "https://baanknet.com/view-property/96149/051CAFC80BD1B4993245739CCF3C088F1C8EA540725AC12BA1AC954862993D39")</f>
        <v>https://baanknet.com/view-property/96149/051CAFC80BD1B4993245739CCF3C088F1C8EA540725AC12BA1AC954862993D39</v>
      </c>
      <c r="I6929" t="str">
        <f>HYPERLINK("https://baanknet.com/view-property/96149/051CAFC80BD1B4993245739CCF3C088F1C8EA540725AC12BA1AC954862993D39", "Open")</f>
        <v>Open</v>
      </c>
      <c r="J6929" t="s">
        <v>3803</v>
      </c>
      <c r="L6929">
        <v>800000</v>
      </c>
      <c r="M6929">
        <v>80000</v>
      </c>
    </row>
    <row r="6930" spans="1:13" x14ac:dyDescent="0.25">
      <c r="A6930" t="s">
        <v>22874</v>
      </c>
      <c r="B6930" t="s">
        <v>22875</v>
      </c>
      <c r="C6930" t="s">
        <v>15</v>
      </c>
      <c r="D6930" t="s">
        <v>22876</v>
      </c>
      <c r="E6930" t="s">
        <v>4163</v>
      </c>
      <c r="F6930" t="s">
        <v>4164</v>
      </c>
      <c r="G6930" t="s">
        <v>22877</v>
      </c>
      <c r="H6930" t="str">
        <f>HYPERLINK("https://baanknet.com/view-property/285795/4EF6A8003A4C2FC6F8D62F9C9377295B0055ED2A78349FF8EC3998A471EC8D3A", "https://baanknet.com/view-property/285795/4EF6A8003A4C2FC6F8D62F9C9377295B0055ED2A78349FF8EC3998A471EC8D3A")</f>
        <v>https://baanknet.com/view-property/285795/4EF6A8003A4C2FC6F8D62F9C9377295B0055ED2A78349FF8EC3998A471EC8D3A</v>
      </c>
      <c r="I6930" t="str">
        <f>HYPERLINK("https://baanknet.com/view-property/285795/4EF6A8003A4C2FC6F8D62F9C9377295B0055ED2A78349FF8EC3998A471EC8D3A", "Open")</f>
        <v>Open</v>
      </c>
      <c r="J6930" t="s">
        <v>3803</v>
      </c>
      <c r="L6930">
        <v>2600000</v>
      </c>
      <c r="M6930">
        <v>260000</v>
      </c>
    </row>
    <row r="6931" spans="1:13" x14ac:dyDescent="0.25">
      <c r="A6931" t="s">
        <v>22878</v>
      </c>
      <c r="B6931" t="s">
        <v>22879</v>
      </c>
      <c r="C6931" t="s">
        <v>332</v>
      </c>
      <c r="D6931" t="s">
        <v>3120</v>
      </c>
      <c r="E6931" t="s">
        <v>579</v>
      </c>
      <c r="F6931" t="s">
        <v>3836</v>
      </c>
      <c r="G6931" t="s">
        <v>22880</v>
      </c>
      <c r="H6931" t="str">
        <f>HYPERLINK("https://baanknet.com/view-property/288161/D917FFB37FEDB00AA0E97553825D70165D8F8066F669863A86622770F07C7CBC", "https://baanknet.com/view-property/288161/D917FFB37FEDB00AA0E97553825D70165D8F8066F669863A86622770F07C7CBC")</f>
        <v>https://baanknet.com/view-property/288161/D917FFB37FEDB00AA0E97553825D70165D8F8066F669863A86622770F07C7CBC</v>
      </c>
      <c r="I6931" t="str">
        <f>HYPERLINK("https://baanknet.com/view-property/288161/D917FFB37FEDB00AA0E97553825D70165D8F8066F669863A86622770F07C7CBC", "Open")</f>
        <v>Open</v>
      </c>
      <c r="J6931" t="s">
        <v>3803</v>
      </c>
      <c r="L6931">
        <v>2072000</v>
      </c>
      <c r="M6931">
        <v>207200</v>
      </c>
    </row>
    <row r="6932" spans="1:13" x14ac:dyDescent="0.25">
      <c r="A6932" t="s">
        <v>22881</v>
      </c>
      <c r="B6932" t="s">
        <v>22882</v>
      </c>
      <c r="C6932" t="s">
        <v>22883</v>
      </c>
      <c r="D6932" t="s">
        <v>4876</v>
      </c>
      <c r="E6932" t="s">
        <v>579</v>
      </c>
      <c r="F6932" t="s">
        <v>585</v>
      </c>
      <c r="G6932" t="s">
        <v>22884</v>
      </c>
      <c r="H6932" t="str">
        <f>HYPERLINK("https://baanknet.com/view-property/288378/272105089DA53573D385F17C101CE7C7D28DCF99684F2FB1830B2BF98CC6F0D8", "https://baanknet.com/view-property/288378/272105089DA53573D385F17C101CE7C7D28DCF99684F2FB1830B2BF98CC6F0D8")</f>
        <v>https://baanknet.com/view-property/288378/272105089DA53573D385F17C101CE7C7D28DCF99684F2FB1830B2BF98CC6F0D8</v>
      </c>
      <c r="I6932" t="str">
        <f>HYPERLINK("https://baanknet.com/view-property/288378/272105089DA53573D385F17C101CE7C7D28DCF99684F2FB1830B2BF98CC6F0D8", "Open")</f>
        <v>Open</v>
      </c>
      <c r="J6932" t="s">
        <v>3803</v>
      </c>
      <c r="L6932">
        <v>1600000</v>
      </c>
      <c r="M6932">
        <v>160000</v>
      </c>
    </row>
    <row r="6933" spans="1:13" x14ac:dyDescent="0.25">
      <c r="A6933" t="s">
        <v>22885</v>
      </c>
      <c r="B6933" t="s">
        <v>22886</v>
      </c>
      <c r="C6933" t="s">
        <v>22883</v>
      </c>
      <c r="D6933" t="s">
        <v>4876</v>
      </c>
      <c r="E6933" t="s">
        <v>579</v>
      </c>
      <c r="F6933" t="s">
        <v>585</v>
      </c>
      <c r="G6933" t="s">
        <v>22887</v>
      </c>
      <c r="H6933" t="str">
        <f>HYPERLINK("https://baanknet.com/view-property/288395/9AD5387DD374ADC38202F4A003D04DC86FAA2CCA34E7BC9F3A5B66AC94FD4E73", "https://baanknet.com/view-property/288395/9AD5387DD374ADC38202F4A003D04DC86FAA2CCA34E7BC9F3A5B66AC94FD4E73")</f>
        <v>https://baanknet.com/view-property/288395/9AD5387DD374ADC38202F4A003D04DC86FAA2CCA34E7BC9F3A5B66AC94FD4E73</v>
      </c>
      <c r="I6933" t="str">
        <f>HYPERLINK("https://baanknet.com/view-property/288395/9AD5387DD374ADC38202F4A003D04DC86FAA2CCA34E7BC9F3A5B66AC94FD4E73", "Open")</f>
        <v>Open</v>
      </c>
      <c r="J6933" t="s">
        <v>3803</v>
      </c>
      <c r="L6933">
        <v>2100000</v>
      </c>
      <c r="M6933">
        <v>210000</v>
      </c>
    </row>
    <row r="6934" spans="1:13" x14ac:dyDescent="0.25">
      <c r="A6934" t="s">
        <v>22888</v>
      </c>
      <c r="B6934" t="s">
        <v>22889</v>
      </c>
      <c r="C6934" t="s">
        <v>332</v>
      </c>
      <c r="D6934" t="s">
        <v>338</v>
      </c>
      <c r="E6934" t="s">
        <v>596</v>
      </c>
      <c r="F6934" t="s">
        <v>585</v>
      </c>
      <c r="G6934" t="s">
        <v>22890</v>
      </c>
      <c r="H6934" t="str">
        <f>HYPERLINK("https://baanknet.com/view-property/287984/C0A6B63EEBD039525DC5B91BA8E0DDCF5BD7C08009F3973C0C73CFC13427C380", "https://baanknet.com/view-property/287984/C0A6B63EEBD039525DC5B91BA8E0DDCF5BD7C08009F3973C0C73CFC13427C380")</f>
        <v>https://baanknet.com/view-property/287984/C0A6B63EEBD039525DC5B91BA8E0DDCF5BD7C08009F3973C0C73CFC13427C380</v>
      </c>
      <c r="I6934" t="str">
        <f>HYPERLINK("https://baanknet.com/view-property/287984/C0A6B63EEBD039525DC5B91BA8E0DDCF5BD7C08009F3973C0C73CFC13427C380", "Open")</f>
        <v>Open</v>
      </c>
      <c r="J6934" t="s">
        <v>3803</v>
      </c>
      <c r="L6934">
        <v>11000000</v>
      </c>
      <c r="M6934">
        <v>1100000</v>
      </c>
    </row>
    <row r="6935" spans="1:13" x14ac:dyDescent="0.25">
      <c r="A6935" t="s">
        <v>22891</v>
      </c>
      <c r="B6935" t="s">
        <v>22892</v>
      </c>
      <c r="C6935" t="s">
        <v>594</v>
      </c>
      <c r="D6935" t="s">
        <v>3607</v>
      </c>
      <c r="E6935" t="s">
        <v>596</v>
      </c>
      <c r="F6935" t="s">
        <v>574</v>
      </c>
      <c r="G6935" t="s">
        <v>22893</v>
      </c>
      <c r="H6935" t="str">
        <f>HYPERLINK("https://baanknet.com/view-property/235391/E7D4646304431676EA851F5015F5E43C27FB92FCC143E845B0DF05A552096B2B", "https://baanknet.com/view-property/235391/E7D4646304431676EA851F5015F5E43C27FB92FCC143E845B0DF05A552096B2B")</f>
        <v>https://baanknet.com/view-property/235391/E7D4646304431676EA851F5015F5E43C27FB92FCC143E845B0DF05A552096B2B</v>
      </c>
      <c r="I6935" t="str">
        <f>HYPERLINK("https://baanknet.com/view-property/235391/E7D4646304431676EA851F5015F5E43C27FB92FCC143E845B0DF05A552096B2B", "Open")</f>
        <v>Open</v>
      </c>
      <c r="J6935" t="s">
        <v>3803</v>
      </c>
      <c r="L6935">
        <v>3190000</v>
      </c>
      <c r="M6935">
        <v>319000</v>
      </c>
    </row>
    <row r="6936" spans="1:13" x14ac:dyDescent="0.25">
      <c r="A6936" t="s">
        <v>22894</v>
      </c>
      <c r="B6936" t="s">
        <v>22895</v>
      </c>
      <c r="C6936" t="s">
        <v>594</v>
      </c>
      <c r="D6936" t="s">
        <v>3607</v>
      </c>
      <c r="E6936" t="s">
        <v>596</v>
      </c>
      <c r="F6936" t="s">
        <v>574</v>
      </c>
      <c r="G6936" t="s">
        <v>22896</v>
      </c>
      <c r="H6936" t="str">
        <f>HYPERLINK("https://baanknet.com/view-property/278940/BFF85E124CA68CF066840590BF5D0A887CCE363ADAEF7C855DCC1D9E397955E5", "https://baanknet.com/view-property/278940/BFF85E124CA68CF066840590BF5D0A887CCE363ADAEF7C855DCC1D9E397955E5")</f>
        <v>https://baanknet.com/view-property/278940/BFF85E124CA68CF066840590BF5D0A887CCE363ADAEF7C855DCC1D9E397955E5</v>
      </c>
      <c r="I6936" t="str">
        <f>HYPERLINK("https://baanknet.com/view-property/278940/BFF85E124CA68CF066840590BF5D0A887CCE363ADAEF7C855DCC1D9E397955E5", "Open")</f>
        <v>Open</v>
      </c>
      <c r="J6936" t="s">
        <v>3803</v>
      </c>
      <c r="L6936">
        <v>5130000</v>
      </c>
      <c r="M6936">
        <v>513000</v>
      </c>
    </row>
    <row r="6937" spans="1:13" x14ac:dyDescent="0.25">
      <c r="A6937" t="s">
        <v>22897</v>
      </c>
      <c r="B6937" t="s">
        <v>22898</v>
      </c>
      <c r="C6937" t="s">
        <v>594</v>
      </c>
      <c r="D6937" t="s">
        <v>616</v>
      </c>
      <c r="E6937" t="s">
        <v>596</v>
      </c>
      <c r="F6937" t="s">
        <v>574</v>
      </c>
      <c r="G6937" t="s">
        <v>22899</v>
      </c>
      <c r="H6937" t="str">
        <f>HYPERLINK("https://baanknet.com/view-property/287049/E87D77EA968E95E2B323F7DADABEB6BA9038EC118FD82042136951AED239EAE0", "https://baanknet.com/view-property/287049/E87D77EA968E95E2B323F7DADABEB6BA9038EC118FD82042136951AED239EAE0")</f>
        <v>https://baanknet.com/view-property/287049/E87D77EA968E95E2B323F7DADABEB6BA9038EC118FD82042136951AED239EAE0</v>
      </c>
      <c r="I6937" t="str">
        <f>HYPERLINK("https://baanknet.com/view-property/287049/E87D77EA968E95E2B323F7DADABEB6BA9038EC118FD82042136951AED239EAE0", "Open")</f>
        <v>Open</v>
      </c>
      <c r="J6937" t="s">
        <v>3803</v>
      </c>
      <c r="L6937">
        <v>1080000</v>
      </c>
      <c r="M6937">
        <v>108000</v>
      </c>
    </row>
    <row r="6938" spans="1:13" x14ac:dyDescent="0.25">
      <c r="A6938" t="s">
        <v>22900</v>
      </c>
      <c r="B6938" t="s">
        <v>22901</v>
      </c>
      <c r="C6938" t="s">
        <v>594</v>
      </c>
      <c r="D6938" t="s">
        <v>3524</v>
      </c>
      <c r="E6938" t="s">
        <v>596</v>
      </c>
      <c r="F6938" t="s">
        <v>574</v>
      </c>
      <c r="G6938" t="s">
        <v>22902</v>
      </c>
      <c r="H6938" t="str">
        <f>HYPERLINK("https://baanknet.com/view-property/284102/AA74BE0D655015B32862B484C970AFA9DBE89D5642C9C6A9CF96BF407F40DBDC", "https://baanknet.com/view-property/284102/AA74BE0D655015B32862B484C970AFA9DBE89D5642C9C6A9CF96BF407F40DBDC")</f>
        <v>https://baanknet.com/view-property/284102/AA74BE0D655015B32862B484C970AFA9DBE89D5642C9C6A9CF96BF407F40DBDC</v>
      </c>
      <c r="I6938" t="str">
        <f>HYPERLINK("https://baanknet.com/view-property/284102/AA74BE0D655015B32862B484C970AFA9DBE89D5642C9C6A9CF96BF407F40DBDC", "Open")</f>
        <v>Open</v>
      </c>
      <c r="J6938" t="s">
        <v>3803</v>
      </c>
      <c r="L6938">
        <v>2295000</v>
      </c>
      <c r="M6938">
        <v>229500</v>
      </c>
    </row>
    <row r="6939" spans="1:13" x14ac:dyDescent="0.25">
      <c r="A6939" t="s">
        <v>22903</v>
      </c>
      <c r="B6939" t="s">
        <v>22904</v>
      </c>
      <c r="C6939" t="s">
        <v>594</v>
      </c>
      <c r="D6939" t="s">
        <v>3826</v>
      </c>
      <c r="E6939" t="s">
        <v>596</v>
      </c>
      <c r="F6939" t="s">
        <v>574</v>
      </c>
      <c r="G6939" t="s">
        <v>22905</v>
      </c>
      <c r="H6939" t="str">
        <f>HYPERLINK("https://baanknet.com/view-property/288142/0E837B5D3E79373DB2B3122FC91F721B18FB3F6D0E9A16674D65F5306203FFE7", "https://baanknet.com/view-property/288142/0E837B5D3E79373DB2B3122FC91F721B18FB3F6D0E9A16674D65F5306203FFE7")</f>
        <v>https://baanknet.com/view-property/288142/0E837B5D3E79373DB2B3122FC91F721B18FB3F6D0E9A16674D65F5306203FFE7</v>
      </c>
      <c r="I6939" t="str">
        <f>HYPERLINK("https://baanknet.com/view-property/288142/0E837B5D3E79373DB2B3122FC91F721B18FB3F6D0E9A16674D65F5306203FFE7", "Open")</f>
        <v>Open</v>
      </c>
      <c r="J6939" t="s">
        <v>3803</v>
      </c>
      <c r="L6939">
        <v>2200000</v>
      </c>
      <c r="M6939">
        <v>220000</v>
      </c>
    </row>
    <row r="6940" spans="1:13" x14ac:dyDescent="0.25">
      <c r="A6940" t="s">
        <v>22906</v>
      </c>
      <c r="B6940" t="s">
        <v>22907</v>
      </c>
      <c r="C6940" t="s">
        <v>594</v>
      </c>
      <c r="D6940" t="s">
        <v>9783</v>
      </c>
      <c r="E6940" t="s">
        <v>596</v>
      </c>
      <c r="F6940" t="s">
        <v>574</v>
      </c>
      <c r="G6940" t="s">
        <v>22908</v>
      </c>
      <c r="H6940" t="str">
        <f>HYPERLINK("https://baanknet.com/view-property/288146/6230F2B3182C350DF6FF08E460A77AAEBD550794F56B46B06124C879A50B78CC", "https://baanknet.com/view-property/288146/6230F2B3182C350DF6FF08E460A77AAEBD550794F56B46B06124C879A50B78CC")</f>
        <v>https://baanknet.com/view-property/288146/6230F2B3182C350DF6FF08E460A77AAEBD550794F56B46B06124C879A50B78CC</v>
      </c>
      <c r="I6940" t="str">
        <f>HYPERLINK("https://baanknet.com/view-property/288146/6230F2B3182C350DF6FF08E460A77AAEBD550794F56B46B06124C879A50B78CC", "Open")</f>
        <v>Open</v>
      </c>
      <c r="J6940" t="s">
        <v>3803</v>
      </c>
      <c r="L6940">
        <v>850000</v>
      </c>
      <c r="M6940">
        <v>85000</v>
      </c>
    </row>
    <row r="6941" spans="1:13" x14ac:dyDescent="0.25">
      <c r="A6941" t="s">
        <v>22909</v>
      </c>
      <c r="B6941" t="s">
        <v>22910</v>
      </c>
      <c r="C6941" t="s">
        <v>594</v>
      </c>
      <c r="D6941" t="s">
        <v>22911</v>
      </c>
      <c r="E6941" t="s">
        <v>596</v>
      </c>
      <c r="F6941" t="s">
        <v>574</v>
      </c>
      <c r="G6941" t="s">
        <v>22912</v>
      </c>
      <c r="H6941" t="str">
        <f>HYPERLINK("https://baanknet.com/view-property/288149/E909981521825E77A2A4FF4EC7CE0A454EB17536E0C5D8D879E48B3E3FB287E0", "https://baanknet.com/view-property/288149/E909981521825E77A2A4FF4EC7CE0A454EB17536E0C5D8D879E48B3E3FB287E0")</f>
        <v>https://baanknet.com/view-property/288149/E909981521825E77A2A4FF4EC7CE0A454EB17536E0C5D8D879E48B3E3FB287E0</v>
      </c>
      <c r="I6941" t="str">
        <f>HYPERLINK("https://baanknet.com/view-property/288149/E909981521825E77A2A4FF4EC7CE0A454EB17536E0C5D8D879E48B3E3FB287E0", "Open")</f>
        <v>Open</v>
      </c>
      <c r="J6941" t="s">
        <v>3803</v>
      </c>
      <c r="L6941">
        <v>22500000</v>
      </c>
      <c r="M6941">
        <v>2250000</v>
      </c>
    </row>
    <row r="6942" spans="1:13" x14ac:dyDescent="0.25">
      <c r="A6942" t="s">
        <v>22913</v>
      </c>
      <c r="B6942" t="s">
        <v>22914</v>
      </c>
      <c r="C6942" t="s">
        <v>594</v>
      </c>
      <c r="D6942" t="s">
        <v>1310</v>
      </c>
      <c r="E6942" t="s">
        <v>596</v>
      </c>
      <c r="F6942" t="s">
        <v>574</v>
      </c>
      <c r="G6942" t="s">
        <v>22915</v>
      </c>
      <c r="H6942" t="str">
        <f>HYPERLINK("https://baanknet.com/view-property/236829/6477214CD450BCC08D8441BC9C3AB84FC8CD0037954DAFD58E384115A99AEE51", "https://baanknet.com/view-property/236829/6477214CD450BCC08D8441BC9C3AB84FC8CD0037954DAFD58E384115A99AEE51")</f>
        <v>https://baanknet.com/view-property/236829/6477214CD450BCC08D8441BC9C3AB84FC8CD0037954DAFD58E384115A99AEE51</v>
      </c>
      <c r="I6942" t="str">
        <f>HYPERLINK("https://baanknet.com/view-property/236829/6477214CD450BCC08D8441BC9C3AB84FC8CD0037954DAFD58E384115A99AEE51", "Open")</f>
        <v>Open</v>
      </c>
      <c r="J6942" t="s">
        <v>3803</v>
      </c>
      <c r="L6942">
        <v>13700000</v>
      </c>
      <c r="M6942">
        <v>1370000</v>
      </c>
    </row>
    <row r="6943" spans="1:13" x14ac:dyDescent="0.25">
      <c r="A6943" t="s">
        <v>22916</v>
      </c>
      <c r="B6943" t="s">
        <v>22917</v>
      </c>
      <c r="C6943" t="s">
        <v>594</v>
      </c>
      <c r="D6943" t="s">
        <v>595</v>
      </c>
      <c r="E6943" t="s">
        <v>596</v>
      </c>
      <c r="F6943" t="s">
        <v>574</v>
      </c>
      <c r="G6943" t="s">
        <v>22918</v>
      </c>
      <c r="H6943" t="str">
        <f>HYPERLINK("https://baanknet.com/view-property/55262/5BF4EB114B0CB94D16D772585131C50BBCB9B0905DEA1663E68D1634104636B1", "https://baanknet.com/view-property/55262/5BF4EB114B0CB94D16D772585131C50BBCB9B0905DEA1663E68D1634104636B1")</f>
        <v>https://baanknet.com/view-property/55262/5BF4EB114B0CB94D16D772585131C50BBCB9B0905DEA1663E68D1634104636B1</v>
      </c>
      <c r="I6943" t="str">
        <f>HYPERLINK("https://baanknet.com/view-property/55262/5BF4EB114B0CB94D16D772585131C50BBCB9B0905DEA1663E68D1634104636B1", "Open")</f>
        <v>Open</v>
      </c>
      <c r="J6943" t="s">
        <v>3803</v>
      </c>
      <c r="L6943">
        <v>548000</v>
      </c>
      <c r="M6943">
        <v>54800</v>
      </c>
    </row>
    <row r="6944" spans="1:13" x14ac:dyDescent="0.25">
      <c r="A6944" t="s">
        <v>22919</v>
      </c>
      <c r="B6944" t="s">
        <v>22920</v>
      </c>
      <c r="C6944" t="s">
        <v>594</v>
      </c>
      <c r="D6944" t="s">
        <v>595</v>
      </c>
      <c r="E6944" t="s">
        <v>596</v>
      </c>
      <c r="F6944" t="s">
        <v>574</v>
      </c>
      <c r="G6944" t="s">
        <v>22921</v>
      </c>
      <c r="H6944" t="str">
        <f>HYPERLINK("https://baanknet.com/view-property/72235/3638A500A47290D4727B34FF42EFEAADA470417DFB2A90B3E8742CEE2DB4A295", "https://baanknet.com/view-property/72235/3638A500A47290D4727B34FF42EFEAADA470417DFB2A90B3E8742CEE2DB4A295")</f>
        <v>https://baanknet.com/view-property/72235/3638A500A47290D4727B34FF42EFEAADA470417DFB2A90B3E8742CEE2DB4A295</v>
      </c>
      <c r="I6944" t="str">
        <f>HYPERLINK("https://baanknet.com/view-property/72235/3638A500A47290D4727B34FF42EFEAADA470417DFB2A90B3E8742CEE2DB4A295", "Open")</f>
        <v>Open</v>
      </c>
      <c r="J6944" t="s">
        <v>3803</v>
      </c>
      <c r="L6944">
        <v>548000</v>
      </c>
      <c r="M6944">
        <v>54800</v>
      </c>
    </row>
    <row r="6945" spans="1:13" x14ac:dyDescent="0.25">
      <c r="A6945" t="s">
        <v>22922</v>
      </c>
      <c r="B6945" t="s">
        <v>22923</v>
      </c>
      <c r="C6945" t="s">
        <v>594</v>
      </c>
      <c r="D6945" t="s">
        <v>595</v>
      </c>
      <c r="E6945" t="s">
        <v>596</v>
      </c>
      <c r="F6945" t="s">
        <v>574</v>
      </c>
      <c r="G6945" t="s">
        <v>22924</v>
      </c>
      <c r="H6945" t="str">
        <f>HYPERLINK("https://baanknet.com/view-property/29533/E5D02FE603297A0E4E2C6C1349FD2844ABE6A96B5A443600BD78DAADEA9C51BA", "https://baanknet.com/view-property/29533/E5D02FE603297A0E4E2C6C1349FD2844ABE6A96B5A443600BD78DAADEA9C51BA")</f>
        <v>https://baanknet.com/view-property/29533/E5D02FE603297A0E4E2C6C1349FD2844ABE6A96B5A443600BD78DAADEA9C51BA</v>
      </c>
      <c r="I6945" t="str">
        <f>HYPERLINK("https://baanknet.com/view-property/29533/E5D02FE603297A0E4E2C6C1349FD2844ABE6A96B5A443600BD78DAADEA9C51BA", "Open")</f>
        <v>Open</v>
      </c>
      <c r="J6945" t="s">
        <v>3803</v>
      </c>
      <c r="L6945">
        <v>548000</v>
      </c>
      <c r="M6945">
        <v>54800</v>
      </c>
    </row>
    <row r="6946" spans="1:13" x14ac:dyDescent="0.25">
      <c r="A6946" t="s">
        <v>22925</v>
      </c>
      <c r="B6946" t="s">
        <v>22926</v>
      </c>
      <c r="C6946" t="s">
        <v>594</v>
      </c>
      <c r="D6946" t="s">
        <v>595</v>
      </c>
      <c r="E6946" t="s">
        <v>596</v>
      </c>
      <c r="F6946" t="s">
        <v>574</v>
      </c>
      <c r="G6946" t="s">
        <v>22927</v>
      </c>
      <c r="H6946" t="str">
        <f>HYPERLINK("https://baanknet.com/view-property/77586/C073DC0997780B673BF83C7C17E23B05DFAF32F3F6B4B4C65A0016DC3E930C0C", "https://baanknet.com/view-property/77586/C073DC0997780B673BF83C7C17E23B05DFAF32F3F6B4B4C65A0016DC3E930C0C")</f>
        <v>https://baanknet.com/view-property/77586/C073DC0997780B673BF83C7C17E23B05DFAF32F3F6B4B4C65A0016DC3E930C0C</v>
      </c>
      <c r="I6946" t="str">
        <f>HYPERLINK("https://baanknet.com/view-property/77586/C073DC0997780B673BF83C7C17E23B05DFAF32F3F6B4B4C65A0016DC3E930C0C", "Open")</f>
        <v>Open</v>
      </c>
      <c r="J6946" t="s">
        <v>3803</v>
      </c>
      <c r="L6946">
        <v>299000</v>
      </c>
      <c r="M6946">
        <v>29900</v>
      </c>
    </row>
    <row r="6947" spans="1:13" x14ac:dyDescent="0.25">
      <c r="A6947" t="s">
        <v>22928</v>
      </c>
      <c r="B6947" t="s">
        <v>22929</v>
      </c>
      <c r="C6947" t="s">
        <v>594</v>
      </c>
      <c r="D6947" t="s">
        <v>595</v>
      </c>
      <c r="E6947" t="s">
        <v>596</v>
      </c>
      <c r="F6947" t="s">
        <v>574</v>
      </c>
      <c r="G6947" t="s">
        <v>22930</v>
      </c>
      <c r="H6947" t="str">
        <f>HYPERLINK("https://baanknet.com/view-property/60071/BFED4F5D35DCB826179E85E1C671B00B26AC7BA9DEB045832997E53641D0FC9B", "https://baanknet.com/view-property/60071/BFED4F5D35DCB826179E85E1C671B00B26AC7BA9DEB045832997E53641D0FC9B")</f>
        <v>https://baanknet.com/view-property/60071/BFED4F5D35DCB826179E85E1C671B00B26AC7BA9DEB045832997E53641D0FC9B</v>
      </c>
      <c r="I6947" t="str">
        <f>HYPERLINK("https://baanknet.com/view-property/60071/BFED4F5D35DCB826179E85E1C671B00B26AC7BA9DEB045832997E53641D0FC9B", "Open")</f>
        <v>Open</v>
      </c>
      <c r="J6947" t="s">
        <v>3803</v>
      </c>
      <c r="L6947">
        <v>299000</v>
      </c>
      <c r="M6947">
        <v>29900</v>
      </c>
    </row>
    <row r="6948" spans="1:13" x14ac:dyDescent="0.25">
      <c r="A6948" t="s">
        <v>22931</v>
      </c>
      <c r="B6948" t="s">
        <v>22932</v>
      </c>
      <c r="C6948" t="s">
        <v>594</v>
      </c>
      <c r="D6948" t="s">
        <v>608</v>
      </c>
      <c r="E6948" t="s">
        <v>596</v>
      </c>
      <c r="F6948" t="s">
        <v>574</v>
      </c>
      <c r="G6948" t="s">
        <v>22933</v>
      </c>
      <c r="H6948" t="str">
        <f>HYPERLINK("https://baanknet.com/view-property/288126/5632CD462A1E3C0B81FC8C4F324065C97CCA0C0E33CADBD7A21289048EFAFB30", "https://baanknet.com/view-property/288126/5632CD462A1E3C0B81FC8C4F324065C97CCA0C0E33CADBD7A21289048EFAFB30")</f>
        <v>https://baanknet.com/view-property/288126/5632CD462A1E3C0B81FC8C4F324065C97CCA0C0E33CADBD7A21289048EFAFB30</v>
      </c>
      <c r="I6948" t="str">
        <f>HYPERLINK("https://baanknet.com/view-property/288126/5632CD462A1E3C0B81FC8C4F324065C97CCA0C0E33CADBD7A21289048EFAFB30", "Open")</f>
        <v>Open</v>
      </c>
      <c r="J6948" t="s">
        <v>3803</v>
      </c>
      <c r="L6948">
        <v>11143000</v>
      </c>
      <c r="M6948">
        <v>1114300</v>
      </c>
    </row>
    <row r="6949" spans="1:13" x14ac:dyDescent="0.25">
      <c r="A6949" t="s">
        <v>22934</v>
      </c>
      <c r="B6949" t="s">
        <v>22935</v>
      </c>
      <c r="C6949" t="s">
        <v>594</v>
      </c>
      <c r="D6949" t="s">
        <v>608</v>
      </c>
      <c r="E6949" t="s">
        <v>596</v>
      </c>
      <c r="F6949" t="s">
        <v>574</v>
      </c>
      <c r="G6949" t="s">
        <v>22936</v>
      </c>
      <c r="H6949" t="str">
        <f>HYPERLINK("https://baanknet.com/view-property/288152/CA99CAE7D061F77D0226A0BF6FAC22D702A7BDCEE9F609D06A4BAE27D9A59C7B", "https://baanknet.com/view-property/288152/CA99CAE7D061F77D0226A0BF6FAC22D702A7BDCEE9F609D06A4BAE27D9A59C7B")</f>
        <v>https://baanknet.com/view-property/288152/CA99CAE7D061F77D0226A0BF6FAC22D702A7BDCEE9F609D06A4BAE27D9A59C7B</v>
      </c>
      <c r="I6949" t="str">
        <f>HYPERLINK("https://baanknet.com/view-property/288152/CA99CAE7D061F77D0226A0BF6FAC22D702A7BDCEE9F609D06A4BAE27D9A59C7B", "Open")</f>
        <v>Open</v>
      </c>
      <c r="J6949" t="s">
        <v>3803</v>
      </c>
      <c r="L6949">
        <v>31416000</v>
      </c>
      <c r="M6949">
        <v>3141600</v>
      </c>
    </row>
    <row r="6950" spans="1:13" x14ac:dyDescent="0.25">
      <c r="A6950" t="s">
        <v>22937</v>
      </c>
      <c r="B6950" t="s">
        <v>22938</v>
      </c>
      <c r="C6950" t="s">
        <v>594</v>
      </c>
      <c r="D6950" t="s">
        <v>608</v>
      </c>
      <c r="E6950" t="s">
        <v>596</v>
      </c>
      <c r="F6950" t="s">
        <v>574</v>
      </c>
      <c r="G6950" t="s">
        <v>22939</v>
      </c>
      <c r="H6950" t="str">
        <f>HYPERLINK("https://baanknet.com/view-property/288160/1D210D374778D69A1CD18058007D151B1F0C0F8139E2FD8E1EDBBEB0EF2A14E1", "https://baanknet.com/view-property/288160/1D210D374778D69A1CD18058007D151B1F0C0F8139E2FD8E1EDBBEB0EF2A14E1")</f>
        <v>https://baanknet.com/view-property/288160/1D210D374778D69A1CD18058007D151B1F0C0F8139E2FD8E1EDBBEB0EF2A14E1</v>
      </c>
      <c r="I6950" t="str">
        <f>HYPERLINK("https://baanknet.com/view-property/288160/1D210D374778D69A1CD18058007D151B1F0C0F8139E2FD8E1EDBBEB0EF2A14E1", "Open")</f>
        <v>Open</v>
      </c>
      <c r="J6950" t="s">
        <v>3803</v>
      </c>
      <c r="L6950">
        <v>14986000</v>
      </c>
      <c r="M6950">
        <v>1498600</v>
      </c>
    </row>
    <row r="6951" spans="1:13" x14ac:dyDescent="0.25">
      <c r="A6951" t="s">
        <v>22940</v>
      </c>
      <c r="B6951" t="s">
        <v>22941</v>
      </c>
      <c r="C6951" t="s">
        <v>594</v>
      </c>
      <c r="D6951" t="s">
        <v>22942</v>
      </c>
      <c r="E6951" t="s">
        <v>596</v>
      </c>
      <c r="F6951" t="s">
        <v>574</v>
      </c>
      <c r="G6951" t="s">
        <v>22943</v>
      </c>
      <c r="H6951" t="str">
        <f>HYPERLINK("https://baanknet.com/view-property/277621/B5602AA20F2A23131AB71B86F0563106A2124081CC612E5130DD5BCF1DC72155", "https://baanknet.com/view-property/277621/B5602AA20F2A23131AB71B86F0563106A2124081CC612E5130DD5BCF1DC72155")</f>
        <v>https://baanknet.com/view-property/277621/B5602AA20F2A23131AB71B86F0563106A2124081CC612E5130DD5BCF1DC72155</v>
      </c>
      <c r="I6951" t="str">
        <f>HYPERLINK("https://baanknet.com/view-property/277621/B5602AA20F2A23131AB71B86F0563106A2124081CC612E5130DD5BCF1DC72155", "Open")</f>
        <v>Open</v>
      </c>
      <c r="J6951" t="s">
        <v>3803</v>
      </c>
      <c r="L6951">
        <v>1939700</v>
      </c>
      <c r="M6951">
        <v>193970</v>
      </c>
    </row>
    <row r="6952" spans="1:13" x14ac:dyDescent="0.25">
      <c r="A6952" t="s">
        <v>22944</v>
      </c>
      <c r="B6952" t="s">
        <v>22945</v>
      </c>
      <c r="C6952" t="s">
        <v>594</v>
      </c>
      <c r="D6952" t="s">
        <v>22942</v>
      </c>
      <c r="E6952" t="s">
        <v>596</v>
      </c>
      <c r="F6952" t="s">
        <v>574</v>
      </c>
      <c r="G6952" t="s">
        <v>22946</v>
      </c>
      <c r="H6952" t="str">
        <f>HYPERLINK("https://baanknet.com/view-property/251864/E1CE7D0F97B17087AFB45B5C55DDCD8C4FC9FD6526DC2D44D5FBE04D368BC289", "https://baanknet.com/view-property/251864/E1CE7D0F97B17087AFB45B5C55DDCD8C4FC9FD6526DC2D44D5FBE04D368BC289")</f>
        <v>https://baanknet.com/view-property/251864/E1CE7D0F97B17087AFB45B5C55DDCD8C4FC9FD6526DC2D44D5FBE04D368BC289</v>
      </c>
      <c r="I6952" t="str">
        <f>HYPERLINK("https://baanknet.com/view-property/251864/E1CE7D0F97B17087AFB45B5C55DDCD8C4FC9FD6526DC2D44D5FBE04D368BC289", "Open")</f>
        <v>Open</v>
      </c>
      <c r="J6952" t="s">
        <v>3803</v>
      </c>
      <c r="L6952">
        <v>3408000</v>
      </c>
      <c r="M6952">
        <v>340800</v>
      </c>
    </row>
    <row r="6953" spans="1:13" x14ac:dyDescent="0.25">
      <c r="A6953" t="s">
        <v>22947</v>
      </c>
      <c r="B6953" t="s">
        <v>22948</v>
      </c>
      <c r="C6953" t="s">
        <v>594</v>
      </c>
      <c r="D6953" t="s">
        <v>22949</v>
      </c>
      <c r="E6953" t="s">
        <v>596</v>
      </c>
      <c r="F6953" t="s">
        <v>574</v>
      </c>
      <c r="G6953" t="s">
        <v>22950</v>
      </c>
      <c r="H6953" t="str">
        <f>HYPERLINK("https://baanknet.com/view-property/20623/E68E298A1E28B0A298E6DA70D6750EB80ADD950BCB03C981FEDCC72BB4168A11", "https://baanknet.com/view-property/20623/E68E298A1E28B0A298E6DA70D6750EB80ADD950BCB03C981FEDCC72BB4168A11")</f>
        <v>https://baanknet.com/view-property/20623/E68E298A1E28B0A298E6DA70D6750EB80ADD950BCB03C981FEDCC72BB4168A11</v>
      </c>
      <c r="I6953" t="str">
        <f>HYPERLINK("https://baanknet.com/view-property/20623/E68E298A1E28B0A298E6DA70D6750EB80ADD950BCB03C981FEDCC72BB4168A11", "Open")</f>
        <v>Open</v>
      </c>
      <c r="J6953" t="s">
        <v>3803</v>
      </c>
      <c r="L6953">
        <v>1300000</v>
      </c>
      <c r="M6953">
        <v>130000</v>
      </c>
    </row>
    <row r="6954" spans="1:13" x14ac:dyDescent="0.25">
      <c r="A6954" t="s">
        <v>22951</v>
      </c>
      <c r="B6954" t="s">
        <v>22952</v>
      </c>
      <c r="C6954" t="s">
        <v>594</v>
      </c>
      <c r="D6954" t="s">
        <v>1761</v>
      </c>
      <c r="E6954" t="s">
        <v>596</v>
      </c>
      <c r="F6954" t="s">
        <v>574</v>
      </c>
      <c r="G6954" t="s">
        <v>22953</v>
      </c>
      <c r="H6954" t="str">
        <f>HYPERLINK("https://baanknet.com/view-property/288302/3EB58F7C3D36A97C4D1C2516A5C7C47FDC4A4D37D3C63A649AD2ADED409062AA", "https://baanknet.com/view-property/288302/3EB58F7C3D36A97C4D1C2516A5C7C47FDC4A4D37D3C63A649AD2ADED409062AA")</f>
        <v>https://baanknet.com/view-property/288302/3EB58F7C3D36A97C4D1C2516A5C7C47FDC4A4D37D3C63A649AD2ADED409062AA</v>
      </c>
      <c r="I6954" t="str">
        <f>HYPERLINK("https://baanknet.com/view-property/288302/3EB58F7C3D36A97C4D1C2516A5C7C47FDC4A4D37D3C63A649AD2ADED409062AA", "Open")</f>
        <v>Open</v>
      </c>
      <c r="J6954" t="s">
        <v>3803</v>
      </c>
      <c r="L6954">
        <v>864000</v>
      </c>
      <c r="M6954">
        <v>86400</v>
      </c>
    </row>
    <row r="6955" spans="1:13" x14ac:dyDescent="0.25">
      <c r="A6955" t="s">
        <v>22954</v>
      </c>
      <c r="B6955" t="s">
        <v>22955</v>
      </c>
      <c r="C6955" t="s">
        <v>594</v>
      </c>
      <c r="D6955" t="s">
        <v>22942</v>
      </c>
      <c r="E6955" t="s">
        <v>596</v>
      </c>
      <c r="F6955" t="s">
        <v>574</v>
      </c>
      <c r="G6955" t="s">
        <v>22956</v>
      </c>
      <c r="H6955" t="str">
        <f>HYPERLINK("https://baanknet.com/view-property/33102/C372622E15ADAC6264C5A074CBEFDC773FFFE67CBE4FBB28316EBD1ABFF42669", "https://baanknet.com/view-property/33102/C372622E15ADAC6264C5A074CBEFDC773FFFE67CBE4FBB28316EBD1ABFF42669")</f>
        <v>https://baanknet.com/view-property/33102/C372622E15ADAC6264C5A074CBEFDC773FFFE67CBE4FBB28316EBD1ABFF42669</v>
      </c>
      <c r="I6955" t="str">
        <f>HYPERLINK("https://baanknet.com/view-property/33102/C372622E15ADAC6264C5A074CBEFDC773FFFE67CBE4FBB28316EBD1ABFF42669", "Open")</f>
        <v>Open</v>
      </c>
      <c r="J6955" t="s">
        <v>3803</v>
      </c>
      <c r="L6955">
        <v>1089400</v>
      </c>
      <c r="M6955">
        <v>108940</v>
      </c>
    </row>
    <row r="6956" spans="1:13" x14ac:dyDescent="0.25">
      <c r="A6956" t="s">
        <v>22957</v>
      </c>
      <c r="B6956" t="s">
        <v>22958</v>
      </c>
      <c r="C6956" t="s">
        <v>594</v>
      </c>
      <c r="D6956" t="s">
        <v>18255</v>
      </c>
      <c r="E6956" t="s">
        <v>596</v>
      </c>
      <c r="F6956" t="s">
        <v>574</v>
      </c>
      <c r="G6956" t="s">
        <v>22959</v>
      </c>
      <c r="H6956" t="str">
        <f>HYPERLINK("https://baanknet.com/view-property/97648/435F5AE147FF31DA58F3C0CB0849CCFD9DD3ED8068EAC8B7DEF0BC4FFDEEC976", "https://baanknet.com/view-property/97648/435F5AE147FF31DA58F3C0CB0849CCFD9DD3ED8068EAC8B7DEF0BC4FFDEEC976")</f>
        <v>https://baanknet.com/view-property/97648/435F5AE147FF31DA58F3C0CB0849CCFD9DD3ED8068EAC8B7DEF0BC4FFDEEC976</v>
      </c>
      <c r="I6956" t="str">
        <f>HYPERLINK("https://baanknet.com/view-property/97648/435F5AE147FF31DA58F3C0CB0849CCFD9DD3ED8068EAC8B7DEF0BC4FFDEEC976", "Open")</f>
        <v>Open</v>
      </c>
      <c r="J6956" t="s">
        <v>3803</v>
      </c>
      <c r="L6956">
        <v>2835000</v>
      </c>
      <c r="M6956">
        <v>283500</v>
      </c>
    </row>
    <row r="6957" spans="1:13" x14ac:dyDescent="0.25">
      <c r="A6957" t="s">
        <v>22960</v>
      </c>
      <c r="B6957" t="s">
        <v>22961</v>
      </c>
      <c r="C6957" t="s">
        <v>594</v>
      </c>
      <c r="D6957" t="s">
        <v>18255</v>
      </c>
      <c r="E6957" t="s">
        <v>596</v>
      </c>
      <c r="F6957" t="s">
        <v>574</v>
      </c>
      <c r="G6957" t="s">
        <v>22962</v>
      </c>
      <c r="H6957" t="str">
        <f>HYPERLINK("https://baanknet.com/view-property/129157/72B550DC9B9FC1190860DE9418D043C66D022E06D0E1BD0BA3D54D9EEAC0E088", "https://baanknet.com/view-property/129157/72B550DC9B9FC1190860DE9418D043C66D022E06D0E1BD0BA3D54D9EEAC0E088")</f>
        <v>https://baanknet.com/view-property/129157/72B550DC9B9FC1190860DE9418D043C66D022E06D0E1BD0BA3D54D9EEAC0E088</v>
      </c>
      <c r="I6957" t="str">
        <f>HYPERLINK("https://baanknet.com/view-property/129157/72B550DC9B9FC1190860DE9418D043C66D022E06D0E1BD0BA3D54D9EEAC0E088", "Open")</f>
        <v>Open</v>
      </c>
      <c r="J6957" t="s">
        <v>3803</v>
      </c>
      <c r="L6957">
        <v>1606500</v>
      </c>
      <c r="M6957">
        <v>160650</v>
      </c>
    </row>
    <row r="6958" spans="1:13" x14ac:dyDescent="0.25">
      <c r="A6958" t="s">
        <v>22963</v>
      </c>
      <c r="B6958" t="s">
        <v>22964</v>
      </c>
      <c r="C6958" t="s">
        <v>594</v>
      </c>
      <c r="D6958" t="s">
        <v>22942</v>
      </c>
      <c r="E6958" t="s">
        <v>596</v>
      </c>
      <c r="F6958" t="s">
        <v>574</v>
      </c>
      <c r="G6958" t="s">
        <v>22965</v>
      </c>
      <c r="H6958" t="str">
        <f>HYPERLINK("https://baanknet.com/view-property/226892/D8549BDA7F74B1B97E743D18FC49AACDC2C34B4D4A90AAD52275465E52A8092D", "https://baanknet.com/view-property/226892/D8549BDA7F74B1B97E743D18FC49AACDC2C34B4D4A90AAD52275465E52A8092D")</f>
        <v>https://baanknet.com/view-property/226892/D8549BDA7F74B1B97E743D18FC49AACDC2C34B4D4A90AAD52275465E52A8092D</v>
      </c>
      <c r="I6958" t="str">
        <f>HYPERLINK("https://baanknet.com/view-property/226892/D8549BDA7F74B1B97E743D18FC49AACDC2C34B4D4A90AAD52275465E52A8092D", "Open")</f>
        <v>Open</v>
      </c>
      <c r="J6958" t="s">
        <v>3803</v>
      </c>
      <c r="L6958">
        <v>3527500</v>
      </c>
      <c r="M6958">
        <v>352750</v>
      </c>
    </row>
    <row r="6959" spans="1:13" x14ac:dyDescent="0.25">
      <c r="A6959" t="s">
        <v>22966</v>
      </c>
      <c r="B6959" t="s">
        <v>22967</v>
      </c>
      <c r="C6959" t="s">
        <v>594</v>
      </c>
      <c r="D6959" t="s">
        <v>10837</v>
      </c>
      <c r="E6959" t="s">
        <v>596</v>
      </c>
      <c r="F6959" t="s">
        <v>574</v>
      </c>
      <c r="G6959" t="s">
        <v>22968</v>
      </c>
      <c r="H6959" t="str">
        <f>HYPERLINK("https://baanknet.com/view-property/251863/D81A6CC7A4EBECA3B019859BA9E59BA05CD0D158FEC0D5EAFCD481BB20AF64DF", "https://baanknet.com/view-property/251863/D81A6CC7A4EBECA3B019859BA9E59BA05CD0D158FEC0D5EAFCD481BB20AF64DF")</f>
        <v>https://baanknet.com/view-property/251863/D81A6CC7A4EBECA3B019859BA9E59BA05CD0D158FEC0D5EAFCD481BB20AF64DF</v>
      </c>
      <c r="I6959" t="str">
        <f>HYPERLINK("https://baanknet.com/view-property/251863/D81A6CC7A4EBECA3B019859BA9E59BA05CD0D158FEC0D5EAFCD481BB20AF64DF", "Open")</f>
        <v>Open</v>
      </c>
      <c r="J6959" t="s">
        <v>3803</v>
      </c>
      <c r="L6959">
        <v>3442500</v>
      </c>
      <c r="M6959">
        <v>344250</v>
      </c>
    </row>
    <row r="6960" spans="1:13" x14ac:dyDescent="0.25">
      <c r="A6960" t="s">
        <v>22969</v>
      </c>
      <c r="B6960" t="s">
        <v>22970</v>
      </c>
      <c r="C6960" t="s">
        <v>594</v>
      </c>
      <c r="D6960" t="s">
        <v>1751</v>
      </c>
      <c r="E6960" t="s">
        <v>596</v>
      </c>
      <c r="F6960" t="s">
        <v>574</v>
      </c>
      <c r="G6960" t="s">
        <v>22971</v>
      </c>
      <c r="H6960" t="str">
        <f>HYPERLINK("https://baanknet.com/view-property/288310/47259A87A590D88C4F78561A9F7A80160FBC2ECA37592927AED3E9A7E98F84B5", "https://baanknet.com/view-property/288310/47259A87A590D88C4F78561A9F7A80160FBC2ECA37592927AED3E9A7E98F84B5")</f>
        <v>https://baanknet.com/view-property/288310/47259A87A590D88C4F78561A9F7A80160FBC2ECA37592927AED3E9A7E98F84B5</v>
      </c>
      <c r="I6960" t="str">
        <f>HYPERLINK("https://baanknet.com/view-property/288310/47259A87A590D88C4F78561A9F7A80160FBC2ECA37592927AED3E9A7E98F84B5", "Open")</f>
        <v>Open</v>
      </c>
      <c r="J6960" t="s">
        <v>3803</v>
      </c>
      <c r="L6960">
        <v>2748000</v>
      </c>
      <c r="M6960">
        <v>274800</v>
      </c>
    </row>
    <row r="6961" spans="1:13" x14ac:dyDescent="0.25">
      <c r="A6961" t="s">
        <v>22972</v>
      </c>
      <c r="B6961" t="s">
        <v>22973</v>
      </c>
      <c r="C6961" t="s">
        <v>594</v>
      </c>
      <c r="D6961" t="s">
        <v>22942</v>
      </c>
      <c r="E6961" t="s">
        <v>596</v>
      </c>
      <c r="F6961" t="s">
        <v>574</v>
      </c>
      <c r="G6961" t="s">
        <v>22974</v>
      </c>
      <c r="H6961" t="str">
        <f>HYPERLINK("https://baanknet.com/view-property/237797/B7A85F6E203524FC5B61A93D24A3536796147D15F8C5386888742AD6F7D65006", "https://baanknet.com/view-property/237797/B7A85F6E203524FC5B61A93D24A3536796147D15F8C5386888742AD6F7D65006")</f>
        <v>https://baanknet.com/view-property/237797/B7A85F6E203524FC5B61A93D24A3536796147D15F8C5386888742AD6F7D65006</v>
      </c>
      <c r="I6961" t="str">
        <f>HYPERLINK("https://baanknet.com/view-property/237797/B7A85F6E203524FC5B61A93D24A3536796147D15F8C5386888742AD6F7D65006", "Open")</f>
        <v>Open</v>
      </c>
      <c r="J6961" t="s">
        <v>3803</v>
      </c>
      <c r="L6961">
        <v>1101600</v>
      </c>
      <c r="M6961">
        <v>110160</v>
      </c>
    </row>
    <row r="6962" spans="1:13" x14ac:dyDescent="0.25">
      <c r="A6962" t="s">
        <v>22975</v>
      </c>
      <c r="B6962" t="s">
        <v>22976</v>
      </c>
      <c r="C6962" t="s">
        <v>594</v>
      </c>
      <c r="D6962" t="s">
        <v>22977</v>
      </c>
      <c r="E6962" t="s">
        <v>596</v>
      </c>
      <c r="F6962" t="s">
        <v>574</v>
      </c>
      <c r="G6962" t="s">
        <v>22978</v>
      </c>
      <c r="H6962" t="str">
        <f>HYPERLINK("https://baanknet.com/view-property/288296/477B358934428C830E9A60112A75BB14015E00345D73B5D5F1D03298C5FC5E45", "https://baanknet.com/view-property/288296/477B358934428C830E9A60112A75BB14015E00345D73B5D5F1D03298C5FC5E45")</f>
        <v>https://baanknet.com/view-property/288296/477B358934428C830E9A60112A75BB14015E00345D73B5D5F1D03298C5FC5E45</v>
      </c>
      <c r="I6962" t="str">
        <f>HYPERLINK("https://baanknet.com/view-property/288296/477B358934428C830E9A60112A75BB14015E00345D73B5D5F1D03298C5FC5E45", "Open")</f>
        <v>Open</v>
      </c>
      <c r="J6962" t="s">
        <v>3803</v>
      </c>
      <c r="L6962">
        <v>1730000</v>
      </c>
      <c r="M6962">
        <v>173000</v>
      </c>
    </row>
    <row r="6963" spans="1:13" x14ac:dyDescent="0.25">
      <c r="A6963" t="s">
        <v>22979</v>
      </c>
      <c r="B6963" t="s">
        <v>22980</v>
      </c>
      <c r="C6963" t="s">
        <v>594</v>
      </c>
      <c r="D6963" t="s">
        <v>608</v>
      </c>
      <c r="E6963" t="s">
        <v>596</v>
      </c>
      <c r="F6963" t="s">
        <v>574</v>
      </c>
      <c r="G6963" t="s">
        <v>22981</v>
      </c>
      <c r="H6963" t="str">
        <f>HYPERLINK("https://baanknet.com/view-property/250102/90AEBDC2682E8BE5DED253BB827038C6B6482970A5BCD9CEFA7B34FBCA150A00", "https://baanknet.com/view-property/250102/90AEBDC2682E8BE5DED253BB827038C6B6482970A5BCD9CEFA7B34FBCA150A00")</f>
        <v>https://baanknet.com/view-property/250102/90AEBDC2682E8BE5DED253BB827038C6B6482970A5BCD9CEFA7B34FBCA150A00</v>
      </c>
      <c r="I6963" t="str">
        <f>HYPERLINK("https://baanknet.com/view-property/250102/90AEBDC2682E8BE5DED253BB827038C6B6482970A5BCD9CEFA7B34FBCA150A00", "Open")</f>
        <v>Open</v>
      </c>
      <c r="J6963" t="s">
        <v>3803</v>
      </c>
      <c r="L6963">
        <v>3600000</v>
      </c>
      <c r="M6963">
        <v>360000</v>
      </c>
    </row>
    <row r="6964" spans="1:13" x14ac:dyDescent="0.25">
      <c r="A6964" t="s">
        <v>22982</v>
      </c>
      <c r="B6964" t="s">
        <v>22983</v>
      </c>
      <c r="C6964" t="s">
        <v>594</v>
      </c>
      <c r="D6964" t="s">
        <v>608</v>
      </c>
      <c r="E6964" t="s">
        <v>596</v>
      </c>
      <c r="F6964" t="s">
        <v>574</v>
      </c>
      <c r="G6964" t="s">
        <v>22984</v>
      </c>
      <c r="H6964" t="str">
        <f>HYPERLINK("https://baanknet.com/view-property/218400/5D57FBE586AFAA14C8A6F2575ACD95A1635A38AE5809798DCE92E5D147244EB8", "https://baanknet.com/view-property/218400/5D57FBE586AFAA14C8A6F2575ACD95A1635A38AE5809798DCE92E5D147244EB8")</f>
        <v>https://baanknet.com/view-property/218400/5D57FBE586AFAA14C8A6F2575ACD95A1635A38AE5809798DCE92E5D147244EB8</v>
      </c>
      <c r="I6964" t="str">
        <f>HYPERLINK("https://baanknet.com/view-property/218400/5D57FBE586AFAA14C8A6F2575ACD95A1635A38AE5809798DCE92E5D147244EB8", "Open")</f>
        <v>Open</v>
      </c>
      <c r="J6964" t="s">
        <v>3803</v>
      </c>
      <c r="L6964">
        <v>3800000</v>
      </c>
      <c r="M6964">
        <v>380000</v>
      </c>
    </row>
    <row r="6965" spans="1:13" x14ac:dyDescent="0.25">
      <c r="A6965" t="s">
        <v>22985</v>
      </c>
      <c r="B6965" t="s">
        <v>22986</v>
      </c>
      <c r="C6965" t="s">
        <v>594</v>
      </c>
      <c r="D6965" t="s">
        <v>608</v>
      </c>
      <c r="E6965" t="s">
        <v>596</v>
      </c>
      <c r="F6965" t="s">
        <v>574</v>
      </c>
      <c r="G6965" t="s">
        <v>22987</v>
      </c>
      <c r="H6965" t="str">
        <f>HYPERLINK("https://baanknet.com/view-property/262999/538C0C4ED60E77DF98A9C2E0938E2056FDE9C80B89C3666927D948A3F660B29B", "https://baanknet.com/view-property/262999/538C0C4ED60E77DF98A9C2E0938E2056FDE9C80B89C3666927D948A3F660B29B")</f>
        <v>https://baanknet.com/view-property/262999/538C0C4ED60E77DF98A9C2E0938E2056FDE9C80B89C3666927D948A3F660B29B</v>
      </c>
      <c r="I6965" t="str">
        <f>HYPERLINK("https://baanknet.com/view-property/262999/538C0C4ED60E77DF98A9C2E0938E2056FDE9C80B89C3666927D948A3F660B29B", "Open")</f>
        <v>Open</v>
      </c>
      <c r="J6965" t="s">
        <v>3803</v>
      </c>
      <c r="L6965">
        <v>10000000</v>
      </c>
      <c r="M6965">
        <v>1000000</v>
      </c>
    </row>
    <row r="6966" spans="1:13" x14ac:dyDescent="0.25">
      <c r="A6966" t="s">
        <v>22988</v>
      </c>
      <c r="B6966" t="s">
        <v>22989</v>
      </c>
      <c r="C6966" t="s">
        <v>594</v>
      </c>
      <c r="D6966" t="s">
        <v>608</v>
      </c>
      <c r="E6966" t="s">
        <v>596</v>
      </c>
      <c r="F6966" t="s">
        <v>574</v>
      </c>
      <c r="G6966" t="s">
        <v>22990</v>
      </c>
      <c r="H6966" t="str">
        <f>HYPERLINK("https://baanknet.com/view-property/123692/25DEDC64F90859F57C4912AC63A1EF1F076265508C728E26A8DF1C2AA25D21FA", "https://baanknet.com/view-property/123692/25DEDC64F90859F57C4912AC63A1EF1F076265508C728E26A8DF1C2AA25D21FA")</f>
        <v>https://baanknet.com/view-property/123692/25DEDC64F90859F57C4912AC63A1EF1F076265508C728E26A8DF1C2AA25D21FA</v>
      </c>
      <c r="I6966" t="str">
        <f>HYPERLINK("https://baanknet.com/view-property/123692/25DEDC64F90859F57C4912AC63A1EF1F076265508C728E26A8DF1C2AA25D21FA", "Open")</f>
        <v>Open</v>
      </c>
      <c r="J6966" t="s">
        <v>3803</v>
      </c>
      <c r="L6966">
        <v>4000000</v>
      </c>
      <c r="M6966">
        <v>400000</v>
      </c>
    </row>
    <row r="6967" spans="1:13" x14ac:dyDescent="0.25">
      <c r="A6967" t="s">
        <v>22991</v>
      </c>
      <c r="B6967" t="s">
        <v>22992</v>
      </c>
      <c r="C6967" t="s">
        <v>594</v>
      </c>
      <c r="D6967" t="s">
        <v>7609</v>
      </c>
      <c r="E6967" t="s">
        <v>596</v>
      </c>
      <c r="F6967" t="s">
        <v>574</v>
      </c>
      <c r="G6967" t="s">
        <v>22993</v>
      </c>
      <c r="H6967" t="str">
        <f>HYPERLINK("https://baanknet.com/view-property/221517/B4BAA5693760E2CEC49624885E356210319E808DDF25B030637167CE548871BE", "https://baanknet.com/view-property/221517/B4BAA5693760E2CEC49624885E356210319E808DDF25B030637167CE548871BE")</f>
        <v>https://baanknet.com/view-property/221517/B4BAA5693760E2CEC49624885E356210319E808DDF25B030637167CE548871BE</v>
      </c>
      <c r="I6967" t="str">
        <f>HYPERLINK("https://baanknet.com/view-property/221517/B4BAA5693760E2CEC49624885E356210319E808DDF25B030637167CE548871BE", "Open")</f>
        <v>Open</v>
      </c>
      <c r="J6967" t="s">
        <v>3803</v>
      </c>
      <c r="L6967">
        <v>2500000</v>
      </c>
      <c r="M6967">
        <v>250000</v>
      </c>
    </row>
    <row r="6968" spans="1:13" x14ac:dyDescent="0.25">
      <c r="A6968" t="s">
        <v>22994</v>
      </c>
      <c r="B6968" t="s">
        <v>22995</v>
      </c>
      <c r="C6968" t="s">
        <v>594</v>
      </c>
      <c r="D6968" t="s">
        <v>22996</v>
      </c>
      <c r="E6968" t="s">
        <v>596</v>
      </c>
      <c r="F6968" t="s">
        <v>574</v>
      </c>
      <c r="G6968" t="s">
        <v>22997</v>
      </c>
      <c r="H6968" t="str">
        <f>HYPERLINK("https://baanknet.com/view-property/288135/0FB2E75D9E2F38CCAF7667352659EBE31573963E9B61F8498368BB8E2EB38A11", "https://baanknet.com/view-property/288135/0FB2E75D9E2F38CCAF7667352659EBE31573963E9B61F8498368BB8E2EB38A11")</f>
        <v>https://baanknet.com/view-property/288135/0FB2E75D9E2F38CCAF7667352659EBE31573963E9B61F8498368BB8E2EB38A11</v>
      </c>
      <c r="I6968" t="str">
        <f>HYPERLINK("https://baanknet.com/view-property/288135/0FB2E75D9E2F38CCAF7667352659EBE31573963E9B61F8498368BB8E2EB38A11", "Open")</f>
        <v>Open</v>
      </c>
      <c r="J6968" t="s">
        <v>3803</v>
      </c>
    </row>
    <row r="6969" spans="1:13" x14ac:dyDescent="0.25">
      <c r="A6969" t="s">
        <v>22998</v>
      </c>
      <c r="B6969" t="s">
        <v>22999</v>
      </c>
      <c r="C6969" t="s">
        <v>594</v>
      </c>
      <c r="D6969" t="s">
        <v>3524</v>
      </c>
      <c r="E6969" t="s">
        <v>596</v>
      </c>
      <c r="F6969" t="s">
        <v>574</v>
      </c>
      <c r="G6969" t="s">
        <v>23000</v>
      </c>
      <c r="H6969" t="str">
        <f>HYPERLINK("https://baanknet.com/view-property/288134/2B776CAB6FE609DB5AD79F5BC8095ED759FBBAE5109D5FCD7B14428580A7322D", "https://baanknet.com/view-property/288134/2B776CAB6FE609DB5AD79F5BC8095ED759FBBAE5109D5FCD7B14428580A7322D")</f>
        <v>https://baanknet.com/view-property/288134/2B776CAB6FE609DB5AD79F5BC8095ED759FBBAE5109D5FCD7B14428580A7322D</v>
      </c>
      <c r="I6969" t="str">
        <f>HYPERLINK("https://baanknet.com/view-property/288134/2B776CAB6FE609DB5AD79F5BC8095ED759FBBAE5109D5FCD7B14428580A7322D", "Open")</f>
        <v>Open</v>
      </c>
      <c r="J6969" t="s">
        <v>3803</v>
      </c>
      <c r="L6969">
        <v>2500000</v>
      </c>
      <c r="M6969">
        <v>250000</v>
      </c>
    </row>
    <row r="6970" spans="1:13" x14ac:dyDescent="0.25">
      <c r="A6970" t="s">
        <v>23001</v>
      </c>
      <c r="B6970" t="s">
        <v>23002</v>
      </c>
      <c r="C6970" t="s">
        <v>594</v>
      </c>
      <c r="D6970" t="s">
        <v>18816</v>
      </c>
      <c r="E6970" t="s">
        <v>596</v>
      </c>
      <c r="F6970" t="s">
        <v>574</v>
      </c>
      <c r="G6970" t="s">
        <v>23003</v>
      </c>
      <c r="H6970" t="str">
        <f>HYPERLINK("https://baanknet.com/view-property/288028/90CE9845EF558BDE50AD9BE2762A1E2C664B9B48BE6A1E33A1A3D9191A75F3E2", "https://baanknet.com/view-property/288028/90CE9845EF558BDE50AD9BE2762A1E2C664B9B48BE6A1E33A1A3D9191A75F3E2")</f>
        <v>https://baanknet.com/view-property/288028/90CE9845EF558BDE50AD9BE2762A1E2C664B9B48BE6A1E33A1A3D9191A75F3E2</v>
      </c>
      <c r="I6970" t="str">
        <f>HYPERLINK("https://baanknet.com/view-property/288028/90CE9845EF558BDE50AD9BE2762A1E2C664B9B48BE6A1E33A1A3D9191A75F3E2", "Open")</f>
        <v>Open</v>
      </c>
      <c r="J6970" t="s">
        <v>3803</v>
      </c>
      <c r="L6970">
        <v>4300000</v>
      </c>
      <c r="M6970">
        <v>430000</v>
      </c>
    </row>
    <row r="6971" spans="1:13" x14ac:dyDescent="0.25">
      <c r="A6971" t="s">
        <v>23004</v>
      </c>
      <c r="B6971" t="s">
        <v>23005</v>
      </c>
      <c r="C6971" t="s">
        <v>594</v>
      </c>
      <c r="D6971" t="s">
        <v>3607</v>
      </c>
      <c r="E6971" t="s">
        <v>596</v>
      </c>
      <c r="F6971" t="s">
        <v>574</v>
      </c>
      <c r="G6971" t="s">
        <v>23006</v>
      </c>
      <c r="H6971" t="str">
        <f>HYPERLINK("https://baanknet.com/view-property/288011/8737A4083F1030BEE55A15A480C3DD03761C42962B312BD3B605F57754329483", "https://baanknet.com/view-property/288011/8737A4083F1030BEE55A15A480C3DD03761C42962B312BD3B605F57754329483")</f>
        <v>https://baanknet.com/view-property/288011/8737A4083F1030BEE55A15A480C3DD03761C42962B312BD3B605F57754329483</v>
      </c>
      <c r="I6971" t="str">
        <f>HYPERLINK("https://baanknet.com/view-property/288011/8737A4083F1030BEE55A15A480C3DD03761C42962B312BD3B605F57754329483", "Open")</f>
        <v>Open</v>
      </c>
      <c r="J6971" t="s">
        <v>3803</v>
      </c>
      <c r="L6971">
        <v>2125000</v>
      </c>
      <c r="M6971">
        <v>212500</v>
      </c>
    </row>
    <row r="6972" spans="1:13" x14ac:dyDescent="0.25">
      <c r="A6972" t="s">
        <v>23007</v>
      </c>
      <c r="B6972" t="s">
        <v>23008</v>
      </c>
      <c r="C6972" t="s">
        <v>594</v>
      </c>
      <c r="D6972" t="s">
        <v>22996</v>
      </c>
      <c r="E6972" t="s">
        <v>596</v>
      </c>
      <c r="F6972" t="s">
        <v>574</v>
      </c>
      <c r="G6972" t="s">
        <v>23009</v>
      </c>
      <c r="H6972" t="str">
        <f>HYPERLINK("https://baanknet.com/view-property/287998/5561FF3424961406D19FFA31C1E0393BE57E5ED6339C6B49A4194C0A68AA7F9A", "https://baanknet.com/view-property/287998/5561FF3424961406D19FFA31C1E0393BE57E5ED6339C6B49A4194C0A68AA7F9A")</f>
        <v>https://baanknet.com/view-property/287998/5561FF3424961406D19FFA31C1E0393BE57E5ED6339C6B49A4194C0A68AA7F9A</v>
      </c>
      <c r="I6972" t="str">
        <f>HYPERLINK("https://baanknet.com/view-property/287998/5561FF3424961406D19FFA31C1E0393BE57E5ED6339C6B49A4194C0A68AA7F9A", "Open")</f>
        <v>Open</v>
      </c>
      <c r="J6972" t="s">
        <v>3803</v>
      </c>
      <c r="L6972">
        <v>1415000</v>
      </c>
      <c r="M6972">
        <v>141500</v>
      </c>
    </row>
    <row r="6973" spans="1:13" x14ac:dyDescent="0.25">
      <c r="A6973" t="s">
        <v>23010</v>
      </c>
      <c r="B6973" t="s">
        <v>23011</v>
      </c>
      <c r="C6973" t="s">
        <v>594</v>
      </c>
      <c r="D6973" t="s">
        <v>1602</v>
      </c>
      <c r="E6973" t="s">
        <v>596</v>
      </c>
      <c r="F6973" t="s">
        <v>574</v>
      </c>
      <c r="G6973" t="s">
        <v>23012</v>
      </c>
      <c r="H6973" t="str">
        <f>HYPERLINK("https://baanknet.com/view-property/276542/C68112EA0C324C03D7EBED4FC4000C044A912A0364EC796C4E64786C5D972841", "https://baanknet.com/view-property/276542/C68112EA0C324C03D7EBED4FC4000C044A912A0364EC796C4E64786C5D972841")</f>
        <v>https://baanknet.com/view-property/276542/C68112EA0C324C03D7EBED4FC4000C044A912A0364EC796C4E64786C5D972841</v>
      </c>
      <c r="I6973" t="str">
        <f>HYPERLINK("https://baanknet.com/view-property/276542/C68112EA0C324C03D7EBED4FC4000C044A912A0364EC796C4E64786C5D972841", "Open")</f>
        <v>Open</v>
      </c>
      <c r="J6973" t="s">
        <v>3803</v>
      </c>
      <c r="L6973">
        <v>3200000</v>
      </c>
      <c r="M6973">
        <v>320000</v>
      </c>
    </row>
    <row r="6974" spans="1:13" x14ac:dyDescent="0.25">
      <c r="A6974" t="s">
        <v>23013</v>
      </c>
      <c r="B6974" t="s">
        <v>23014</v>
      </c>
      <c r="C6974" t="s">
        <v>594</v>
      </c>
      <c r="D6974" t="s">
        <v>1348</v>
      </c>
      <c r="E6974" t="s">
        <v>596</v>
      </c>
      <c r="F6974" t="s">
        <v>574</v>
      </c>
      <c r="G6974" t="s">
        <v>23015</v>
      </c>
      <c r="H6974" t="str">
        <f>HYPERLINK("https://baanknet.com/view-property/259587/FF0BD05E90D70890E6C1A8AC2386758DBA8FADF8083DD0A4AA3ACC62743AAB4C", "https://baanknet.com/view-property/259587/FF0BD05E90D70890E6C1A8AC2386758DBA8FADF8083DD0A4AA3ACC62743AAB4C")</f>
        <v>https://baanknet.com/view-property/259587/FF0BD05E90D70890E6C1A8AC2386758DBA8FADF8083DD0A4AA3ACC62743AAB4C</v>
      </c>
      <c r="I6974" t="str">
        <f>HYPERLINK("https://baanknet.com/view-property/259587/FF0BD05E90D70890E6C1A8AC2386758DBA8FADF8083DD0A4AA3ACC62743AAB4C", "Open")</f>
        <v>Open</v>
      </c>
      <c r="J6974" t="s">
        <v>3803</v>
      </c>
      <c r="L6974">
        <v>1750000</v>
      </c>
      <c r="M6974">
        <v>175000</v>
      </c>
    </row>
    <row r="6975" spans="1:13" x14ac:dyDescent="0.25">
      <c r="A6975" t="s">
        <v>23016</v>
      </c>
      <c r="B6975" t="s">
        <v>23017</v>
      </c>
      <c r="C6975" t="s">
        <v>594</v>
      </c>
      <c r="D6975" t="s">
        <v>1348</v>
      </c>
      <c r="E6975" t="s">
        <v>596</v>
      </c>
      <c r="F6975" t="s">
        <v>574</v>
      </c>
      <c r="G6975" t="s">
        <v>23018</v>
      </c>
      <c r="H6975" t="str">
        <f>HYPERLINK("https://baanknet.com/view-property/259588/013BBA09C4AB90C433FD1BA10B96C7B4F78B69025EA37195EBA9FD752AD22875", "https://baanknet.com/view-property/259588/013BBA09C4AB90C433FD1BA10B96C7B4F78B69025EA37195EBA9FD752AD22875")</f>
        <v>https://baanknet.com/view-property/259588/013BBA09C4AB90C433FD1BA10B96C7B4F78B69025EA37195EBA9FD752AD22875</v>
      </c>
      <c r="I6975" t="str">
        <f>HYPERLINK("https://baanknet.com/view-property/259588/013BBA09C4AB90C433FD1BA10B96C7B4F78B69025EA37195EBA9FD752AD22875", "Open")</f>
        <v>Open</v>
      </c>
      <c r="J6975" t="s">
        <v>3803</v>
      </c>
      <c r="L6975">
        <v>1550000</v>
      </c>
      <c r="M6975">
        <v>155000</v>
      </c>
    </row>
    <row r="6976" spans="1:13" x14ac:dyDescent="0.25">
      <c r="A6976" t="s">
        <v>23019</v>
      </c>
      <c r="B6976" t="s">
        <v>23020</v>
      </c>
      <c r="C6976" t="s">
        <v>594</v>
      </c>
      <c r="D6976" t="s">
        <v>338</v>
      </c>
      <c r="E6976" t="s">
        <v>596</v>
      </c>
      <c r="F6976" t="s">
        <v>574</v>
      </c>
      <c r="G6976" t="s">
        <v>23021</v>
      </c>
      <c r="H6976" t="str">
        <f>HYPERLINK("https://baanknet.com/view-property/105241/375A9A77D3E2CEF8C2C7653556AA23A06A4D2B12D4FF5C63061297113A332E7C", "https://baanknet.com/view-property/105241/375A9A77D3E2CEF8C2C7653556AA23A06A4D2B12D4FF5C63061297113A332E7C")</f>
        <v>https://baanknet.com/view-property/105241/375A9A77D3E2CEF8C2C7653556AA23A06A4D2B12D4FF5C63061297113A332E7C</v>
      </c>
      <c r="I6976" t="str">
        <f>HYPERLINK("https://baanknet.com/view-property/105241/375A9A77D3E2CEF8C2C7653556AA23A06A4D2B12D4FF5C63061297113A332E7C", "Open")</f>
        <v>Open</v>
      </c>
      <c r="J6976" t="s">
        <v>3803</v>
      </c>
      <c r="L6976">
        <v>1174000</v>
      </c>
      <c r="M6976">
        <v>117400</v>
      </c>
    </row>
    <row r="6977" spans="1:13" x14ac:dyDescent="0.25">
      <c r="A6977" t="s">
        <v>23022</v>
      </c>
      <c r="B6977" t="s">
        <v>23023</v>
      </c>
      <c r="C6977" t="s">
        <v>594</v>
      </c>
      <c r="D6977" t="s">
        <v>338</v>
      </c>
      <c r="E6977" t="s">
        <v>596</v>
      </c>
      <c r="F6977" t="s">
        <v>574</v>
      </c>
      <c r="G6977" t="s">
        <v>23024</v>
      </c>
      <c r="H6977" t="str">
        <f>HYPERLINK("https://baanknet.com/view-property/28990/6C920B9B4DB0FF9D552994543025A4BD11F6D0D1538582B2AFDC433E8BFB7826", "https://baanknet.com/view-property/28990/6C920B9B4DB0FF9D552994543025A4BD11F6D0D1538582B2AFDC433E8BFB7826")</f>
        <v>https://baanknet.com/view-property/28990/6C920B9B4DB0FF9D552994543025A4BD11F6D0D1538582B2AFDC433E8BFB7826</v>
      </c>
      <c r="I6977" t="str">
        <f>HYPERLINK("https://baanknet.com/view-property/28990/6C920B9B4DB0FF9D552994543025A4BD11F6D0D1538582B2AFDC433E8BFB7826", "Open")</f>
        <v>Open</v>
      </c>
      <c r="J6977" t="s">
        <v>3803</v>
      </c>
      <c r="L6977">
        <v>1737000</v>
      </c>
      <c r="M6977">
        <v>173700</v>
      </c>
    </row>
    <row r="6978" spans="1:13" x14ac:dyDescent="0.25">
      <c r="A6978" t="s">
        <v>23025</v>
      </c>
      <c r="B6978" t="s">
        <v>23026</v>
      </c>
      <c r="C6978" t="s">
        <v>594</v>
      </c>
      <c r="D6978" t="s">
        <v>338</v>
      </c>
      <c r="E6978" t="s">
        <v>596</v>
      </c>
      <c r="F6978" t="s">
        <v>574</v>
      </c>
      <c r="G6978" t="s">
        <v>23027</v>
      </c>
      <c r="H6978" t="str">
        <f>HYPERLINK("https://baanknet.com/view-property/91594/966E46B3ACA54B06B31BFA61BB75351499E0449A9C53FEABFEE67D700310CE4C", "https://baanknet.com/view-property/91594/966E46B3ACA54B06B31BFA61BB75351499E0449A9C53FEABFEE67D700310CE4C")</f>
        <v>https://baanknet.com/view-property/91594/966E46B3ACA54B06B31BFA61BB75351499E0449A9C53FEABFEE67D700310CE4C</v>
      </c>
      <c r="I6978" t="str">
        <f>HYPERLINK("https://baanknet.com/view-property/91594/966E46B3ACA54B06B31BFA61BB75351499E0449A9C53FEABFEE67D700310CE4C", "Open")</f>
        <v>Open</v>
      </c>
      <c r="J6978" t="s">
        <v>3803</v>
      </c>
      <c r="L6978">
        <v>1549000</v>
      </c>
      <c r="M6978">
        <v>154900</v>
      </c>
    </row>
    <row r="6979" spans="1:13" x14ac:dyDescent="0.25">
      <c r="A6979" t="s">
        <v>23028</v>
      </c>
      <c r="B6979" t="s">
        <v>23029</v>
      </c>
      <c r="C6979" t="s">
        <v>594</v>
      </c>
      <c r="D6979" t="s">
        <v>1602</v>
      </c>
      <c r="E6979" t="s">
        <v>596</v>
      </c>
      <c r="F6979" t="s">
        <v>574</v>
      </c>
      <c r="G6979" t="s">
        <v>23030</v>
      </c>
      <c r="H6979" t="str">
        <f>HYPERLINK("https://baanknet.com/view-property/3285/2DD57B7A49001137B5BA4AFD5442B26559244555E1D0E18812CD0B333FB88F40", "https://baanknet.com/view-property/3285/2DD57B7A49001137B5BA4AFD5442B26559244555E1D0E18812CD0B333FB88F40")</f>
        <v>https://baanknet.com/view-property/3285/2DD57B7A49001137B5BA4AFD5442B26559244555E1D0E18812CD0B333FB88F40</v>
      </c>
      <c r="I6979" t="str">
        <f>HYPERLINK("https://baanknet.com/view-property/3285/2DD57B7A49001137B5BA4AFD5442B26559244555E1D0E18812CD0B333FB88F40", "Open")</f>
        <v>Open</v>
      </c>
      <c r="J6979" t="s">
        <v>3803</v>
      </c>
      <c r="L6979">
        <v>3450000</v>
      </c>
      <c r="M6979">
        <v>345000</v>
      </c>
    </row>
    <row r="6980" spans="1:13" x14ac:dyDescent="0.25">
      <c r="A6980" t="s">
        <v>23031</v>
      </c>
      <c r="B6980" t="s">
        <v>23032</v>
      </c>
      <c r="C6980" t="s">
        <v>594</v>
      </c>
      <c r="D6980" t="s">
        <v>1602</v>
      </c>
      <c r="E6980" t="s">
        <v>596</v>
      </c>
      <c r="F6980" t="s">
        <v>574</v>
      </c>
      <c r="G6980" t="s">
        <v>23033</v>
      </c>
      <c r="H6980" t="str">
        <f>HYPERLINK("https://baanknet.com/view-property/277613/8C7E160DF8994ED600038C4E5C86EE1F66057DE11FD93470CD2E9923B3F35BCC", "https://baanknet.com/view-property/277613/8C7E160DF8994ED600038C4E5C86EE1F66057DE11FD93470CD2E9923B3F35BCC")</f>
        <v>https://baanknet.com/view-property/277613/8C7E160DF8994ED600038C4E5C86EE1F66057DE11FD93470CD2E9923B3F35BCC</v>
      </c>
      <c r="I6980" t="str">
        <f>HYPERLINK("https://baanknet.com/view-property/277613/8C7E160DF8994ED600038C4E5C86EE1F66057DE11FD93470CD2E9923B3F35BCC", "Open")</f>
        <v>Open</v>
      </c>
      <c r="J6980" t="s">
        <v>3803</v>
      </c>
      <c r="L6980">
        <v>6150000</v>
      </c>
      <c r="M6980">
        <v>615000</v>
      </c>
    </row>
    <row r="6981" spans="1:13" x14ac:dyDescent="0.25">
      <c r="A6981" t="s">
        <v>23034</v>
      </c>
      <c r="B6981" t="s">
        <v>23035</v>
      </c>
      <c r="C6981" t="s">
        <v>594</v>
      </c>
      <c r="D6981" t="s">
        <v>23036</v>
      </c>
      <c r="E6981" t="s">
        <v>596</v>
      </c>
      <c r="F6981" t="s">
        <v>574</v>
      </c>
      <c r="G6981" t="s">
        <v>23037</v>
      </c>
      <c r="H6981" t="str">
        <f>HYPERLINK("https://baanknet.com/view-property/270683/EB481483E681C5B8E7F9070F105DA0BF1105FF9BBA45E0A85C200BBF162E6C30", "https://baanknet.com/view-property/270683/EB481483E681C5B8E7F9070F105DA0BF1105FF9BBA45E0A85C200BBF162E6C30")</f>
        <v>https://baanknet.com/view-property/270683/EB481483E681C5B8E7F9070F105DA0BF1105FF9BBA45E0A85C200BBF162E6C30</v>
      </c>
      <c r="I6981" t="str">
        <f>HYPERLINK("https://baanknet.com/view-property/270683/EB481483E681C5B8E7F9070F105DA0BF1105FF9BBA45E0A85C200BBF162E6C30", "Open")</f>
        <v>Open</v>
      </c>
      <c r="J6981" t="s">
        <v>3803</v>
      </c>
      <c r="L6981">
        <v>1964000</v>
      </c>
      <c r="M6981">
        <v>196400</v>
      </c>
    </row>
    <row r="6982" spans="1:13" x14ac:dyDescent="0.25">
      <c r="A6982" t="s">
        <v>23038</v>
      </c>
      <c r="B6982" t="s">
        <v>23039</v>
      </c>
      <c r="C6982" t="s">
        <v>594</v>
      </c>
      <c r="D6982" t="s">
        <v>1602</v>
      </c>
      <c r="E6982" t="s">
        <v>596</v>
      </c>
      <c r="F6982" t="s">
        <v>574</v>
      </c>
      <c r="G6982" t="s">
        <v>23040</v>
      </c>
      <c r="H6982" t="str">
        <f>HYPERLINK("https://baanknet.com/view-property/277622/C117107D6AD5E8D5BBE45D0B1EE04576B7D1326730881385ABD4C17F3DE620BB", "https://baanknet.com/view-property/277622/C117107D6AD5E8D5BBE45D0B1EE04576B7D1326730881385ABD4C17F3DE620BB")</f>
        <v>https://baanknet.com/view-property/277622/C117107D6AD5E8D5BBE45D0B1EE04576B7D1326730881385ABD4C17F3DE620BB</v>
      </c>
      <c r="I6982" t="str">
        <f>HYPERLINK("https://baanknet.com/view-property/277622/C117107D6AD5E8D5BBE45D0B1EE04576B7D1326730881385ABD4C17F3DE620BB", "Open")</f>
        <v>Open</v>
      </c>
      <c r="J6982" t="s">
        <v>3803</v>
      </c>
      <c r="L6982">
        <v>1400000</v>
      </c>
      <c r="M6982">
        <v>140000</v>
      </c>
    </row>
    <row r="6983" spans="1:13" x14ac:dyDescent="0.25">
      <c r="A6983" t="s">
        <v>23041</v>
      </c>
      <c r="B6983" t="s">
        <v>23042</v>
      </c>
      <c r="C6983" t="s">
        <v>594</v>
      </c>
      <c r="D6983" t="s">
        <v>7328</v>
      </c>
      <c r="E6983" t="s">
        <v>596</v>
      </c>
      <c r="F6983" t="s">
        <v>574</v>
      </c>
      <c r="G6983" t="s">
        <v>23043</v>
      </c>
      <c r="H6983" t="str">
        <f>HYPERLINK("https://baanknet.com/view-property/261787/1701DD769A912414EAA28B773320A3657420FE54C3D7CF7A8C0387099B390B37", "https://baanknet.com/view-property/261787/1701DD769A912414EAA28B773320A3657420FE54C3D7CF7A8C0387099B390B37")</f>
        <v>https://baanknet.com/view-property/261787/1701DD769A912414EAA28B773320A3657420FE54C3D7CF7A8C0387099B390B37</v>
      </c>
      <c r="I6983" t="str">
        <f>HYPERLINK("https://baanknet.com/view-property/261787/1701DD769A912414EAA28B773320A3657420FE54C3D7CF7A8C0387099B390B37", "Open")</f>
        <v>Open</v>
      </c>
      <c r="J6983" t="s">
        <v>3803</v>
      </c>
      <c r="L6983">
        <v>878000</v>
      </c>
      <c r="M6983">
        <v>87800</v>
      </c>
    </row>
    <row r="6984" spans="1:13" x14ac:dyDescent="0.25">
      <c r="A6984" t="s">
        <v>23044</v>
      </c>
      <c r="B6984" t="s">
        <v>23045</v>
      </c>
      <c r="C6984" t="s">
        <v>594</v>
      </c>
      <c r="D6984" t="s">
        <v>1003</v>
      </c>
      <c r="E6984" t="s">
        <v>596</v>
      </c>
      <c r="F6984" t="s">
        <v>574</v>
      </c>
      <c r="G6984" t="s">
        <v>23046</v>
      </c>
      <c r="H6984" t="str">
        <f>HYPERLINK("https://baanknet.com/view-property/259129/7901A0A29A3AFA1A71118B7CBCAA121CBF8EED03BD851B531FDB0EB3F428F72B", "https://baanknet.com/view-property/259129/7901A0A29A3AFA1A71118B7CBCAA121CBF8EED03BD851B531FDB0EB3F428F72B")</f>
        <v>https://baanknet.com/view-property/259129/7901A0A29A3AFA1A71118B7CBCAA121CBF8EED03BD851B531FDB0EB3F428F72B</v>
      </c>
      <c r="I6984" t="str">
        <f>HYPERLINK("https://baanknet.com/view-property/259129/7901A0A29A3AFA1A71118B7CBCAA121CBF8EED03BD851B531FDB0EB3F428F72B", "Open")</f>
        <v>Open</v>
      </c>
      <c r="J6984" t="s">
        <v>3803</v>
      </c>
      <c r="L6984">
        <v>1557000</v>
      </c>
      <c r="M6984">
        <v>155700</v>
      </c>
    </row>
    <row r="6985" spans="1:13" x14ac:dyDescent="0.25">
      <c r="A6985" t="s">
        <v>23047</v>
      </c>
      <c r="B6985" t="s">
        <v>23048</v>
      </c>
      <c r="C6985" t="s">
        <v>589</v>
      </c>
      <c r="D6985" t="s">
        <v>1310</v>
      </c>
      <c r="E6985" t="s">
        <v>623</v>
      </c>
      <c r="F6985" t="s">
        <v>624</v>
      </c>
      <c r="G6985" t="s">
        <v>23049</v>
      </c>
      <c r="H6985" t="str">
        <f>HYPERLINK("https://baanknet.com/view-property/264434/820CB2E11ED526B089653ED0464EE64F79C664937B3D5761EE78AE97BC0E8762", "https://baanknet.com/view-property/264434/820CB2E11ED526B089653ED0464EE64F79C664937B3D5761EE78AE97BC0E8762")</f>
        <v>https://baanknet.com/view-property/264434/820CB2E11ED526B089653ED0464EE64F79C664937B3D5761EE78AE97BC0E8762</v>
      </c>
      <c r="I6985" t="str">
        <f>HYPERLINK("https://baanknet.com/view-property/264434/820CB2E11ED526B089653ED0464EE64F79C664937B3D5761EE78AE97BC0E8762", "Open")</f>
        <v>Open</v>
      </c>
      <c r="J6985" t="s">
        <v>3803</v>
      </c>
      <c r="L6985">
        <v>92600000</v>
      </c>
      <c r="M6985">
        <v>9260000</v>
      </c>
    </row>
    <row r="6986" spans="1:13" x14ac:dyDescent="0.25">
      <c r="A6986" t="s">
        <v>23050</v>
      </c>
      <c r="B6986" t="s">
        <v>23051</v>
      </c>
      <c r="C6986" t="s">
        <v>589</v>
      </c>
      <c r="D6986" t="s">
        <v>1310</v>
      </c>
      <c r="E6986" t="s">
        <v>623</v>
      </c>
      <c r="F6986" t="s">
        <v>624</v>
      </c>
      <c r="G6986" t="s">
        <v>23052</v>
      </c>
      <c r="H6986" t="str">
        <f>HYPERLINK("https://baanknet.com/view-property/284464/B07152C8AD0BD5E76A6DA22222088259CDA603E98543E13B53AAFFEA1F361662", "https://baanknet.com/view-property/284464/B07152C8AD0BD5E76A6DA22222088259CDA603E98543E13B53AAFFEA1F361662")</f>
        <v>https://baanknet.com/view-property/284464/B07152C8AD0BD5E76A6DA22222088259CDA603E98543E13B53AAFFEA1F361662</v>
      </c>
      <c r="I6986" t="str">
        <f>HYPERLINK("https://baanknet.com/view-property/284464/B07152C8AD0BD5E76A6DA22222088259CDA603E98543E13B53AAFFEA1F361662", "Open")</f>
        <v>Open</v>
      </c>
      <c r="J6986" t="s">
        <v>3803</v>
      </c>
      <c r="L6986">
        <v>25486000</v>
      </c>
      <c r="M6986">
        <v>2548600</v>
      </c>
    </row>
    <row r="6987" spans="1:13" x14ac:dyDescent="0.25">
      <c r="A6987" t="s">
        <v>23053</v>
      </c>
      <c r="B6987" t="s">
        <v>23054</v>
      </c>
      <c r="C6987" t="s">
        <v>589</v>
      </c>
      <c r="D6987" t="s">
        <v>4246</v>
      </c>
      <c r="E6987" t="s">
        <v>623</v>
      </c>
      <c r="F6987" t="s">
        <v>624</v>
      </c>
      <c r="G6987" t="s">
        <v>23055</v>
      </c>
      <c r="H6987" t="str">
        <f>HYPERLINK("https://baanknet.com/view-property/267042/381855B16335B07CA574EB2EFC5A297368A85A5A36C190B6B7E50D72ED0F8239", "https://baanknet.com/view-property/267042/381855B16335B07CA574EB2EFC5A297368A85A5A36C190B6B7E50D72ED0F8239")</f>
        <v>https://baanknet.com/view-property/267042/381855B16335B07CA574EB2EFC5A297368A85A5A36C190B6B7E50D72ED0F8239</v>
      </c>
      <c r="I6987" t="str">
        <f>HYPERLINK("https://baanknet.com/view-property/267042/381855B16335B07CA574EB2EFC5A297368A85A5A36C190B6B7E50D72ED0F8239", "Open")</f>
        <v>Open</v>
      </c>
      <c r="J6987" t="s">
        <v>3803</v>
      </c>
      <c r="L6987">
        <v>8700000</v>
      </c>
      <c r="M6987">
        <v>870000</v>
      </c>
    </row>
    <row r="6988" spans="1:13" x14ac:dyDescent="0.25">
      <c r="A6988" t="s">
        <v>23056</v>
      </c>
      <c r="B6988" t="s">
        <v>23057</v>
      </c>
      <c r="C6988" t="s">
        <v>15</v>
      </c>
      <c r="D6988" t="s">
        <v>5955</v>
      </c>
      <c r="E6988" t="s">
        <v>7521</v>
      </c>
      <c r="F6988" t="s">
        <v>8384</v>
      </c>
      <c r="G6988" t="s">
        <v>23058</v>
      </c>
      <c r="H6988" t="str">
        <f>HYPERLINK("https://baanknet.com/view-property/288385/E54BC2F3CCC41789E937E99F3FB4A67ED0632C5088948493B8DAFF30A21E412F", "https://baanknet.com/view-property/288385/E54BC2F3CCC41789E937E99F3FB4A67ED0632C5088948493B8DAFF30A21E412F")</f>
        <v>https://baanknet.com/view-property/288385/E54BC2F3CCC41789E937E99F3FB4A67ED0632C5088948493B8DAFF30A21E412F</v>
      </c>
      <c r="I6988" t="str">
        <f>HYPERLINK("https://baanknet.com/view-property/288385/E54BC2F3CCC41789E937E99F3FB4A67ED0632C5088948493B8DAFF30A21E412F", "Open")</f>
        <v>Open</v>
      </c>
      <c r="J6988" t="s">
        <v>3803</v>
      </c>
      <c r="L6988">
        <v>4100000</v>
      </c>
      <c r="M6988">
        <v>410000</v>
      </c>
    </row>
    <row r="6989" spans="1:13" x14ac:dyDescent="0.25">
      <c r="A6989" t="s">
        <v>23059</v>
      </c>
      <c r="B6989" t="s">
        <v>23060</v>
      </c>
      <c r="C6989" t="s">
        <v>15</v>
      </c>
      <c r="D6989" t="s">
        <v>5955</v>
      </c>
      <c r="E6989" t="s">
        <v>7521</v>
      </c>
      <c r="F6989" t="s">
        <v>8384</v>
      </c>
      <c r="G6989" t="s">
        <v>23061</v>
      </c>
      <c r="H6989" t="str">
        <f>HYPERLINK("https://baanknet.com/view-property/288383/F37D393587C8CF129D1E4842D284216BF2CEDB2387E1812F8DEE5CCE3204A396", "https://baanknet.com/view-property/288383/F37D393587C8CF129D1E4842D284216BF2CEDB2387E1812F8DEE5CCE3204A396")</f>
        <v>https://baanknet.com/view-property/288383/F37D393587C8CF129D1E4842D284216BF2CEDB2387E1812F8DEE5CCE3204A396</v>
      </c>
      <c r="I6989" t="str">
        <f>HYPERLINK("https://baanknet.com/view-property/288383/F37D393587C8CF129D1E4842D284216BF2CEDB2387E1812F8DEE5CCE3204A396", "Open")</f>
        <v>Open</v>
      </c>
      <c r="J6989" t="s">
        <v>3803</v>
      </c>
      <c r="L6989">
        <v>2000000</v>
      </c>
      <c r="M6989">
        <v>200000</v>
      </c>
    </row>
    <row r="6990" spans="1:13" x14ac:dyDescent="0.25">
      <c r="A6990" t="s">
        <v>23062</v>
      </c>
      <c r="B6990" t="s">
        <v>23063</v>
      </c>
      <c r="C6990" t="s">
        <v>15</v>
      </c>
      <c r="D6990" t="s">
        <v>5955</v>
      </c>
      <c r="E6990" t="s">
        <v>7521</v>
      </c>
      <c r="F6990" t="s">
        <v>8384</v>
      </c>
      <c r="G6990" t="s">
        <v>23064</v>
      </c>
      <c r="H6990" t="str">
        <f>HYPERLINK("https://baanknet.com/view-property/288380/E659FF610C2882D0E86500828972A32F9FFF171D40D4BAA95ED01F4BF398ABB8", "https://baanknet.com/view-property/288380/E659FF610C2882D0E86500828972A32F9FFF171D40D4BAA95ED01F4BF398ABB8")</f>
        <v>https://baanknet.com/view-property/288380/E659FF610C2882D0E86500828972A32F9FFF171D40D4BAA95ED01F4BF398ABB8</v>
      </c>
      <c r="I6990" t="str">
        <f>HYPERLINK("https://baanknet.com/view-property/288380/E659FF610C2882D0E86500828972A32F9FFF171D40D4BAA95ED01F4BF398ABB8", "Open")</f>
        <v>Open</v>
      </c>
      <c r="J6990" t="s">
        <v>3803</v>
      </c>
      <c r="L6990">
        <v>2000000</v>
      </c>
      <c r="M6990">
        <v>200000</v>
      </c>
    </row>
    <row r="6991" spans="1:13" x14ac:dyDescent="0.25">
      <c r="A6991" t="s">
        <v>23065</v>
      </c>
      <c r="B6991" t="s">
        <v>23066</v>
      </c>
      <c r="C6991" t="s">
        <v>15</v>
      </c>
      <c r="D6991" t="s">
        <v>5955</v>
      </c>
      <c r="E6991" t="s">
        <v>7521</v>
      </c>
      <c r="F6991" t="s">
        <v>8384</v>
      </c>
      <c r="G6991" t="s">
        <v>23067</v>
      </c>
      <c r="H6991" t="str">
        <f>HYPERLINK("https://baanknet.com/view-property/288366/6AD51B35FA80B49153A315BB18D4184645E0C706D19E3BCB64434B3ADC9BFAEA", "https://baanknet.com/view-property/288366/6AD51B35FA80B49153A315BB18D4184645E0C706D19E3BCB64434B3ADC9BFAEA")</f>
        <v>https://baanknet.com/view-property/288366/6AD51B35FA80B49153A315BB18D4184645E0C706D19E3BCB64434B3ADC9BFAEA</v>
      </c>
      <c r="I6991" t="str">
        <f>HYPERLINK("https://baanknet.com/view-property/288366/6AD51B35FA80B49153A315BB18D4184645E0C706D19E3BCB64434B3ADC9BFAEA", "Open")</f>
        <v>Open</v>
      </c>
      <c r="J6991" t="s">
        <v>3803</v>
      </c>
      <c r="L6991">
        <v>2100000</v>
      </c>
      <c r="M6991">
        <v>210000</v>
      </c>
    </row>
    <row r="6992" spans="1:13" x14ac:dyDescent="0.25">
      <c r="A6992" t="s">
        <v>23068</v>
      </c>
      <c r="B6992" t="s">
        <v>23069</v>
      </c>
      <c r="C6992" t="s">
        <v>15</v>
      </c>
      <c r="D6992" t="s">
        <v>5955</v>
      </c>
      <c r="E6992" t="s">
        <v>7521</v>
      </c>
      <c r="F6992" t="s">
        <v>8384</v>
      </c>
      <c r="G6992" t="s">
        <v>23070</v>
      </c>
      <c r="H6992" t="str">
        <f>HYPERLINK("https://baanknet.com/view-property/288359/2E9DA524195385DA441DFD26BC349FC610A27857D4F52A04A8504A6016D470F3", "https://baanknet.com/view-property/288359/2E9DA524195385DA441DFD26BC349FC610A27857D4F52A04A8504A6016D470F3")</f>
        <v>https://baanknet.com/view-property/288359/2E9DA524195385DA441DFD26BC349FC610A27857D4F52A04A8504A6016D470F3</v>
      </c>
      <c r="I6992" t="str">
        <f>HYPERLINK("https://baanknet.com/view-property/288359/2E9DA524195385DA441DFD26BC349FC610A27857D4F52A04A8504A6016D470F3", "Open")</f>
        <v>Open</v>
      </c>
      <c r="J6992" t="s">
        <v>3803</v>
      </c>
      <c r="L6992">
        <v>1950000</v>
      </c>
      <c r="M6992">
        <v>195000</v>
      </c>
    </row>
    <row r="6993" spans="1:13" x14ac:dyDescent="0.25">
      <c r="A6993" t="s">
        <v>23071</v>
      </c>
      <c r="B6993" t="s">
        <v>23072</v>
      </c>
      <c r="C6993" t="s">
        <v>83</v>
      </c>
      <c r="D6993" t="s">
        <v>1807</v>
      </c>
      <c r="E6993" t="s">
        <v>8355</v>
      </c>
      <c r="F6993" t="s">
        <v>7752</v>
      </c>
      <c r="G6993" t="s">
        <v>23073</v>
      </c>
      <c r="H6993" t="str">
        <f>HYPERLINK("https://baanknet.com/view-property/283924/947546FBEAB8C48C066269528D8379622B969D3E769027B69DB66E5DAE69948B", "https://baanknet.com/view-property/283924/947546FBEAB8C48C066269528D8379622B969D3E769027B69DB66E5DAE69948B")</f>
        <v>https://baanknet.com/view-property/283924/947546FBEAB8C48C066269528D8379622B969D3E769027B69DB66E5DAE69948B</v>
      </c>
      <c r="I6993" t="str">
        <f>HYPERLINK("https://baanknet.com/view-property/283924/947546FBEAB8C48C066269528D8379622B969D3E769027B69DB66E5DAE69948B", "Open")</f>
        <v>Open</v>
      </c>
      <c r="J6993" t="s">
        <v>3803</v>
      </c>
      <c r="L6993">
        <v>5363150</v>
      </c>
      <c r="M6993">
        <v>536315</v>
      </c>
    </row>
    <row r="6994" spans="1:13" x14ac:dyDescent="0.25">
      <c r="A6994" t="s">
        <v>23074</v>
      </c>
      <c r="B6994" t="s">
        <v>23075</v>
      </c>
      <c r="C6994" t="s">
        <v>83</v>
      </c>
      <c r="D6994" t="s">
        <v>8345</v>
      </c>
      <c r="E6994" t="s">
        <v>10589</v>
      </c>
      <c r="F6994" t="s">
        <v>10881</v>
      </c>
      <c r="G6994" t="s">
        <v>23076</v>
      </c>
      <c r="H6994" t="str">
        <f>HYPERLINK("https://baanknet.com/view-property/125163/58195D8E5785CABE38165EBC2868BD178C846CBD7D9F5ABB25F80E8A9988CCE9", "https://baanknet.com/view-property/125163/58195D8E5785CABE38165EBC2868BD178C846CBD7D9F5ABB25F80E8A9988CCE9")</f>
        <v>https://baanknet.com/view-property/125163/58195D8E5785CABE38165EBC2868BD178C846CBD7D9F5ABB25F80E8A9988CCE9</v>
      </c>
      <c r="I6994" t="str">
        <f>HYPERLINK("https://baanknet.com/view-property/125163/58195D8E5785CABE38165EBC2868BD178C846CBD7D9F5ABB25F80E8A9988CCE9", "Open")</f>
        <v>Open</v>
      </c>
      <c r="J6994" t="s">
        <v>3803</v>
      </c>
      <c r="L6994">
        <v>4635000</v>
      </c>
      <c r="M6994">
        <v>463500</v>
      </c>
    </row>
    <row r="6995" spans="1:13" x14ac:dyDescent="0.25">
      <c r="A6995" t="s">
        <v>23077</v>
      </c>
      <c r="B6995" t="s">
        <v>23078</v>
      </c>
      <c r="C6995" t="s">
        <v>571</v>
      </c>
      <c r="D6995" t="s">
        <v>12214</v>
      </c>
      <c r="E6995" t="s">
        <v>10589</v>
      </c>
      <c r="F6995" t="s">
        <v>10604</v>
      </c>
      <c r="G6995" t="s">
        <v>23079</v>
      </c>
      <c r="H6995" t="str">
        <f>HYPERLINK("https://baanknet.com/view-property/288384/89699B8B9BA05D22E91EC5E860BAD9ABA5C0175C9C3BEEAA8903881080A96562", "https://baanknet.com/view-property/288384/89699B8B9BA05D22E91EC5E860BAD9ABA5C0175C9C3BEEAA8903881080A96562")</f>
        <v>https://baanknet.com/view-property/288384/89699B8B9BA05D22E91EC5E860BAD9ABA5C0175C9C3BEEAA8903881080A96562</v>
      </c>
      <c r="I6995" t="str">
        <f>HYPERLINK("https://baanknet.com/view-property/288384/89699B8B9BA05D22E91EC5E860BAD9ABA5C0175C9C3BEEAA8903881080A96562", "Open")</f>
        <v>Open</v>
      </c>
      <c r="J6995" t="s">
        <v>3803</v>
      </c>
      <c r="L6995">
        <v>3260000</v>
      </c>
      <c r="M6995">
        <v>326000</v>
      </c>
    </row>
    <row r="6996" spans="1:13" x14ac:dyDescent="0.25">
      <c r="A6996" t="s">
        <v>23080</v>
      </c>
      <c r="B6996" t="s">
        <v>23081</v>
      </c>
      <c r="C6996" t="s">
        <v>571</v>
      </c>
      <c r="D6996" t="s">
        <v>4339</v>
      </c>
      <c r="E6996" t="s">
        <v>10589</v>
      </c>
      <c r="F6996" t="s">
        <v>10604</v>
      </c>
      <c r="G6996" t="s">
        <v>23082</v>
      </c>
      <c r="H6996" t="str">
        <f>HYPERLINK("https://baanknet.com/view-property/288381/AF4E1A5A2812069B62D3A994AD3C03711BE9B6E8F26120D76ADAC2408F9CD64D", "https://baanknet.com/view-property/288381/AF4E1A5A2812069B62D3A994AD3C03711BE9B6E8F26120D76ADAC2408F9CD64D")</f>
        <v>https://baanknet.com/view-property/288381/AF4E1A5A2812069B62D3A994AD3C03711BE9B6E8F26120D76ADAC2408F9CD64D</v>
      </c>
      <c r="I6996" t="str">
        <f>HYPERLINK("https://baanknet.com/view-property/288381/AF4E1A5A2812069B62D3A994AD3C03711BE9B6E8F26120D76ADAC2408F9CD64D", "Open")</f>
        <v>Open</v>
      </c>
      <c r="J6996" t="s">
        <v>3803</v>
      </c>
      <c r="L6996">
        <v>3980000</v>
      </c>
      <c r="M6996">
        <v>398000</v>
      </c>
    </row>
    <row r="6997" spans="1:13" x14ac:dyDescent="0.25">
      <c r="A6997" t="s">
        <v>23083</v>
      </c>
      <c r="B6997" t="s">
        <v>23084</v>
      </c>
      <c r="C6997" t="s">
        <v>571</v>
      </c>
      <c r="D6997" t="s">
        <v>4339</v>
      </c>
      <c r="E6997" t="s">
        <v>10589</v>
      </c>
      <c r="F6997" t="s">
        <v>10604</v>
      </c>
      <c r="G6997" t="s">
        <v>23085</v>
      </c>
      <c r="H6997" t="str">
        <f>HYPERLINK("https://baanknet.com/view-property/288377/F24A61E259513D4226C36600DC9FEFCA581B3D81B2733F6E56C4D20F634B0276", "https://baanknet.com/view-property/288377/F24A61E259513D4226C36600DC9FEFCA581B3D81B2733F6E56C4D20F634B0276")</f>
        <v>https://baanknet.com/view-property/288377/F24A61E259513D4226C36600DC9FEFCA581B3D81B2733F6E56C4D20F634B0276</v>
      </c>
      <c r="I6997" t="str">
        <f>HYPERLINK("https://baanknet.com/view-property/288377/F24A61E259513D4226C36600DC9FEFCA581B3D81B2733F6E56C4D20F634B0276", "Open")</f>
        <v>Open</v>
      </c>
      <c r="J6997" t="s">
        <v>3803</v>
      </c>
      <c r="L6997">
        <v>3260000</v>
      </c>
      <c r="M6997">
        <v>326000</v>
      </c>
    </row>
    <row r="6998" spans="1:13" x14ac:dyDescent="0.25">
      <c r="A6998" t="s">
        <v>23086</v>
      </c>
      <c r="B6998" t="s">
        <v>23087</v>
      </c>
      <c r="C6998" t="s">
        <v>121</v>
      </c>
      <c r="D6998" t="s">
        <v>23088</v>
      </c>
      <c r="E6998" t="s">
        <v>10590</v>
      </c>
      <c r="F6998" t="s">
        <v>10604</v>
      </c>
      <c r="G6998" t="s">
        <v>23089</v>
      </c>
      <c r="H6998" t="str">
        <f>HYPERLINK("https://baanknet.com/view-property/284320/E18C8F170CFB8176CDE95511DDC137F7416F63EF44B83EFA433FF3F58CE6269B", "https://baanknet.com/view-property/284320/E18C8F170CFB8176CDE95511DDC137F7416F63EF44B83EFA433FF3F58CE6269B")</f>
        <v>https://baanknet.com/view-property/284320/E18C8F170CFB8176CDE95511DDC137F7416F63EF44B83EFA433FF3F58CE6269B</v>
      </c>
      <c r="I6998" t="str">
        <f>HYPERLINK("https://baanknet.com/view-property/284320/E18C8F170CFB8176CDE95511DDC137F7416F63EF44B83EFA433FF3F58CE6269B", "Open")</f>
        <v>Open</v>
      </c>
      <c r="J6998" t="s">
        <v>3803</v>
      </c>
      <c r="L6998">
        <v>7000000</v>
      </c>
      <c r="M6998">
        <v>700000</v>
      </c>
    </row>
    <row r="6999" spans="1:13" x14ac:dyDescent="0.25">
      <c r="A6999" t="s">
        <v>23090</v>
      </c>
      <c r="B6999" t="s">
        <v>23091</v>
      </c>
      <c r="C6999" t="s">
        <v>387</v>
      </c>
      <c r="D6999" t="s">
        <v>9478</v>
      </c>
      <c r="E6999" t="s">
        <v>11023</v>
      </c>
      <c r="F6999" t="s">
        <v>11010</v>
      </c>
      <c r="G6999" t="s">
        <v>23092</v>
      </c>
      <c r="H6999" t="str">
        <f>HYPERLINK("https://baanknet.com/view-property/238742/AB4CD884A8F301173511ABFDFBECFDBDEBE04C64147202739C5A577A0F8B719E", "https://baanknet.com/view-property/238742/AB4CD884A8F301173511ABFDFBECFDBDEBE04C64147202739C5A577A0F8B719E")</f>
        <v>https://baanknet.com/view-property/238742/AB4CD884A8F301173511ABFDFBECFDBDEBE04C64147202739C5A577A0F8B719E</v>
      </c>
      <c r="I6999" t="str">
        <f>HYPERLINK("https://baanknet.com/view-property/238742/AB4CD884A8F301173511ABFDFBECFDBDEBE04C64147202739C5A577A0F8B719E", "Open")</f>
        <v>Open</v>
      </c>
      <c r="J6999" t="s">
        <v>3803</v>
      </c>
      <c r="L6999">
        <v>1488800</v>
      </c>
      <c r="M6999">
        <v>148880</v>
      </c>
    </row>
    <row r="7000" spans="1:13" x14ac:dyDescent="0.25">
      <c r="A7000" t="s">
        <v>23093</v>
      </c>
      <c r="B7000" t="s">
        <v>23094</v>
      </c>
      <c r="C7000" t="s">
        <v>387</v>
      </c>
      <c r="D7000" t="s">
        <v>9478</v>
      </c>
      <c r="E7000" t="s">
        <v>11023</v>
      </c>
      <c r="F7000" t="s">
        <v>11010</v>
      </c>
      <c r="G7000" t="s">
        <v>23095</v>
      </c>
      <c r="H7000" t="str">
        <f>HYPERLINK("https://baanknet.com/view-property/238769/5F89EAC6062906A1F485E4EBDB66241C5DA0E7291798A9FF4BA81126B5304FFC", "https://baanknet.com/view-property/238769/5F89EAC6062906A1F485E4EBDB66241C5DA0E7291798A9FF4BA81126B5304FFC")</f>
        <v>https://baanknet.com/view-property/238769/5F89EAC6062906A1F485E4EBDB66241C5DA0E7291798A9FF4BA81126B5304FFC</v>
      </c>
      <c r="I7000" t="str">
        <f>HYPERLINK("https://baanknet.com/view-property/238769/5F89EAC6062906A1F485E4EBDB66241C5DA0E7291798A9FF4BA81126B5304FFC", "Open")</f>
        <v>Open</v>
      </c>
      <c r="J7000" t="s">
        <v>3803</v>
      </c>
      <c r="L7000">
        <v>1580000</v>
      </c>
      <c r="M7000">
        <v>158000</v>
      </c>
    </row>
    <row r="7001" spans="1:13" x14ac:dyDescent="0.25">
      <c r="A7001" t="s">
        <v>23096</v>
      </c>
      <c r="B7001" t="s">
        <v>23097</v>
      </c>
      <c r="C7001" t="s">
        <v>387</v>
      </c>
      <c r="D7001" t="s">
        <v>9478</v>
      </c>
      <c r="E7001" t="s">
        <v>11023</v>
      </c>
      <c r="F7001" t="s">
        <v>11010</v>
      </c>
      <c r="G7001" t="s">
        <v>23098</v>
      </c>
      <c r="H7001" t="str">
        <f>HYPERLINK("https://baanknet.com/view-property/238748/1C6E3190F2A93065EF18CF7109017C052EDDEA30A88D99464D7FAF06D9C82576", "https://baanknet.com/view-property/238748/1C6E3190F2A93065EF18CF7109017C052EDDEA30A88D99464D7FAF06D9C82576")</f>
        <v>https://baanknet.com/view-property/238748/1C6E3190F2A93065EF18CF7109017C052EDDEA30A88D99464D7FAF06D9C82576</v>
      </c>
      <c r="I7001" t="str">
        <f>HYPERLINK("https://baanknet.com/view-property/238748/1C6E3190F2A93065EF18CF7109017C052EDDEA30A88D99464D7FAF06D9C82576", "Open")</f>
        <v>Open</v>
      </c>
      <c r="J7001" t="s">
        <v>3803</v>
      </c>
      <c r="L7001">
        <v>1292000</v>
      </c>
      <c r="M7001">
        <v>129200</v>
      </c>
    </row>
    <row r="7002" spans="1:13" x14ac:dyDescent="0.25">
      <c r="A7002" t="s">
        <v>23099</v>
      </c>
      <c r="B7002" t="s">
        <v>23100</v>
      </c>
      <c r="C7002" t="s">
        <v>387</v>
      </c>
      <c r="D7002" t="s">
        <v>9478</v>
      </c>
      <c r="E7002" t="s">
        <v>11023</v>
      </c>
      <c r="F7002" t="s">
        <v>11010</v>
      </c>
      <c r="G7002" t="s">
        <v>23101</v>
      </c>
      <c r="H7002" t="str">
        <f>HYPERLINK("https://baanknet.com/view-property/238764/D86374149EF8DF2EF7C5341708CC4B593267B39FBA39114C5F98D7B4E4A1671B", "https://baanknet.com/view-property/238764/D86374149EF8DF2EF7C5341708CC4B593267B39FBA39114C5F98D7B4E4A1671B")</f>
        <v>https://baanknet.com/view-property/238764/D86374149EF8DF2EF7C5341708CC4B593267B39FBA39114C5F98D7B4E4A1671B</v>
      </c>
      <c r="I7002" t="str">
        <f>HYPERLINK("https://baanknet.com/view-property/238764/D86374149EF8DF2EF7C5341708CC4B593267B39FBA39114C5F98D7B4E4A1671B", "Open")</f>
        <v>Open</v>
      </c>
      <c r="J7002" t="s">
        <v>3803</v>
      </c>
      <c r="L7002">
        <v>1483200</v>
      </c>
      <c r="M7002">
        <v>148320</v>
      </c>
    </row>
    <row r="7003" spans="1:13" x14ac:dyDescent="0.25">
      <c r="A7003" t="s">
        <v>23102</v>
      </c>
      <c r="B7003" t="s">
        <v>23103</v>
      </c>
      <c r="C7003" t="s">
        <v>387</v>
      </c>
      <c r="D7003" t="s">
        <v>9478</v>
      </c>
      <c r="E7003" t="s">
        <v>11023</v>
      </c>
      <c r="F7003" t="s">
        <v>11010</v>
      </c>
      <c r="G7003" t="s">
        <v>23104</v>
      </c>
      <c r="H7003" t="str">
        <f>HYPERLINK("https://baanknet.com/view-property/238756/776C4574BA39B7F10BF223011445BDA5321EE10FE4E9C716E2655E1A974C51FE", "https://baanknet.com/view-property/238756/776C4574BA39B7F10BF223011445BDA5321EE10FE4E9C716E2655E1A974C51FE")</f>
        <v>https://baanknet.com/view-property/238756/776C4574BA39B7F10BF223011445BDA5321EE10FE4E9C716E2655E1A974C51FE</v>
      </c>
      <c r="I7003" t="str">
        <f>HYPERLINK("https://baanknet.com/view-property/238756/776C4574BA39B7F10BF223011445BDA5321EE10FE4E9C716E2655E1A974C51FE", "Open")</f>
        <v>Open</v>
      </c>
      <c r="J7003" t="s">
        <v>3803</v>
      </c>
      <c r="L7003">
        <v>1640000</v>
      </c>
      <c r="M7003">
        <v>164000</v>
      </c>
    </row>
    <row r="7004" spans="1:13" x14ac:dyDescent="0.25">
      <c r="A7004" t="s">
        <v>23105</v>
      </c>
      <c r="B7004" t="s">
        <v>23106</v>
      </c>
      <c r="C7004" t="s">
        <v>387</v>
      </c>
      <c r="D7004" t="s">
        <v>9478</v>
      </c>
      <c r="E7004" t="s">
        <v>11023</v>
      </c>
      <c r="F7004" t="s">
        <v>11010</v>
      </c>
      <c r="G7004" t="s">
        <v>23107</v>
      </c>
      <c r="H7004" t="str">
        <f>HYPERLINK("https://baanknet.com/view-property/238775/7AB54494F8BABC5E8F08143EEA66095CAF0649C8E62DB58278304866B13E84BD", "https://baanknet.com/view-property/238775/7AB54494F8BABC5E8F08143EEA66095CAF0649C8E62DB58278304866B13E84BD")</f>
        <v>https://baanknet.com/view-property/238775/7AB54494F8BABC5E8F08143EEA66095CAF0649C8E62DB58278304866B13E84BD</v>
      </c>
      <c r="I7004" t="str">
        <f>HYPERLINK("https://baanknet.com/view-property/238775/7AB54494F8BABC5E8F08143EEA66095CAF0649C8E62DB58278304866B13E84BD", "Open")</f>
        <v>Open</v>
      </c>
      <c r="J7004" t="s">
        <v>3803</v>
      </c>
      <c r="L7004">
        <v>1488000</v>
      </c>
      <c r="M7004">
        <v>148800</v>
      </c>
    </row>
    <row r="7005" spans="1:13" x14ac:dyDescent="0.25">
      <c r="A7005" t="s">
        <v>23108</v>
      </c>
      <c r="B7005" t="s">
        <v>23109</v>
      </c>
      <c r="C7005" t="s">
        <v>387</v>
      </c>
      <c r="D7005" t="s">
        <v>9478</v>
      </c>
      <c r="E7005" t="s">
        <v>11023</v>
      </c>
      <c r="F7005" t="s">
        <v>11010</v>
      </c>
      <c r="G7005" t="s">
        <v>23110</v>
      </c>
      <c r="H7005" t="str">
        <f>HYPERLINK("https://baanknet.com/view-property/238760/F56489C7E66750D7BDF034B1D842E32347C9B41F6E93B86A3AFE89146082AFD4", "https://baanknet.com/view-property/238760/F56489C7E66750D7BDF034B1D842E32347C9B41F6E93B86A3AFE89146082AFD4")</f>
        <v>https://baanknet.com/view-property/238760/F56489C7E66750D7BDF034B1D842E32347C9B41F6E93B86A3AFE89146082AFD4</v>
      </c>
      <c r="I7005" t="str">
        <f>HYPERLINK("https://baanknet.com/view-property/238760/F56489C7E66750D7BDF034B1D842E32347C9B41F6E93B86A3AFE89146082AFD4", "Open")</f>
        <v>Open</v>
      </c>
      <c r="J7005" t="s">
        <v>3803</v>
      </c>
      <c r="L7005">
        <v>1483200</v>
      </c>
      <c r="M7005">
        <v>148320</v>
      </c>
    </row>
    <row r="7006" spans="1:13" x14ac:dyDescent="0.25">
      <c r="A7006" t="s">
        <v>23111</v>
      </c>
      <c r="B7006" t="s">
        <v>23112</v>
      </c>
      <c r="C7006" t="s">
        <v>387</v>
      </c>
      <c r="D7006" t="s">
        <v>9478</v>
      </c>
      <c r="E7006" t="s">
        <v>11023</v>
      </c>
      <c r="F7006" t="s">
        <v>11010</v>
      </c>
      <c r="G7006" t="s">
        <v>23113</v>
      </c>
      <c r="H7006" t="str">
        <f>HYPERLINK("https://baanknet.com/view-property/238785/26B16A6BC086C8F9110B59CD6DA83E2A32BF4A9F68860FDC2093D1F1FFA8CDB4", "https://baanknet.com/view-property/238785/26B16A6BC086C8F9110B59CD6DA83E2A32BF4A9F68860FDC2093D1F1FFA8CDB4")</f>
        <v>https://baanknet.com/view-property/238785/26B16A6BC086C8F9110B59CD6DA83E2A32BF4A9F68860FDC2093D1F1FFA8CDB4</v>
      </c>
      <c r="I7006" t="str">
        <f>HYPERLINK("https://baanknet.com/view-property/238785/26B16A6BC086C8F9110B59CD6DA83E2A32BF4A9F68860FDC2093D1F1FFA8CDB4", "Open")</f>
        <v>Open</v>
      </c>
      <c r="J7006" t="s">
        <v>3803</v>
      </c>
      <c r="L7006">
        <v>1578400</v>
      </c>
      <c r="M7006">
        <v>157840</v>
      </c>
    </row>
    <row r="7007" spans="1:13" x14ac:dyDescent="0.25">
      <c r="A7007" t="s">
        <v>23114</v>
      </c>
      <c r="B7007" t="s">
        <v>23115</v>
      </c>
      <c r="C7007" t="s">
        <v>387</v>
      </c>
      <c r="D7007" t="s">
        <v>9478</v>
      </c>
      <c r="E7007" t="s">
        <v>11023</v>
      </c>
      <c r="F7007" t="s">
        <v>11010</v>
      </c>
      <c r="G7007" t="s">
        <v>23116</v>
      </c>
      <c r="H7007" t="str">
        <f>HYPERLINK("https://baanknet.com/view-property/238751/67488480DB4E53A0DAD9130DD37B061647B69304C5324B04AE40EF52D7DF1187", "https://baanknet.com/view-property/238751/67488480DB4E53A0DAD9130DD37B061647B69304C5324B04AE40EF52D7DF1187")</f>
        <v>https://baanknet.com/view-property/238751/67488480DB4E53A0DAD9130DD37B061647B69304C5324B04AE40EF52D7DF1187</v>
      </c>
      <c r="I7007" t="str">
        <f>HYPERLINK("https://baanknet.com/view-property/238751/67488480DB4E53A0DAD9130DD37B061647B69304C5324B04AE40EF52D7DF1187", "Open")</f>
        <v>Open</v>
      </c>
      <c r="J7007" t="s">
        <v>3803</v>
      </c>
      <c r="L7007">
        <v>1284000</v>
      </c>
      <c r="M7007">
        <v>128400</v>
      </c>
    </row>
    <row r="7008" spans="1:13" x14ac:dyDescent="0.25">
      <c r="A7008" t="s">
        <v>23117</v>
      </c>
      <c r="B7008" t="s">
        <v>23118</v>
      </c>
      <c r="C7008" t="s">
        <v>387</v>
      </c>
      <c r="D7008" t="s">
        <v>6058</v>
      </c>
      <c r="E7008" t="s">
        <v>11023</v>
      </c>
      <c r="F7008" t="s">
        <v>11010</v>
      </c>
      <c r="G7008" t="s">
        <v>23119</v>
      </c>
      <c r="H7008" t="str">
        <f>HYPERLINK("https://baanknet.com/view-property/282176/AEC8E1C5074840EF18AB522D8FDD6E6ED3F4D2443697DF642616A9F5B0286512", "https://baanknet.com/view-property/282176/AEC8E1C5074840EF18AB522D8FDD6E6ED3F4D2443697DF642616A9F5B0286512")</f>
        <v>https://baanknet.com/view-property/282176/AEC8E1C5074840EF18AB522D8FDD6E6ED3F4D2443697DF642616A9F5B0286512</v>
      </c>
      <c r="I7008" t="str">
        <f>HYPERLINK("https://baanknet.com/view-property/282176/AEC8E1C5074840EF18AB522D8FDD6E6ED3F4D2443697DF642616A9F5B0286512", "Open")</f>
        <v>Open</v>
      </c>
      <c r="J7008" t="s">
        <v>3803</v>
      </c>
      <c r="L7008">
        <v>2061000</v>
      </c>
      <c r="M7008">
        <v>206100</v>
      </c>
    </row>
    <row r="7009" spans="1:13" x14ac:dyDescent="0.25">
      <c r="A7009" t="s">
        <v>23120</v>
      </c>
      <c r="B7009" t="s">
        <v>23121</v>
      </c>
      <c r="C7009" t="s">
        <v>387</v>
      </c>
      <c r="D7009" t="s">
        <v>3524</v>
      </c>
      <c r="E7009" t="s">
        <v>11023</v>
      </c>
      <c r="F7009" t="s">
        <v>11010</v>
      </c>
      <c r="G7009" t="s">
        <v>23122</v>
      </c>
      <c r="H7009" t="str">
        <f>HYPERLINK("https://baanknet.com/view-property/168717/44C9DBA4AF0FDB460C856EA05E318871DBB98F51DCD5BB11DEB3922FC3DAB18E", "https://baanknet.com/view-property/168717/44C9DBA4AF0FDB460C856EA05E318871DBB98F51DCD5BB11DEB3922FC3DAB18E")</f>
        <v>https://baanknet.com/view-property/168717/44C9DBA4AF0FDB460C856EA05E318871DBB98F51DCD5BB11DEB3922FC3DAB18E</v>
      </c>
      <c r="I7009" t="str">
        <f>HYPERLINK("https://baanknet.com/view-property/168717/44C9DBA4AF0FDB460C856EA05E318871DBB98F51DCD5BB11DEB3922FC3DAB18E", "Open")</f>
        <v>Open</v>
      </c>
      <c r="J7009" t="s">
        <v>3803</v>
      </c>
      <c r="L7009">
        <v>20300000</v>
      </c>
      <c r="M7009">
        <v>2030000</v>
      </c>
    </row>
    <row r="7010" spans="1:13" x14ac:dyDescent="0.25">
      <c r="A7010" t="s">
        <v>23123</v>
      </c>
      <c r="B7010" t="s">
        <v>23124</v>
      </c>
      <c r="C7010" t="s">
        <v>144</v>
      </c>
      <c r="D7010" t="s">
        <v>14035</v>
      </c>
      <c r="E7010" t="s">
        <v>11024</v>
      </c>
      <c r="F7010" t="s">
        <v>11102</v>
      </c>
      <c r="G7010" t="s">
        <v>23125</v>
      </c>
      <c r="H7010" t="str">
        <f>HYPERLINK("https://baanknet.com/view-property/283179/AC3AA2D0B8B39D24BDA7A06EB37F7C49068ABB8C87C35BBD82EFA0B8F5961DAA", "https://baanknet.com/view-property/283179/AC3AA2D0B8B39D24BDA7A06EB37F7C49068ABB8C87C35BBD82EFA0B8F5961DAA")</f>
        <v>https://baanknet.com/view-property/283179/AC3AA2D0B8B39D24BDA7A06EB37F7C49068ABB8C87C35BBD82EFA0B8F5961DAA</v>
      </c>
      <c r="I7010" t="str">
        <f>HYPERLINK("https://baanknet.com/view-property/283179/AC3AA2D0B8B39D24BDA7A06EB37F7C49068ABB8C87C35BBD82EFA0B8F5961DAA", "Open")</f>
        <v>Open</v>
      </c>
      <c r="J7010" t="s">
        <v>3803</v>
      </c>
      <c r="L7010">
        <v>21600000</v>
      </c>
      <c r="M7010">
        <v>2160000</v>
      </c>
    </row>
    <row r="7011" spans="1:13" x14ac:dyDescent="0.25">
      <c r="A7011" t="s">
        <v>23126</v>
      </c>
      <c r="B7011" t="s">
        <v>23127</v>
      </c>
      <c r="C7011" t="s">
        <v>387</v>
      </c>
      <c r="D7011" t="s">
        <v>2766</v>
      </c>
      <c r="E7011" t="s">
        <v>11024</v>
      </c>
      <c r="F7011" t="s">
        <v>11004</v>
      </c>
      <c r="G7011" t="s">
        <v>23128</v>
      </c>
      <c r="H7011" t="str">
        <f>HYPERLINK("https://baanknet.com/view-property/191891/7F3C8A5356D902728D4AE265FE9D20A0F9113A8E7C87A1820BBB95BC6C5D9952", "https://baanknet.com/view-property/191891/7F3C8A5356D902728D4AE265FE9D20A0F9113A8E7C87A1820BBB95BC6C5D9952")</f>
        <v>https://baanknet.com/view-property/191891/7F3C8A5356D902728D4AE265FE9D20A0F9113A8E7C87A1820BBB95BC6C5D9952</v>
      </c>
      <c r="I7011" t="str">
        <f>HYPERLINK("https://baanknet.com/view-property/191891/7F3C8A5356D902728D4AE265FE9D20A0F9113A8E7C87A1820BBB95BC6C5D9952", "Open")</f>
        <v>Open</v>
      </c>
      <c r="J7011" t="s">
        <v>3803</v>
      </c>
      <c r="L7011">
        <v>2970000</v>
      </c>
      <c r="M7011">
        <v>297000</v>
      </c>
    </row>
    <row r="7012" spans="1:13" x14ac:dyDescent="0.25">
      <c r="A7012" t="s">
        <v>23129</v>
      </c>
      <c r="B7012" t="s">
        <v>23130</v>
      </c>
      <c r="C7012" t="s">
        <v>387</v>
      </c>
      <c r="D7012" t="s">
        <v>23131</v>
      </c>
      <c r="E7012" t="s">
        <v>11024</v>
      </c>
      <c r="F7012" t="s">
        <v>11004</v>
      </c>
      <c r="G7012" t="s">
        <v>23132</v>
      </c>
      <c r="H7012" t="str">
        <f>HYPERLINK("https://baanknet.com/view-property/269949/1B9EBA2A76292F91B290079932DCE47EBD936D489AE4908ED9693AC676A8176D", "https://baanknet.com/view-property/269949/1B9EBA2A76292F91B290079932DCE47EBD936D489AE4908ED9693AC676A8176D")</f>
        <v>https://baanknet.com/view-property/269949/1B9EBA2A76292F91B290079932DCE47EBD936D489AE4908ED9693AC676A8176D</v>
      </c>
      <c r="I7012" t="str">
        <f>HYPERLINK("https://baanknet.com/view-property/269949/1B9EBA2A76292F91B290079932DCE47EBD936D489AE4908ED9693AC676A8176D", "Open")</f>
        <v>Open</v>
      </c>
      <c r="J7012" t="s">
        <v>3803</v>
      </c>
      <c r="L7012">
        <v>1000000</v>
      </c>
      <c r="M7012">
        <v>100000</v>
      </c>
    </row>
    <row r="7013" spans="1:13" x14ac:dyDescent="0.25">
      <c r="A7013" t="s">
        <v>23133</v>
      </c>
      <c r="B7013" t="s">
        <v>23134</v>
      </c>
      <c r="C7013" t="s">
        <v>332</v>
      </c>
      <c r="D7013" t="s">
        <v>23135</v>
      </c>
      <c r="E7013" t="s">
        <v>11024</v>
      </c>
      <c r="F7013" t="s">
        <v>11004</v>
      </c>
      <c r="G7013" t="s">
        <v>23136</v>
      </c>
      <c r="H7013" t="str">
        <f>HYPERLINK("https://baanknet.com/view-property/287282/FB65E0E1E313BC91143F6A8C601A5EC867658047FCDE8F95DDA0E8A48682A732", "https://baanknet.com/view-property/287282/FB65E0E1E313BC91143F6A8C601A5EC867658047FCDE8F95DDA0E8A48682A732")</f>
        <v>https://baanknet.com/view-property/287282/FB65E0E1E313BC91143F6A8C601A5EC867658047FCDE8F95DDA0E8A48682A732</v>
      </c>
      <c r="I7013" t="str">
        <f>HYPERLINK("https://baanknet.com/view-property/287282/FB65E0E1E313BC91143F6A8C601A5EC867658047FCDE8F95DDA0E8A48682A732", "Open")</f>
        <v>Open</v>
      </c>
      <c r="J7013" t="s">
        <v>3803</v>
      </c>
      <c r="L7013">
        <v>2553000</v>
      </c>
      <c r="M7013">
        <v>255300</v>
      </c>
    </row>
    <row r="7014" spans="1:13" x14ac:dyDescent="0.25">
      <c r="A7014" t="s">
        <v>23137</v>
      </c>
      <c r="B7014" t="s">
        <v>23138</v>
      </c>
      <c r="C7014" t="s">
        <v>387</v>
      </c>
      <c r="D7014" t="s">
        <v>23131</v>
      </c>
      <c r="E7014" t="s">
        <v>11024</v>
      </c>
      <c r="F7014" t="s">
        <v>11004</v>
      </c>
      <c r="G7014" t="s">
        <v>23139</v>
      </c>
      <c r="H7014" t="str">
        <f>HYPERLINK("https://baanknet.com/view-property/269685/538E08E230A3AD8EDC2F68371FAAF699C00DE381476586F0B5A23134197E50A7", "https://baanknet.com/view-property/269685/538E08E230A3AD8EDC2F68371FAAF699C00DE381476586F0B5A23134197E50A7")</f>
        <v>https://baanknet.com/view-property/269685/538E08E230A3AD8EDC2F68371FAAF699C00DE381476586F0B5A23134197E50A7</v>
      </c>
      <c r="I7014" t="str">
        <f>HYPERLINK("https://baanknet.com/view-property/269685/538E08E230A3AD8EDC2F68371FAAF699C00DE381476586F0B5A23134197E50A7", "Open")</f>
        <v>Open</v>
      </c>
      <c r="J7014" t="s">
        <v>3803</v>
      </c>
      <c r="L7014">
        <v>1000000</v>
      </c>
      <c r="M7014">
        <v>100000</v>
      </c>
    </row>
    <row r="7015" spans="1:13" x14ac:dyDescent="0.25">
      <c r="A7015" t="s">
        <v>23140</v>
      </c>
      <c r="B7015" t="s">
        <v>23141</v>
      </c>
      <c r="C7015" t="s">
        <v>387</v>
      </c>
      <c r="D7015" t="s">
        <v>23131</v>
      </c>
      <c r="E7015" t="s">
        <v>11024</v>
      </c>
      <c r="F7015" t="s">
        <v>11004</v>
      </c>
      <c r="G7015" t="s">
        <v>23142</v>
      </c>
      <c r="H7015" t="str">
        <f>HYPERLINK("https://baanknet.com/view-property/269693/B3F9405C4DC363784B432AF0F801E2033343092A8194ED73288FDE32167CD39A", "https://baanknet.com/view-property/269693/B3F9405C4DC363784B432AF0F801E2033343092A8194ED73288FDE32167CD39A")</f>
        <v>https://baanknet.com/view-property/269693/B3F9405C4DC363784B432AF0F801E2033343092A8194ED73288FDE32167CD39A</v>
      </c>
      <c r="I7015" t="str">
        <f>HYPERLINK("https://baanknet.com/view-property/269693/B3F9405C4DC363784B432AF0F801E2033343092A8194ED73288FDE32167CD39A", "Open")</f>
        <v>Open</v>
      </c>
      <c r="J7015" t="s">
        <v>3803</v>
      </c>
      <c r="L7015">
        <v>1000000</v>
      </c>
      <c r="M7015">
        <v>100000</v>
      </c>
    </row>
    <row r="7016" spans="1:13" x14ac:dyDescent="0.25">
      <c r="A7016" t="s">
        <v>23143</v>
      </c>
      <c r="B7016" t="s">
        <v>23144</v>
      </c>
      <c r="C7016" t="s">
        <v>387</v>
      </c>
      <c r="D7016" t="s">
        <v>23131</v>
      </c>
      <c r="E7016" t="s">
        <v>11024</v>
      </c>
      <c r="F7016" t="s">
        <v>11004</v>
      </c>
      <c r="G7016" t="s">
        <v>23145</v>
      </c>
      <c r="H7016" t="str">
        <f>HYPERLINK("https://baanknet.com/view-property/269961/C8209F9C494F7FA48BF64372C6E8BA0C0231B923360ED3F19E1C44927156CE61", "https://baanknet.com/view-property/269961/C8209F9C494F7FA48BF64372C6E8BA0C0231B923360ED3F19E1C44927156CE61")</f>
        <v>https://baanknet.com/view-property/269961/C8209F9C494F7FA48BF64372C6E8BA0C0231B923360ED3F19E1C44927156CE61</v>
      </c>
      <c r="I7016" t="str">
        <f>HYPERLINK("https://baanknet.com/view-property/269961/C8209F9C494F7FA48BF64372C6E8BA0C0231B923360ED3F19E1C44927156CE61", "Open")</f>
        <v>Open</v>
      </c>
      <c r="J7016" t="s">
        <v>3803</v>
      </c>
      <c r="L7016">
        <v>1000000</v>
      </c>
      <c r="M7016">
        <v>100000</v>
      </c>
    </row>
    <row r="7017" spans="1:13" x14ac:dyDescent="0.25">
      <c r="A7017" t="s">
        <v>23146</v>
      </c>
      <c r="B7017" t="s">
        <v>23147</v>
      </c>
      <c r="C7017" t="s">
        <v>387</v>
      </c>
      <c r="D7017" t="s">
        <v>23131</v>
      </c>
      <c r="E7017" t="s">
        <v>11024</v>
      </c>
      <c r="F7017" t="s">
        <v>12009</v>
      </c>
      <c r="G7017" t="s">
        <v>23148</v>
      </c>
      <c r="H7017" t="str">
        <f>HYPERLINK("https://baanknet.com/view-property/269940/940BE2A91CF7DFFA7B65F70F8FA3D1A853DAA50C06D6675B6AF9E540E4A0BCDF", "https://baanknet.com/view-property/269940/940BE2A91CF7DFFA7B65F70F8FA3D1A853DAA50C06D6675B6AF9E540E4A0BCDF")</f>
        <v>https://baanknet.com/view-property/269940/940BE2A91CF7DFFA7B65F70F8FA3D1A853DAA50C06D6675B6AF9E540E4A0BCDF</v>
      </c>
      <c r="I7017" t="str">
        <f>HYPERLINK("https://baanknet.com/view-property/269940/940BE2A91CF7DFFA7B65F70F8FA3D1A853DAA50C06D6675B6AF9E540E4A0BCDF", "Open")</f>
        <v>Open</v>
      </c>
      <c r="J7017" t="s">
        <v>3803</v>
      </c>
      <c r="L7017">
        <v>1000000</v>
      </c>
      <c r="M7017">
        <v>100000</v>
      </c>
    </row>
    <row r="7018" spans="1:13" x14ac:dyDescent="0.25">
      <c r="A7018" t="s">
        <v>23149</v>
      </c>
      <c r="B7018" t="s">
        <v>23150</v>
      </c>
      <c r="C7018" t="s">
        <v>387</v>
      </c>
      <c r="D7018" t="s">
        <v>4580</v>
      </c>
      <c r="E7018" t="s">
        <v>11024</v>
      </c>
      <c r="F7018" t="s">
        <v>12009</v>
      </c>
      <c r="G7018" t="s">
        <v>23151</v>
      </c>
      <c r="H7018" t="str">
        <f>HYPERLINK("https://baanknet.com/view-property/253431/255D946D245F04F0AFAD991ED67170E0CC74121C2C5354475F85599E19A44BAD", "https://baanknet.com/view-property/253431/255D946D245F04F0AFAD991ED67170E0CC74121C2C5354475F85599E19A44BAD")</f>
        <v>https://baanknet.com/view-property/253431/255D946D245F04F0AFAD991ED67170E0CC74121C2C5354475F85599E19A44BAD</v>
      </c>
      <c r="I7018" t="str">
        <f>HYPERLINK("https://baanknet.com/view-property/253431/255D946D245F04F0AFAD991ED67170E0CC74121C2C5354475F85599E19A44BAD", "Open")</f>
        <v>Open</v>
      </c>
      <c r="J7018" t="s">
        <v>3803</v>
      </c>
      <c r="L7018">
        <v>4320000</v>
      </c>
      <c r="M7018">
        <v>432000</v>
      </c>
    </row>
    <row r="7019" spans="1:13" x14ac:dyDescent="0.25">
      <c r="A7019" t="s">
        <v>23152</v>
      </c>
      <c r="B7019" t="s">
        <v>23153</v>
      </c>
      <c r="C7019" t="s">
        <v>387</v>
      </c>
      <c r="D7019" t="s">
        <v>4580</v>
      </c>
      <c r="E7019" t="s">
        <v>11024</v>
      </c>
      <c r="F7019" t="s">
        <v>12009</v>
      </c>
      <c r="G7019" t="s">
        <v>23154</v>
      </c>
      <c r="H7019" t="str">
        <f>HYPERLINK("https://baanknet.com/view-property/264516/1D81A4E0F091BE7782E9848D2CF45E3DF43DD9F660F7D0C0DA4DF1F46741A530", "https://baanknet.com/view-property/264516/1D81A4E0F091BE7782E9848D2CF45E3DF43DD9F660F7D0C0DA4DF1F46741A530")</f>
        <v>https://baanknet.com/view-property/264516/1D81A4E0F091BE7782E9848D2CF45E3DF43DD9F660F7D0C0DA4DF1F46741A530</v>
      </c>
      <c r="I7019" t="str">
        <f>HYPERLINK("https://baanknet.com/view-property/264516/1D81A4E0F091BE7782E9848D2CF45E3DF43DD9F660F7D0C0DA4DF1F46741A530", "Open")</f>
        <v>Open</v>
      </c>
      <c r="J7019" t="s">
        <v>3803</v>
      </c>
      <c r="L7019">
        <v>56660000</v>
      </c>
      <c r="M7019">
        <v>5666000</v>
      </c>
    </row>
    <row r="7020" spans="1:13" x14ac:dyDescent="0.25">
      <c r="A7020" t="s">
        <v>23155</v>
      </c>
      <c r="B7020" t="s">
        <v>23156</v>
      </c>
      <c r="C7020" t="s">
        <v>387</v>
      </c>
      <c r="D7020" t="s">
        <v>23157</v>
      </c>
      <c r="E7020" t="s">
        <v>11024</v>
      </c>
      <c r="F7020" t="s">
        <v>11430</v>
      </c>
      <c r="G7020" t="s">
        <v>23158</v>
      </c>
      <c r="H7020" t="str">
        <f>HYPERLINK("https://baanknet.com/view-property/249682/D675895E751B3577EF510CB1B5DC1F00866C612598B14F6246E17A973FE0AED2", "https://baanknet.com/view-property/249682/D675895E751B3577EF510CB1B5DC1F00866C612598B14F6246E17A973FE0AED2")</f>
        <v>https://baanknet.com/view-property/249682/D675895E751B3577EF510CB1B5DC1F00866C612598B14F6246E17A973FE0AED2</v>
      </c>
      <c r="I7020" t="str">
        <f>HYPERLINK("https://baanknet.com/view-property/249682/D675895E751B3577EF510CB1B5DC1F00866C612598B14F6246E17A973FE0AED2", "Open")</f>
        <v>Open</v>
      </c>
      <c r="J7020" t="s">
        <v>3803</v>
      </c>
      <c r="L7020">
        <v>6604000</v>
      </c>
      <c r="M7020">
        <v>660400</v>
      </c>
    </row>
    <row r="7021" spans="1:13" x14ac:dyDescent="0.25">
      <c r="A7021" t="s">
        <v>23159</v>
      </c>
      <c r="B7021" t="s">
        <v>23160</v>
      </c>
      <c r="C7021" t="s">
        <v>589</v>
      </c>
      <c r="D7021" t="s">
        <v>32</v>
      </c>
      <c r="E7021" t="s">
        <v>11024</v>
      </c>
      <c r="F7021" t="s">
        <v>11430</v>
      </c>
      <c r="G7021" t="s">
        <v>23161</v>
      </c>
      <c r="H7021" t="str">
        <f>HYPERLINK("https://baanknet.com/view-property/287428/E63EC8A4637326F13827C1A353472324D0DF264EAD9AF770B8A9AD3E3D1D597B", "https://baanknet.com/view-property/287428/E63EC8A4637326F13827C1A353472324D0DF264EAD9AF770B8A9AD3E3D1D597B")</f>
        <v>https://baanknet.com/view-property/287428/E63EC8A4637326F13827C1A353472324D0DF264EAD9AF770B8A9AD3E3D1D597B</v>
      </c>
      <c r="I7021" t="str">
        <f>HYPERLINK("https://baanknet.com/view-property/287428/E63EC8A4637326F13827C1A353472324D0DF264EAD9AF770B8A9AD3E3D1D597B", "Open")</f>
        <v>Open</v>
      </c>
      <c r="J7021" t="s">
        <v>3803</v>
      </c>
      <c r="L7021">
        <v>9864000</v>
      </c>
      <c r="M7021">
        <v>990000</v>
      </c>
    </row>
    <row r="7022" spans="1:13" x14ac:dyDescent="0.25">
      <c r="A7022" t="s">
        <v>23162</v>
      </c>
      <c r="B7022" t="s">
        <v>23163</v>
      </c>
      <c r="C7022" t="s">
        <v>7449</v>
      </c>
      <c r="D7022" t="s">
        <v>23164</v>
      </c>
      <c r="E7022" t="s">
        <v>11024</v>
      </c>
      <c r="F7022" t="s">
        <v>11430</v>
      </c>
      <c r="G7022" t="s">
        <v>23165</v>
      </c>
      <c r="H7022" t="str">
        <f>HYPERLINK("https://baanknet.com/view-property/84060/97304BF5CF303F97325E3F597676626087E532DDE5224837933A3E366A0453C2", "https://baanknet.com/view-property/84060/97304BF5CF303F97325E3F597676626087E532DDE5224837933A3E366A0453C2")</f>
        <v>https://baanknet.com/view-property/84060/97304BF5CF303F97325E3F597676626087E532DDE5224837933A3E366A0453C2</v>
      </c>
      <c r="I7022" t="str">
        <f>HYPERLINK("https://baanknet.com/view-property/84060/97304BF5CF303F97325E3F597676626087E532DDE5224837933A3E366A0453C2", "Open")</f>
        <v>Open</v>
      </c>
      <c r="J7022" t="s">
        <v>3803</v>
      </c>
      <c r="L7022">
        <v>2613000</v>
      </c>
      <c r="M7022">
        <v>261300</v>
      </c>
    </row>
    <row r="7023" spans="1:13" x14ac:dyDescent="0.25">
      <c r="A7023" t="s">
        <v>23166</v>
      </c>
      <c r="B7023" t="s">
        <v>23167</v>
      </c>
      <c r="C7023" t="s">
        <v>7449</v>
      </c>
      <c r="D7023" t="s">
        <v>23168</v>
      </c>
      <c r="E7023" t="s">
        <v>11024</v>
      </c>
      <c r="F7023" t="s">
        <v>11430</v>
      </c>
      <c r="G7023" t="s">
        <v>23169</v>
      </c>
      <c r="H7023" t="str">
        <f>HYPERLINK("https://baanknet.com/view-property/247906/B61DE76C34A6E6A7ECF5277D178B90BB8AB25A5BF525C74402102B7CC35157C9", "https://baanknet.com/view-property/247906/B61DE76C34A6E6A7ECF5277D178B90BB8AB25A5BF525C74402102B7CC35157C9")</f>
        <v>https://baanknet.com/view-property/247906/B61DE76C34A6E6A7ECF5277D178B90BB8AB25A5BF525C74402102B7CC35157C9</v>
      </c>
      <c r="I7023" t="str">
        <f>HYPERLINK("https://baanknet.com/view-property/247906/B61DE76C34A6E6A7ECF5277D178B90BB8AB25A5BF525C74402102B7CC35157C9", "Open")</f>
        <v>Open</v>
      </c>
      <c r="J7023" t="s">
        <v>3803</v>
      </c>
      <c r="L7023">
        <v>1884000</v>
      </c>
      <c r="M7023">
        <v>188400</v>
      </c>
    </row>
    <row r="7024" spans="1:13" x14ac:dyDescent="0.25">
      <c r="A7024" t="s">
        <v>23170</v>
      </c>
      <c r="B7024" t="s">
        <v>23171</v>
      </c>
      <c r="C7024" t="s">
        <v>7449</v>
      </c>
      <c r="D7024" t="s">
        <v>1222</v>
      </c>
      <c r="E7024" t="s">
        <v>11024</v>
      </c>
      <c r="F7024" t="s">
        <v>11430</v>
      </c>
      <c r="G7024" t="s">
        <v>23172</v>
      </c>
      <c r="H7024" t="str">
        <f>HYPERLINK("https://baanknet.com/view-property/228843/A44A729A01CFD1AFCF1333C33E81B2AC0263971B1837FC9E8CE0F31AF94BFC86", "https://baanknet.com/view-property/228843/A44A729A01CFD1AFCF1333C33E81B2AC0263971B1837FC9E8CE0F31AF94BFC86")</f>
        <v>https://baanknet.com/view-property/228843/A44A729A01CFD1AFCF1333C33E81B2AC0263971B1837FC9E8CE0F31AF94BFC86</v>
      </c>
      <c r="I7024" t="str">
        <f>HYPERLINK("https://baanknet.com/view-property/228843/A44A729A01CFD1AFCF1333C33E81B2AC0263971B1837FC9E8CE0F31AF94BFC86", "Open")</f>
        <v>Open</v>
      </c>
      <c r="J7024" t="s">
        <v>3803</v>
      </c>
      <c r="L7024">
        <v>3694000</v>
      </c>
      <c r="M7024">
        <v>369400</v>
      </c>
    </row>
    <row r="7025" spans="1:13" x14ac:dyDescent="0.25">
      <c r="A7025" t="s">
        <v>23173</v>
      </c>
      <c r="B7025" t="s">
        <v>23174</v>
      </c>
      <c r="C7025" t="s">
        <v>7449</v>
      </c>
      <c r="D7025" t="s">
        <v>8794</v>
      </c>
      <c r="E7025" t="s">
        <v>11024</v>
      </c>
      <c r="F7025" t="s">
        <v>11430</v>
      </c>
      <c r="G7025" t="s">
        <v>23175</v>
      </c>
      <c r="H7025" t="str">
        <f>HYPERLINK("https://baanknet.com/view-property/9935/82138B2A56EFA89E473256097E1470726F15DA1649F62B057968471096C69314", "https://baanknet.com/view-property/9935/82138B2A56EFA89E473256097E1470726F15DA1649F62B057968471096C69314")</f>
        <v>https://baanknet.com/view-property/9935/82138B2A56EFA89E473256097E1470726F15DA1649F62B057968471096C69314</v>
      </c>
      <c r="I7025" t="str">
        <f>HYPERLINK("https://baanknet.com/view-property/9935/82138B2A56EFA89E473256097E1470726F15DA1649F62B057968471096C69314", "Open")</f>
        <v>Open</v>
      </c>
      <c r="J7025" t="s">
        <v>3803</v>
      </c>
      <c r="L7025">
        <v>2520000</v>
      </c>
      <c r="M7025">
        <v>252000</v>
      </c>
    </row>
    <row r="7026" spans="1:13" x14ac:dyDescent="0.25">
      <c r="A7026" t="s">
        <v>23176</v>
      </c>
      <c r="B7026" t="s">
        <v>23177</v>
      </c>
      <c r="C7026" t="s">
        <v>387</v>
      </c>
      <c r="D7026" t="s">
        <v>23178</v>
      </c>
      <c r="E7026" t="s">
        <v>11032</v>
      </c>
      <c r="F7026" t="s">
        <v>11004</v>
      </c>
      <c r="G7026" t="s">
        <v>23179</v>
      </c>
      <c r="H7026" t="str">
        <f>HYPERLINK("https://baanknet.com/view-property/224770/51A7C24D728A25A0A022FD3E0A3D888FE9B315EED756D46EAC19AF0BFB110109", "https://baanknet.com/view-property/224770/51A7C24D728A25A0A022FD3E0A3D888FE9B315EED756D46EAC19AF0BFB110109")</f>
        <v>https://baanknet.com/view-property/224770/51A7C24D728A25A0A022FD3E0A3D888FE9B315EED756D46EAC19AF0BFB110109</v>
      </c>
      <c r="I7026" t="str">
        <f>HYPERLINK("https://baanknet.com/view-property/224770/51A7C24D728A25A0A022FD3E0A3D888FE9B315EED756D46EAC19AF0BFB110109", "Open")</f>
        <v>Open</v>
      </c>
      <c r="J7026" t="s">
        <v>3803</v>
      </c>
      <c r="L7026">
        <v>2240000</v>
      </c>
      <c r="M7026">
        <v>224000</v>
      </c>
    </row>
    <row r="7027" spans="1:13" x14ac:dyDescent="0.25">
      <c r="A7027" t="s">
        <v>23180</v>
      </c>
      <c r="B7027" t="s">
        <v>23181</v>
      </c>
      <c r="C7027" t="s">
        <v>7449</v>
      </c>
      <c r="D7027" t="s">
        <v>1761</v>
      </c>
      <c r="E7027" t="s">
        <v>12108</v>
      </c>
      <c r="F7027" t="s">
        <v>11430</v>
      </c>
      <c r="G7027" t="s">
        <v>23182</v>
      </c>
      <c r="H7027" t="str">
        <f>HYPERLINK("https://baanknet.com/view-property/90826/E9D7847D9671343890C398211939B09CB40676A0E5243A0F1B5C44C6EC838343", "https://baanknet.com/view-property/90826/E9D7847D9671343890C398211939B09CB40676A0E5243A0F1B5C44C6EC838343")</f>
        <v>https://baanknet.com/view-property/90826/E9D7847D9671343890C398211939B09CB40676A0E5243A0F1B5C44C6EC838343</v>
      </c>
      <c r="I7027" t="str">
        <f>HYPERLINK("https://baanknet.com/view-property/90826/E9D7847D9671343890C398211939B09CB40676A0E5243A0F1B5C44C6EC838343", "Open")</f>
        <v>Open</v>
      </c>
      <c r="J7027" t="s">
        <v>3803</v>
      </c>
      <c r="L7027">
        <v>1282000</v>
      </c>
      <c r="M7027">
        <v>128200</v>
      </c>
    </row>
    <row r="7028" spans="1:13" x14ac:dyDescent="0.25">
      <c r="A7028" t="s">
        <v>23183</v>
      </c>
      <c r="B7028" t="s">
        <v>23184</v>
      </c>
      <c r="C7028" t="s">
        <v>7449</v>
      </c>
      <c r="D7028" t="s">
        <v>2224</v>
      </c>
      <c r="E7028" t="s">
        <v>12108</v>
      </c>
      <c r="F7028" t="s">
        <v>11430</v>
      </c>
      <c r="G7028" t="s">
        <v>23185</v>
      </c>
      <c r="H7028" t="str">
        <f>HYPERLINK("https://baanknet.com/view-property/133960/A0EC35CC5D456912F904F4ECF464879F4149D8493041ECFFAFCA933959362150", "https://baanknet.com/view-property/133960/A0EC35CC5D456912F904F4ECF464879F4149D8493041ECFFAFCA933959362150")</f>
        <v>https://baanknet.com/view-property/133960/A0EC35CC5D456912F904F4ECF464879F4149D8493041ECFFAFCA933959362150</v>
      </c>
      <c r="I7028" t="str">
        <f>HYPERLINK("https://baanknet.com/view-property/133960/A0EC35CC5D456912F904F4ECF464879F4149D8493041ECFFAFCA933959362150", "Open")</f>
        <v>Open</v>
      </c>
      <c r="J7028" t="s">
        <v>3803</v>
      </c>
      <c r="L7028">
        <v>2035000</v>
      </c>
      <c r="M7028">
        <v>203500</v>
      </c>
    </row>
    <row r="7029" spans="1:13" x14ac:dyDescent="0.25">
      <c r="A7029" t="s">
        <v>23186</v>
      </c>
      <c r="B7029" t="s">
        <v>23187</v>
      </c>
      <c r="C7029" t="s">
        <v>387</v>
      </c>
      <c r="D7029" t="s">
        <v>9478</v>
      </c>
      <c r="E7029" t="s">
        <v>11430</v>
      </c>
      <c r="F7029" t="s">
        <v>11010</v>
      </c>
      <c r="G7029" t="s">
        <v>23188</v>
      </c>
      <c r="H7029" t="str">
        <f>HYPERLINK("https://baanknet.com/view-property/238792/BFCD9DFF081449D49E847546FDDB382B8BC308A508C8960C510AB62A52C9F90B", "https://baanknet.com/view-property/238792/BFCD9DFF081449D49E847546FDDB382B8BC308A508C8960C510AB62A52C9F90B")</f>
        <v>https://baanknet.com/view-property/238792/BFCD9DFF081449D49E847546FDDB382B8BC308A508C8960C510AB62A52C9F90B</v>
      </c>
      <c r="I7029" t="str">
        <f>HYPERLINK("https://baanknet.com/view-property/238792/BFCD9DFF081449D49E847546FDDB382B8BC308A508C8960C510AB62A52C9F90B", "Open")</f>
        <v>Open</v>
      </c>
      <c r="J7029" t="s">
        <v>3803</v>
      </c>
      <c r="L7029">
        <v>1488000</v>
      </c>
      <c r="M7029">
        <v>148800</v>
      </c>
    </row>
    <row r="7030" spans="1:13" x14ac:dyDescent="0.25">
      <c r="A7030" t="s">
        <v>23189</v>
      </c>
      <c r="B7030" t="s">
        <v>23190</v>
      </c>
      <c r="C7030" t="s">
        <v>121</v>
      </c>
      <c r="D7030" t="s">
        <v>2684</v>
      </c>
      <c r="E7030" t="s">
        <v>15507</v>
      </c>
      <c r="F7030" t="s">
        <v>15560</v>
      </c>
      <c r="G7030" t="s">
        <v>23191</v>
      </c>
      <c r="H7030" t="str">
        <f>HYPERLINK("https://baanknet.com/view-property/235740/4C20ACD32F2CBBBEDB247E3385E85A3DD6DB89E6D883384381FCBBFF6C862661", "https://baanknet.com/view-property/235740/4C20ACD32F2CBBBEDB247E3385E85A3DD6DB89E6D883384381FCBBFF6C862661")</f>
        <v>https://baanknet.com/view-property/235740/4C20ACD32F2CBBBEDB247E3385E85A3DD6DB89E6D883384381FCBBFF6C862661</v>
      </c>
      <c r="I7030" t="str">
        <f>HYPERLINK("https://baanknet.com/view-property/235740/4C20ACD32F2CBBBEDB247E3385E85A3DD6DB89E6D883384381FCBBFF6C862661", "Open")</f>
        <v>Open</v>
      </c>
      <c r="J7030" t="s">
        <v>3803</v>
      </c>
      <c r="L7030">
        <v>1355000</v>
      </c>
      <c r="M7030">
        <v>135500</v>
      </c>
    </row>
    <row r="7031" spans="1:13" x14ac:dyDescent="0.25">
      <c r="A7031" t="s">
        <v>23192</v>
      </c>
      <c r="B7031" t="s">
        <v>23193</v>
      </c>
      <c r="C7031" t="s">
        <v>7449</v>
      </c>
      <c r="D7031" t="s">
        <v>23194</v>
      </c>
      <c r="E7031" t="s">
        <v>16310</v>
      </c>
      <c r="F7031" t="s">
        <v>15608</v>
      </c>
      <c r="G7031" t="s">
        <v>23195</v>
      </c>
      <c r="H7031" t="str">
        <f>HYPERLINK("https://baanknet.com/view-property/109317/D80CFE32176B993B76C31E3381DCC2196CD51171EC3538ADB4C2509D98FB8BCB", "https://baanknet.com/view-property/109317/D80CFE32176B993B76C31E3381DCC2196CD51171EC3538ADB4C2509D98FB8BCB")</f>
        <v>https://baanknet.com/view-property/109317/D80CFE32176B993B76C31E3381DCC2196CD51171EC3538ADB4C2509D98FB8BCB</v>
      </c>
      <c r="I7031" t="str">
        <f>HYPERLINK("https://baanknet.com/view-property/109317/D80CFE32176B993B76C31E3381DCC2196CD51171EC3538ADB4C2509D98FB8BCB", "Open")</f>
        <v>Open</v>
      </c>
      <c r="J7031" t="s">
        <v>3803</v>
      </c>
      <c r="L7031">
        <v>1085000</v>
      </c>
      <c r="M7031">
        <v>108500</v>
      </c>
    </row>
    <row r="7032" spans="1:13" x14ac:dyDescent="0.25">
      <c r="A7032" t="s">
        <v>23196</v>
      </c>
      <c r="B7032" t="s">
        <v>23197</v>
      </c>
      <c r="C7032" t="s">
        <v>571</v>
      </c>
      <c r="D7032" t="s">
        <v>3344</v>
      </c>
      <c r="E7032" t="s">
        <v>18571</v>
      </c>
      <c r="F7032" t="s">
        <v>18591</v>
      </c>
      <c r="G7032" t="s">
        <v>23198</v>
      </c>
      <c r="H7032" t="str">
        <f>HYPERLINK("https://baanknet.com/view-property/285093/BD5541D21505A7006445B674C43539C433A8FE31C41200C9AFB04A7C8AF498FF", "https://baanknet.com/view-property/285093/BD5541D21505A7006445B674C43539C433A8FE31C41200C9AFB04A7C8AF498FF")</f>
        <v>https://baanknet.com/view-property/285093/BD5541D21505A7006445B674C43539C433A8FE31C41200C9AFB04A7C8AF498FF</v>
      </c>
      <c r="I7032" t="str">
        <f>HYPERLINK("https://baanknet.com/view-property/285093/BD5541D21505A7006445B674C43539C433A8FE31C41200C9AFB04A7C8AF498FF", "Open")</f>
        <v>Open</v>
      </c>
      <c r="J7032" t="s">
        <v>3803</v>
      </c>
      <c r="L7032">
        <v>2876000</v>
      </c>
      <c r="M7032">
        <v>287600</v>
      </c>
    </row>
    <row r="7033" spans="1:13" x14ac:dyDescent="0.25">
      <c r="A7033" t="s">
        <v>23199</v>
      </c>
      <c r="B7033" t="s">
        <v>23200</v>
      </c>
      <c r="C7033" t="s">
        <v>121</v>
      </c>
      <c r="D7033" t="s">
        <v>32</v>
      </c>
      <c r="E7033" t="s">
        <v>18823</v>
      </c>
      <c r="F7033" t="s">
        <v>18680</v>
      </c>
      <c r="G7033" t="s">
        <v>23201</v>
      </c>
      <c r="H7033" t="str">
        <f>HYPERLINK("https://baanknet.com/view-property/269799/FF57A92594AC9010DFD47FF2812DEE2F40A8D019173C1A274065336B89F2C132", "https://baanknet.com/view-property/269799/FF57A92594AC9010DFD47FF2812DEE2F40A8D019173C1A274065336B89F2C132")</f>
        <v>https://baanknet.com/view-property/269799/FF57A92594AC9010DFD47FF2812DEE2F40A8D019173C1A274065336B89F2C132</v>
      </c>
      <c r="I7033" t="str">
        <f>HYPERLINK("https://baanknet.com/view-property/269799/FF57A92594AC9010DFD47FF2812DEE2F40A8D019173C1A274065336B89F2C132", "Open")</f>
        <v>Open</v>
      </c>
      <c r="J7033" t="s">
        <v>3803</v>
      </c>
      <c r="L7033">
        <v>3650000</v>
      </c>
      <c r="M7033">
        <v>365000</v>
      </c>
    </row>
    <row r="7034" spans="1:13" x14ac:dyDescent="0.25">
      <c r="A7034" t="s">
        <v>23202</v>
      </c>
      <c r="B7034" t="s">
        <v>23203</v>
      </c>
      <c r="C7034" t="s">
        <v>121</v>
      </c>
      <c r="D7034" t="s">
        <v>157</v>
      </c>
      <c r="E7034" t="s">
        <v>18823</v>
      </c>
      <c r="F7034" t="s">
        <v>18680</v>
      </c>
      <c r="G7034" t="s">
        <v>23204</v>
      </c>
      <c r="H7034" t="str">
        <f>HYPERLINK("https://baanknet.com/view-property/282038/5107FA77AC8F412DD25D23CF6A188B6BD6E368DC7DB2A4DB075835D97C095A44", "https://baanknet.com/view-property/282038/5107FA77AC8F412DD25D23CF6A188B6BD6E368DC7DB2A4DB075835D97C095A44")</f>
        <v>https://baanknet.com/view-property/282038/5107FA77AC8F412DD25D23CF6A188B6BD6E368DC7DB2A4DB075835D97C095A44</v>
      </c>
      <c r="I7034" t="str">
        <f>HYPERLINK("https://baanknet.com/view-property/282038/5107FA77AC8F412DD25D23CF6A188B6BD6E368DC7DB2A4DB075835D97C095A44", "Open")</f>
        <v>Open</v>
      </c>
      <c r="J7034" t="s">
        <v>3803</v>
      </c>
      <c r="L7034">
        <v>3200000</v>
      </c>
      <c r="M7034">
        <v>320000</v>
      </c>
    </row>
    <row r="7035" spans="1:13" x14ac:dyDescent="0.25">
      <c r="A7035" t="s">
        <v>23205</v>
      </c>
      <c r="B7035" t="s">
        <v>23206</v>
      </c>
      <c r="C7035" t="s">
        <v>121</v>
      </c>
      <c r="D7035" t="s">
        <v>3065</v>
      </c>
      <c r="E7035" t="s">
        <v>18823</v>
      </c>
      <c r="F7035" t="s">
        <v>18680</v>
      </c>
      <c r="G7035" t="s">
        <v>23207</v>
      </c>
      <c r="H7035" t="str">
        <f>HYPERLINK("https://baanknet.com/view-property/190521/65E9C67C6AC7C98329709B88C695172DE500C8A13C9E0561FA28EA9751BA4D5D", "https://baanknet.com/view-property/190521/65E9C67C6AC7C98329709B88C695172DE500C8A13C9E0561FA28EA9751BA4D5D")</f>
        <v>https://baanknet.com/view-property/190521/65E9C67C6AC7C98329709B88C695172DE500C8A13C9E0561FA28EA9751BA4D5D</v>
      </c>
      <c r="I7035" t="str">
        <f>HYPERLINK("https://baanknet.com/view-property/190521/65E9C67C6AC7C98329709B88C695172DE500C8A13C9E0561FA28EA9751BA4D5D", "Open")</f>
        <v>Open</v>
      </c>
      <c r="J7035" t="s">
        <v>3803</v>
      </c>
      <c r="L7035">
        <v>1347000</v>
      </c>
      <c r="M7035">
        <v>134700</v>
      </c>
    </row>
    <row r="7036" spans="1:13" x14ac:dyDescent="0.25">
      <c r="A7036" t="s">
        <v>23208</v>
      </c>
      <c r="B7036" t="s">
        <v>23209</v>
      </c>
      <c r="C7036" t="s">
        <v>121</v>
      </c>
      <c r="D7036" t="s">
        <v>157</v>
      </c>
      <c r="E7036" t="s">
        <v>18823</v>
      </c>
      <c r="F7036" t="s">
        <v>18680</v>
      </c>
      <c r="G7036" t="s">
        <v>23210</v>
      </c>
      <c r="H7036" t="str">
        <f>HYPERLINK("https://baanknet.com/view-property/174480/F9FBC2C1521C9128E10791C0FD322742A0AB797377C0464C24ED4EA1ECD7F172", "https://baanknet.com/view-property/174480/F9FBC2C1521C9128E10791C0FD322742A0AB797377C0464C24ED4EA1ECD7F172")</f>
        <v>https://baanknet.com/view-property/174480/F9FBC2C1521C9128E10791C0FD322742A0AB797377C0464C24ED4EA1ECD7F172</v>
      </c>
      <c r="I7036" t="str">
        <f>HYPERLINK("https://baanknet.com/view-property/174480/F9FBC2C1521C9128E10791C0FD322742A0AB797377C0464C24ED4EA1ECD7F172", "Open")</f>
        <v>Open</v>
      </c>
      <c r="J7036" t="s">
        <v>3803</v>
      </c>
      <c r="L7036">
        <v>3820000</v>
      </c>
      <c r="M7036">
        <v>382000</v>
      </c>
    </row>
    <row r="7037" spans="1:13" x14ac:dyDescent="0.25">
      <c r="A7037" t="s">
        <v>23211</v>
      </c>
      <c r="B7037" t="s">
        <v>23212</v>
      </c>
      <c r="C7037" t="s">
        <v>121</v>
      </c>
      <c r="D7037" t="s">
        <v>157</v>
      </c>
      <c r="E7037" t="s">
        <v>18823</v>
      </c>
      <c r="F7037" t="s">
        <v>18680</v>
      </c>
      <c r="G7037" t="s">
        <v>23213</v>
      </c>
      <c r="H7037" t="str">
        <f>HYPERLINK("https://baanknet.com/view-property/174464/A2BE7E4944E276BDB1937EE3A709C5466EC7611C173C8635E19C3FADDF602DEF", "https://baanknet.com/view-property/174464/A2BE7E4944E276BDB1937EE3A709C5466EC7611C173C8635E19C3FADDF602DEF")</f>
        <v>https://baanknet.com/view-property/174464/A2BE7E4944E276BDB1937EE3A709C5466EC7611C173C8635E19C3FADDF602DEF</v>
      </c>
      <c r="I7037" t="str">
        <f>HYPERLINK("https://baanknet.com/view-property/174464/A2BE7E4944E276BDB1937EE3A709C5466EC7611C173C8635E19C3FADDF602DEF", "Open")</f>
        <v>Open</v>
      </c>
      <c r="J7037" t="s">
        <v>3803</v>
      </c>
      <c r="L7037">
        <v>3580000</v>
      </c>
      <c r="M7037">
        <v>358000</v>
      </c>
    </row>
    <row r="7038" spans="1:13" x14ac:dyDescent="0.25">
      <c r="A7038" t="s">
        <v>23214</v>
      </c>
      <c r="B7038" t="s">
        <v>23215</v>
      </c>
      <c r="C7038" t="s">
        <v>121</v>
      </c>
      <c r="D7038" t="s">
        <v>2124</v>
      </c>
      <c r="E7038" t="s">
        <v>18823</v>
      </c>
      <c r="F7038" t="s">
        <v>18680</v>
      </c>
      <c r="G7038" t="s">
        <v>23216</v>
      </c>
      <c r="H7038" t="str">
        <f>HYPERLINK("https://baanknet.com/view-property/180757/D144AA6BAA8D7DBE022C9188E0C166F094FF6E070CA5138F7C5E4768E731D54C", "https://baanknet.com/view-property/180757/D144AA6BAA8D7DBE022C9188E0C166F094FF6E070CA5138F7C5E4768E731D54C")</f>
        <v>https://baanknet.com/view-property/180757/D144AA6BAA8D7DBE022C9188E0C166F094FF6E070CA5138F7C5E4768E731D54C</v>
      </c>
      <c r="I7038" t="str">
        <f>HYPERLINK("https://baanknet.com/view-property/180757/D144AA6BAA8D7DBE022C9188E0C166F094FF6E070CA5138F7C5E4768E731D54C", "Open")</f>
        <v>Open</v>
      </c>
      <c r="J7038" t="s">
        <v>3803</v>
      </c>
      <c r="L7038">
        <v>1010000</v>
      </c>
      <c r="M7038">
        <v>101000</v>
      </c>
    </row>
    <row r="7039" spans="1:13" x14ac:dyDescent="0.25">
      <c r="A7039" t="s">
        <v>23217</v>
      </c>
      <c r="B7039" t="s">
        <v>23218</v>
      </c>
      <c r="C7039" t="s">
        <v>121</v>
      </c>
      <c r="D7039" t="s">
        <v>2124</v>
      </c>
      <c r="E7039" t="s">
        <v>18823</v>
      </c>
      <c r="F7039" t="s">
        <v>18680</v>
      </c>
      <c r="G7039" t="s">
        <v>23219</v>
      </c>
      <c r="H7039" t="str">
        <f>HYPERLINK("https://baanknet.com/view-property/180758/A602A127382BEA9F9E9CFC04CA598FB2DA60C6D1F9ED6C04104C86E8CE5A75B4", "https://baanknet.com/view-property/180758/A602A127382BEA9F9E9CFC04CA598FB2DA60C6D1F9ED6C04104C86E8CE5A75B4")</f>
        <v>https://baanknet.com/view-property/180758/A602A127382BEA9F9E9CFC04CA598FB2DA60C6D1F9ED6C04104C86E8CE5A75B4</v>
      </c>
      <c r="I7039" t="str">
        <f>HYPERLINK("https://baanknet.com/view-property/180758/A602A127382BEA9F9E9CFC04CA598FB2DA60C6D1F9ED6C04104C86E8CE5A75B4", "Open")</f>
        <v>Open</v>
      </c>
      <c r="J7039" t="s">
        <v>3803</v>
      </c>
      <c r="L7039">
        <v>700000</v>
      </c>
      <c r="M7039">
        <v>70000</v>
      </c>
    </row>
    <row r="7040" spans="1:13" x14ac:dyDescent="0.25">
      <c r="A7040" t="s">
        <v>23220</v>
      </c>
      <c r="B7040" t="s">
        <v>23221</v>
      </c>
      <c r="C7040" t="s">
        <v>121</v>
      </c>
      <c r="D7040" t="s">
        <v>2124</v>
      </c>
      <c r="E7040" t="s">
        <v>18823</v>
      </c>
      <c r="F7040" t="s">
        <v>18680</v>
      </c>
      <c r="G7040" t="s">
        <v>23222</v>
      </c>
      <c r="H7040" t="str">
        <f>HYPERLINK("https://baanknet.com/view-property/180759/6827D41FC48E5CF5DF3D3A81B6E1038456F2538F47D2F3F3FE8CB90FDF776483", "https://baanknet.com/view-property/180759/6827D41FC48E5CF5DF3D3A81B6E1038456F2538F47D2F3F3FE8CB90FDF776483")</f>
        <v>https://baanknet.com/view-property/180759/6827D41FC48E5CF5DF3D3A81B6E1038456F2538F47D2F3F3FE8CB90FDF776483</v>
      </c>
      <c r="I7040" t="str">
        <f>HYPERLINK("https://baanknet.com/view-property/180759/6827D41FC48E5CF5DF3D3A81B6E1038456F2538F47D2F3F3FE8CB90FDF776483", "Open")</f>
        <v>Open</v>
      </c>
      <c r="J7040" t="s">
        <v>3803</v>
      </c>
      <c r="L7040">
        <v>750000</v>
      </c>
      <c r="M7040">
        <v>75000</v>
      </c>
    </row>
    <row r="7041" spans="1:13" x14ac:dyDescent="0.25">
      <c r="A7041" t="s">
        <v>23223</v>
      </c>
      <c r="B7041" t="s">
        <v>23224</v>
      </c>
      <c r="C7041" t="s">
        <v>121</v>
      </c>
      <c r="D7041" t="s">
        <v>157</v>
      </c>
      <c r="E7041" t="s">
        <v>18823</v>
      </c>
      <c r="F7041" t="s">
        <v>18680</v>
      </c>
      <c r="G7041" t="s">
        <v>23225</v>
      </c>
      <c r="H7041" t="str">
        <f>HYPERLINK("https://baanknet.com/view-property/174476/A9C0B823B75328F2C241F438FF44A50908E7E0F7B64477F8C01F041046702706", "https://baanknet.com/view-property/174476/A9C0B823B75328F2C241F438FF44A50908E7E0F7B64477F8C01F041046702706")</f>
        <v>https://baanknet.com/view-property/174476/A9C0B823B75328F2C241F438FF44A50908E7E0F7B64477F8C01F041046702706</v>
      </c>
      <c r="I7041" t="str">
        <f>HYPERLINK("https://baanknet.com/view-property/174476/A9C0B823B75328F2C241F438FF44A50908E7E0F7B64477F8C01F041046702706", "Open")</f>
        <v>Open</v>
      </c>
      <c r="J7041" t="s">
        <v>3803</v>
      </c>
      <c r="L7041">
        <v>6099000</v>
      </c>
      <c r="M7041">
        <v>609900</v>
      </c>
    </row>
    <row r="7042" spans="1:13" x14ac:dyDescent="0.25">
      <c r="A7042" t="s">
        <v>23226</v>
      </c>
      <c r="B7042" t="s">
        <v>23227</v>
      </c>
      <c r="C7042" t="s">
        <v>121</v>
      </c>
      <c r="D7042" t="s">
        <v>157</v>
      </c>
      <c r="E7042" t="s">
        <v>18823</v>
      </c>
      <c r="F7042" t="s">
        <v>18680</v>
      </c>
      <c r="G7042" t="s">
        <v>23228</v>
      </c>
      <c r="H7042" t="str">
        <f>HYPERLINK("https://baanknet.com/view-property/174481/DF9AEAD06D78463ABD67861ADC48AE7FBD0B4B663F438056800887F5C141FCA6", "https://baanknet.com/view-property/174481/DF9AEAD06D78463ABD67861ADC48AE7FBD0B4B663F438056800887F5C141FCA6")</f>
        <v>https://baanknet.com/view-property/174481/DF9AEAD06D78463ABD67861ADC48AE7FBD0B4B663F438056800887F5C141FCA6</v>
      </c>
      <c r="I7042" t="str">
        <f>HYPERLINK("https://baanknet.com/view-property/174481/DF9AEAD06D78463ABD67861ADC48AE7FBD0B4B663F438056800887F5C141FCA6", "Open")</f>
        <v>Open</v>
      </c>
      <c r="J7042" t="s">
        <v>3803</v>
      </c>
      <c r="L7042">
        <v>2360000</v>
      </c>
      <c r="M7042">
        <v>236000</v>
      </c>
    </row>
    <row r="7043" spans="1:13" x14ac:dyDescent="0.25">
      <c r="A7043" t="s">
        <v>23229</v>
      </c>
      <c r="B7043" t="s">
        <v>23230</v>
      </c>
      <c r="C7043" t="s">
        <v>121</v>
      </c>
      <c r="D7043" t="s">
        <v>6711</v>
      </c>
      <c r="E7043" t="s">
        <v>18823</v>
      </c>
      <c r="F7043" t="s">
        <v>18680</v>
      </c>
      <c r="G7043" t="s">
        <v>23231</v>
      </c>
      <c r="H7043" t="str">
        <f>HYPERLINK("https://baanknet.com/view-property/174533/A039780A65E33C796BEEEB274E2233C92479DC4FE176B6EF1021D529C62001B8", "https://baanknet.com/view-property/174533/A039780A65E33C796BEEEB274E2233C92479DC4FE176B6EF1021D529C62001B8")</f>
        <v>https://baanknet.com/view-property/174533/A039780A65E33C796BEEEB274E2233C92479DC4FE176B6EF1021D529C62001B8</v>
      </c>
      <c r="I7043" t="str">
        <f>HYPERLINK("https://baanknet.com/view-property/174533/A039780A65E33C796BEEEB274E2233C92479DC4FE176B6EF1021D529C62001B8", "Open")</f>
        <v>Open</v>
      </c>
      <c r="J7043" t="s">
        <v>3803</v>
      </c>
      <c r="L7043">
        <v>1827000</v>
      </c>
      <c r="M7043">
        <v>182700</v>
      </c>
    </row>
    <row r="7044" spans="1:13" x14ac:dyDescent="0.25">
      <c r="A7044" t="s">
        <v>23232</v>
      </c>
      <c r="B7044" t="s">
        <v>23233</v>
      </c>
      <c r="C7044" t="s">
        <v>121</v>
      </c>
      <c r="D7044" t="s">
        <v>1692</v>
      </c>
      <c r="E7044" t="s">
        <v>18823</v>
      </c>
      <c r="F7044" t="s">
        <v>18680</v>
      </c>
      <c r="G7044" t="s">
        <v>23234</v>
      </c>
      <c r="H7044" t="str">
        <f>HYPERLINK("https://baanknet.com/view-property/174532/A4F7239582BAAEE47C8AE6AA3A93E44BA4495D875BC8F1AFCD2D6F3D6E73445C", "https://baanknet.com/view-property/174532/A4F7239582BAAEE47C8AE6AA3A93E44BA4495D875BC8F1AFCD2D6F3D6E73445C")</f>
        <v>https://baanknet.com/view-property/174532/A4F7239582BAAEE47C8AE6AA3A93E44BA4495D875BC8F1AFCD2D6F3D6E73445C</v>
      </c>
      <c r="I7044" t="str">
        <f>HYPERLINK("https://baanknet.com/view-property/174532/A4F7239582BAAEE47C8AE6AA3A93E44BA4495D875BC8F1AFCD2D6F3D6E73445C", "Open")</f>
        <v>Open</v>
      </c>
      <c r="J7044" t="s">
        <v>3803</v>
      </c>
      <c r="L7044">
        <v>3004000</v>
      </c>
      <c r="M7044">
        <v>300400</v>
      </c>
    </row>
    <row r="7045" spans="1:13" x14ac:dyDescent="0.25">
      <c r="A7045" t="s">
        <v>23235</v>
      </c>
      <c r="B7045" t="s">
        <v>23236</v>
      </c>
      <c r="C7045" t="s">
        <v>121</v>
      </c>
      <c r="D7045" t="s">
        <v>23237</v>
      </c>
      <c r="E7045" t="s">
        <v>18823</v>
      </c>
      <c r="F7045" t="s">
        <v>18680</v>
      </c>
      <c r="G7045" t="s">
        <v>23238</v>
      </c>
      <c r="H7045" t="str">
        <f>HYPERLINK("https://baanknet.com/view-property/269192/356FD8D8E0C76C3D4EB59584CC5D427DF7E27F379B4D168B059A34934A51176B", "https://baanknet.com/view-property/269192/356FD8D8E0C76C3D4EB59584CC5D427DF7E27F379B4D168B059A34934A51176B")</f>
        <v>https://baanknet.com/view-property/269192/356FD8D8E0C76C3D4EB59584CC5D427DF7E27F379B4D168B059A34934A51176B</v>
      </c>
      <c r="I7045" t="str">
        <f>HYPERLINK("https://baanknet.com/view-property/269192/356FD8D8E0C76C3D4EB59584CC5D427DF7E27F379B4D168B059A34934A51176B", "Open")</f>
        <v>Open</v>
      </c>
      <c r="J7045" t="s">
        <v>3803</v>
      </c>
      <c r="L7045">
        <v>2780000</v>
      </c>
      <c r="M7045">
        <v>278000</v>
      </c>
    </row>
    <row r="7046" spans="1:13" x14ac:dyDescent="0.25">
      <c r="A7046" t="s">
        <v>23239</v>
      </c>
      <c r="B7046" t="s">
        <v>23240</v>
      </c>
      <c r="C7046" t="s">
        <v>121</v>
      </c>
      <c r="D7046" t="s">
        <v>282</v>
      </c>
      <c r="E7046" t="s">
        <v>18823</v>
      </c>
      <c r="F7046" t="s">
        <v>18680</v>
      </c>
      <c r="G7046" t="s">
        <v>23241</v>
      </c>
      <c r="H7046" t="str">
        <f>HYPERLINK("https://baanknet.com/view-property/258035/20E8FA065A9412DABE24E4D4386658C546E9FE94BB41572698478C1C957A3716", "https://baanknet.com/view-property/258035/20E8FA065A9412DABE24E4D4386658C546E9FE94BB41572698478C1C957A3716")</f>
        <v>https://baanknet.com/view-property/258035/20E8FA065A9412DABE24E4D4386658C546E9FE94BB41572698478C1C957A3716</v>
      </c>
      <c r="I7046" t="str">
        <f>HYPERLINK("https://baanknet.com/view-property/258035/20E8FA065A9412DABE24E4D4386658C546E9FE94BB41572698478C1C957A3716", "Open")</f>
        <v>Open</v>
      </c>
      <c r="J7046" t="s">
        <v>3803</v>
      </c>
      <c r="L7046">
        <v>2050000</v>
      </c>
      <c r="M7046">
        <v>205000</v>
      </c>
    </row>
    <row r="7047" spans="1:13" x14ac:dyDescent="0.25">
      <c r="A7047" t="s">
        <v>23242</v>
      </c>
      <c r="B7047" t="s">
        <v>23243</v>
      </c>
      <c r="C7047" t="s">
        <v>121</v>
      </c>
      <c r="D7047" t="s">
        <v>157</v>
      </c>
      <c r="E7047" t="s">
        <v>18823</v>
      </c>
      <c r="F7047" t="s">
        <v>18680</v>
      </c>
      <c r="G7047" t="s">
        <v>23244</v>
      </c>
      <c r="H7047" t="str">
        <f>HYPERLINK("https://baanknet.com/view-property/174478/6C62AC09968F9276DD30C0808908366B2BD8D04774AB0A8D2512C665AB4B0A2B", "https://baanknet.com/view-property/174478/6C62AC09968F9276DD30C0808908366B2BD8D04774AB0A8D2512C665AB4B0A2B")</f>
        <v>https://baanknet.com/view-property/174478/6C62AC09968F9276DD30C0808908366B2BD8D04774AB0A8D2512C665AB4B0A2B</v>
      </c>
      <c r="I7047" t="str">
        <f>HYPERLINK("https://baanknet.com/view-property/174478/6C62AC09968F9276DD30C0808908366B2BD8D04774AB0A8D2512C665AB4B0A2B", "Open")</f>
        <v>Open</v>
      </c>
      <c r="J7047" t="s">
        <v>3803</v>
      </c>
      <c r="L7047">
        <v>2931000</v>
      </c>
      <c r="M7047">
        <v>293100</v>
      </c>
    </row>
    <row r="7048" spans="1:13" x14ac:dyDescent="0.25">
      <c r="A7048" t="s">
        <v>23245</v>
      </c>
      <c r="B7048" t="s">
        <v>23246</v>
      </c>
      <c r="C7048" t="s">
        <v>121</v>
      </c>
      <c r="D7048" t="s">
        <v>23247</v>
      </c>
      <c r="E7048" t="s">
        <v>18823</v>
      </c>
      <c r="F7048" t="s">
        <v>18680</v>
      </c>
      <c r="G7048" t="s">
        <v>23248</v>
      </c>
      <c r="H7048" t="str">
        <f>HYPERLINK("https://baanknet.com/view-property/230743/FED9CAFC05FBEE477CACBD1CE0E1AE7DA90D04B722CB977AE66F3A058A6AC4C5", "https://baanknet.com/view-property/230743/FED9CAFC05FBEE477CACBD1CE0E1AE7DA90D04B722CB977AE66F3A058A6AC4C5")</f>
        <v>https://baanknet.com/view-property/230743/FED9CAFC05FBEE477CACBD1CE0E1AE7DA90D04B722CB977AE66F3A058A6AC4C5</v>
      </c>
      <c r="I7048" t="str">
        <f>HYPERLINK("https://baanknet.com/view-property/230743/FED9CAFC05FBEE477CACBD1CE0E1AE7DA90D04B722CB977AE66F3A058A6AC4C5", "Open")</f>
        <v>Open</v>
      </c>
      <c r="J7048" t="s">
        <v>3803</v>
      </c>
      <c r="L7048">
        <v>11111000</v>
      </c>
      <c r="M7048">
        <v>1112000</v>
      </c>
    </row>
    <row r="7049" spans="1:13" x14ac:dyDescent="0.25">
      <c r="A7049" t="s">
        <v>23249</v>
      </c>
      <c r="B7049" t="s">
        <v>23250</v>
      </c>
      <c r="C7049" t="s">
        <v>121</v>
      </c>
      <c r="D7049" t="s">
        <v>23251</v>
      </c>
      <c r="E7049" t="s">
        <v>18823</v>
      </c>
      <c r="F7049" t="s">
        <v>18680</v>
      </c>
      <c r="G7049" t="s">
        <v>23252</v>
      </c>
      <c r="H7049" t="str">
        <f>HYPERLINK("https://baanknet.com/view-property/268249/47E2D7239100A251C7E3A8F5FE322C9E329885ECE5FBB1B1306EAA4306297B05", "https://baanknet.com/view-property/268249/47E2D7239100A251C7E3A8F5FE322C9E329885ECE5FBB1B1306EAA4306297B05")</f>
        <v>https://baanknet.com/view-property/268249/47E2D7239100A251C7E3A8F5FE322C9E329885ECE5FBB1B1306EAA4306297B05</v>
      </c>
      <c r="I7049" t="str">
        <f>HYPERLINK("https://baanknet.com/view-property/268249/47E2D7239100A251C7E3A8F5FE322C9E329885ECE5FBB1B1306EAA4306297B05", "Open")</f>
        <v>Open</v>
      </c>
      <c r="J7049" t="s">
        <v>3803</v>
      </c>
      <c r="L7049">
        <v>3093000</v>
      </c>
      <c r="M7049">
        <v>309300</v>
      </c>
    </row>
    <row r="7050" spans="1:13" x14ac:dyDescent="0.25">
      <c r="A7050" t="s">
        <v>23253</v>
      </c>
      <c r="B7050" t="s">
        <v>23254</v>
      </c>
      <c r="C7050" t="s">
        <v>121</v>
      </c>
      <c r="D7050" t="s">
        <v>23255</v>
      </c>
      <c r="E7050" t="s">
        <v>18823</v>
      </c>
      <c r="F7050" t="s">
        <v>18680</v>
      </c>
      <c r="G7050" t="s">
        <v>23256</v>
      </c>
      <c r="H7050" t="str">
        <f>HYPERLINK("https://baanknet.com/view-property/181784/92B1AB3062460ECDA7C26D4D832C73EFB10B48F550515AFB715BD3C74C6AF5EB", "https://baanknet.com/view-property/181784/92B1AB3062460ECDA7C26D4D832C73EFB10B48F550515AFB715BD3C74C6AF5EB")</f>
        <v>https://baanknet.com/view-property/181784/92B1AB3062460ECDA7C26D4D832C73EFB10B48F550515AFB715BD3C74C6AF5EB</v>
      </c>
      <c r="I7050" t="str">
        <f>HYPERLINK("https://baanknet.com/view-property/181784/92B1AB3062460ECDA7C26D4D832C73EFB10B48F550515AFB715BD3C74C6AF5EB", "Open")</f>
        <v>Open</v>
      </c>
      <c r="J7050" t="s">
        <v>3803</v>
      </c>
      <c r="L7050">
        <v>2200000</v>
      </c>
      <c r="M7050">
        <v>220000</v>
      </c>
    </row>
    <row r="7051" spans="1:13" x14ac:dyDescent="0.25">
      <c r="A7051" t="s">
        <v>23257</v>
      </c>
      <c r="B7051" t="s">
        <v>23258</v>
      </c>
      <c r="C7051" t="s">
        <v>121</v>
      </c>
      <c r="D7051" t="s">
        <v>23259</v>
      </c>
      <c r="E7051" t="s">
        <v>18823</v>
      </c>
      <c r="F7051" t="s">
        <v>18680</v>
      </c>
      <c r="G7051" t="s">
        <v>23260</v>
      </c>
      <c r="H7051" t="str">
        <f>HYPERLINK("https://baanknet.com/view-property/264526/19CD2FD97895930480DEF196C885FB6BD7B8FF2CA1C1F1536D7FCA49E27E8ED8", "https://baanknet.com/view-property/264526/19CD2FD97895930480DEF196C885FB6BD7B8FF2CA1C1F1536D7FCA49E27E8ED8")</f>
        <v>https://baanknet.com/view-property/264526/19CD2FD97895930480DEF196C885FB6BD7B8FF2CA1C1F1536D7FCA49E27E8ED8</v>
      </c>
      <c r="I7051" t="str">
        <f>HYPERLINK("https://baanknet.com/view-property/264526/19CD2FD97895930480DEF196C885FB6BD7B8FF2CA1C1F1536D7FCA49E27E8ED8", "Open")</f>
        <v>Open</v>
      </c>
      <c r="J7051" t="s">
        <v>3803</v>
      </c>
      <c r="L7051">
        <v>4100000</v>
      </c>
      <c r="M7051">
        <v>410000</v>
      </c>
    </row>
    <row r="7052" spans="1:13" x14ac:dyDescent="0.25">
      <c r="A7052" t="s">
        <v>23261</v>
      </c>
      <c r="B7052" t="s">
        <v>23262</v>
      </c>
      <c r="C7052" t="s">
        <v>571</v>
      </c>
      <c r="D7052" t="s">
        <v>3460</v>
      </c>
      <c r="E7052" t="s">
        <v>19394</v>
      </c>
      <c r="F7052" t="s">
        <v>19395</v>
      </c>
      <c r="G7052" t="s">
        <v>23263</v>
      </c>
      <c r="H7052" t="str">
        <f>HYPERLINK("https://baanknet.com/view-property/215506/4CDD8EA270D02C05C6540D4AF90AA9CD6710E5889DAA95B6335F6E085C4889B4", "https://baanknet.com/view-property/215506/4CDD8EA270D02C05C6540D4AF90AA9CD6710E5889DAA95B6335F6E085C4889B4")</f>
        <v>https://baanknet.com/view-property/215506/4CDD8EA270D02C05C6540D4AF90AA9CD6710E5889DAA95B6335F6E085C4889B4</v>
      </c>
      <c r="I7052" t="str">
        <f>HYPERLINK("https://baanknet.com/view-property/215506/4CDD8EA270D02C05C6540D4AF90AA9CD6710E5889DAA95B6335F6E085C4889B4", "Open")</f>
        <v>Open</v>
      </c>
      <c r="J7052" t="s">
        <v>3803</v>
      </c>
      <c r="L7052">
        <v>1605000</v>
      </c>
      <c r="M7052">
        <v>160500</v>
      </c>
    </row>
    <row r="7053" spans="1:13" x14ac:dyDescent="0.25">
      <c r="A7053" t="s">
        <v>23264</v>
      </c>
      <c r="B7053" t="s">
        <v>23265</v>
      </c>
      <c r="C7053" t="s">
        <v>571</v>
      </c>
      <c r="D7053" t="s">
        <v>3460</v>
      </c>
      <c r="E7053" t="s">
        <v>19394</v>
      </c>
      <c r="F7053" t="s">
        <v>19395</v>
      </c>
      <c r="G7053" t="s">
        <v>23266</v>
      </c>
      <c r="H7053" t="str">
        <f>HYPERLINK("https://baanknet.com/view-property/161532/F8FD55C81F32AC0ED1E05922C45DE711B6F5F19619F3A0DE6A5E93B97C27B333", "https://baanknet.com/view-property/161532/F8FD55C81F32AC0ED1E05922C45DE711B6F5F19619F3A0DE6A5E93B97C27B333")</f>
        <v>https://baanknet.com/view-property/161532/F8FD55C81F32AC0ED1E05922C45DE711B6F5F19619F3A0DE6A5E93B97C27B333</v>
      </c>
      <c r="I7053" t="str">
        <f>HYPERLINK("https://baanknet.com/view-property/161532/F8FD55C81F32AC0ED1E05922C45DE711B6F5F19619F3A0DE6A5E93B97C27B333", "Open")</f>
        <v>Open</v>
      </c>
      <c r="J7053" t="s">
        <v>3803</v>
      </c>
      <c r="L7053">
        <v>1495000</v>
      </c>
      <c r="M7053">
        <v>149500</v>
      </c>
    </row>
    <row r="7054" spans="1:13" x14ac:dyDescent="0.25">
      <c r="A7054" t="s">
        <v>23267</v>
      </c>
      <c r="B7054" t="s">
        <v>23268</v>
      </c>
      <c r="C7054" t="s">
        <v>571</v>
      </c>
      <c r="D7054" t="s">
        <v>3460</v>
      </c>
      <c r="E7054" t="s">
        <v>19394</v>
      </c>
      <c r="F7054" t="s">
        <v>19395</v>
      </c>
      <c r="G7054" t="s">
        <v>23269</v>
      </c>
      <c r="H7054" t="str">
        <f>HYPERLINK("https://baanknet.com/view-property/155190/41C302FCFD1C9FF2B3D6B097C3CD96EE4BD63508F6D056E3246E7806A2A0405F", "https://baanknet.com/view-property/155190/41C302FCFD1C9FF2B3D6B097C3CD96EE4BD63508F6D056E3246E7806A2A0405F")</f>
        <v>https://baanknet.com/view-property/155190/41C302FCFD1C9FF2B3D6B097C3CD96EE4BD63508F6D056E3246E7806A2A0405F</v>
      </c>
      <c r="I7054" t="str">
        <f>HYPERLINK("https://baanknet.com/view-property/155190/41C302FCFD1C9FF2B3D6B097C3CD96EE4BD63508F6D056E3246E7806A2A0405F", "Open")</f>
        <v>Open</v>
      </c>
      <c r="J7054" t="s">
        <v>3803</v>
      </c>
      <c r="L7054">
        <v>1467000</v>
      </c>
      <c r="M7054">
        <v>146700</v>
      </c>
    </row>
    <row r="7055" spans="1:13" x14ac:dyDescent="0.25">
      <c r="A7055" t="s">
        <v>23270</v>
      </c>
      <c r="B7055" t="s">
        <v>23271</v>
      </c>
      <c r="C7055" t="s">
        <v>571</v>
      </c>
      <c r="D7055" t="s">
        <v>3460</v>
      </c>
      <c r="E7055" t="s">
        <v>19394</v>
      </c>
      <c r="F7055" t="s">
        <v>19395</v>
      </c>
      <c r="G7055" t="s">
        <v>23272</v>
      </c>
      <c r="H7055" t="str">
        <f>HYPERLINK("https://baanknet.com/view-property/169176/9A0EB72B5F099FF074722C7965AFB42A384791998E77795A9B31CADE1318A621", "https://baanknet.com/view-property/169176/9A0EB72B5F099FF074722C7965AFB42A384791998E77795A9B31CADE1318A621")</f>
        <v>https://baanknet.com/view-property/169176/9A0EB72B5F099FF074722C7965AFB42A384791998E77795A9B31CADE1318A621</v>
      </c>
      <c r="I7055" t="str">
        <f>HYPERLINK("https://baanknet.com/view-property/169176/9A0EB72B5F099FF074722C7965AFB42A384791998E77795A9B31CADE1318A621", "Open")</f>
        <v>Open</v>
      </c>
      <c r="J7055" t="s">
        <v>3803</v>
      </c>
      <c r="L7055">
        <v>1343000</v>
      </c>
      <c r="M7055">
        <v>134300</v>
      </c>
    </row>
    <row r="7056" spans="1:13" x14ac:dyDescent="0.25">
      <c r="A7056" t="s">
        <v>23273</v>
      </c>
      <c r="B7056" t="s">
        <v>23274</v>
      </c>
      <c r="C7056" t="s">
        <v>571</v>
      </c>
      <c r="D7056" t="s">
        <v>3460</v>
      </c>
      <c r="E7056" t="s">
        <v>19394</v>
      </c>
      <c r="F7056" t="s">
        <v>19395</v>
      </c>
      <c r="G7056" t="s">
        <v>23275</v>
      </c>
      <c r="H7056" t="str">
        <f>HYPERLINK("https://baanknet.com/view-property/154476/39871BF49B3B4EE03F51C7CAA82EDB2DE1CE90B89591CAF55A0B4E789B80412B", "https://baanknet.com/view-property/154476/39871BF49B3B4EE03F51C7CAA82EDB2DE1CE90B89591CAF55A0B4E789B80412B")</f>
        <v>https://baanknet.com/view-property/154476/39871BF49B3B4EE03F51C7CAA82EDB2DE1CE90B89591CAF55A0B4E789B80412B</v>
      </c>
      <c r="I7056" t="str">
        <f>HYPERLINK("https://baanknet.com/view-property/154476/39871BF49B3B4EE03F51C7CAA82EDB2DE1CE90B89591CAF55A0B4E789B80412B", "Open")</f>
        <v>Open</v>
      </c>
      <c r="J7056" t="s">
        <v>3803</v>
      </c>
      <c r="L7056">
        <v>863000</v>
      </c>
      <c r="M7056">
        <v>86300</v>
      </c>
    </row>
    <row r="7057" spans="1:13" x14ac:dyDescent="0.25">
      <c r="A7057" t="s">
        <v>23276</v>
      </c>
      <c r="B7057" t="s">
        <v>23277</v>
      </c>
      <c r="C7057" t="s">
        <v>571</v>
      </c>
      <c r="D7057" t="s">
        <v>3460</v>
      </c>
      <c r="E7057" t="s">
        <v>19394</v>
      </c>
      <c r="F7057" t="s">
        <v>19395</v>
      </c>
      <c r="G7057" t="s">
        <v>23278</v>
      </c>
      <c r="H7057" t="str">
        <f>HYPERLINK("https://baanknet.com/view-property/255025/C6CDBF4525501351257A7CA8C37E3CD5F8885164D2475228278DB6FD91DBA8F2", "https://baanknet.com/view-property/255025/C6CDBF4525501351257A7CA8C37E3CD5F8885164D2475228278DB6FD91DBA8F2")</f>
        <v>https://baanknet.com/view-property/255025/C6CDBF4525501351257A7CA8C37E3CD5F8885164D2475228278DB6FD91DBA8F2</v>
      </c>
      <c r="I7057" t="str">
        <f>HYPERLINK("https://baanknet.com/view-property/255025/C6CDBF4525501351257A7CA8C37E3CD5F8885164D2475228278DB6FD91DBA8F2", "Open")</f>
        <v>Open</v>
      </c>
      <c r="J7057" t="s">
        <v>3803</v>
      </c>
      <c r="L7057">
        <v>864000</v>
      </c>
      <c r="M7057">
        <v>86400</v>
      </c>
    </row>
    <row r="7058" spans="1:13" x14ac:dyDescent="0.25">
      <c r="A7058" t="s">
        <v>23279</v>
      </c>
      <c r="B7058" t="s">
        <v>23280</v>
      </c>
      <c r="C7058" t="s">
        <v>571</v>
      </c>
      <c r="D7058" t="s">
        <v>4395</v>
      </c>
      <c r="E7058" t="s">
        <v>19394</v>
      </c>
      <c r="F7058" t="s">
        <v>19408</v>
      </c>
      <c r="G7058" t="s">
        <v>23281</v>
      </c>
      <c r="H7058" t="str">
        <f>HYPERLINK("https://baanknet.com/view-property/185433/071EDAC7485C050663949FFBCE3ACB02591CAF9B9B4EB5B026AC107AA514F75B", "https://baanknet.com/view-property/185433/071EDAC7485C050663949FFBCE3ACB02591CAF9B9B4EB5B026AC107AA514F75B")</f>
        <v>https://baanknet.com/view-property/185433/071EDAC7485C050663949FFBCE3ACB02591CAF9B9B4EB5B026AC107AA514F75B</v>
      </c>
      <c r="I7058" t="str">
        <f>HYPERLINK("https://baanknet.com/view-property/185433/071EDAC7485C050663949FFBCE3ACB02591CAF9B9B4EB5B026AC107AA514F75B", "Open")</f>
        <v>Open</v>
      </c>
      <c r="J7058" t="s">
        <v>3803</v>
      </c>
      <c r="L7058">
        <v>425000</v>
      </c>
      <c r="M7058">
        <v>42500</v>
      </c>
    </row>
    <row r="7059" spans="1:13" x14ac:dyDescent="0.25">
      <c r="A7059" t="s">
        <v>23282</v>
      </c>
      <c r="B7059" t="s">
        <v>23283</v>
      </c>
      <c r="C7059" t="s">
        <v>589</v>
      </c>
      <c r="D7059" t="s">
        <v>19733</v>
      </c>
      <c r="E7059" t="s">
        <v>19543</v>
      </c>
      <c r="F7059" t="s">
        <v>19553</v>
      </c>
      <c r="G7059" t="s">
        <v>23284</v>
      </c>
      <c r="H7059" t="str">
        <f>HYPERLINK("https://baanknet.com/view-property/287999/0E2CF52C8A6F1E55296B0283B65CED2D5978E7E5A29C3C7B66FFD3106ACCB6AA", "https://baanknet.com/view-property/287999/0E2CF52C8A6F1E55296B0283B65CED2D5978E7E5A29C3C7B66FFD3106ACCB6AA")</f>
        <v>https://baanknet.com/view-property/287999/0E2CF52C8A6F1E55296B0283B65CED2D5978E7E5A29C3C7B66FFD3106ACCB6AA</v>
      </c>
      <c r="I7059" t="str">
        <f>HYPERLINK("https://baanknet.com/view-property/287999/0E2CF52C8A6F1E55296B0283B65CED2D5978E7E5A29C3C7B66FFD3106ACCB6AA", "Open")</f>
        <v>Open</v>
      </c>
      <c r="J7059" t="s">
        <v>3803</v>
      </c>
      <c r="L7059">
        <v>1995000</v>
      </c>
      <c r="M7059">
        <v>199500</v>
      </c>
    </row>
    <row r="7060" spans="1:13" x14ac:dyDescent="0.25">
      <c r="A7060" t="s">
        <v>23285</v>
      </c>
      <c r="B7060" t="s">
        <v>23286</v>
      </c>
      <c r="C7060" t="s">
        <v>589</v>
      </c>
      <c r="D7060" t="s">
        <v>937</v>
      </c>
      <c r="E7060" t="s">
        <v>19543</v>
      </c>
      <c r="F7060" t="s">
        <v>19553</v>
      </c>
      <c r="G7060" t="s">
        <v>23287</v>
      </c>
      <c r="H7060" t="str">
        <f>HYPERLINK("https://baanknet.com/view-property/228139/2B1555156C7CC46DBD79B3602DBD42BFFF4526B72E70617B20015AC2A425F50C", "https://baanknet.com/view-property/228139/2B1555156C7CC46DBD79B3602DBD42BFFF4526B72E70617B20015AC2A425F50C")</f>
        <v>https://baanknet.com/view-property/228139/2B1555156C7CC46DBD79B3602DBD42BFFF4526B72E70617B20015AC2A425F50C</v>
      </c>
      <c r="I7060" t="str">
        <f>HYPERLINK("https://baanknet.com/view-property/228139/2B1555156C7CC46DBD79B3602DBD42BFFF4526B72E70617B20015AC2A425F50C", "Open")</f>
        <v>Open</v>
      </c>
      <c r="J7060" t="s">
        <v>3803</v>
      </c>
      <c r="L7060">
        <v>1360000</v>
      </c>
      <c r="M7060">
        <v>136000</v>
      </c>
    </row>
    <row r="7061" spans="1:13" x14ac:dyDescent="0.25">
      <c r="A7061" t="s">
        <v>23288</v>
      </c>
      <c r="B7061" t="s">
        <v>23289</v>
      </c>
      <c r="C7061" t="s">
        <v>589</v>
      </c>
      <c r="D7061" t="s">
        <v>5229</v>
      </c>
      <c r="E7061" t="s">
        <v>19543</v>
      </c>
      <c r="F7061" t="s">
        <v>19553</v>
      </c>
      <c r="G7061" t="s">
        <v>23290</v>
      </c>
      <c r="H7061" t="str">
        <f>HYPERLINK("https://baanknet.com/view-property/223281/7C9A18EB6C4C2C8B301EDE6A2111DA5F30245DA97C919F7E14D9C8BF3DED3524", "https://baanknet.com/view-property/223281/7C9A18EB6C4C2C8B301EDE6A2111DA5F30245DA97C919F7E14D9C8BF3DED3524")</f>
        <v>https://baanknet.com/view-property/223281/7C9A18EB6C4C2C8B301EDE6A2111DA5F30245DA97C919F7E14D9C8BF3DED3524</v>
      </c>
      <c r="I7061" t="str">
        <f>HYPERLINK("https://baanknet.com/view-property/223281/7C9A18EB6C4C2C8B301EDE6A2111DA5F30245DA97C919F7E14D9C8BF3DED3524", "Open")</f>
        <v>Open</v>
      </c>
      <c r="J7061" t="s">
        <v>3803</v>
      </c>
      <c r="L7061">
        <v>1118000</v>
      </c>
      <c r="M7061">
        <v>111800</v>
      </c>
    </row>
    <row r="7062" spans="1:13" x14ac:dyDescent="0.25">
      <c r="A7062" t="s">
        <v>23291</v>
      </c>
      <c r="B7062" t="s">
        <v>23292</v>
      </c>
      <c r="C7062" t="s">
        <v>332</v>
      </c>
      <c r="D7062" t="s">
        <v>497</v>
      </c>
      <c r="E7062" t="s">
        <v>19824</v>
      </c>
      <c r="F7062" t="s">
        <v>19544</v>
      </c>
      <c r="G7062" t="s">
        <v>23293</v>
      </c>
      <c r="H7062" t="str">
        <f>HYPERLINK("https://baanknet.com/view-property/280694/DDE63499394921EDC10A16538923482923BCF5959EA0EACA6CF1053F7FDD6A53", "https://baanknet.com/view-property/280694/DDE63499394921EDC10A16538923482923BCF5959EA0EACA6CF1053F7FDD6A53")</f>
        <v>https://baanknet.com/view-property/280694/DDE63499394921EDC10A16538923482923BCF5959EA0EACA6CF1053F7FDD6A53</v>
      </c>
      <c r="I7062" t="str">
        <f>HYPERLINK("https://baanknet.com/view-property/280694/DDE63499394921EDC10A16538923482923BCF5959EA0EACA6CF1053F7FDD6A53", "Open")</f>
        <v>Open</v>
      </c>
      <c r="J7062" t="s">
        <v>3803</v>
      </c>
      <c r="L7062">
        <v>6800000</v>
      </c>
      <c r="M7062">
        <v>680000</v>
      </c>
    </row>
    <row r="7063" spans="1:13" x14ac:dyDescent="0.25">
      <c r="A7063" t="s">
        <v>23294</v>
      </c>
      <c r="B7063" t="s">
        <v>23295</v>
      </c>
      <c r="C7063" t="s">
        <v>589</v>
      </c>
      <c r="D7063" t="s">
        <v>1520</v>
      </c>
      <c r="E7063" t="s">
        <v>19824</v>
      </c>
      <c r="F7063" t="s">
        <v>19553</v>
      </c>
      <c r="G7063" t="s">
        <v>23296</v>
      </c>
      <c r="H7063" t="str">
        <f>HYPERLINK("https://baanknet.com/view-property/252103/041F19C37428AC4973E1AAD87E9D89F133F8F73327E99D20763719D8E2B14F79", "https://baanknet.com/view-property/252103/041F19C37428AC4973E1AAD87E9D89F133F8F73327E99D20763719D8E2B14F79")</f>
        <v>https://baanknet.com/view-property/252103/041F19C37428AC4973E1AAD87E9D89F133F8F73327E99D20763719D8E2B14F79</v>
      </c>
      <c r="I7063" t="str">
        <f>HYPERLINK("https://baanknet.com/view-property/252103/041F19C37428AC4973E1AAD87E9D89F133F8F73327E99D20763719D8E2B14F79", "Open")</f>
        <v>Open</v>
      </c>
      <c r="J7063" t="s">
        <v>3803</v>
      </c>
      <c r="L7063">
        <v>1093000</v>
      </c>
      <c r="M7063">
        <v>109300</v>
      </c>
    </row>
    <row r="7064" spans="1:13" x14ac:dyDescent="0.25">
      <c r="A7064" t="s">
        <v>23297</v>
      </c>
      <c r="B7064" t="s">
        <v>23298</v>
      </c>
      <c r="C7064" t="s">
        <v>589</v>
      </c>
      <c r="D7064" t="s">
        <v>1520</v>
      </c>
      <c r="E7064" t="s">
        <v>19824</v>
      </c>
      <c r="F7064" t="s">
        <v>19553</v>
      </c>
      <c r="G7064" t="s">
        <v>23299</v>
      </c>
      <c r="H7064" t="str">
        <f>HYPERLINK("https://baanknet.com/view-property/207193/197C97020AB5B7C20F614E4E43B904311E8A856564A6D9C28D6C51976DA359A8", "https://baanknet.com/view-property/207193/197C97020AB5B7C20F614E4E43B904311E8A856564A6D9C28D6C51976DA359A8")</f>
        <v>https://baanknet.com/view-property/207193/197C97020AB5B7C20F614E4E43B904311E8A856564A6D9C28D6C51976DA359A8</v>
      </c>
      <c r="I7064" t="str">
        <f>HYPERLINK("https://baanknet.com/view-property/207193/197C97020AB5B7C20F614E4E43B904311E8A856564A6D9C28D6C51976DA359A8", "Open")</f>
        <v>Open</v>
      </c>
      <c r="J7064" t="s">
        <v>3803</v>
      </c>
      <c r="L7064">
        <v>2220000</v>
      </c>
      <c r="M7064">
        <v>222000</v>
      </c>
    </row>
    <row r="7065" spans="1:13" x14ac:dyDescent="0.25">
      <c r="A7065" t="s">
        <v>23300</v>
      </c>
      <c r="B7065" t="s">
        <v>23301</v>
      </c>
      <c r="C7065" t="s">
        <v>589</v>
      </c>
      <c r="D7065" t="s">
        <v>1190</v>
      </c>
      <c r="E7065" t="s">
        <v>19824</v>
      </c>
      <c r="F7065" t="s">
        <v>19553</v>
      </c>
      <c r="G7065" t="s">
        <v>23302</v>
      </c>
      <c r="H7065" t="str">
        <f>HYPERLINK("https://baanknet.com/view-property/223376/2A4F3CEE233672AF61F3390873F8AD12105A517B087EAB819C0402A65DE576D4", "https://baanknet.com/view-property/223376/2A4F3CEE233672AF61F3390873F8AD12105A517B087EAB819C0402A65DE576D4")</f>
        <v>https://baanknet.com/view-property/223376/2A4F3CEE233672AF61F3390873F8AD12105A517B087EAB819C0402A65DE576D4</v>
      </c>
      <c r="I7065" t="str">
        <f>HYPERLINK("https://baanknet.com/view-property/223376/2A4F3CEE233672AF61F3390873F8AD12105A517B087EAB819C0402A65DE576D4", "Open")</f>
        <v>Open</v>
      </c>
      <c r="J7065" t="s">
        <v>3803</v>
      </c>
      <c r="L7065">
        <v>2133000</v>
      </c>
      <c r="M7065">
        <v>213300</v>
      </c>
    </row>
    <row r="7066" spans="1:13" x14ac:dyDescent="0.25">
      <c r="A7066" t="s">
        <v>23303</v>
      </c>
      <c r="B7066" t="s">
        <v>23304</v>
      </c>
      <c r="C7066" t="s">
        <v>589</v>
      </c>
      <c r="D7066" t="s">
        <v>20084</v>
      </c>
      <c r="E7066" t="s">
        <v>19824</v>
      </c>
      <c r="F7066" t="s">
        <v>19553</v>
      </c>
      <c r="G7066" t="s">
        <v>23305</v>
      </c>
      <c r="H7066" t="str">
        <f>HYPERLINK("https://baanknet.com/view-property/201377/7E38ABBBBF83CF2C307DFEEC487C0ED3AEC58FD7F584F97E6C00B7AEA18ED031", "https://baanknet.com/view-property/201377/7E38ABBBBF83CF2C307DFEEC487C0ED3AEC58FD7F584F97E6C00B7AEA18ED031")</f>
        <v>https://baanknet.com/view-property/201377/7E38ABBBBF83CF2C307DFEEC487C0ED3AEC58FD7F584F97E6C00B7AEA18ED031</v>
      </c>
      <c r="I7066" t="str">
        <f>HYPERLINK("https://baanknet.com/view-property/201377/7E38ABBBBF83CF2C307DFEEC487C0ED3AEC58FD7F584F97E6C00B7AEA18ED031", "Open")</f>
        <v>Open</v>
      </c>
      <c r="J7066" t="s">
        <v>3803</v>
      </c>
      <c r="L7066">
        <v>1608000</v>
      </c>
      <c r="M7066">
        <v>160800</v>
      </c>
    </row>
    <row r="7067" spans="1:13" x14ac:dyDescent="0.25">
      <c r="A7067" t="s">
        <v>23306</v>
      </c>
      <c r="B7067" t="s">
        <v>23307</v>
      </c>
      <c r="C7067" t="s">
        <v>589</v>
      </c>
      <c r="D7067" t="s">
        <v>1190</v>
      </c>
      <c r="E7067" t="s">
        <v>19824</v>
      </c>
      <c r="F7067" t="s">
        <v>19553</v>
      </c>
      <c r="G7067" t="s">
        <v>23308</v>
      </c>
      <c r="H7067" t="str">
        <f>HYPERLINK("https://baanknet.com/view-property/223372/B537AD684F2306821864048D9AFA33706DD2FAC6381438E00960874F3BD357F4", "https://baanknet.com/view-property/223372/B537AD684F2306821864048D9AFA33706DD2FAC6381438E00960874F3BD357F4")</f>
        <v>https://baanknet.com/view-property/223372/B537AD684F2306821864048D9AFA33706DD2FAC6381438E00960874F3BD357F4</v>
      </c>
      <c r="I7067" t="str">
        <f>HYPERLINK("https://baanknet.com/view-property/223372/B537AD684F2306821864048D9AFA33706DD2FAC6381438E00960874F3BD357F4", "Open")</f>
        <v>Open</v>
      </c>
      <c r="J7067" t="s">
        <v>3803</v>
      </c>
      <c r="L7067">
        <v>1803000</v>
      </c>
      <c r="M7067">
        <v>180300</v>
      </c>
    </row>
    <row r="7068" spans="1:13" x14ac:dyDescent="0.25">
      <c r="A7068" t="s">
        <v>23309</v>
      </c>
      <c r="B7068" t="s">
        <v>23310</v>
      </c>
      <c r="C7068" t="s">
        <v>589</v>
      </c>
      <c r="D7068" t="s">
        <v>32</v>
      </c>
      <c r="E7068" t="s">
        <v>19824</v>
      </c>
      <c r="F7068" t="s">
        <v>19553</v>
      </c>
      <c r="G7068" t="s">
        <v>23311</v>
      </c>
      <c r="H7068" t="str">
        <f>HYPERLINK("https://baanknet.com/view-property/237821/3589A23A618EF1CE056842C7C2417C7002F8CFFFEDF7DB38A7E065D195048D03", "https://baanknet.com/view-property/237821/3589A23A618EF1CE056842C7C2417C7002F8CFFFEDF7DB38A7E065D195048D03")</f>
        <v>https://baanknet.com/view-property/237821/3589A23A618EF1CE056842C7C2417C7002F8CFFFEDF7DB38A7E065D195048D03</v>
      </c>
      <c r="I7068" t="str">
        <f>HYPERLINK("https://baanknet.com/view-property/237821/3589A23A618EF1CE056842C7C2417C7002F8CFFFEDF7DB38A7E065D195048D03", "Open")</f>
        <v>Open</v>
      </c>
      <c r="J7068" t="s">
        <v>3803</v>
      </c>
      <c r="L7068">
        <v>3140000</v>
      </c>
      <c r="M7068">
        <v>314000</v>
      </c>
    </row>
    <row r="7069" spans="1:13" x14ac:dyDescent="0.25">
      <c r="A7069" t="s">
        <v>23312</v>
      </c>
      <c r="B7069" t="s">
        <v>23313</v>
      </c>
      <c r="C7069" t="s">
        <v>589</v>
      </c>
      <c r="D7069" t="s">
        <v>32</v>
      </c>
      <c r="E7069" t="s">
        <v>19824</v>
      </c>
      <c r="F7069" t="s">
        <v>19553</v>
      </c>
      <c r="G7069" t="s">
        <v>23314</v>
      </c>
      <c r="H7069" t="str">
        <f>HYPERLINK("https://baanknet.com/view-property/261424/DC96CB9256BAB645CA33DDA8232F191948FE0F5109AFD272848CAA3D5921CCC1", "https://baanknet.com/view-property/261424/DC96CB9256BAB645CA33DDA8232F191948FE0F5109AFD272848CAA3D5921CCC1")</f>
        <v>https://baanknet.com/view-property/261424/DC96CB9256BAB645CA33DDA8232F191948FE0F5109AFD272848CAA3D5921CCC1</v>
      </c>
      <c r="I7069" t="str">
        <f>HYPERLINK("https://baanknet.com/view-property/261424/DC96CB9256BAB645CA33DDA8232F191948FE0F5109AFD272848CAA3D5921CCC1", "Open")</f>
        <v>Open</v>
      </c>
      <c r="J7069" t="s">
        <v>3803</v>
      </c>
      <c r="L7069">
        <v>4939000</v>
      </c>
      <c r="M7069">
        <v>493900</v>
      </c>
    </row>
    <row r="7070" spans="1:13" x14ac:dyDescent="0.25">
      <c r="A7070" t="s">
        <v>23315</v>
      </c>
      <c r="B7070" t="s">
        <v>23316</v>
      </c>
      <c r="C7070" t="s">
        <v>589</v>
      </c>
      <c r="D7070" t="s">
        <v>32</v>
      </c>
      <c r="E7070" t="s">
        <v>19824</v>
      </c>
      <c r="F7070" t="s">
        <v>19553</v>
      </c>
      <c r="G7070" t="s">
        <v>23317</v>
      </c>
      <c r="H7070" t="str">
        <f>HYPERLINK("https://baanknet.com/view-property/278487/295BD7AED426C5B08AA9EA99E6EE0DE5AB3F2E40155B36191759342B592CA872", "https://baanknet.com/view-property/278487/295BD7AED426C5B08AA9EA99E6EE0DE5AB3F2E40155B36191759342B592CA872")</f>
        <v>https://baanknet.com/view-property/278487/295BD7AED426C5B08AA9EA99E6EE0DE5AB3F2E40155B36191759342B592CA872</v>
      </c>
      <c r="I7070" t="str">
        <f>HYPERLINK("https://baanknet.com/view-property/278487/295BD7AED426C5B08AA9EA99E6EE0DE5AB3F2E40155B36191759342B592CA872", "Open")</f>
        <v>Open</v>
      </c>
      <c r="J7070" t="s">
        <v>3803</v>
      </c>
      <c r="L7070">
        <v>6723000</v>
      </c>
      <c r="M7070">
        <v>672300</v>
      </c>
    </row>
    <row r="7071" spans="1:13" x14ac:dyDescent="0.25">
      <c r="A7071" t="s">
        <v>23318</v>
      </c>
      <c r="B7071" t="s">
        <v>23319</v>
      </c>
      <c r="C7071" t="s">
        <v>589</v>
      </c>
      <c r="D7071" t="s">
        <v>32</v>
      </c>
      <c r="E7071" t="s">
        <v>19824</v>
      </c>
      <c r="F7071" t="s">
        <v>19553</v>
      </c>
      <c r="G7071" t="s">
        <v>23320</v>
      </c>
      <c r="H7071" t="str">
        <f>HYPERLINK("https://baanknet.com/view-property/278768/041EC40F239590165D54644475FEF28DC39A1A67482E7BBA316946DAB23EB9CC", "https://baanknet.com/view-property/278768/041EC40F239590165D54644475FEF28DC39A1A67482E7BBA316946DAB23EB9CC")</f>
        <v>https://baanknet.com/view-property/278768/041EC40F239590165D54644475FEF28DC39A1A67482E7BBA316946DAB23EB9CC</v>
      </c>
      <c r="I7071" t="str">
        <f>HYPERLINK("https://baanknet.com/view-property/278768/041EC40F239590165D54644475FEF28DC39A1A67482E7BBA316946DAB23EB9CC", "Open")</f>
        <v>Open</v>
      </c>
      <c r="J7071" t="s">
        <v>3803</v>
      </c>
      <c r="L7071">
        <v>11622000</v>
      </c>
      <c r="M7071">
        <v>1162200</v>
      </c>
    </row>
    <row r="7072" spans="1:13" x14ac:dyDescent="0.25">
      <c r="A7072" t="s">
        <v>23321</v>
      </c>
      <c r="B7072" t="s">
        <v>23322</v>
      </c>
      <c r="C7072" t="s">
        <v>589</v>
      </c>
      <c r="D7072" t="s">
        <v>32</v>
      </c>
      <c r="E7072" t="s">
        <v>19824</v>
      </c>
      <c r="F7072" t="s">
        <v>19553</v>
      </c>
      <c r="G7072" t="s">
        <v>23323</v>
      </c>
      <c r="H7072" t="str">
        <f>HYPERLINK("https://baanknet.com/view-property/261320/7C370BE722DCE63A92C93B130E324525D0FEACB3569979360A41DE48BDB0FFA1", "https://baanknet.com/view-property/261320/7C370BE722DCE63A92C93B130E324525D0FEACB3569979360A41DE48BDB0FFA1")</f>
        <v>https://baanknet.com/view-property/261320/7C370BE722DCE63A92C93B130E324525D0FEACB3569979360A41DE48BDB0FFA1</v>
      </c>
      <c r="I7072" t="str">
        <f>HYPERLINK("https://baanknet.com/view-property/261320/7C370BE722DCE63A92C93B130E324525D0FEACB3569979360A41DE48BDB0FFA1", "Open")</f>
        <v>Open</v>
      </c>
      <c r="J7072" t="s">
        <v>3803</v>
      </c>
      <c r="L7072">
        <v>3393900</v>
      </c>
      <c r="M7072">
        <v>339390</v>
      </c>
    </row>
    <row r="7073" spans="1:13" x14ac:dyDescent="0.25">
      <c r="A7073" t="s">
        <v>23324</v>
      </c>
      <c r="B7073" t="s">
        <v>23325</v>
      </c>
      <c r="C7073" t="s">
        <v>589</v>
      </c>
      <c r="D7073" t="s">
        <v>32</v>
      </c>
      <c r="E7073" t="s">
        <v>19824</v>
      </c>
      <c r="F7073" t="s">
        <v>19553</v>
      </c>
      <c r="G7073" t="s">
        <v>23326</v>
      </c>
      <c r="H7073" t="str">
        <f>HYPERLINK("https://baanknet.com/view-property/278769/5EED41AF840DA8D4B33A51E4BB5EE73C77BFE0447E019FF67F75523E033091C7", "https://baanknet.com/view-property/278769/5EED41AF840DA8D4B33A51E4BB5EE73C77BFE0447E019FF67F75523E033091C7")</f>
        <v>https://baanknet.com/view-property/278769/5EED41AF840DA8D4B33A51E4BB5EE73C77BFE0447E019FF67F75523E033091C7</v>
      </c>
      <c r="I7073" t="str">
        <f>HYPERLINK("https://baanknet.com/view-property/278769/5EED41AF840DA8D4B33A51E4BB5EE73C77BFE0447E019FF67F75523E033091C7", "Open")</f>
        <v>Open</v>
      </c>
      <c r="J7073" t="s">
        <v>3803</v>
      </c>
      <c r="L7073">
        <v>7722000</v>
      </c>
      <c r="M7073">
        <v>772200</v>
      </c>
    </row>
    <row r="7074" spans="1:13" x14ac:dyDescent="0.25">
      <c r="A7074" t="s">
        <v>23327</v>
      </c>
      <c r="B7074" t="s">
        <v>23328</v>
      </c>
      <c r="C7074" t="s">
        <v>589</v>
      </c>
      <c r="D7074" t="s">
        <v>18255</v>
      </c>
      <c r="E7074" t="s">
        <v>19824</v>
      </c>
      <c r="F7074" t="s">
        <v>19553</v>
      </c>
      <c r="G7074" t="s">
        <v>23329</v>
      </c>
      <c r="H7074" t="str">
        <f>HYPERLINK("https://baanknet.com/view-property/281060/703BA6CF83D96946D16A4ABE31B9C324C2CB4B1BDE268357C7A5D115147BE02F", "https://baanknet.com/view-property/281060/703BA6CF83D96946D16A4ABE31B9C324C2CB4B1BDE268357C7A5D115147BE02F")</f>
        <v>https://baanknet.com/view-property/281060/703BA6CF83D96946D16A4ABE31B9C324C2CB4B1BDE268357C7A5D115147BE02F</v>
      </c>
      <c r="I7074" t="str">
        <f>HYPERLINK("https://baanknet.com/view-property/281060/703BA6CF83D96946D16A4ABE31B9C324C2CB4B1BDE268357C7A5D115147BE02F", "Open")</f>
        <v>Open</v>
      </c>
      <c r="J7074" t="s">
        <v>3803</v>
      </c>
      <c r="L7074">
        <v>3676000</v>
      </c>
      <c r="M7074">
        <v>367600</v>
      </c>
    </row>
    <row r="7075" spans="1:13" x14ac:dyDescent="0.25">
      <c r="A7075" t="s">
        <v>23330</v>
      </c>
      <c r="B7075" t="s">
        <v>23331</v>
      </c>
      <c r="C7075" t="s">
        <v>589</v>
      </c>
      <c r="D7075" t="s">
        <v>18255</v>
      </c>
      <c r="E7075" t="s">
        <v>19824</v>
      </c>
      <c r="F7075" t="s">
        <v>19553</v>
      </c>
      <c r="G7075" t="s">
        <v>23332</v>
      </c>
      <c r="H7075" t="str">
        <f>HYPERLINK("https://baanknet.com/view-property/268161/771AB7DF250FE650822080C755F112372A14F446F56F26AEFBF5B2DA8CB9E5DF", "https://baanknet.com/view-property/268161/771AB7DF250FE650822080C755F112372A14F446F56F26AEFBF5B2DA8CB9E5DF")</f>
        <v>https://baanknet.com/view-property/268161/771AB7DF250FE650822080C755F112372A14F446F56F26AEFBF5B2DA8CB9E5DF</v>
      </c>
      <c r="I7075" t="str">
        <f>HYPERLINK("https://baanknet.com/view-property/268161/771AB7DF250FE650822080C755F112372A14F446F56F26AEFBF5B2DA8CB9E5DF", "Open")</f>
        <v>Open</v>
      </c>
      <c r="J7075" t="s">
        <v>3803</v>
      </c>
      <c r="L7075">
        <v>4421000</v>
      </c>
      <c r="M7075">
        <v>442100</v>
      </c>
    </row>
    <row r="7076" spans="1:13" x14ac:dyDescent="0.25">
      <c r="A7076" t="s">
        <v>23333</v>
      </c>
      <c r="B7076" t="s">
        <v>23334</v>
      </c>
      <c r="C7076" t="s">
        <v>589</v>
      </c>
      <c r="D7076" t="s">
        <v>32</v>
      </c>
      <c r="E7076" t="s">
        <v>19824</v>
      </c>
      <c r="F7076" t="s">
        <v>19553</v>
      </c>
      <c r="G7076" t="s">
        <v>23335</v>
      </c>
      <c r="H7076" t="str">
        <f>HYPERLINK("https://baanknet.com/view-property/278770/3BA167D28FB3E50F8E6C4DA851CCF0475AFC499CE200DC3B800703D96189BB15", "https://baanknet.com/view-property/278770/3BA167D28FB3E50F8E6C4DA851CCF0475AFC499CE200DC3B800703D96189BB15")</f>
        <v>https://baanknet.com/view-property/278770/3BA167D28FB3E50F8E6C4DA851CCF0475AFC499CE200DC3B800703D96189BB15</v>
      </c>
      <c r="I7076" t="str">
        <f>HYPERLINK("https://baanknet.com/view-property/278770/3BA167D28FB3E50F8E6C4DA851CCF0475AFC499CE200DC3B800703D96189BB15", "Open")</f>
        <v>Open</v>
      </c>
      <c r="J7076" t="s">
        <v>3803</v>
      </c>
      <c r="L7076">
        <v>11041000</v>
      </c>
      <c r="M7076">
        <v>1104100</v>
      </c>
    </row>
    <row r="7077" spans="1:13" x14ac:dyDescent="0.25">
      <c r="A7077" t="s">
        <v>23336</v>
      </c>
      <c r="B7077" t="s">
        <v>23337</v>
      </c>
      <c r="C7077" t="s">
        <v>589</v>
      </c>
      <c r="D7077" t="s">
        <v>1190</v>
      </c>
      <c r="E7077" t="s">
        <v>19824</v>
      </c>
      <c r="F7077" t="s">
        <v>19553</v>
      </c>
      <c r="G7077" t="s">
        <v>23338</v>
      </c>
      <c r="H7077" t="str">
        <f>HYPERLINK("https://baanknet.com/view-property/203327/406CEC8552F7107129EB3C28148168C7036525B3DE951C3BAB7F0E9B6E46552F", "https://baanknet.com/view-property/203327/406CEC8552F7107129EB3C28148168C7036525B3DE951C3BAB7F0E9B6E46552F")</f>
        <v>https://baanknet.com/view-property/203327/406CEC8552F7107129EB3C28148168C7036525B3DE951C3BAB7F0E9B6E46552F</v>
      </c>
      <c r="I7077" t="str">
        <f>HYPERLINK("https://baanknet.com/view-property/203327/406CEC8552F7107129EB3C28148168C7036525B3DE951C3BAB7F0E9B6E46552F", "Open")</f>
        <v>Open</v>
      </c>
      <c r="J7077" t="s">
        <v>3803</v>
      </c>
      <c r="L7077">
        <v>1016000</v>
      </c>
      <c r="M7077">
        <v>101600</v>
      </c>
    </row>
    <row r="7078" spans="1:13" x14ac:dyDescent="0.25">
      <c r="A7078" t="s">
        <v>23339</v>
      </c>
      <c r="B7078" t="s">
        <v>23340</v>
      </c>
      <c r="C7078" t="s">
        <v>589</v>
      </c>
      <c r="D7078" t="s">
        <v>32</v>
      </c>
      <c r="E7078" t="s">
        <v>19824</v>
      </c>
      <c r="F7078" t="s">
        <v>19553</v>
      </c>
      <c r="G7078" t="s">
        <v>23341</v>
      </c>
      <c r="H7078" t="str">
        <f>HYPERLINK("https://baanknet.com/view-property/261364/FF9F72DBB4C21F13EE17E7795F7F11481E1DB825F29842637841757744F710A8", "https://baanknet.com/view-property/261364/FF9F72DBB4C21F13EE17E7795F7F11481E1DB825F29842637841757744F710A8")</f>
        <v>https://baanknet.com/view-property/261364/FF9F72DBB4C21F13EE17E7795F7F11481E1DB825F29842637841757744F710A8</v>
      </c>
      <c r="I7078" t="str">
        <f>HYPERLINK("https://baanknet.com/view-property/261364/FF9F72DBB4C21F13EE17E7795F7F11481E1DB825F29842637841757744F710A8", "Open")</f>
        <v>Open</v>
      </c>
      <c r="J7078" t="s">
        <v>3803</v>
      </c>
      <c r="L7078">
        <v>3590000</v>
      </c>
      <c r="M7078">
        <v>359000</v>
      </c>
    </row>
    <row r="7079" spans="1:13" x14ac:dyDescent="0.25">
      <c r="A7079" t="s">
        <v>23342</v>
      </c>
      <c r="B7079" t="s">
        <v>23343</v>
      </c>
      <c r="C7079" t="s">
        <v>589</v>
      </c>
      <c r="D7079" t="s">
        <v>1190</v>
      </c>
      <c r="E7079" t="s">
        <v>19824</v>
      </c>
      <c r="F7079" t="s">
        <v>19553</v>
      </c>
      <c r="G7079" t="s">
        <v>23344</v>
      </c>
      <c r="H7079" t="str">
        <f>HYPERLINK("https://baanknet.com/view-property/270278/FEC471448D3E2DC7EA9FCE14A6009B20F4D1D8E532592748F72A5CD2BCD0A58C", "https://baanknet.com/view-property/270278/FEC471448D3E2DC7EA9FCE14A6009B20F4D1D8E532592748F72A5CD2BCD0A58C")</f>
        <v>https://baanknet.com/view-property/270278/FEC471448D3E2DC7EA9FCE14A6009B20F4D1D8E532592748F72A5CD2BCD0A58C</v>
      </c>
      <c r="I7079" t="str">
        <f>HYPERLINK("https://baanknet.com/view-property/270278/FEC471448D3E2DC7EA9FCE14A6009B20F4D1D8E532592748F72A5CD2BCD0A58C", "Open")</f>
        <v>Open</v>
      </c>
      <c r="J7079" t="s">
        <v>3803</v>
      </c>
      <c r="L7079">
        <v>2935000</v>
      </c>
      <c r="M7079">
        <v>293500</v>
      </c>
    </row>
    <row r="7080" spans="1:13" x14ac:dyDescent="0.25">
      <c r="A7080" t="s">
        <v>23345</v>
      </c>
      <c r="B7080" t="s">
        <v>23346</v>
      </c>
      <c r="C7080" t="s">
        <v>589</v>
      </c>
      <c r="D7080" t="s">
        <v>20084</v>
      </c>
      <c r="E7080" t="s">
        <v>19824</v>
      </c>
      <c r="F7080" t="s">
        <v>19553</v>
      </c>
      <c r="G7080" t="s">
        <v>23347</v>
      </c>
      <c r="H7080" t="str">
        <f>HYPERLINK("https://baanknet.com/view-property/247169/8729DAE37FD484E03C741CE9BF7A1486B204BC357296E35C3099539A518F11E4", "https://baanknet.com/view-property/247169/8729DAE37FD484E03C741CE9BF7A1486B204BC357296E35C3099539A518F11E4")</f>
        <v>https://baanknet.com/view-property/247169/8729DAE37FD484E03C741CE9BF7A1486B204BC357296E35C3099539A518F11E4</v>
      </c>
      <c r="I7080" t="str">
        <f>HYPERLINK("https://baanknet.com/view-property/247169/8729DAE37FD484E03C741CE9BF7A1486B204BC357296E35C3099539A518F11E4", "Open")</f>
        <v>Open</v>
      </c>
      <c r="J7080" t="s">
        <v>3803</v>
      </c>
      <c r="L7080">
        <v>1472000</v>
      </c>
      <c r="M7080">
        <v>147200</v>
      </c>
    </row>
    <row r="7081" spans="1:13" x14ac:dyDescent="0.25">
      <c r="A7081" t="s">
        <v>23348</v>
      </c>
      <c r="B7081" t="s">
        <v>23349</v>
      </c>
      <c r="C7081" t="s">
        <v>15</v>
      </c>
      <c r="D7081" t="s">
        <v>673</v>
      </c>
      <c r="E7081" t="s">
        <v>20812</v>
      </c>
      <c r="F7081" t="s">
        <v>20813</v>
      </c>
      <c r="G7081" t="s">
        <v>23350</v>
      </c>
      <c r="H7081" t="str">
        <f>HYPERLINK("https://baanknet.com/view-property/241068/A381DFB8D41311CB79271FB532D54BB36C848377683FA006200BC95AC8F18E2D", "https://baanknet.com/view-property/241068/A381DFB8D41311CB79271FB532D54BB36C848377683FA006200BC95AC8F18E2D")</f>
        <v>https://baanknet.com/view-property/241068/A381DFB8D41311CB79271FB532D54BB36C848377683FA006200BC95AC8F18E2D</v>
      </c>
      <c r="I7081" t="str">
        <f>HYPERLINK("https://baanknet.com/view-property/241068/A381DFB8D41311CB79271FB532D54BB36C848377683FA006200BC95AC8F18E2D", "Open")</f>
        <v>Open</v>
      </c>
      <c r="J7081" t="s">
        <v>3803</v>
      </c>
      <c r="L7081">
        <v>1440000</v>
      </c>
      <c r="M7081">
        <v>144000</v>
      </c>
    </row>
    <row r="7082" spans="1:13" x14ac:dyDescent="0.25">
      <c r="A7082" t="s">
        <v>23351</v>
      </c>
      <c r="B7082" t="s">
        <v>23352</v>
      </c>
      <c r="C7082" t="s">
        <v>832</v>
      </c>
      <c r="D7082" t="s">
        <v>1993</v>
      </c>
      <c r="E7082" t="s">
        <v>20829</v>
      </c>
      <c r="F7082" t="s">
        <v>20891</v>
      </c>
      <c r="G7082" t="s">
        <v>23353</v>
      </c>
      <c r="H7082" t="str">
        <f>HYPERLINK("https://baanknet.com/view-property/288356/F891C21279EDF2B72CC3A94BC4B8B584178454EB0B692479EF22A504DB97F25B", "https://baanknet.com/view-property/288356/F891C21279EDF2B72CC3A94BC4B8B584178454EB0B692479EF22A504DB97F25B")</f>
        <v>https://baanknet.com/view-property/288356/F891C21279EDF2B72CC3A94BC4B8B584178454EB0B692479EF22A504DB97F25B</v>
      </c>
      <c r="I7082" t="str">
        <f>HYPERLINK("https://baanknet.com/view-property/288356/F891C21279EDF2B72CC3A94BC4B8B584178454EB0B692479EF22A504DB97F25B", "Open")</f>
        <v>Open</v>
      </c>
      <c r="J7082" t="s">
        <v>3803</v>
      </c>
      <c r="L7082">
        <v>105000000</v>
      </c>
      <c r="M7082">
        <v>10500000</v>
      </c>
    </row>
    <row r="7083" spans="1:13" x14ac:dyDescent="0.25">
      <c r="A7083" t="s">
        <v>23354</v>
      </c>
      <c r="B7083" t="s">
        <v>23355</v>
      </c>
      <c r="C7083" t="s">
        <v>571</v>
      </c>
      <c r="D7083" t="s">
        <v>12214</v>
      </c>
      <c r="E7083" t="s">
        <v>21036</v>
      </c>
      <c r="F7083" t="s">
        <v>21041</v>
      </c>
      <c r="G7083" t="s">
        <v>23356</v>
      </c>
      <c r="H7083" t="str">
        <f>HYPERLINK("https://baanknet.com/view-property/288373/9704159FD4F2D1B120B9F23BA6F1D31E370C99B78499FC28051965D8A0435C27", "https://baanknet.com/view-property/288373/9704159FD4F2D1B120B9F23BA6F1D31E370C99B78499FC28051965D8A0435C27")</f>
        <v>https://baanknet.com/view-property/288373/9704159FD4F2D1B120B9F23BA6F1D31E370C99B78499FC28051965D8A0435C27</v>
      </c>
      <c r="I7083" t="str">
        <f>HYPERLINK("https://baanknet.com/view-property/288373/9704159FD4F2D1B120B9F23BA6F1D31E370C99B78499FC28051965D8A0435C27", "Open")</f>
        <v>Open</v>
      </c>
      <c r="J7083" t="s">
        <v>3803</v>
      </c>
      <c r="L7083">
        <v>3410000</v>
      </c>
      <c r="M7083">
        <v>341000</v>
      </c>
    </row>
    <row r="7084" spans="1:13" x14ac:dyDescent="0.25">
      <c r="A7084" t="s">
        <v>23357</v>
      </c>
      <c r="B7084" t="s">
        <v>23358</v>
      </c>
      <c r="C7084" t="s">
        <v>571</v>
      </c>
      <c r="D7084" t="s">
        <v>4339</v>
      </c>
      <c r="E7084" t="s">
        <v>21036</v>
      </c>
      <c r="F7084" t="s">
        <v>21041</v>
      </c>
      <c r="G7084" t="s">
        <v>23359</v>
      </c>
      <c r="H7084" t="str">
        <f>HYPERLINK("https://baanknet.com/view-property/288375/CC822E5E0A681F6745432EA632B30C72E483058552EB44C5DB6EABFB3051D105", "https://baanknet.com/view-property/288375/CC822E5E0A681F6745432EA632B30C72E483058552EB44C5DB6EABFB3051D105")</f>
        <v>https://baanknet.com/view-property/288375/CC822E5E0A681F6745432EA632B30C72E483058552EB44C5DB6EABFB3051D105</v>
      </c>
      <c r="I7084" t="str">
        <f>HYPERLINK("https://baanknet.com/view-property/288375/CC822E5E0A681F6745432EA632B30C72E483058552EB44C5DB6EABFB3051D105", "Open")</f>
        <v>Open</v>
      </c>
      <c r="J7084" t="s">
        <v>3803</v>
      </c>
      <c r="L7084">
        <v>4090000</v>
      </c>
      <c r="M7084">
        <v>409000</v>
      </c>
    </row>
    <row r="7085" spans="1:13" x14ac:dyDescent="0.25">
      <c r="A7085" t="s">
        <v>23360</v>
      </c>
      <c r="B7085" t="s">
        <v>23361</v>
      </c>
      <c r="C7085" t="s">
        <v>15</v>
      </c>
      <c r="D7085" t="s">
        <v>937</v>
      </c>
      <c r="E7085" t="s">
        <v>21078</v>
      </c>
      <c r="F7085" t="s">
        <v>21085</v>
      </c>
      <c r="G7085" t="s">
        <v>23362</v>
      </c>
      <c r="H7085" t="str">
        <f>HYPERLINK("https://baanknet.com/view-property/263425/FC49D53965197E6C3F06FAAD8AA50D1D2F9170948278CFEA565A6D07B321D1BF", "https://baanknet.com/view-property/263425/FC49D53965197E6C3F06FAAD8AA50D1D2F9170948278CFEA565A6D07B321D1BF")</f>
        <v>https://baanknet.com/view-property/263425/FC49D53965197E6C3F06FAAD8AA50D1D2F9170948278CFEA565A6D07B321D1BF</v>
      </c>
      <c r="I7085" t="str">
        <f>HYPERLINK("https://baanknet.com/view-property/263425/FC49D53965197E6C3F06FAAD8AA50D1D2F9170948278CFEA565A6D07B321D1BF", "Open")</f>
        <v>Open</v>
      </c>
      <c r="J7085" t="s">
        <v>3803</v>
      </c>
      <c r="L7085">
        <v>7500000</v>
      </c>
      <c r="M7085">
        <v>750000</v>
      </c>
    </row>
    <row r="7086" spans="1:13" x14ac:dyDescent="0.25">
      <c r="A7086" t="s">
        <v>23363</v>
      </c>
      <c r="B7086" t="s">
        <v>23364</v>
      </c>
      <c r="C7086" t="s">
        <v>15</v>
      </c>
      <c r="D7086" t="s">
        <v>937</v>
      </c>
      <c r="E7086" t="s">
        <v>21078</v>
      </c>
      <c r="F7086" t="s">
        <v>21085</v>
      </c>
      <c r="G7086" t="s">
        <v>23365</v>
      </c>
      <c r="H7086" t="str">
        <f>HYPERLINK("https://baanknet.com/view-property/263423/72AE9736C51E9FF924DD6B10A2EA0B51A7858D35AEC28B21DB1EBD86F641D7F3", "https://baanknet.com/view-property/263423/72AE9736C51E9FF924DD6B10A2EA0B51A7858D35AEC28B21DB1EBD86F641D7F3")</f>
        <v>https://baanknet.com/view-property/263423/72AE9736C51E9FF924DD6B10A2EA0B51A7858D35AEC28B21DB1EBD86F641D7F3</v>
      </c>
      <c r="I7086" t="str">
        <f>HYPERLINK("https://baanknet.com/view-property/263423/72AE9736C51E9FF924DD6B10A2EA0B51A7858D35AEC28B21DB1EBD86F641D7F3", "Open")</f>
        <v>Open</v>
      </c>
      <c r="J7086" t="s">
        <v>3803</v>
      </c>
      <c r="L7086">
        <v>16500000</v>
      </c>
      <c r="M7086">
        <v>1650000</v>
      </c>
    </row>
    <row r="7087" spans="1:13" x14ac:dyDescent="0.25">
      <c r="A7087" t="s">
        <v>23366</v>
      </c>
      <c r="B7087" t="s">
        <v>23367</v>
      </c>
      <c r="C7087" t="s">
        <v>15</v>
      </c>
      <c r="D7087" t="s">
        <v>937</v>
      </c>
      <c r="E7087" t="s">
        <v>21078</v>
      </c>
      <c r="F7087" t="s">
        <v>21085</v>
      </c>
      <c r="G7087" t="s">
        <v>23368</v>
      </c>
      <c r="H7087" t="str">
        <f>HYPERLINK("https://baanknet.com/view-property/239216/7125792858A7CB47E0C3364642612680838380B442B4186B2EF95CA8D77BCC0D", "https://baanknet.com/view-property/239216/7125792858A7CB47E0C3364642612680838380B442B4186B2EF95CA8D77BCC0D")</f>
        <v>https://baanknet.com/view-property/239216/7125792858A7CB47E0C3364642612680838380B442B4186B2EF95CA8D77BCC0D</v>
      </c>
      <c r="I7087" t="str">
        <f>HYPERLINK("https://baanknet.com/view-property/239216/7125792858A7CB47E0C3364642612680838380B442B4186B2EF95CA8D77BCC0D", "Open")</f>
        <v>Open</v>
      </c>
      <c r="J7087" t="s">
        <v>3803</v>
      </c>
      <c r="L7087">
        <v>2400000</v>
      </c>
      <c r="M7087">
        <v>240000</v>
      </c>
    </row>
    <row r="7088" spans="1:13" x14ac:dyDescent="0.25">
      <c r="A7088" t="s">
        <v>23369</v>
      </c>
      <c r="B7088" t="s">
        <v>23370</v>
      </c>
      <c r="C7088" t="s">
        <v>15</v>
      </c>
      <c r="D7088" t="s">
        <v>7328</v>
      </c>
      <c r="E7088" t="s">
        <v>21078</v>
      </c>
      <c r="F7088" t="s">
        <v>21085</v>
      </c>
      <c r="G7088" t="s">
        <v>23371</v>
      </c>
      <c r="H7088" t="str">
        <f>HYPERLINK("https://baanknet.com/view-property/261062/3C084D413C05CB8A157CD20DB4989F2E0B6C06065CC637EDE36C8FBC3EF79DBC", "https://baanknet.com/view-property/261062/3C084D413C05CB8A157CD20DB4989F2E0B6C06065CC637EDE36C8FBC3EF79DBC")</f>
        <v>https://baanknet.com/view-property/261062/3C084D413C05CB8A157CD20DB4989F2E0B6C06065CC637EDE36C8FBC3EF79DBC</v>
      </c>
      <c r="I7088" t="str">
        <f>HYPERLINK("https://baanknet.com/view-property/261062/3C084D413C05CB8A157CD20DB4989F2E0B6C06065CC637EDE36C8FBC3EF79DBC", "Open")</f>
        <v>Open</v>
      </c>
      <c r="J7088" t="s">
        <v>3803</v>
      </c>
      <c r="L7088">
        <v>4100000</v>
      </c>
      <c r="M7088">
        <v>410000</v>
      </c>
    </row>
    <row r="7089" spans="1:13" x14ac:dyDescent="0.25">
      <c r="A7089" t="s">
        <v>23372</v>
      </c>
      <c r="B7089" t="s">
        <v>23373</v>
      </c>
      <c r="C7089" t="s">
        <v>15</v>
      </c>
      <c r="D7089" t="s">
        <v>23374</v>
      </c>
      <c r="E7089" t="s">
        <v>21078</v>
      </c>
      <c r="F7089" t="s">
        <v>21085</v>
      </c>
      <c r="G7089" t="s">
        <v>23375</v>
      </c>
      <c r="H7089" t="str">
        <f>HYPERLINK("https://baanknet.com/view-property/239242/43B0554D2E5B584B3D58B970C5115AC4BD35790FAB1952F99FF4F60C883BABCC", "https://baanknet.com/view-property/239242/43B0554D2E5B584B3D58B970C5115AC4BD35790FAB1952F99FF4F60C883BABCC")</f>
        <v>https://baanknet.com/view-property/239242/43B0554D2E5B584B3D58B970C5115AC4BD35790FAB1952F99FF4F60C883BABCC</v>
      </c>
      <c r="I7089" t="str">
        <f>HYPERLINK("https://baanknet.com/view-property/239242/43B0554D2E5B584B3D58B970C5115AC4BD35790FAB1952F99FF4F60C883BABCC", "Open")</f>
        <v>Open</v>
      </c>
      <c r="J7089" t="s">
        <v>3803</v>
      </c>
      <c r="L7089">
        <v>1400000</v>
      </c>
      <c r="M7089">
        <v>140000</v>
      </c>
    </row>
    <row r="7090" spans="1:13" x14ac:dyDescent="0.25">
      <c r="A7090" t="s">
        <v>23376</v>
      </c>
      <c r="B7090" t="s">
        <v>23377</v>
      </c>
      <c r="C7090" t="s">
        <v>15</v>
      </c>
      <c r="D7090" t="s">
        <v>869</v>
      </c>
      <c r="E7090" t="s">
        <v>21078</v>
      </c>
      <c r="F7090" t="s">
        <v>21085</v>
      </c>
      <c r="G7090" t="s">
        <v>23378</v>
      </c>
      <c r="H7090" t="str">
        <f>HYPERLINK("https://baanknet.com/view-property/191663/5F8878393B1F50B940AC630C847960C78595DFD28BDC355ABEE4C4DD2660404E", "https://baanknet.com/view-property/191663/5F8878393B1F50B940AC630C847960C78595DFD28BDC355ABEE4C4DD2660404E")</f>
        <v>https://baanknet.com/view-property/191663/5F8878393B1F50B940AC630C847960C78595DFD28BDC355ABEE4C4DD2660404E</v>
      </c>
      <c r="I7090" t="str">
        <f>HYPERLINK("https://baanknet.com/view-property/191663/5F8878393B1F50B940AC630C847960C78595DFD28BDC355ABEE4C4DD2660404E", "Open")</f>
        <v>Open</v>
      </c>
      <c r="J7090" t="s">
        <v>3803</v>
      </c>
      <c r="L7090">
        <v>900000</v>
      </c>
      <c r="M7090">
        <v>90000</v>
      </c>
    </row>
    <row r="7091" spans="1:13" x14ac:dyDescent="0.25">
      <c r="A7091" t="s">
        <v>23379</v>
      </c>
      <c r="B7091" t="s">
        <v>23380</v>
      </c>
      <c r="C7091" t="s">
        <v>15</v>
      </c>
      <c r="D7091" t="s">
        <v>869</v>
      </c>
      <c r="E7091" t="s">
        <v>21078</v>
      </c>
      <c r="F7091" t="s">
        <v>21085</v>
      </c>
      <c r="G7091" t="s">
        <v>23381</v>
      </c>
      <c r="H7091" t="str">
        <f>HYPERLINK("https://baanknet.com/view-property/284062/B6F344AC0BC15BFE81C8CB931CBB805B05C78E6F6DE0C2079DC42F977F2DF522", "https://baanknet.com/view-property/284062/B6F344AC0BC15BFE81C8CB931CBB805B05C78E6F6DE0C2079DC42F977F2DF522")</f>
        <v>https://baanknet.com/view-property/284062/B6F344AC0BC15BFE81C8CB931CBB805B05C78E6F6DE0C2079DC42F977F2DF522</v>
      </c>
      <c r="I7091" t="str">
        <f>HYPERLINK("https://baanknet.com/view-property/284062/B6F344AC0BC15BFE81C8CB931CBB805B05C78E6F6DE0C2079DC42F977F2DF522", "Open")</f>
        <v>Open</v>
      </c>
      <c r="J7091" t="s">
        <v>3803</v>
      </c>
      <c r="L7091">
        <v>25600000</v>
      </c>
      <c r="M7091">
        <v>2560000</v>
      </c>
    </row>
    <row r="7092" spans="1:13" x14ac:dyDescent="0.25">
      <c r="A7092" t="s">
        <v>23382</v>
      </c>
      <c r="B7092" t="s">
        <v>23383</v>
      </c>
      <c r="C7092" t="s">
        <v>15</v>
      </c>
      <c r="D7092" t="s">
        <v>869</v>
      </c>
      <c r="E7092" t="s">
        <v>21078</v>
      </c>
      <c r="F7092" t="s">
        <v>21085</v>
      </c>
      <c r="G7092" t="s">
        <v>23384</v>
      </c>
      <c r="H7092" t="str">
        <f>HYPERLINK("https://baanknet.com/view-property/284064/AC3244F5F68ABA2D4FB41986153B04783A2C372AE694D385F541F729E28211A0", "https://baanknet.com/view-property/284064/AC3244F5F68ABA2D4FB41986153B04783A2C372AE694D385F541F729E28211A0")</f>
        <v>https://baanknet.com/view-property/284064/AC3244F5F68ABA2D4FB41986153B04783A2C372AE694D385F541F729E28211A0</v>
      </c>
      <c r="I7092" t="str">
        <f>HYPERLINK("https://baanknet.com/view-property/284064/AC3244F5F68ABA2D4FB41986153B04783A2C372AE694D385F541F729E28211A0", "Open")</f>
        <v>Open</v>
      </c>
      <c r="J7092" t="s">
        <v>3803</v>
      </c>
      <c r="L7092">
        <v>6511000</v>
      </c>
      <c r="M7092">
        <v>651100</v>
      </c>
    </row>
    <row r="7093" spans="1:13" x14ac:dyDescent="0.25">
      <c r="A7093" t="s">
        <v>23385</v>
      </c>
      <c r="B7093" t="s">
        <v>23386</v>
      </c>
      <c r="C7093" t="s">
        <v>15</v>
      </c>
      <c r="D7093" t="s">
        <v>873</v>
      </c>
      <c r="E7093" t="s">
        <v>21078</v>
      </c>
      <c r="F7093" t="s">
        <v>21085</v>
      </c>
      <c r="G7093" t="s">
        <v>23387</v>
      </c>
      <c r="H7093" t="str">
        <f>HYPERLINK("https://baanknet.com/view-property/267044/E8D81A0D76C512D2BF1AA4029635C26B4B1F8DD006AB79203D6B210DC1D5DDCD", "https://baanknet.com/view-property/267044/E8D81A0D76C512D2BF1AA4029635C26B4B1F8DD006AB79203D6B210DC1D5DDCD")</f>
        <v>https://baanknet.com/view-property/267044/E8D81A0D76C512D2BF1AA4029635C26B4B1F8DD006AB79203D6B210DC1D5DDCD</v>
      </c>
      <c r="I7093" t="str">
        <f>HYPERLINK("https://baanknet.com/view-property/267044/E8D81A0D76C512D2BF1AA4029635C26B4B1F8DD006AB79203D6B210DC1D5DDCD", "Open")</f>
        <v>Open</v>
      </c>
      <c r="J7093" t="s">
        <v>3803</v>
      </c>
      <c r="L7093">
        <v>5600000</v>
      </c>
      <c r="M7093">
        <v>560000</v>
      </c>
    </row>
    <row r="7094" spans="1:13" x14ac:dyDescent="0.25">
      <c r="A7094" t="s">
        <v>23388</v>
      </c>
      <c r="B7094" t="s">
        <v>23389</v>
      </c>
      <c r="C7094" t="s">
        <v>15</v>
      </c>
      <c r="D7094" t="s">
        <v>937</v>
      </c>
      <c r="E7094" t="s">
        <v>21078</v>
      </c>
      <c r="F7094" t="s">
        <v>21085</v>
      </c>
      <c r="G7094" t="s">
        <v>23390</v>
      </c>
      <c r="H7094" t="str">
        <f>HYPERLINK("https://baanknet.com/view-property/252404/03164EE817481C82BDED2629921BF32216B8A14CA73709569B58142739A9F3D7", "https://baanknet.com/view-property/252404/03164EE817481C82BDED2629921BF32216B8A14CA73709569B58142739A9F3D7")</f>
        <v>https://baanknet.com/view-property/252404/03164EE817481C82BDED2629921BF32216B8A14CA73709569B58142739A9F3D7</v>
      </c>
      <c r="I7094" t="str">
        <f>HYPERLINK("https://baanknet.com/view-property/252404/03164EE817481C82BDED2629921BF32216B8A14CA73709569B58142739A9F3D7", "Open")</f>
        <v>Open</v>
      </c>
      <c r="J7094" t="s">
        <v>3803</v>
      </c>
      <c r="L7094">
        <v>1770000</v>
      </c>
      <c r="M7094">
        <v>177000</v>
      </c>
    </row>
    <row r="7095" spans="1:13" x14ac:dyDescent="0.25">
      <c r="A7095" t="s">
        <v>23391</v>
      </c>
      <c r="B7095" t="s">
        <v>23392</v>
      </c>
      <c r="C7095" t="s">
        <v>15</v>
      </c>
      <c r="D7095" t="s">
        <v>5243</v>
      </c>
      <c r="E7095" t="s">
        <v>21078</v>
      </c>
      <c r="F7095" t="s">
        <v>21085</v>
      </c>
      <c r="G7095" t="s">
        <v>23393</v>
      </c>
      <c r="H7095" t="str">
        <f>HYPERLINK("https://baanknet.com/view-property/263415/45E3BF89258AEA913052E562F17575CEDAE2D396BB0E6B23C0C676E9DFE33172", "https://baanknet.com/view-property/263415/45E3BF89258AEA913052E562F17575CEDAE2D396BB0E6B23C0C676E9DFE33172")</f>
        <v>https://baanknet.com/view-property/263415/45E3BF89258AEA913052E562F17575CEDAE2D396BB0E6B23C0C676E9DFE33172</v>
      </c>
      <c r="I7095" t="str">
        <f>HYPERLINK("https://baanknet.com/view-property/263415/45E3BF89258AEA913052E562F17575CEDAE2D396BB0E6B23C0C676E9DFE33172", "Open")</f>
        <v>Open</v>
      </c>
      <c r="J7095" t="s">
        <v>3803</v>
      </c>
      <c r="L7095">
        <v>5500000</v>
      </c>
      <c r="M7095">
        <v>550000</v>
      </c>
    </row>
    <row r="7096" spans="1:13" x14ac:dyDescent="0.25">
      <c r="A7096" t="s">
        <v>23394</v>
      </c>
      <c r="B7096" t="s">
        <v>23395</v>
      </c>
      <c r="C7096" t="s">
        <v>15</v>
      </c>
      <c r="D7096" t="s">
        <v>937</v>
      </c>
      <c r="E7096" t="s">
        <v>21078</v>
      </c>
      <c r="F7096" t="s">
        <v>21085</v>
      </c>
      <c r="G7096" t="s">
        <v>23396</v>
      </c>
      <c r="H7096" t="str">
        <f>HYPERLINK("https://baanknet.com/view-property/239265/A55D470DAE18DE3196F015455FDF6A27CD1C723D0D46008A7BEEA7F42A121818", "https://baanknet.com/view-property/239265/A55D470DAE18DE3196F015455FDF6A27CD1C723D0D46008A7BEEA7F42A121818")</f>
        <v>https://baanknet.com/view-property/239265/A55D470DAE18DE3196F015455FDF6A27CD1C723D0D46008A7BEEA7F42A121818</v>
      </c>
      <c r="I7096" t="str">
        <f>HYPERLINK("https://baanknet.com/view-property/239265/A55D470DAE18DE3196F015455FDF6A27CD1C723D0D46008A7BEEA7F42A121818", "Open")</f>
        <v>Open</v>
      </c>
      <c r="J7096" t="s">
        <v>3803</v>
      </c>
      <c r="L7096">
        <v>6000000</v>
      </c>
      <c r="M7096">
        <v>600000</v>
      </c>
    </row>
    <row r="7097" spans="1:13" x14ac:dyDescent="0.25">
      <c r="A7097" t="s">
        <v>23397</v>
      </c>
      <c r="B7097" t="s">
        <v>23398</v>
      </c>
      <c r="C7097" t="s">
        <v>15</v>
      </c>
      <c r="D7097" t="s">
        <v>4280</v>
      </c>
      <c r="E7097" t="s">
        <v>21078</v>
      </c>
      <c r="F7097" t="s">
        <v>21085</v>
      </c>
      <c r="G7097" t="s">
        <v>23399</v>
      </c>
      <c r="H7097" t="str">
        <f>HYPERLINK("https://baanknet.com/view-property/281913/024C62BD8331A2C3F8A17F9C31907D9194DEE9B69ADFEA967F1265C7EB267646", "https://baanknet.com/view-property/281913/024C62BD8331A2C3F8A17F9C31907D9194DEE9B69ADFEA967F1265C7EB267646")</f>
        <v>https://baanknet.com/view-property/281913/024C62BD8331A2C3F8A17F9C31907D9194DEE9B69ADFEA967F1265C7EB267646</v>
      </c>
      <c r="I7097" t="str">
        <f>HYPERLINK("https://baanknet.com/view-property/281913/024C62BD8331A2C3F8A17F9C31907D9194DEE9B69ADFEA967F1265C7EB267646", "Open")</f>
        <v>Open</v>
      </c>
      <c r="J7097" t="s">
        <v>3803</v>
      </c>
      <c r="L7097">
        <v>5214000</v>
      </c>
      <c r="M7097">
        <v>521400</v>
      </c>
    </row>
    <row r="7098" spans="1:13" x14ac:dyDescent="0.25">
      <c r="A7098" t="s">
        <v>23400</v>
      </c>
      <c r="B7098" t="s">
        <v>23401</v>
      </c>
      <c r="C7098" t="s">
        <v>15</v>
      </c>
      <c r="D7098" t="s">
        <v>1169</v>
      </c>
      <c r="E7098" t="s">
        <v>21078</v>
      </c>
      <c r="F7098" t="s">
        <v>21085</v>
      </c>
      <c r="G7098" t="s">
        <v>23402</v>
      </c>
      <c r="H7098" t="str">
        <f>HYPERLINK("https://baanknet.com/view-property/276166/B66EF9733CE9343848E50570132AFCB0CDEC04303598E89D8EDED873622B548D", "https://baanknet.com/view-property/276166/B66EF9733CE9343848E50570132AFCB0CDEC04303598E89D8EDED873622B548D")</f>
        <v>https://baanknet.com/view-property/276166/B66EF9733CE9343848E50570132AFCB0CDEC04303598E89D8EDED873622B548D</v>
      </c>
      <c r="I7098" t="str">
        <f>HYPERLINK("https://baanknet.com/view-property/276166/B66EF9733CE9343848E50570132AFCB0CDEC04303598E89D8EDED873622B548D", "Open")</f>
        <v>Open</v>
      </c>
      <c r="J7098" t="s">
        <v>3803</v>
      </c>
      <c r="L7098">
        <v>9400000</v>
      </c>
      <c r="M7098">
        <v>940000</v>
      </c>
    </row>
    <row r="7099" spans="1:13" x14ac:dyDescent="0.25">
      <c r="A7099" t="s">
        <v>23403</v>
      </c>
      <c r="B7099" t="s">
        <v>23404</v>
      </c>
      <c r="C7099" t="s">
        <v>15</v>
      </c>
      <c r="D7099" t="s">
        <v>11344</v>
      </c>
      <c r="E7099" t="s">
        <v>21078</v>
      </c>
      <c r="F7099" t="s">
        <v>21085</v>
      </c>
      <c r="G7099" t="s">
        <v>23405</v>
      </c>
      <c r="H7099" t="str">
        <f>HYPERLINK("https://baanknet.com/view-property/267348/A6B2C37CC3CE456A78231BF69DBA9C7DF0A49371457B70C04BED64D19C0D1F58", "https://baanknet.com/view-property/267348/A6B2C37CC3CE456A78231BF69DBA9C7DF0A49371457B70C04BED64D19C0D1F58")</f>
        <v>https://baanknet.com/view-property/267348/A6B2C37CC3CE456A78231BF69DBA9C7DF0A49371457B70C04BED64D19C0D1F58</v>
      </c>
      <c r="I7099" t="str">
        <f>HYPERLINK("https://baanknet.com/view-property/267348/A6B2C37CC3CE456A78231BF69DBA9C7DF0A49371457B70C04BED64D19C0D1F58", "Open")</f>
        <v>Open</v>
      </c>
      <c r="J7099" t="s">
        <v>3803</v>
      </c>
      <c r="L7099">
        <v>6300000</v>
      </c>
      <c r="M7099">
        <v>630000</v>
      </c>
    </row>
    <row r="7100" spans="1:13" x14ac:dyDescent="0.25">
      <c r="A7100" t="s">
        <v>23406</v>
      </c>
      <c r="B7100" t="s">
        <v>23407</v>
      </c>
      <c r="C7100" t="s">
        <v>15</v>
      </c>
      <c r="D7100" t="s">
        <v>5316</v>
      </c>
      <c r="E7100" t="s">
        <v>21078</v>
      </c>
      <c r="F7100" t="s">
        <v>21085</v>
      </c>
      <c r="G7100" t="s">
        <v>23408</v>
      </c>
      <c r="H7100" t="str">
        <f>HYPERLINK("https://baanknet.com/view-property/239386/66BC45533A79693B773CC5E4BBF347A0F344C9BF5F1655469622D99ED025ACED", "https://baanknet.com/view-property/239386/66BC45533A79693B773CC5E4BBF347A0F344C9BF5F1655469622D99ED025ACED")</f>
        <v>https://baanknet.com/view-property/239386/66BC45533A79693B773CC5E4BBF347A0F344C9BF5F1655469622D99ED025ACED</v>
      </c>
      <c r="I7100" t="str">
        <f>HYPERLINK("https://baanknet.com/view-property/239386/66BC45533A79693B773CC5E4BBF347A0F344C9BF5F1655469622D99ED025ACED", "Open")</f>
        <v>Open</v>
      </c>
      <c r="J7100" t="s">
        <v>3803</v>
      </c>
      <c r="L7100">
        <v>3150000</v>
      </c>
      <c r="M7100">
        <v>315000</v>
      </c>
    </row>
    <row r="7101" spans="1:13" x14ac:dyDescent="0.25">
      <c r="A7101" t="s">
        <v>23409</v>
      </c>
      <c r="B7101" t="s">
        <v>23410</v>
      </c>
      <c r="C7101" t="s">
        <v>15</v>
      </c>
      <c r="D7101" t="s">
        <v>4799</v>
      </c>
      <c r="E7101" t="s">
        <v>21078</v>
      </c>
      <c r="F7101" t="s">
        <v>21085</v>
      </c>
      <c r="G7101" t="s">
        <v>23411</v>
      </c>
      <c r="H7101" t="str">
        <f>HYPERLINK("https://baanknet.com/view-property/239383/4C9558AB4DA18CCA9CDE33418E973A7F74585F34E7A6BEEC204DF86A4DBAA745", "https://baanknet.com/view-property/239383/4C9558AB4DA18CCA9CDE33418E973A7F74585F34E7A6BEEC204DF86A4DBAA745")</f>
        <v>https://baanknet.com/view-property/239383/4C9558AB4DA18CCA9CDE33418E973A7F74585F34E7A6BEEC204DF86A4DBAA745</v>
      </c>
      <c r="I7101" t="str">
        <f>HYPERLINK("https://baanknet.com/view-property/239383/4C9558AB4DA18CCA9CDE33418E973A7F74585F34E7A6BEEC204DF86A4DBAA745", "Open")</f>
        <v>Open</v>
      </c>
      <c r="J7101" t="s">
        <v>3803</v>
      </c>
      <c r="L7101">
        <v>950000</v>
      </c>
      <c r="M7101">
        <v>95000</v>
      </c>
    </row>
    <row r="7102" spans="1:13" x14ac:dyDescent="0.25">
      <c r="A7102" t="s">
        <v>23412</v>
      </c>
      <c r="B7102" t="s">
        <v>23413</v>
      </c>
      <c r="C7102" t="s">
        <v>15</v>
      </c>
      <c r="D7102" t="s">
        <v>21388</v>
      </c>
      <c r="E7102" t="s">
        <v>21078</v>
      </c>
      <c r="F7102" t="s">
        <v>21085</v>
      </c>
      <c r="G7102" t="s">
        <v>23414</v>
      </c>
      <c r="H7102" t="str">
        <f>HYPERLINK("https://baanknet.com/view-property/239384/6405958B4B91D4B90F0C1434DD6652EC09679971C33BF62EDE5AD839120C45CC", "https://baanknet.com/view-property/239384/6405958B4B91D4B90F0C1434DD6652EC09679971C33BF62EDE5AD839120C45CC")</f>
        <v>https://baanknet.com/view-property/239384/6405958B4B91D4B90F0C1434DD6652EC09679971C33BF62EDE5AD839120C45CC</v>
      </c>
      <c r="I7102" t="str">
        <f>HYPERLINK("https://baanknet.com/view-property/239384/6405958B4B91D4B90F0C1434DD6652EC09679971C33BF62EDE5AD839120C45CC", "Open")</f>
        <v>Open</v>
      </c>
      <c r="J7102" t="s">
        <v>3803</v>
      </c>
      <c r="L7102">
        <v>1900000</v>
      </c>
      <c r="M7102">
        <v>190000</v>
      </c>
    </row>
    <row r="7103" spans="1:13" x14ac:dyDescent="0.25">
      <c r="A7103" t="s">
        <v>23415</v>
      </c>
      <c r="B7103" t="s">
        <v>23416</v>
      </c>
      <c r="C7103" t="s">
        <v>15</v>
      </c>
      <c r="D7103" t="s">
        <v>6389</v>
      </c>
      <c r="E7103" t="s">
        <v>21078</v>
      </c>
      <c r="F7103" t="s">
        <v>21085</v>
      </c>
      <c r="G7103" t="s">
        <v>23417</v>
      </c>
      <c r="H7103" t="str">
        <f>HYPERLINK("https://baanknet.com/view-property/239388/4C2D4AB9E64A07B1B4A9D488E1660DC2B12BB0B2BA36FED63F063B031048F77F", "https://baanknet.com/view-property/239388/4C2D4AB9E64A07B1B4A9D488E1660DC2B12BB0B2BA36FED63F063B031048F77F")</f>
        <v>https://baanknet.com/view-property/239388/4C2D4AB9E64A07B1B4A9D488E1660DC2B12BB0B2BA36FED63F063B031048F77F</v>
      </c>
      <c r="I7103" t="str">
        <f>HYPERLINK("https://baanknet.com/view-property/239388/4C2D4AB9E64A07B1B4A9D488E1660DC2B12BB0B2BA36FED63F063B031048F77F", "Open")</f>
        <v>Open</v>
      </c>
      <c r="J7103" t="s">
        <v>3803</v>
      </c>
      <c r="L7103">
        <v>2400000</v>
      </c>
      <c r="M7103">
        <v>240000</v>
      </c>
    </row>
    <row r="7104" spans="1:13" x14ac:dyDescent="0.25">
      <c r="A7104" t="s">
        <v>23418</v>
      </c>
      <c r="B7104" t="s">
        <v>23419</v>
      </c>
      <c r="C7104" t="s">
        <v>15</v>
      </c>
      <c r="D7104" t="s">
        <v>6389</v>
      </c>
      <c r="E7104" t="s">
        <v>21078</v>
      </c>
      <c r="F7104" t="s">
        <v>21085</v>
      </c>
      <c r="G7104" t="s">
        <v>23420</v>
      </c>
      <c r="H7104" t="str">
        <f>HYPERLINK("https://baanknet.com/view-property/239389/186C3A5057DF195E4DCA88932B25111727EEACBC723C058CB48C9C7247EDDDC9", "https://baanknet.com/view-property/239389/186C3A5057DF195E4DCA88932B25111727EEACBC723C058CB48C9C7247EDDDC9")</f>
        <v>https://baanknet.com/view-property/239389/186C3A5057DF195E4DCA88932B25111727EEACBC723C058CB48C9C7247EDDDC9</v>
      </c>
      <c r="I7104" t="str">
        <f>HYPERLINK("https://baanknet.com/view-property/239389/186C3A5057DF195E4DCA88932B25111727EEACBC723C058CB48C9C7247EDDDC9", "Open")</f>
        <v>Open</v>
      </c>
      <c r="J7104" t="s">
        <v>3803</v>
      </c>
      <c r="L7104">
        <v>2000000</v>
      </c>
      <c r="M7104">
        <v>200000</v>
      </c>
    </row>
    <row r="7105" spans="1:13" x14ac:dyDescent="0.25">
      <c r="A7105" t="s">
        <v>23421</v>
      </c>
      <c r="B7105" t="s">
        <v>23422</v>
      </c>
      <c r="C7105" t="s">
        <v>15</v>
      </c>
      <c r="D7105" t="s">
        <v>6389</v>
      </c>
      <c r="E7105" t="s">
        <v>21078</v>
      </c>
      <c r="F7105" t="s">
        <v>21085</v>
      </c>
      <c r="G7105" t="s">
        <v>23423</v>
      </c>
      <c r="H7105" t="str">
        <f>HYPERLINK("https://baanknet.com/view-property/239390/1563F2BD03D108F60650FCE16261F2DD21E84A963563CC2CABDCA95264895A48", "https://baanknet.com/view-property/239390/1563F2BD03D108F60650FCE16261F2DD21E84A963563CC2CABDCA95264895A48")</f>
        <v>https://baanknet.com/view-property/239390/1563F2BD03D108F60650FCE16261F2DD21E84A963563CC2CABDCA95264895A48</v>
      </c>
      <c r="I7105" t="str">
        <f>HYPERLINK("https://baanknet.com/view-property/239390/1563F2BD03D108F60650FCE16261F2DD21E84A963563CC2CABDCA95264895A48", "Open")</f>
        <v>Open</v>
      </c>
      <c r="J7105" t="s">
        <v>3803</v>
      </c>
      <c r="L7105">
        <v>2200000</v>
      </c>
      <c r="M7105">
        <v>220000</v>
      </c>
    </row>
    <row r="7106" spans="1:13" x14ac:dyDescent="0.25">
      <c r="A7106" t="s">
        <v>23424</v>
      </c>
      <c r="B7106" t="s">
        <v>23425</v>
      </c>
      <c r="C7106" t="s">
        <v>15</v>
      </c>
      <c r="D7106" t="s">
        <v>6389</v>
      </c>
      <c r="E7106" t="s">
        <v>21078</v>
      </c>
      <c r="F7106" t="s">
        <v>21085</v>
      </c>
      <c r="G7106" t="s">
        <v>23426</v>
      </c>
      <c r="H7106" t="str">
        <f>HYPERLINK("https://baanknet.com/view-property/239391/B01B5508815A44878E5DD4041071E50B2777E5D2C1EDC1CA023CB98CEAF5718A", "https://baanknet.com/view-property/239391/B01B5508815A44878E5DD4041071E50B2777E5D2C1EDC1CA023CB98CEAF5718A")</f>
        <v>https://baanknet.com/view-property/239391/B01B5508815A44878E5DD4041071E50B2777E5D2C1EDC1CA023CB98CEAF5718A</v>
      </c>
      <c r="I7106" t="str">
        <f>HYPERLINK("https://baanknet.com/view-property/239391/B01B5508815A44878E5DD4041071E50B2777E5D2C1EDC1CA023CB98CEAF5718A", "Open")</f>
        <v>Open</v>
      </c>
      <c r="J7106" t="s">
        <v>3803</v>
      </c>
      <c r="L7106">
        <v>1800000</v>
      </c>
      <c r="M7106">
        <v>180000</v>
      </c>
    </row>
    <row r="7107" spans="1:13" x14ac:dyDescent="0.25">
      <c r="A7107" t="s">
        <v>23427</v>
      </c>
      <c r="B7107" t="s">
        <v>23428</v>
      </c>
      <c r="C7107" t="s">
        <v>15</v>
      </c>
      <c r="D7107" t="s">
        <v>5266</v>
      </c>
      <c r="E7107" t="s">
        <v>21078</v>
      </c>
      <c r="F7107" t="s">
        <v>21085</v>
      </c>
      <c r="G7107" t="s">
        <v>23429</v>
      </c>
      <c r="H7107" t="str">
        <f>HYPERLINK("https://baanknet.com/view-property/239291/9AF20E07216F2FA8AB741975289750320A986480174C570962A98970C81DD4AF", "https://baanknet.com/view-property/239291/9AF20E07216F2FA8AB741975289750320A986480174C570962A98970C81DD4AF")</f>
        <v>https://baanknet.com/view-property/239291/9AF20E07216F2FA8AB741975289750320A986480174C570962A98970C81DD4AF</v>
      </c>
      <c r="I7107" t="str">
        <f>HYPERLINK("https://baanknet.com/view-property/239291/9AF20E07216F2FA8AB741975289750320A986480174C570962A98970C81DD4AF", "Open")</f>
        <v>Open</v>
      </c>
      <c r="J7107" t="s">
        <v>3803</v>
      </c>
      <c r="L7107">
        <v>1350000</v>
      </c>
      <c r="M7107">
        <v>135000</v>
      </c>
    </row>
    <row r="7108" spans="1:13" x14ac:dyDescent="0.25">
      <c r="A7108" t="s">
        <v>23430</v>
      </c>
      <c r="B7108" t="s">
        <v>23431</v>
      </c>
      <c r="C7108" t="s">
        <v>15</v>
      </c>
      <c r="D7108" t="s">
        <v>1993</v>
      </c>
      <c r="E7108" t="s">
        <v>21078</v>
      </c>
      <c r="F7108" t="s">
        <v>21085</v>
      </c>
      <c r="G7108" t="s">
        <v>23432</v>
      </c>
      <c r="H7108" t="str">
        <f>HYPERLINK("https://baanknet.com/view-property/280100/7FB6E3FF7B7A8008BB5C74F0C330E50BCCFF1604874495B689251690E6CCC7C0", "https://baanknet.com/view-property/280100/7FB6E3FF7B7A8008BB5C74F0C330E50BCCFF1604874495B689251690E6CCC7C0")</f>
        <v>https://baanknet.com/view-property/280100/7FB6E3FF7B7A8008BB5C74F0C330E50BCCFF1604874495B689251690E6CCC7C0</v>
      </c>
      <c r="I7108" t="str">
        <f>HYPERLINK("https://baanknet.com/view-property/280100/7FB6E3FF7B7A8008BB5C74F0C330E50BCCFF1604874495B689251690E6CCC7C0", "Open")</f>
        <v>Open</v>
      </c>
      <c r="J7108" t="s">
        <v>3803</v>
      </c>
      <c r="L7108">
        <v>1972000</v>
      </c>
      <c r="M7108">
        <v>197200</v>
      </c>
    </row>
    <row r="7109" spans="1:13" x14ac:dyDescent="0.25">
      <c r="A7109" t="s">
        <v>23433</v>
      </c>
      <c r="B7109" t="s">
        <v>23434</v>
      </c>
      <c r="C7109" t="s">
        <v>15</v>
      </c>
      <c r="D7109" t="s">
        <v>6026</v>
      </c>
      <c r="E7109" t="s">
        <v>21078</v>
      </c>
      <c r="F7109" t="s">
        <v>21085</v>
      </c>
      <c r="G7109" t="s">
        <v>23435</v>
      </c>
      <c r="H7109" t="str">
        <f>HYPERLINK("https://baanknet.com/view-property/239316/0D491FEC421489614F6D8473623D258B5A9F278DCD4F1BA88FAFB2BEB651B16F", "https://baanknet.com/view-property/239316/0D491FEC421489614F6D8473623D258B5A9F278DCD4F1BA88FAFB2BEB651B16F")</f>
        <v>https://baanknet.com/view-property/239316/0D491FEC421489614F6D8473623D258B5A9F278DCD4F1BA88FAFB2BEB651B16F</v>
      </c>
      <c r="I7109" t="str">
        <f>HYPERLINK("https://baanknet.com/view-property/239316/0D491FEC421489614F6D8473623D258B5A9F278DCD4F1BA88FAFB2BEB651B16F", "Open")</f>
        <v>Open</v>
      </c>
      <c r="J7109" t="s">
        <v>3803</v>
      </c>
      <c r="L7109">
        <v>1850000</v>
      </c>
      <c r="M7109">
        <v>185000</v>
      </c>
    </row>
    <row r="7110" spans="1:13" x14ac:dyDescent="0.25">
      <c r="A7110" t="s">
        <v>23436</v>
      </c>
      <c r="B7110" t="s">
        <v>23437</v>
      </c>
      <c r="C7110" t="s">
        <v>15</v>
      </c>
      <c r="D7110" t="s">
        <v>937</v>
      </c>
      <c r="E7110" t="s">
        <v>21078</v>
      </c>
      <c r="F7110" t="s">
        <v>21085</v>
      </c>
      <c r="G7110" t="s">
        <v>23438</v>
      </c>
      <c r="H7110" t="str">
        <f>HYPERLINK("https://baanknet.com/view-property/283690/7DD40C489E4FB2CC1437B745018C0E5161A5D2B9C548FCE1693E1836AC365D59", "https://baanknet.com/view-property/283690/7DD40C489E4FB2CC1437B745018C0E5161A5D2B9C548FCE1693E1836AC365D59")</f>
        <v>https://baanknet.com/view-property/283690/7DD40C489E4FB2CC1437B745018C0E5161A5D2B9C548FCE1693E1836AC365D59</v>
      </c>
      <c r="I7110" t="str">
        <f>HYPERLINK("https://baanknet.com/view-property/283690/7DD40C489E4FB2CC1437B745018C0E5161A5D2B9C548FCE1693E1836AC365D59", "Open")</f>
        <v>Open</v>
      </c>
      <c r="J7110" t="s">
        <v>3803</v>
      </c>
      <c r="L7110">
        <v>5663000</v>
      </c>
      <c r="M7110">
        <v>566300</v>
      </c>
    </row>
    <row r="7111" spans="1:13" x14ac:dyDescent="0.25">
      <c r="A7111" t="s">
        <v>23439</v>
      </c>
      <c r="B7111" t="s">
        <v>23440</v>
      </c>
      <c r="C7111" t="s">
        <v>15</v>
      </c>
      <c r="D7111" t="s">
        <v>3351</v>
      </c>
      <c r="E7111" t="s">
        <v>21078</v>
      </c>
      <c r="F7111" t="s">
        <v>21085</v>
      </c>
      <c r="G7111" t="s">
        <v>23441</v>
      </c>
      <c r="H7111" t="str">
        <f>HYPERLINK("https://baanknet.com/view-property/283349/8BBD14086B45AF110ED17879BC05838F2375903285FA6905CA044BF5802B2995", "https://baanknet.com/view-property/283349/8BBD14086B45AF110ED17879BC05838F2375903285FA6905CA044BF5802B2995")</f>
        <v>https://baanknet.com/view-property/283349/8BBD14086B45AF110ED17879BC05838F2375903285FA6905CA044BF5802B2995</v>
      </c>
      <c r="I7111" t="str">
        <f>HYPERLINK("https://baanknet.com/view-property/283349/8BBD14086B45AF110ED17879BC05838F2375903285FA6905CA044BF5802B2995", "Open")</f>
        <v>Open</v>
      </c>
      <c r="J7111" t="s">
        <v>3803</v>
      </c>
      <c r="L7111">
        <v>3623000</v>
      </c>
      <c r="M7111">
        <v>362300</v>
      </c>
    </row>
    <row r="7112" spans="1:13" x14ac:dyDescent="0.25">
      <c r="A7112" t="s">
        <v>23442</v>
      </c>
      <c r="B7112" t="s">
        <v>23443</v>
      </c>
      <c r="C7112" t="s">
        <v>15</v>
      </c>
      <c r="D7112" t="s">
        <v>937</v>
      </c>
      <c r="E7112" t="s">
        <v>21078</v>
      </c>
      <c r="F7112" t="s">
        <v>21085</v>
      </c>
      <c r="G7112" t="s">
        <v>23444</v>
      </c>
      <c r="H7112" t="str">
        <f>HYPERLINK("https://baanknet.com/view-property/239247/969FF10E749265836EB2CCA12424FEE6CB0BABD2AAEBF9A6E41C5309670BEBC7", "https://baanknet.com/view-property/239247/969FF10E749265836EB2CCA12424FEE6CB0BABD2AAEBF9A6E41C5309670BEBC7")</f>
        <v>https://baanknet.com/view-property/239247/969FF10E749265836EB2CCA12424FEE6CB0BABD2AAEBF9A6E41C5309670BEBC7</v>
      </c>
      <c r="I7112" t="str">
        <f>HYPERLINK("https://baanknet.com/view-property/239247/969FF10E749265836EB2CCA12424FEE6CB0BABD2AAEBF9A6E41C5309670BEBC7", "Open")</f>
        <v>Open</v>
      </c>
      <c r="J7112" t="s">
        <v>3803</v>
      </c>
      <c r="L7112">
        <v>2500000</v>
      </c>
      <c r="M7112">
        <v>250000</v>
      </c>
    </row>
    <row r="7113" spans="1:13" x14ac:dyDescent="0.25">
      <c r="A7113" t="s">
        <v>23445</v>
      </c>
      <c r="B7113" t="s">
        <v>23446</v>
      </c>
      <c r="C7113" t="s">
        <v>121</v>
      </c>
      <c r="D7113" t="s">
        <v>11467</v>
      </c>
      <c r="E7113" t="s">
        <v>579</v>
      </c>
      <c r="F7113" t="s">
        <v>585</v>
      </c>
      <c r="G7113" t="s">
        <v>23447</v>
      </c>
      <c r="H7113" t="str">
        <f>HYPERLINK("https://baanknet.com/view-property/177556/4EBCD48F73E2F8B45505F521502094B8F3202A4F8ED2E347E0CB3BA1F3F65F1B", "https://baanknet.com/view-property/177556/4EBCD48F73E2F8B45505F521502094B8F3202A4F8ED2E347E0CB3BA1F3F65F1B")</f>
        <v>https://baanknet.com/view-property/177556/4EBCD48F73E2F8B45505F521502094B8F3202A4F8ED2E347E0CB3BA1F3F65F1B</v>
      </c>
      <c r="I7113" t="str">
        <f>HYPERLINK("https://baanknet.com/view-property/177556/4EBCD48F73E2F8B45505F521502094B8F3202A4F8ED2E347E0CB3BA1F3F65F1B", "Open")</f>
        <v>Open</v>
      </c>
      <c r="J7113" t="s">
        <v>20</v>
      </c>
      <c r="K7113" t="s">
        <v>21</v>
      </c>
      <c r="L7113">
        <v>1942000</v>
      </c>
      <c r="M7113">
        <v>194200</v>
      </c>
    </row>
    <row r="7114" spans="1:13" x14ac:dyDescent="0.25">
      <c r="A7114" t="s">
        <v>23448</v>
      </c>
      <c r="B7114" t="s">
        <v>23449</v>
      </c>
      <c r="C7114" t="s">
        <v>15</v>
      </c>
      <c r="D7114" t="s">
        <v>718</v>
      </c>
      <c r="E7114" t="s">
        <v>654</v>
      </c>
      <c r="F7114" t="s">
        <v>283</v>
      </c>
      <c r="G7114" t="s">
        <v>23450</v>
      </c>
      <c r="H7114" t="str">
        <f>HYPERLINK("https://baanknet.com/view-property/243417/2AB2B2C355E8375DC0C529C8282E946909D54E50051DA4ED3E98E3ED8287AB34", "https://baanknet.com/view-property/243417/2AB2B2C355E8375DC0C529C8282E946909D54E50051DA4ED3E98E3ED8287AB34")</f>
        <v>https://baanknet.com/view-property/243417/2AB2B2C355E8375DC0C529C8282E946909D54E50051DA4ED3E98E3ED8287AB34</v>
      </c>
      <c r="I7114" t="str">
        <f>HYPERLINK("https://baanknet.com/view-property/243417/2AB2B2C355E8375DC0C529C8282E946909D54E50051DA4ED3E98E3ED8287AB34", "Open")</f>
        <v>Open</v>
      </c>
      <c r="J7114" t="s">
        <v>20</v>
      </c>
      <c r="K7114" t="s">
        <v>21</v>
      </c>
      <c r="L7114">
        <v>3500000</v>
      </c>
      <c r="M7114">
        <v>350000</v>
      </c>
    </row>
    <row r="7115" spans="1:13" x14ac:dyDescent="0.25">
      <c r="A7115" t="s">
        <v>23451</v>
      </c>
      <c r="B7115" t="s">
        <v>23452</v>
      </c>
      <c r="C7115" t="s">
        <v>121</v>
      </c>
      <c r="D7115" t="s">
        <v>23453</v>
      </c>
      <c r="E7115" t="s">
        <v>654</v>
      </c>
      <c r="F7115" t="s">
        <v>334</v>
      </c>
      <c r="G7115" t="s">
        <v>23454</v>
      </c>
      <c r="H7115" t="str">
        <f>HYPERLINK("https://baanknet.com/view-property/186142/98491E4D7E8BEB9732E5C3EB8722A1269AD7FC074F6AE16106E1401AF1489FFA", "https://baanknet.com/view-property/186142/98491E4D7E8BEB9732E5C3EB8722A1269AD7FC074F6AE16106E1401AF1489FFA")</f>
        <v>https://baanknet.com/view-property/186142/98491E4D7E8BEB9732E5C3EB8722A1269AD7FC074F6AE16106E1401AF1489FFA</v>
      </c>
      <c r="I7115" t="str">
        <f>HYPERLINK("https://baanknet.com/view-property/186142/98491E4D7E8BEB9732E5C3EB8722A1269AD7FC074F6AE16106E1401AF1489FFA", "Open")</f>
        <v>Open</v>
      </c>
      <c r="J7115" t="s">
        <v>20</v>
      </c>
      <c r="K7115" t="s">
        <v>21</v>
      </c>
      <c r="L7115">
        <v>830000</v>
      </c>
      <c r="M7115">
        <v>83000</v>
      </c>
    </row>
    <row r="7116" spans="1:13" x14ac:dyDescent="0.25">
      <c r="A7116" t="s">
        <v>23455</v>
      </c>
      <c r="B7116" t="s">
        <v>23456</v>
      </c>
      <c r="C7116" t="s">
        <v>121</v>
      </c>
      <c r="D7116" t="s">
        <v>13703</v>
      </c>
      <c r="E7116" t="s">
        <v>654</v>
      </c>
      <c r="F7116" t="s">
        <v>334</v>
      </c>
      <c r="G7116" t="s">
        <v>23457</v>
      </c>
      <c r="H7116" t="str">
        <f>HYPERLINK("https://baanknet.com/view-property/254095/5BDCA6F56246C9509AE73B25751644272D04FAF5BE4CD36B3F2D9B207C3C94D9", "https://baanknet.com/view-property/254095/5BDCA6F56246C9509AE73B25751644272D04FAF5BE4CD36B3F2D9B207C3C94D9")</f>
        <v>https://baanknet.com/view-property/254095/5BDCA6F56246C9509AE73B25751644272D04FAF5BE4CD36B3F2D9B207C3C94D9</v>
      </c>
      <c r="I7116" t="str">
        <f>HYPERLINK("https://baanknet.com/view-property/254095/5BDCA6F56246C9509AE73B25751644272D04FAF5BE4CD36B3F2D9B207C3C94D9", "Open")</f>
        <v>Open</v>
      </c>
      <c r="J7116" t="s">
        <v>20</v>
      </c>
      <c r="K7116" t="s">
        <v>21</v>
      </c>
      <c r="L7116">
        <v>740000</v>
      </c>
      <c r="M7116">
        <v>74000</v>
      </c>
    </row>
    <row r="7117" spans="1:13" x14ac:dyDescent="0.25">
      <c r="A7117" t="s">
        <v>23458</v>
      </c>
      <c r="B7117" t="s">
        <v>23459</v>
      </c>
      <c r="C7117" t="s">
        <v>121</v>
      </c>
      <c r="D7117" t="s">
        <v>13625</v>
      </c>
      <c r="E7117" t="s">
        <v>654</v>
      </c>
      <c r="F7117" t="s">
        <v>334</v>
      </c>
      <c r="G7117" t="s">
        <v>23460</v>
      </c>
      <c r="H7117" t="str">
        <f>HYPERLINK("https://baanknet.com/view-property/185164/933FAE8E06A1E15E0C331BBBF11482710C4A703493DE045C2223F0CBBA701D18", "https://baanknet.com/view-property/185164/933FAE8E06A1E15E0C331BBBF11482710C4A703493DE045C2223F0CBBA701D18")</f>
        <v>https://baanknet.com/view-property/185164/933FAE8E06A1E15E0C331BBBF11482710C4A703493DE045C2223F0CBBA701D18</v>
      </c>
      <c r="I7117" t="str">
        <f>HYPERLINK("https://baanknet.com/view-property/185164/933FAE8E06A1E15E0C331BBBF11482710C4A703493DE045C2223F0CBBA701D18", "Open")</f>
        <v>Open</v>
      </c>
      <c r="J7117" t="s">
        <v>20</v>
      </c>
      <c r="K7117" t="s">
        <v>21</v>
      </c>
      <c r="L7117">
        <v>1370000</v>
      </c>
      <c r="M7117">
        <v>137000</v>
      </c>
    </row>
    <row r="7118" spans="1:13" x14ac:dyDescent="0.25">
      <c r="A7118" t="s">
        <v>23461</v>
      </c>
      <c r="B7118" t="s">
        <v>23462</v>
      </c>
      <c r="C7118" t="s">
        <v>121</v>
      </c>
      <c r="D7118" t="s">
        <v>813</v>
      </c>
      <c r="E7118" t="s">
        <v>654</v>
      </c>
      <c r="F7118" t="s">
        <v>334</v>
      </c>
      <c r="G7118" t="s">
        <v>23463</v>
      </c>
      <c r="H7118" t="str">
        <f>HYPERLINK("https://baanknet.com/view-property/181245/8EFB9150DABFC9D2CAE49C9EBA5A56F734FE9587DCD9A2E928AD45831E80B09E", "https://baanknet.com/view-property/181245/8EFB9150DABFC9D2CAE49C9EBA5A56F734FE9587DCD9A2E928AD45831E80B09E")</f>
        <v>https://baanknet.com/view-property/181245/8EFB9150DABFC9D2CAE49C9EBA5A56F734FE9587DCD9A2E928AD45831E80B09E</v>
      </c>
      <c r="I7118" t="str">
        <f>HYPERLINK("https://baanknet.com/view-property/181245/8EFB9150DABFC9D2CAE49C9EBA5A56F734FE9587DCD9A2E928AD45831E80B09E", "Open")</f>
        <v>Open</v>
      </c>
      <c r="J7118" t="s">
        <v>20</v>
      </c>
      <c r="K7118" t="s">
        <v>21</v>
      </c>
      <c r="L7118">
        <v>1260000</v>
      </c>
      <c r="M7118">
        <v>126000</v>
      </c>
    </row>
    <row r="7119" spans="1:13" x14ac:dyDescent="0.25">
      <c r="A7119" t="s">
        <v>23464</v>
      </c>
      <c r="B7119" t="s">
        <v>23465</v>
      </c>
      <c r="C7119" t="s">
        <v>121</v>
      </c>
      <c r="D7119" t="s">
        <v>813</v>
      </c>
      <c r="E7119" t="s">
        <v>654</v>
      </c>
      <c r="F7119" t="s">
        <v>334</v>
      </c>
      <c r="G7119" t="s">
        <v>23466</v>
      </c>
      <c r="H7119" t="str">
        <f>HYPERLINK("https://baanknet.com/view-property/252211/A33B1CD41F0A0A71CE339CB62AAD268094C3F183388D366EAD3033F7E6A79B80", "https://baanknet.com/view-property/252211/A33B1CD41F0A0A71CE339CB62AAD268094C3F183388D366EAD3033F7E6A79B80")</f>
        <v>https://baanknet.com/view-property/252211/A33B1CD41F0A0A71CE339CB62AAD268094C3F183388D366EAD3033F7E6A79B80</v>
      </c>
      <c r="I7119" t="str">
        <f>HYPERLINK("https://baanknet.com/view-property/252211/A33B1CD41F0A0A71CE339CB62AAD268094C3F183388D366EAD3033F7E6A79B80", "Open")</f>
        <v>Open</v>
      </c>
      <c r="J7119" t="s">
        <v>20</v>
      </c>
      <c r="K7119" t="s">
        <v>21</v>
      </c>
      <c r="L7119">
        <v>1175000</v>
      </c>
      <c r="M7119">
        <v>117500</v>
      </c>
    </row>
    <row r="7120" spans="1:13" x14ac:dyDescent="0.25">
      <c r="A7120" t="s">
        <v>23467</v>
      </c>
      <c r="B7120" t="s">
        <v>23468</v>
      </c>
      <c r="C7120" t="s">
        <v>15</v>
      </c>
      <c r="D7120" t="s">
        <v>937</v>
      </c>
      <c r="E7120" t="s">
        <v>21078</v>
      </c>
      <c r="F7120" t="s">
        <v>21085</v>
      </c>
      <c r="G7120" t="s">
        <v>23469</v>
      </c>
      <c r="H7120" t="str">
        <f>HYPERLINK("https://baanknet.com/view-property/239235/488F1C938671ED977990CA5E61DB38655B061C079B66609B6337846AC14C999E", "https://baanknet.com/view-property/239235/488F1C938671ED977990CA5E61DB38655B061C079B66609B6337846AC14C999E")</f>
        <v>https://baanknet.com/view-property/239235/488F1C938671ED977990CA5E61DB38655B061C079B66609B6337846AC14C999E</v>
      </c>
      <c r="I7120" t="str">
        <f>HYPERLINK("https://baanknet.com/view-property/239235/488F1C938671ED977990CA5E61DB38655B061C079B66609B6337846AC14C999E", "Open")</f>
        <v>Open</v>
      </c>
      <c r="J7120" t="s">
        <v>3803</v>
      </c>
      <c r="L7120">
        <v>22000000</v>
      </c>
      <c r="M7120">
        <v>2200000</v>
      </c>
    </row>
    <row r="7121" spans="1:13" x14ac:dyDescent="0.25">
      <c r="A7121" t="s">
        <v>23470</v>
      </c>
      <c r="B7121" t="s">
        <v>23471</v>
      </c>
      <c r="C7121" t="s">
        <v>121</v>
      </c>
      <c r="D7121" t="s">
        <v>14257</v>
      </c>
      <c r="E7121" t="s">
        <v>579</v>
      </c>
      <c r="F7121" t="s">
        <v>585</v>
      </c>
      <c r="G7121" t="s">
        <v>23472</v>
      </c>
      <c r="H7121" t="str">
        <f>HYPERLINK("https://baanknet.com/view-property/177580/8AE839884D0F9C95C3B7056B90FBA30DC640BF7C6E1C7C67CA842580DC5F5B47", "https://baanknet.com/view-property/177580/8AE839884D0F9C95C3B7056B90FBA30DC640BF7C6E1C7C67CA842580DC5F5B47")</f>
        <v>https://baanknet.com/view-property/177580/8AE839884D0F9C95C3B7056B90FBA30DC640BF7C6E1C7C67CA842580DC5F5B47</v>
      </c>
      <c r="I7121" t="str">
        <f>HYPERLINK("https://baanknet.com/view-property/177580/8AE839884D0F9C95C3B7056B90FBA30DC640BF7C6E1C7C67CA842580DC5F5B47", "Open")</f>
        <v>Open</v>
      </c>
      <c r="J7121" t="s">
        <v>3803</v>
      </c>
      <c r="L7121">
        <v>529000</v>
      </c>
      <c r="M7121">
        <v>52900</v>
      </c>
    </row>
    <row r="7122" spans="1:13" x14ac:dyDescent="0.25">
      <c r="A7122" t="s">
        <v>23473</v>
      </c>
      <c r="B7122" t="s">
        <v>23474</v>
      </c>
      <c r="C7122" t="s">
        <v>121</v>
      </c>
      <c r="D7122" t="s">
        <v>14261</v>
      </c>
      <c r="E7122" t="s">
        <v>579</v>
      </c>
      <c r="F7122" t="s">
        <v>585</v>
      </c>
      <c r="G7122" t="s">
        <v>23475</v>
      </c>
      <c r="H7122" t="str">
        <f>HYPERLINK("https://baanknet.com/view-property/257236/D747A95699BE319B601CA7D69C21EA4433B7EC78954E7964E7186416BBB5F1C7", "https://baanknet.com/view-property/257236/D747A95699BE319B601CA7D69C21EA4433B7EC78954E7964E7186416BBB5F1C7")</f>
        <v>https://baanknet.com/view-property/257236/D747A95699BE319B601CA7D69C21EA4433B7EC78954E7964E7186416BBB5F1C7</v>
      </c>
      <c r="I7122" t="str">
        <f>HYPERLINK("https://baanknet.com/view-property/257236/D747A95699BE319B601CA7D69C21EA4433B7EC78954E7964E7186416BBB5F1C7", "Open")</f>
        <v>Open</v>
      </c>
      <c r="J7122" t="s">
        <v>3803</v>
      </c>
      <c r="L7122">
        <v>1818000</v>
      </c>
      <c r="M7122">
        <v>181800</v>
      </c>
    </row>
    <row r="7123" spans="1:13" x14ac:dyDescent="0.25">
      <c r="A7123" t="s">
        <v>23476</v>
      </c>
      <c r="B7123" t="s">
        <v>23477</v>
      </c>
      <c r="C7123" t="s">
        <v>121</v>
      </c>
      <c r="D7123" t="s">
        <v>11467</v>
      </c>
      <c r="E7123" t="s">
        <v>579</v>
      </c>
      <c r="F7123" t="s">
        <v>585</v>
      </c>
      <c r="G7123" t="s">
        <v>23478</v>
      </c>
      <c r="H7123" t="str">
        <f>HYPERLINK("https://baanknet.com/view-property/177562/A842A31A114388B3473B76B2CEBBD7D3166CAA17AF81BAAA73342689FE6160FD", "https://baanknet.com/view-property/177562/A842A31A114388B3473B76B2CEBBD7D3166CAA17AF81BAAA73342689FE6160FD")</f>
        <v>https://baanknet.com/view-property/177562/A842A31A114388B3473B76B2CEBBD7D3166CAA17AF81BAAA73342689FE6160FD</v>
      </c>
      <c r="I7123" t="str">
        <f>HYPERLINK("https://baanknet.com/view-property/177562/A842A31A114388B3473B76B2CEBBD7D3166CAA17AF81BAAA73342689FE6160FD", "Open")</f>
        <v>Open</v>
      </c>
      <c r="J7123" t="s">
        <v>3803</v>
      </c>
      <c r="L7123">
        <v>1234000</v>
      </c>
      <c r="M7123">
        <v>123400</v>
      </c>
    </row>
    <row r="7124" spans="1:13" x14ac:dyDescent="0.25">
      <c r="A7124" t="s">
        <v>23479</v>
      </c>
      <c r="B7124" t="s">
        <v>23480</v>
      </c>
      <c r="C7124" t="s">
        <v>121</v>
      </c>
      <c r="D7124" t="s">
        <v>23481</v>
      </c>
      <c r="E7124" t="s">
        <v>579</v>
      </c>
      <c r="F7124" t="s">
        <v>585</v>
      </c>
      <c r="G7124" t="s">
        <v>23482</v>
      </c>
      <c r="H7124" t="str">
        <f>HYPERLINK("https://baanknet.com/view-property/231594/126E5F1AB2552C625B8EC6BC2F6D571A47F334332C0479FB4A1C48B83B8F0000", "https://baanknet.com/view-property/231594/126E5F1AB2552C625B8EC6BC2F6D571A47F334332C0479FB4A1C48B83B8F0000")</f>
        <v>https://baanknet.com/view-property/231594/126E5F1AB2552C625B8EC6BC2F6D571A47F334332C0479FB4A1C48B83B8F0000</v>
      </c>
      <c r="I7124" t="str">
        <f>HYPERLINK("https://baanknet.com/view-property/231594/126E5F1AB2552C625B8EC6BC2F6D571A47F334332C0479FB4A1C48B83B8F0000", "Open")</f>
        <v>Open</v>
      </c>
      <c r="J7124" t="s">
        <v>3803</v>
      </c>
      <c r="L7124">
        <v>1942000</v>
      </c>
      <c r="M7124">
        <v>194200</v>
      </c>
    </row>
    <row r="7125" spans="1:13" x14ac:dyDescent="0.25">
      <c r="A7125" t="s">
        <v>23483</v>
      </c>
      <c r="B7125" t="s">
        <v>23484</v>
      </c>
      <c r="C7125" t="s">
        <v>121</v>
      </c>
      <c r="D7125" t="s">
        <v>11467</v>
      </c>
      <c r="E7125" t="s">
        <v>579</v>
      </c>
      <c r="F7125" t="s">
        <v>585</v>
      </c>
      <c r="G7125" t="s">
        <v>23485</v>
      </c>
      <c r="H7125" t="str">
        <f>HYPERLINK("https://baanknet.com/view-property/275644/0ED25D1F926A46614C2B3C8286F744C4653B9230228A05CF68EEA2B82B4EFC64", "https://baanknet.com/view-property/275644/0ED25D1F926A46614C2B3C8286F744C4653B9230228A05CF68EEA2B82B4EFC64")</f>
        <v>https://baanknet.com/view-property/275644/0ED25D1F926A46614C2B3C8286F744C4653B9230228A05CF68EEA2B82B4EFC64</v>
      </c>
      <c r="I7125" t="str">
        <f>HYPERLINK("https://baanknet.com/view-property/275644/0ED25D1F926A46614C2B3C8286F744C4653B9230228A05CF68EEA2B82B4EFC64", "Open")</f>
        <v>Open</v>
      </c>
      <c r="J7125" t="s">
        <v>3803</v>
      </c>
      <c r="L7125">
        <v>1885000</v>
      </c>
      <c r="M7125">
        <v>188500</v>
      </c>
    </row>
    <row r="7126" spans="1:13" x14ac:dyDescent="0.25">
      <c r="A7126" t="s">
        <v>23486</v>
      </c>
      <c r="B7126" t="s">
        <v>23487</v>
      </c>
      <c r="C7126" t="s">
        <v>121</v>
      </c>
      <c r="D7126" t="s">
        <v>23488</v>
      </c>
      <c r="E7126" t="s">
        <v>579</v>
      </c>
      <c r="F7126" t="s">
        <v>585</v>
      </c>
      <c r="G7126" t="s">
        <v>23489</v>
      </c>
      <c r="H7126" t="str">
        <f>HYPERLINK("https://baanknet.com/view-property/257228/DFC84EBD056F5DDC291133470C76D3C379508460E936605924CE2B0D3DD386CA", "https://baanknet.com/view-property/257228/DFC84EBD056F5DDC291133470C76D3C379508460E936605924CE2B0D3DD386CA")</f>
        <v>https://baanknet.com/view-property/257228/DFC84EBD056F5DDC291133470C76D3C379508460E936605924CE2B0D3DD386CA</v>
      </c>
      <c r="I7126" t="str">
        <f>HYPERLINK("https://baanknet.com/view-property/257228/DFC84EBD056F5DDC291133470C76D3C379508460E936605924CE2B0D3DD386CA", "Open")</f>
        <v>Open</v>
      </c>
      <c r="J7126" t="s">
        <v>3803</v>
      </c>
      <c r="L7126">
        <v>3742000</v>
      </c>
      <c r="M7126">
        <v>374200</v>
      </c>
    </row>
    <row r="7127" spans="1:13" x14ac:dyDescent="0.25">
      <c r="A7127" t="s">
        <v>23490</v>
      </c>
      <c r="B7127" t="s">
        <v>23491</v>
      </c>
      <c r="C7127" t="s">
        <v>594</v>
      </c>
      <c r="D7127" t="s">
        <v>23492</v>
      </c>
      <c r="E7127" t="s">
        <v>579</v>
      </c>
      <c r="F7127" t="s">
        <v>23493</v>
      </c>
      <c r="G7127" t="s">
        <v>23494</v>
      </c>
      <c r="H7127" t="str">
        <f>HYPERLINK("https://baanknet.com/view-property/239308/297E9055152214FDE8BAC9163966DE535903D9B77DF2D372A9DA1CE11C1ED58D", "https://baanknet.com/view-property/239308/297E9055152214FDE8BAC9163966DE535903D9B77DF2D372A9DA1CE11C1ED58D")</f>
        <v>https://baanknet.com/view-property/239308/297E9055152214FDE8BAC9163966DE535903D9B77DF2D372A9DA1CE11C1ED58D</v>
      </c>
      <c r="I7127" t="str">
        <f>HYPERLINK("https://baanknet.com/view-property/239308/297E9055152214FDE8BAC9163966DE535903D9B77DF2D372A9DA1CE11C1ED58D", "Open")</f>
        <v>Open</v>
      </c>
      <c r="J7127" t="s">
        <v>3803</v>
      </c>
      <c r="L7127">
        <v>1954150</v>
      </c>
      <c r="M7127">
        <v>195415</v>
      </c>
    </row>
    <row r="7128" spans="1:13" x14ac:dyDescent="0.25">
      <c r="A7128" t="s">
        <v>23495</v>
      </c>
      <c r="B7128" t="s">
        <v>23496</v>
      </c>
      <c r="C7128" t="s">
        <v>594</v>
      </c>
      <c r="D7128" t="s">
        <v>22098</v>
      </c>
      <c r="E7128" t="s">
        <v>596</v>
      </c>
      <c r="F7128" t="s">
        <v>574</v>
      </c>
      <c r="G7128" t="s">
        <v>23497</v>
      </c>
      <c r="H7128" t="str">
        <f>HYPERLINK("https://baanknet.com/view-property/74316/99F4225BDF7AB5323BC4BA4DD5072C148067B4AB3B17F58644EB6B143F49B532", "https://baanknet.com/view-property/74316/99F4225BDF7AB5323BC4BA4DD5072C148067B4AB3B17F58644EB6B143F49B532")</f>
        <v>https://baanknet.com/view-property/74316/99F4225BDF7AB5323BC4BA4DD5072C148067B4AB3B17F58644EB6B143F49B532</v>
      </c>
      <c r="I7128" t="str">
        <f>HYPERLINK("https://baanknet.com/view-property/74316/99F4225BDF7AB5323BC4BA4DD5072C148067B4AB3B17F58644EB6B143F49B532", "Open")</f>
        <v>Open</v>
      </c>
      <c r="J7128" t="s">
        <v>3803</v>
      </c>
      <c r="L7128">
        <v>10600000</v>
      </c>
      <c r="M7128">
        <v>1060000</v>
      </c>
    </row>
    <row r="7129" spans="1:13" x14ac:dyDescent="0.25">
      <c r="A7129" t="s">
        <v>23498</v>
      </c>
      <c r="B7129" t="s">
        <v>23499</v>
      </c>
      <c r="C7129" t="s">
        <v>594</v>
      </c>
      <c r="D7129" t="s">
        <v>157</v>
      </c>
      <c r="E7129" t="s">
        <v>596</v>
      </c>
      <c r="F7129" t="s">
        <v>574</v>
      </c>
      <c r="G7129" t="s">
        <v>23500</v>
      </c>
      <c r="H7129" t="str">
        <f>HYPERLINK("https://baanknet.com/view-property/259058/9D880C090D7B49B80E50CE1A3590E738D0EA4561F93ED44648BE9E295E039ED5", "https://baanknet.com/view-property/259058/9D880C090D7B49B80E50CE1A3590E738D0EA4561F93ED44648BE9E295E039ED5")</f>
        <v>https://baanknet.com/view-property/259058/9D880C090D7B49B80E50CE1A3590E738D0EA4561F93ED44648BE9E295E039ED5</v>
      </c>
      <c r="I7129" t="str">
        <f>HYPERLINK("https://baanknet.com/view-property/259058/9D880C090D7B49B80E50CE1A3590E738D0EA4561F93ED44648BE9E295E039ED5", "Open")</f>
        <v>Open</v>
      </c>
      <c r="J7129" t="s">
        <v>3803</v>
      </c>
      <c r="L7129">
        <v>3330000</v>
      </c>
      <c r="M7129">
        <v>333000</v>
      </c>
    </row>
    <row r="7130" spans="1:13" x14ac:dyDescent="0.25">
      <c r="A7130" t="s">
        <v>23501</v>
      </c>
      <c r="B7130" t="s">
        <v>23502</v>
      </c>
      <c r="C7130" t="s">
        <v>594</v>
      </c>
      <c r="D7130" t="s">
        <v>1761</v>
      </c>
      <c r="E7130" t="s">
        <v>596</v>
      </c>
      <c r="F7130" t="s">
        <v>574</v>
      </c>
      <c r="G7130" t="s">
        <v>23503</v>
      </c>
      <c r="H7130" t="str">
        <f>HYPERLINK("https://baanknet.com/view-property/215901/570E1E9B03D11B608780E3B2E2489DE1A04F8FEAE6AE8DC291DEEDE02D9C7A65", "https://baanknet.com/view-property/215901/570E1E9B03D11B608780E3B2E2489DE1A04F8FEAE6AE8DC291DEEDE02D9C7A65")</f>
        <v>https://baanknet.com/view-property/215901/570E1E9B03D11B608780E3B2E2489DE1A04F8FEAE6AE8DC291DEEDE02D9C7A65</v>
      </c>
      <c r="I7130" t="str">
        <f>HYPERLINK("https://baanknet.com/view-property/215901/570E1E9B03D11B608780E3B2E2489DE1A04F8FEAE6AE8DC291DEEDE02D9C7A65", "Open")</f>
        <v>Open</v>
      </c>
      <c r="J7130" t="s">
        <v>3803</v>
      </c>
      <c r="L7130">
        <v>884000</v>
      </c>
      <c r="M7130">
        <v>88400</v>
      </c>
    </row>
    <row r="7131" spans="1:13" x14ac:dyDescent="0.25">
      <c r="A7131" t="s">
        <v>23504</v>
      </c>
      <c r="B7131" t="s">
        <v>23505</v>
      </c>
      <c r="C7131" t="s">
        <v>594</v>
      </c>
      <c r="D7131" t="s">
        <v>157</v>
      </c>
      <c r="E7131" t="s">
        <v>596</v>
      </c>
      <c r="F7131" t="s">
        <v>574</v>
      </c>
      <c r="G7131" t="s">
        <v>23506</v>
      </c>
      <c r="H7131" t="str">
        <f>HYPERLINK("https://baanknet.com/view-property/287864/A61EDC0C5FEE404A001CFE6C3478A1A1DFC50556AFAB1E6FDFBB15E87E5F4C42", "https://baanknet.com/view-property/287864/A61EDC0C5FEE404A001CFE6C3478A1A1DFC50556AFAB1E6FDFBB15E87E5F4C42")</f>
        <v>https://baanknet.com/view-property/287864/A61EDC0C5FEE404A001CFE6C3478A1A1DFC50556AFAB1E6FDFBB15E87E5F4C42</v>
      </c>
      <c r="I7131" t="str">
        <f>HYPERLINK("https://baanknet.com/view-property/287864/A61EDC0C5FEE404A001CFE6C3478A1A1DFC50556AFAB1E6FDFBB15E87E5F4C42", "Open")</f>
        <v>Open</v>
      </c>
      <c r="J7131" t="s">
        <v>3803</v>
      </c>
      <c r="L7131">
        <v>2600000</v>
      </c>
      <c r="M7131">
        <v>260000</v>
      </c>
    </row>
    <row r="7132" spans="1:13" x14ac:dyDescent="0.25">
      <c r="A7132" t="s">
        <v>23507</v>
      </c>
      <c r="B7132" t="s">
        <v>23508</v>
      </c>
      <c r="C7132" t="s">
        <v>594</v>
      </c>
      <c r="D7132" t="s">
        <v>853</v>
      </c>
      <c r="E7132" t="s">
        <v>596</v>
      </c>
      <c r="F7132" t="s">
        <v>574</v>
      </c>
      <c r="G7132" t="s">
        <v>23509</v>
      </c>
      <c r="H7132" t="str">
        <f>HYPERLINK("https://baanknet.com/view-property/108918/0B3AB3B39C39FD80693CA2EA1254192A0343AAB7FFFF81C099AB9B2857E18BD8", "https://baanknet.com/view-property/108918/0B3AB3B39C39FD80693CA2EA1254192A0343AAB7FFFF81C099AB9B2857E18BD8")</f>
        <v>https://baanknet.com/view-property/108918/0B3AB3B39C39FD80693CA2EA1254192A0343AAB7FFFF81C099AB9B2857E18BD8</v>
      </c>
      <c r="I7132" t="str">
        <f>HYPERLINK("https://baanknet.com/view-property/108918/0B3AB3B39C39FD80693CA2EA1254192A0343AAB7FFFF81C099AB9B2857E18BD8", "Open")</f>
        <v>Open</v>
      </c>
      <c r="J7132" t="s">
        <v>3803</v>
      </c>
      <c r="L7132">
        <v>2265000</v>
      </c>
      <c r="M7132">
        <v>226500</v>
      </c>
    </row>
    <row r="7133" spans="1:13" x14ac:dyDescent="0.25">
      <c r="A7133" t="s">
        <v>23510</v>
      </c>
      <c r="B7133" t="s">
        <v>23511</v>
      </c>
      <c r="C7133" t="s">
        <v>594</v>
      </c>
      <c r="D7133" t="s">
        <v>23512</v>
      </c>
      <c r="E7133" t="s">
        <v>596</v>
      </c>
      <c r="F7133" t="s">
        <v>574</v>
      </c>
      <c r="G7133" t="s">
        <v>23513</v>
      </c>
      <c r="H7133" t="str">
        <f>HYPERLINK("https://baanknet.com/view-property/268835/CDCC0383F75F90FF0A508288297DA58F88B251EEE09135D383C91A26F12F725E", "https://baanknet.com/view-property/268835/CDCC0383F75F90FF0A508288297DA58F88B251EEE09135D383C91A26F12F725E")</f>
        <v>https://baanknet.com/view-property/268835/CDCC0383F75F90FF0A508288297DA58F88B251EEE09135D383C91A26F12F725E</v>
      </c>
      <c r="I7133" t="str">
        <f>HYPERLINK("https://baanknet.com/view-property/268835/CDCC0383F75F90FF0A508288297DA58F88B251EEE09135D383C91A26F12F725E", "Open")</f>
        <v>Open</v>
      </c>
      <c r="J7133" t="s">
        <v>3803</v>
      </c>
      <c r="L7133">
        <v>1742000</v>
      </c>
      <c r="M7133">
        <v>174200</v>
      </c>
    </row>
    <row r="7134" spans="1:13" x14ac:dyDescent="0.25">
      <c r="A7134" t="s">
        <v>23514</v>
      </c>
      <c r="B7134" t="s">
        <v>23515</v>
      </c>
      <c r="C7134" t="s">
        <v>594</v>
      </c>
      <c r="D7134" t="s">
        <v>6718</v>
      </c>
      <c r="E7134" t="s">
        <v>596</v>
      </c>
      <c r="F7134" t="s">
        <v>574</v>
      </c>
      <c r="G7134" t="s">
        <v>23516</v>
      </c>
      <c r="H7134" t="str">
        <f>HYPERLINK("https://baanknet.com/view-property/234994/821FA347899560B63F3696789AB3EC3FEBC8D0F0DCDEA62A4ECB315434C1BE58", "https://baanknet.com/view-property/234994/821FA347899560B63F3696789AB3EC3FEBC8D0F0DCDEA62A4ECB315434C1BE58")</f>
        <v>https://baanknet.com/view-property/234994/821FA347899560B63F3696789AB3EC3FEBC8D0F0DCDEA62A4ECB315434C1BE58</v>
      </c>
      <c r="I7134" t="str">
        <f>HYPERLINK("https://baanknet.com/view-property/234994/821FA347899560B63F3696789AB3EC3FEBC8D0F0DCDEA62A4ECB315434C1BE58", "Open")</f>
        <v>Open</v>
      </c>
      <c r="J7134" t="s">
        <v>3803</v>
      </c>
      <c r="L7134">
        <v>1500000</v>
      </c>
      <c r="M7134">
        <v>150000</v>
      </c>
    </row>
    <row r="7135" spans="1:13" x14ac:dyDescent="0.25">
      <c r="A7135" t="s">
        <v>23517</v>
      </c>
      <c r="B7135" t="s">
        <v>23518</v>
      </c>
      <c r="C7135" t="s">
        <v>594</v>
      </c>
      <c r="D7135" t="s">
        <v>8917</v>
      </c>
      <c r="E7135" t="s">
        <v>596</v>
      </c>
      <c r="F7135" t="s">
        <v>574</v>
      </c>
      <c r="G7135" t="s">
        <v>23519</v>
      </c>
      <c r="H7135" t="str">
        <f>HYPERLINK("https://baanknet.com/view-property/285387/486DE71F3691E4D6A7E44BDA808950542C2C6DA8CD32117E5445CC5F75E71DE0", "https://baanknet.com/view-property/285387/486DE71F3691E4D6A7E44BDA808950542C2C6DA8CD32117E5445CC5F75E71DE0")</f>
        <v>https://baanknet.com/view-property/285387/486DE71F3691E4D6A7E44BDA808950542C2C6DA8CD32117E5445CC5F75E71DE0</v>
      </c>
      <c r="I7135" t="str">
        <f>HYPERLINK("https://baanknet.com/view-property/285387/486DE71F3691E4D6A7E44BDA808950542C2C6DA8CD32117E5445CC5F75E71DE0", "Open")</f>
        <v>Open</v>
      </c>
      <c r="J7135" t="s">
        <v>3803</v>
      </c>
      <c r="L7135">
        <v>3810550</v>
      </c>
      <c r="M7135">
        <v>381055</v>
      </c>
    </row>
    <row r="7136" spans="1:13" x14ac:dyDescent="0.25">
      <c r="A7136" t="s">
        <v>23520</v>
      </c>
      <c r="B7136" t="s">
        <v>23521</v>
      </c>
      <c r="C7136" t="s">
        <v>594</v>
      </c>
      <c r="D7136" t="s">
        <v>23522</v>
      </c>
      <c r="E7136" t="s">
        <v>596</v>
      </c>
      <c r="F7136" t="s">
        <v>574</v>
      </c>
      <c r="G7136" t="s">
        <v>23523</v>
      </c>
      <c r="H7136" t="str">
        <f>HYPERLINK("https://baanknet.com/view-property/268759/15D178F17DBFF9CD1C128E9EC40822D470995D3A04D38E5FF61D70EB896256B5", "https://baanknet.com/view-property/268759/15D178F17DBFF9CD1C128E9EC40822D470995D3A04D38E5FF61D70EB896256B5")</f>
        <v>https://baanknet.com/view-property/268759/15D178F17DBFF9CD1C128E9EC40822D470995D3A04D38E5FF61D70EB896256B5</v>
      </c>
      <c r="I7136" t="str">
        <f>HYPERLINK("https://baanknet.com/view-property/268759/15D178F17DBFF9CD1C128E9EC40822D470995D3A04D38E5FF61D70EB896256B5", "Open")</f>
        <v>Open</v>
      </c>
      <c r="J7136" t="s">
        <v>3803</v>
      </c>
      <c r="L7136">
        <v>7200000</v>
      </c>
      <c r="M7136">
        <v>720000</v>
      </c>
    </row>
    <row r="7137" spans="1:13" x14ac:dyDescent="0.25">
      <c r="A7137" t="s">
        <v>23524</v>
      </c>
      <c r="B7137" t="s">
        <v>23525</v>
      </c>
      <c r="C7137" t="s">
        <v>594</v>
      </c>
      <c r="D7137" t="s">
        <v>900</v>
      </c>
      <c r="E7137" t="s">
        <v>596</v>
      </c>
      <c r="F7137" t="s">
        <v>574</v>
      </c>
      <c r="G7137" t="s">
        <v>23526</v>
      </c>
      <c r="H7137" t="str">
        <f>HYPERLINK("https://baanknet.com/view-property/268833/DF7406D7EF5708E2B92930EE96568509158A3AF43CCFC469453D20E960B4E8C5", "https://baanknet.com/view-property/268833/DF7406D7EF5708E2B92930EE96568509158A3AF43CCFC469453D20E960B4E8C5")</f>
        <v>https://baanknet.com/view-property/268833/DF7406D7EF5708E2B92930EE96568509158A3AF43CCFC469453D20E960B4E8C5</v>
      </c>
      <c r="I7137" t="str">
        <f>HYPERLINK("https://baanknet.com/view-property/268833/DF7406D7EF5708E2B92930EE96568509158A3AF43CCFC469453D20E960B4E8C5", "Open")</f>
        <v>Open</v>
      </c>
      <c r="J7137" t="s">
        <v>3803</v>
      </c>
      <c r="L7137">
        <v>1708000</v>
      </c>
      <c r="M7137">
        <v>170800</v>
      </c>
    </row>
    <row r="7138" spans="1:13" x14ac:dyDescent="0.25">
      <c r="A7138" t="s">
        <v>23527</v>
      </c>
      <c r="B7138" t="s">
        <v>23528</v>
      </c>
      <c r="C7138" t="s">
        <v>594</v>
      </c>
      <c r="D7138" t="s">
        <v>2224</v>
      </c>
      <c r="E7138" t="s">
        <v>596</v>
      </c>
      <c r="F7138" t="s">
        <v>574</v>
      </c>
      <c r="G7138" t="s">
        <v>23529</v>
      </c>
      <c r="H7138" t="str">
        <f>HYPERLINK("https://baanknet.com/view-property/285382/98E4B5A2D49D291291ECFDE8DB24AC7E53152DE7D66882E308B99AD2052B7CA3", "https://baanknet.com/view-property/285382/98E4B5A2D49D291291ECFDE8DB24AC7E53152DE7D66882E308B99AD2052B7CA3")</f>
        <v>https://baanknet.com/view-property/285382/98E4B5A2D49D291291ECFDE8DB24AC7E53152DE7D66882E308B99AD2052B7CA3</v>
      </c>
      <c r="I7138" t="str">
        <f>HYPERLINK("https://baanknet.com/view-property/285382/98E4B5A2D49D291291ECFDE8DB24AC7E53152DE7D66882E308B99AD2052B7CA3", "Open")</f>
        <v>Open</v>
      </c>
      <c r="J7138" t="s">
        <v>3803</v>
      </c>
      <c r="L7138">
        <v>1139850</v>
      </c>
      <c r="M7138">
        <v>113985</v>
      </c>
    </row>
    <row r="7139" spans="1:13" x14ac:dyDescent="0.25">
      <c r="A7139" t="s">
        <v>23530</v>
      </c>
      <c r="B7139" t="s">
        <v>23531</v>
      </c>
      <c r="C7139" t="s">
        <v>594</v>
      </c>
      <c r="D7139" t="s">
        <v>23532</v>
      </c>
      <c r="E7139" t="s">
        <v>596</v>
      </c>
      <c r="F7139" t="s">
        <v>574</v>
      </c>
      <c r="G7139" t="s">
        <v>23533</v>
      </c>
      <c r="H7139" t="str">
        <f>HYPERLINK("https://baanknet.com/view-property/283310/BCEE7E8439263ED93610B2E85F2CFEACFF8EA1A469C60AF49D480BBC68CFCE6B", "https://baanknet.com/view-property/283310/BCEE7E8439263ED93610B2E85F2CFEACFF8EA1A469C60AF49D480BBC68CFCE6B")</f>
        <v>https://baanknet.com/view-property/283310/BCEE7E8439263ED93610B2E85F2CFEACFF8EA1A469C60AF49D480BBC68CFCE6B</v>
      </c>
      <c r="I7139" t="str">
        <f>HYPERLINK("https://baanknet.com/view-property/283310/BCEE7E8439263ED93610B2E85F2CFEACFF8EA1A469C60AF49D480BBC68CFCE6B", "Open")</f>
        <v>Open</v>
      </c>
      <c r="J7139" t="s">
        <v>3803</v>
      </c>
      <c r="L7139">
        <v>1592000</v>
      </c>
      <c r="M7139">
        <v>159200</v>
      </c>
    </row>
    <row r="7140" spans="1:13" x14ac:dyDescent="0.25">
      <c r="A7140" t="s">
        <v>23534</v>
      </c>
      <c r="B7140" t="s">
        <v>23535</v>
      </c>
      <c r="C7140" t="s">
        <v>594</v>
      </c>
      <c r="D7140" t="s">
        <v>23536</v>
      </c>
      <c r="E7140" t="s">
        <v>596</v>
      </c>
      <c r="F7140" t="s">
        <v>574</v>
      </c>
      <c r="G7140" t="s">
        <v>23537</v>
      </c>
      <c r="H7140" t="str">
        <f>HYPERLINK("https://baanknet.com/view-property/262996/9580EC7CAF24CFEF2E703FBD6927BC7E82529C711C09910129D56D62973A76FE", "https://baanknet.com/view-property/262996/9580EC7CAF24CFEF2E703FBD6927BC7E82529C711C09910129D56D62973A76FE")</f>
        <v>https://baanknet.com/view-property/262996/9580EC7CAF24CFEF2E703FBD6927BC7E82529C711C09910129D56D62973A76FE</v>
      </c>
      <c r="I7140" t="str">
        <f>HYPERLINK("https://baanknet.com/view-property/262996/9580EC7CAF24CFEF2E703FBD6927BC7E82529C711C09910129D56D62973A76FE", "Open")</f>
        <v>Open</v>
      </c>
      <c r="J7140" t="s">
        <v>3803</v>
      </c>
      <c r="L7140">
        <v>1443555</v>
      </c>
      <c r="M7140">
        <v>144355.5</v>
      </c>
    </row>
    <row r="7141" spans="1:13" x14ac:dyDescent="0.25">
      <c r="A7141" t="s">
        <v>23538</v>
      </c>
      <c r="B7141" t="s">
        <v>23539</v>
      </c>
      <c r="C7141" t="s">
        <v>594</v>
      </c>
      <c r="D7141" t="s">
        <v>8917</v>
      </c>
      <c r="E7141" t="s">
        <v>596</v>
      </c>
      <c r="F7141" t="s">
        <v>574</v>
      </c>
      <c r="G7141" t="s">
        <v>23540</v>
      </c>
      <c r="H7141" t="str">
        <f>HYPERLINK("https://baanknet.com/view-property/274990/297B0D0B119A6E9594C7D0058D0277F62064C37A284BA724E035CE07F057153C", "https://baanknet.com/view-property/274990/297B0D0B119A6E9594C7D0058D0277F62064C37A284BA724E035CE07F057153C")</f>
        <v>https://baanknet.com/view-property/274990/297B0D0B119A6E9594C7D0058D0277F62064C37A284BA724E035CE07F057153C</v>
      </c>
      <c r="I7141" t="str">
        <f>HYPERLINK("https://baanknet.com/view-property/274990/297B0D0B119A6E9594C7D0058D0277F62064C37A284BA724E035CE07F057153C", "Open")</f>
        <v>Open</v>
      </c>
      <c r="J7141" t="s">
        <v>3803</v>
      </c>
      <c r="L7141">
        <v>1070150</v>
      </c>
      <c r="M7141">
        <v>107015</v>
      </c>
    </row>
    <row r="7142" spans="1:13" x14ac:dyDescent="0.25">
      <c r="A7142" t="s">
        <v>23541</v>
      </c>
      <c r="B7142" t="s">
        <v>23542</v>
      </c>
      <c r="C7142" t="s">
        <v>594</v>
      </c>
      <c r="D7142" t="s">
        <v>853</v>
      </c>
      <c r="E7142" t="s">
        <v>596</v>
      </c>
      <c r="F7142" t="s">
        <v>574</v>
      </c>
      <c r="G7142" t="s">
        <v>23543</v>
      </c>
      <c r="H7142" t="str">
        <f>HYPERLINK("https://baanknet.com/view-property/99762/EDB044F345630A7A5136ECAC8A5C82A485CC3DF6EC73772884EB5CDB7ADCEE22", "https://baanknet.com/view-property/99762/EDB044F345630A7A5136ECAC8A5C82A485CC3DF6EC73772884EB5CDB7ADCEE22")</f>
        <v>https://baanknet.com/view-property/99762/EDB044F345630A7A5136ECAC8A5C82A485CC3DF6EC73772884EB5CDB7ADCEE22</v>
      </c>
      <c r="I7142" t="str">
        <f>HYPERLINK("https://baanknet.com/view-property/99762/EDB044F345630A7A5136ECAC8A5C82A485CC3DF6EC73772884EB5CDB7ADCEE22", "Open")</f>
        <v>Open</v>
      </c>
      <c r="J7142" t="s">
        <v>3803</v>
      </c>
      <c r="L7142">
        <v>2232000</v>
      </c>
      <c r="M7142">
        <v>223200</v>
      </c>
    </row>
    <row r="7143" spans="1:13" x14ac:dyDescent="0.25">
      <c r="A7143" t="s">
        <v>23544</v>
      </c>
      <c r="B7143" t="s">
        <v>23545</v>
      </c>
      <c r="C7143" t="s">
        <v>594</v>
      </c>
      <c r="D7143" t="s">
        <v>853</v>
      </c>
      <c r="E7143" t="s">
        <v>596</v>
      </c>
      <c r="F7143" t="s">
        <v>574</v>
      </c>
      <c r="G7143" t="s">
        <v>23546</v>
      </c>
      <c r="H7143" t="str">
        <f>HYPERLINK("https://baanknet.com/view-property/85322/E57BAC409DCE46DDE99033385BE176EF5BBEAE9636DD819F7B376B4BF932DF8F", "https://baanknet.com/view-property/85322/E57BAC409DCE46DDE99033385BE176EF5BBEAE9636DD819F7B376B4BF932DF8F")</f>
        <v>https://baanknet.com/view-property/85322/E57BAC409DCE46DDE99033385BE176EF5BBEAE9636DD819F7B376B4BF932DF8F</v>
      </c>
      <c r="I7143" t="str">
        <f>HYPERLINK("https://baanknet.com/view-property/85322/E57BAC409DCE46DDE99033385BE176EF5BBEAE9636DD819F7B376B4BF932DF8F", "Open")</f>
        <v>Open</v>
      </c>
      <c r="J7143" t="s">
        <v>3803</v>
      </c>
      <c r="L7143">
        <v>1404000</v>
      </c>
      <c r="M7143">
        <v>140400</v>
      </c>
    </row>
    <row r="7144" spans="1:13" x14ac:dyDescent="0.25">
      <c r="A7144" t="s">
        <v>23547</v>
      </c>
      <c r="B7144" t="s">
        <v>23548</v>
      </c>
      <c r="C7144" t="s">
        <v>594</v>
      </c>
      <c r="D7144" t="s">
        <v>853</v>
      </c>
      <c r="E7144" t="s">
        <v>596</v>
      </c>
      <c r="F7144" t="s">
        <v>574</v>
      </c>
      <c r="G7144" t="s">
        <v>23549</v>
      </c>
      <c r="H7144" t="str">
        <f>HYPERLINK("https://baanknet.com/view-property/101651/0426440C393043A6C8903D992ABC538A7C708089CB542030E810CFFC7F350D2A", "https://baanknet.com/view-property/101651/0426440C393043A6C8903D992ABC538A7C708089CB542030E810CFFC7F350D2A")</f>
        <v>https://baanknet.com/view-property/101651/0426440C393043A6C8903D992ABC538A7C708089CB542030E810CFFC7F350D2A</v>
      </c>
      <c r="I7144" t="str">
        <f>HYPERLINK("https://baanknet.com/view-property/101651/0426440C393043A6C8903D992ABC538A7C708089CB542030E810CFFC7F350D2A", "Open")</f>
        <v>Open</v>
      </c>
      <c r="J7144" t="s">
        <v>3803</v>
      </c>
      <c r="L7144">
        <v>1248500</v>
      </c>
      <c r="M7144">
        <v>124850</v>
      </c>
    </row>
    <row r="7145" spans="1:13" x14ac:dyDescent="0.25">
      <c r="A7145" t="s">
        <v>23550</v>
      </c>
      <c r="B7145" t="s">
        <v>23551</v>
      </c>
      <c r="C7145" t="s">
        <v>594</v>
      </c>
      <c r="D7145" t="s">
        <v>853</v>
      </c>
      <c r="E7145" t="s">
        <v>596</v>
      </c>
      <c r="F7145" t="s">
        <v>574</v>
      </c>
      <c r="G7145" t="s">
        <v>23552</v>
      </c>
      <c r="H7145" t="str">
        <f>HYPERLINK("https://baanknet.com/view-property/82911/528C80774205D97AF288CE2AF9A42F5BA99B1942DA584D3315A03D9F5A3B70BB", "https://baanknet.com/view-property/82911/528C80774205D97AF288CE2AF9A42F5BA99B1942DA584D3315A03D9F5A3B70BB")</f>
        <v>https://baanknet.com/view-property/82911/528C80774205D97AF288CE2AF9A42F5BA99B1942DA584D3315A03D9F5A3B70BB</v>
      </c>
      <c r="I7145" t="str">
        <f>HYPERLINK("https://baanknet.com/view-property/82911/528C80774205D97AF288CE2AF9A42F5BA99B1942DA584D3315A03D9F5A3B70BB", "Open")</f>
        <v>Open</v>
      </c>
      <c r="J7145" t="s">
        <v>3803</v>
      </c>
      <c r="L7145">
        <v>2025000</v>
      </c>
      <c r="M7145">
        <v>202500</v>
      </c>
    </row>
    <row r="7146" spans="1:13" x14ac:dyDescent="0.25">
      <c r="A7146" t="s">
        <v>23553</v>
      </c>
      <c r="B7146" t="s">
        <v>23554</v>
      </c>
      <c r="C7146" t="s">
        <v>594</v>
      </c>
      <c r="D7146" t="s">
        <v>853</v>
      </c>
      <c r="E7146" t="s">
        <v>596</v>
      </c>
      <c r="F7146" t="s">
        <v>574</v>
      </c>
      <c r="G7146" t="s">
        <v>23555</v>
      </c>
      <c r="H7146" t="str">
        <f>HYPERLINK("https://baanknet.com/view-property/85024/4FBFC4DF061F26ACDE06883D35721EA8E565C89D0EF7B23AB63C0A45884D2F04", "https://baanknet.com/view-property/85024/4FBFC4DF061F26ACDE06883D35721EA8E565C89D0EF7B23AB63C0A45884D2F04")</f>
        <v>https://baanknet.com/view-property/85024/4FBFC4DF061F26ACDE06883D35721EA8E565C89D0EF7B23AB63C0A45884D2F04</v>
      </c>
      <c r="I7146" t="str">
        <f>HYPERLINK("https://baanknet.com/view-property/85024/4FBFC4DF061F26ACDE06883D35721EA8E565C89D0EF7B23AB63C0A45884D2F04", "Open")</f>
        <v>Open</v>
      </c>
      <c r="J7146" t="s">
        <v>3803</v>
      </c>
      <c r="L7146">
        <v>2065500</v>
      </c>
      <c r="M7146">
        <v>206550</v>
      </c>
    </row>
    <row r="7147" spans="1:13" x14ac:dyDescent="0.25">
      <c r="A7147" t="s">
        <v>23556</v>
      </c>
      <c r="B7147" t="s">
        <v>23557</v>
      </c>
      <c r="C7147" t="s">
        <v>594</v>
      </c>
      <c r="D7147" t="s">
        <v>1190</v>
      </c>
      <c r="E7147" t="s">
        <v>596</v>
      </c>
      <c r="F7147" t="s">
        <v>574</v>
      </c>
      <c r="G7147" t="s">
        <v>23558</v>
      </c>
      <c r="H7147" t="str">
        <f>HYPERLINK("https://baanknet.com/view-property/203562/B38A2DD7511EF3872D5F47183456E033BFA4EF3C11AD75852B4A9421AE94CEA2", "https://baanknet.com/view-property/203562/B38A2DD7511EF3872D5F47183456E033BFA4EF3C11AD75852B4A9421AE94CEA2")</f>
        <v>https://baanknet.com/view-property/203562/B38A2DD7511EF3872D5F47183456E033BFA4EF3C11AD75852B4A9421AE94CEA2</v>
      </c>
      <c r="I7147" t="str">
        <f>HYPERLINK("https://baanknet.com/view-property/203562/B38A2DD7511EF3872D5F47183456E033BFA4EF3C11AD75852B4A9421AE94CEA2", "Open")</f>
        <v>Open</v>
      </c>
      <c r="J7147" t="s">
        <v>3803</v>
      </c>
      <c r="L7147">
        <v>1573000</v>
      </c>
      <c r="M7147">
        <v>157300</v>
      </c>
    </row>
    <row r="7148" spans="1:13" x14ac:dyDescent="0.25">
      <c r="A7148" t="s">
        <v>23559</v>
      </c>
      <c r="B7148" t="s">
        <v>23560</v>
      </c>
      <c r="C7148" t="s">
        <v>594</v>
      </c>
      <c r="D7148" t="s">
        <v>23561</v>
      </c>
      <c r="E7148" t="s">
        <v>596</v>
      </c>
      <c r="F7148" t="s">
        <v>574</v>
      </c>
      <c r="G7148" t="s">
        <v>23562</v>
      </c>
      <c r="H7148" t="str">
        <f>HYPERLINK("https://baanknet.com/view-property/93018/CB954486AEFF7B81AC462C48A7FF0DB8496857067C3A82FBBD1490564363A974", "https://baanknet.com/view-property/93018/CB954486AEFF7B81AC462C48A7FF0DB8496857067C3A82FBBD1490564363A974")</f>
        <v>https://baanknet.com/view-property/93018/CB954486AEFF7B81AC462C48A7FF0DB8496857067C3A82FBBD1490564363A974</v>
      </c>
      <c r="I7148" t="str">
        <f>HYPERLINK("https://baanknet.com/view-property/93018/CB954486AEFF7B81AC462C48A7FF0DB8496857067C3A82FBBD1490564363A974", "Open")</f>
        <v>Open</v>
      </c>
      <c r="J7148" t="s">
        <v>3803</v>
      </c>
      <c r="L7148">
        <v>2250000</v>
      </c>
      <c r="M7148">
        <v>225000</v>
      </c>
    </row>
    <row r="7149" spans="1:13" x14ac:dyDescent="0.25">
      <c r="A7149" t="s">
        <v>23563</v>
      </c>
      <c r="B7149" t="s">
        <v>23564</v>
      </c>
      <c r="C7149" t="s">
        <v>594</v>
      </c>
      <c r="D7149" t="s">
        <v>853</v>
      </c>
      <c r="E7149" t="s">
        <v>596</v>
      </c>
      <c r="F7149" t="s">
        <v>574</v>
      </c>
      <c r="G7149" t="s">
        <v>23565</v>
      </c>
      <c r="H7149" t="str">
        <f>HYPERLINK("https://baanknet.com/view-property/31090/C7E9943E40F8D9972837C7E5660A4D9FE599E9DAC5E5FC21D4D11D50A067D8FA", "https://baanknet.com/view-property/31090/C7E9943E40F8D9972837C7E5660A4D9FE599E9DAC5E5FC21D4D11D50A067D8FA")</f>
        <v>https://baanknet.com/view-property/31090/C7E9943E40F8D9972837C7E5660A4D9FE599E9DAC5E5FC21D4D11D50A067D8FA</v>
      </c>
      <c r="I7149" t="str">
        <f>HYPERLINK("https://baanknet.com/view-property/31090/C7E9943E40F8D9972837C7E5660A4D9FE599E9DAC5E5FC21D4D11D50A067D8FA", "Open")</f>
        <v>Open</v>
      </c>
      <c r="J7149" t="s">
        <v>3803</v>
      </c>
      <c r="L7149">
        <v>1919700</v>
      </c>
      <c r="M7149">
        <v>191970</v>
      </c>
    </row>
    <row r="7150" spans="1:13" x14ac:dyDescent="0.25">
      <c r="A7150" t="s">
        <v>23566</v>
      </c>
      <c r="B7150" t="s">
        <v>23567</v>
      </c>
      <c r="C7150" t="s">
        <v>594</v>
      </c>
      <c r="D7150" t="s">
        <v>23561</v>
      </c>
      <c r="E7150" t="s">
        <v>596</v>
      </c>
      <c r="F7150" t="s">
        <v>574</v>
      </c>
      <c r="G7150" t="s">
        <v>23568</v>
      </c>
      <c r="H7150" t="str">
        <f>HYPERLINK("https://baanknet.com/view-property/93019/E49EF8B076539E534141C14ED88D9A51B224A2016D2098BCA9D1F4722960E7E1", "https://baanknet.com/view-property/93019/E49EF8B076539E534141C14ED88D9A51B224A2016D2098BCA9D1F4722960E7E1")</f>
        <v>https://baanknet.com/view-property/93019/E49EF8B076539E534141C14ED88D9A51B224A2016D2098BCA9D1F4722960E7E1</v>
      </c>
      <c r="I7150" t="str">
        <f>HYPERLINK("https://baanknet.com/view-property/93019/E49EF8B076539E534141C14ED88D9A51B224A2016D2098BCA9D1F4722960E7E1", "Open")</f>
        <v>Open</v>
      </c>
      <c r="J7150" t="s">
        <v>3803</v>
      </c>
      <c r="L7150">
        <v>1150000</v>
      </c>
      <c r="M7150">
        <v>115000</v>
      </c>
    </row>
    <row r="7151" spans="1:13" x14ac:dyDescent="0.25">
      <c r="A7151" t="s">
        <v>23569</v>
      </c>
      <c r="B7151" t="s">
        <v>23570</v>
      </c>
      <c r="C7151" t="s">
        <v>594</v>
      </c>
      <c r="D7151" t="s">
        <v>4542</v>
      </c>
      <c r="E7151" t="s">
        <v>596</v>
      </c>
      <c r="F7151" t="s">
        <v>574</v>
      </c>
      <c r="G7151" t="s">
        <v>23571</v>
      </c>
      <c r="H7151" t="str">
        <f>HYPERLINK("https://baanknet.com/view-property/268937/6E2F525A2327AFB172CC6FD1A5D125DEC5D4E5800AC073930DEFBB2EE41D47D7", "https://baanknet.com/view-property/268937/6E2F525A2327AFB172CC6FD1A5D125DEC5D4E5800AC073930DEFBB2EE41D47D7")</f>
        <v>https://baanknet.com/view-property/268937/6E2F525A2327AFB172CC6FD1A5D125DEC5D4E5800AC073930DEFBB2EE41D47D7</v>
      </c>
      <c r="I7151" t="str">
        <f>HYPERLINK("https://baanknet.com/view-property/268937/6E2F525A2327AFB172CC6FD1A5D125DEC5D4E5800AC073930DEFBB2EE41D47D7", "Open")</f>
        <v>Open</v>
      </c>
      <c r="J7151" t="s">
        <v>3803</v>
      </c>
      <c r="L7151">
        <v>2043000</v>
      </c>
      <c r="M7151">
        <v>204300</v>
      </c>
    </row>
    <row r="7152" spans="1:13" x14ac:dyDescent="0.25">
      <c r="A7152" t="s">
        <v>23572</v>
      </c>
      <c r="B7152" t="s">
        <v>23573</v>
      </c>
      <c r="C7152" t="s">
        <v>594</v>
      </c>
      <c r="D7152" t="s">
        <v>2248</v>
      </c>
      <c r="E7152" t="s">
        <v>596</v>
      </c>
      <c r="F7152" t="s">
        <v>574</v>
      </c>
      <c r="G7152" t="s">
        <v>23574</v>
      </c>
      <c r="H7152" t="str">
        <f>HYPERLINK("https://baanknet.com/view-property/278676/AFED907307E182A4939B96E050AF4630DC0D44829BBB11324C5A2C3580173C77", "https://baanknet.com/view-property/278676/AFED907307E182A4939B96E050AF4630DC0D44829BBB11324C5A2C3580173C77")</f>
        <v>https://baanknet.com/view-property/278676/AFED907307E182A4939B96E050AF4630DC0D44829BBB11324C5A2C3580173C77</v>
      </c>
      <c r="I7152" t="str">
        <f>HYPERLINK("https://baanknet.com/view-property/278676/AFED907307E182A4939B96E050AF4630DC0D44829BBB11324C5A2C3580173C77", "Open")</f>
        <v>Open</v>
      </c>
      <c r="J7152" t="s">
        <v>3803</v>
      </c>
      <c r="L7152">
        <v>5400000</v>
      </c>
      <c r="M7152">
        <v>540000</v>
      </c>
    </row>
    <row r="7153" spans="1:13" x14ac:dyDescent="0.25">
      <c r="A7153" t="s">
        <v>23575</v>
      </c>
      <c r="B7153" t="s">
        <v>23576</v>
      </c>
      <c r="C7153" t="s">
        <v>594</v>
      </c>
      <c r="D7153" t="s">
        <v>1310</v>
      </c>
      <c r="E7153" t="s">
        <v>596</v>
      </c>
      <c r="F7153" t="s">
        <v>574</v>
      </c>
      <c r="G7153" t="s">
        <v>23577</v>
      </c>
      <c r="H7153" t="str">
        <f>HYPERLINK("https://baanknet.com/view-property/273216/320401E3C70687795D94BE9ED349DB9A0ED489BAFB7D97595D8E6F838919EE11", "https://baanknet.com/view-property/273216/320401E3C70687795D94BE9ED349DB9A0ED489BAFB7D97595D8E6F838919EE11")</f>
        <v>https://baanknet.com/view-property/273216/320401E3C70687795D94BE9ED349DB9A0ED489BAFB7D97595D8E6F838919EE11</v>
      </c>
      <c r="I7153" t="str">
        <f>HYPERLINK("https://baanknet.com/view-property/273216/320401E3C70687795D94BE9ED349DB9A0ED489BAFB7D97595D8E6F838919EE11", "Open")</f>
        <v>Open</v>
      </c>
      <c r="J7153" t="s">
        <v>3803</v>
      </c>
      <c r="L7153">
        <v>1836000</v>
      </c>
      <c r="M7153">
        <v>183600</v>
      </c>
    </row>
    <row r="7154" spans="1:13" x14ac:dyDescent="0.25">
      <c r="A7154" t="s">
        <v>23578</v>
      </c>
      <c r="B7154" t="s">
        <v>23579</v>
      </c>
      <c r="C7154" t="s">
        <v>594</v>
      </c>
      <c r="D7154" t="s">
        <v>4580</v>
      </c>
      <c r="E7154" t="s">
        <v>596</v>
      </c>
      <c r="F7154" t="s">
        <v>574</v>
      </c>
      <c r="G7154" t="s">
        <v>23580</v>
      </c>
      <c r="H7154" t="str">
        <f>HYPERLINK("https://baanknet.com/view-property/268918/67D62AFE4FD5105F02DE18CDD9A8E5073A8403BCA61DE717692D30FD26CD363F", "https://baanknet.com/view-property/268918/67D62AFE4FD5105F02DE18CDD9A8E5073A8403BCA61DE717692D30FD26CD363F")</f>
        <v>https://baanknet.com/view-property/268918/67D62AFE4FD5105F02DE18CDD9A8E5073A8403BCA61DE717692D30FD26CD363F</v>
      </c>
      <c r="I7154" t="str">
        <f>HYPERLINK("https://baanknet.com/view-property/268918/67D62AFE4FD5105F02DE18CDD9A8E5073A8403BCA61DE717692D30FD26CD363F", "Open")</f>
        <v>Open</v>
      </c>
      <c r="J7154" t="s">
        <v>3803</v>
      </c>
      <c r="L7154">
        <v>3420000</v>
      </c>
      <c r="M7154">
        <v>342000</v>
      </c>
    </row>
    <row r="7155" spans="1:13" x14ac:dyDescent="0.25">
      <c r="A7155" t="s">
        <v>23581</v>
      </c>
      <c r="B7155" t="s">
        <v>23582</v>
      </c>
      <c r="C7155" t="s">
        <v>594</v>
      </c>
      <c r="D7155" t="s">
        <v>23583</v>
      </c>
      <c r="E7155" t="s">
        <v>596</v>
      </c>
      <c r="F7155" t="s">
        <v>574</v>
      </c>
      <c r="G7155" t="s">
        <v>23584</v>
      </c>
      <c r="H7155" t="str">
        <f>HYPERLINK("https://baanknet.com/view-property/122583/23C80180B58C260C3F534ACADB9F201EC837A116245ACA9065BAB35543278887", "https://baanknet.com/view-property/122583/23C80180B58C260C3F534ACADB9F201EC837A116245ACA9065BAB35543278887")</f>
        <v>https://baanknet.com/view-property/122583/23C80180B58C260C3F534ACADB9F201EC837A116245ACA9065BAB35543278887</v>
      </c>
      <c r="I7155" t="str">
        <f>HYPERLINK("https://baanknet.com/view-property/122583/23C80180B58C260C3F534ACADB9F201EC837A116245ACA9065BAB35543278887", "Open")</f>
        <v>Open</v>
      </c>
      <c r="J7155" t="s">
        <v>3803</v>
      </c>
      <c r="L7155">
        <v>2662000</v>
      </c>
      <c r="M7155">
        <v>266200</v>
      </c>
    </row>
    <row r="7156" spans="1:13" x14ac:dyDescent="0.25">
      <c r="A7156" t="s">
        <v>23585</v>
      </c>
      <c r="B7156" t="s">
        <v>23586</v>
      </c>
      <c r="C7156" t="s">
        <v>594</v>
      </c>
      <c r="D7156" t="s">
        <v>853</v>
      </c>
      <c r="E7156" t="s">
        <v>596</v>
      </c>
      <c r="F7156" t="s">
        <v>574</v>
      </c>
      <c r="G7156" t="s">
        <v>23587</v>
      </c>
      <c r="H7156" t="str">
        <f>HYPERLINK("https://baanknet.com/view-property/273224/CAE523C9DB2A8102675DF001C9A3762D0EBAB13402C98A7D3BE5DF8E0E3B971C", "https://baanknet.com/view-property/273224/CAE523C9DB2A8102675DF001C9A3762D0EBAB13402C98A7D3BE5DF8E0E3B971C")</f>
        <v>https://baanknet.com/view-property/273224/CAE523C9DB2A8102675DF001C9A3762D0EBAB13402C98A7D3BE5DF8E0E3B971C</v>
      </c>
      <c r="I7156" t="str">
        <f>HYPERLINK("https://baanknet.com/view-property/273224/CAE523C9DB2A8102675DF001C9A3762D0EBAB13402C98A7D3BE5DF8E0E3B971C", "Open")</f>
        <v>Open</v>
      </c>
      <c r="J7156" t="s">
        <v>3803</v>
      </c>
      <c r="L7156">
        <v>2635000</v>
      </c>
      <c r="M7156">
        <v>263500</v>
      </c>
    </row>
    <row r="7157" spans="1:13" x14ac:dyDescent="0.25">
      <c r="A7157" t="s">
        <v>23588</v>
      </c>
      <c r="B7157" t="s">
        <v>23589</v>
      </c>
      <c r="C7157" t="s">
        <v>594</v>
      </c>
      <c r="D7157" t="s">
        <v>23590</v>
      </c>
      <c r="E7157" t="s">
        <v>596</v>
      </c>
      <c r="F7157" t="s">
        <v>574</v>
      </c>
      <c r="G7157" t="s">
        <v>23591</v>
      </c>
      <c r="H7157" t="str">
        <f>HYPERLINK("https://baanknet.com/view-property/191171/90E2D0325C99B8F686BE5E700C719080D69A8B0E6E5D7049F80F2A12AE3D3199", "https://baanknet.com/view-property/191171/90E2D0325C99B8F686BE5E700C719080D69A8B0E6E5D7049F80F2A12AE3D3199")</f>
        <v>https://baanknet.com/view-property/191171/90E2D0325C99B8F686BE5E700C719080D69A8B0E6E5D7049F80F2A12AE3D3199</v>
      </c>
      <c r="I7157" t="str">
        <f>HYPERLINK("https://baanknet.com/view-property/191171/90E2D0325C99B8F686BE5E700C719080D69A8B0E6E5D7049F80F2A12AE3D3199", "Open")</f>
        <v>Open</v>
      </c>
      <c r="J7157" t="s">
        <v>3803</v>
      </c>
      <c r="L7157">
        <v>9720000</v>
      </c>
      <c r="M7157">
        <v>972000</v>
      </c>
    </row>
    <row r="7158" spans="1:13" x14ac:dyDescent="0.25">
      <c r="A7158" t="s">
        <v>23592</v>
      </c>
      <c r="B7158" t="s">
        <v>23593</v>
      </c>
      <c r="C7158" t="s">
        <v>594</v>
      </c>
      <c r="D7158" t="s">
        <v>1190</v>
      </c>
      <c r="E7158" t="s">
        <v>596</v>
      </c>
      <c r="F7158" t="s">
        <v>574</v>
      </c>
      <c r="G7158" t="s">
        <v>23594</v>
      </c>
      <c r="H7158" t="str">
        <f>HYPERLINK("https://baanknet.com/view-property/264812/8A8099EF277AF39BC0F96D476F7DA8A45854930A2CD3946D3F3C0B9EA77F041D", "https://baanknet.com/view-property/264812/8A8099EF277AF39BC0F96D476F7DA8A45854930A2CD3946D3F3C0B9EA77F041D")</f>
        <v>https://baanknet.com/view-property/264812/8A8099EF277AF39BC0F96D476F7DA8A45854930A2CD3946D3F3C0B9EA77F041D</v>
      </c>
      <c r="I7158" t="str">
        <f>HYPERLINK("https://baanknet.com/view-property/264812/8A8099EF277AF39BC0F96D476F7DA8A45854930A2CD3946D3F3C0B9EA77F041D", "Open")</f>
        <v>Open</v>
      </c>
      <c r="J7158" t="s">
        <v>3803</v>
      </c>
      <c r="L7158">
        <v>5814000</v>
      </c>
      <c r="M7158">
        <v>581400</v>
      </c>
    </row>
    <row r="7159" spans="1:13" x14ac:dyDescent="0.25">
      <c r="A7159" t="s">
        <v>23595</v>
      </c>
      <c r="B7159" t="s">
        <v>23596</v>
      </c>
      <c r="C7159" t="s">
        <v>594</v>
      </c>
      <c r="D7159" t="s">
        <v>1003</v>
      </c>
      <c r="E7159" t="s">
        <v>596</v>
      </c>
      <c r="F7159" t="s">
        <v>574</v>
      </c>
      <c r="G7159" t="s">
        <v>23597</v>
      </c>
      <c r="H7159" t="str">
        <f>HYPERLINK("https://baanknet.com/view-property/232541/EC8EBEB99C1B529CA31F7CDF35570933D0C569A16ADEAAB035BF578981285841", "https://baanknet.com/view-property/232541/EC8EBEB99C1B529CA31F7CDF35570933D0C569A16ADEAAB035BF578981285841")</f>
        <v>https://baanknet.com/view-property/232541/EC8EBEB99C1B529CA31F7CDF35570933D0C569A16ADEAAB035BF578981285841</v>
      </c>
      <c r="I7159" t="str">
        <f>HYPERLINK("https://baanknet.com/view-property/232541/EC8EBEB99C1B529CA31F7CDF35570933D0C569A16ADEAAB035BF578981285841", "Open")</f>
        <v>Open</v>
      </c>
      <c r="J7159" t="s">
        <v>3803</v>
      </c>
      <c r="L7159">
        <v>1256000</v>
      </c>
      <c r="M7159">
        <v>125600</v>
      </c>
    </row>
    <row r="7160" spans="1:13" x14ac:dyDescent="0.25">
      <c r="A7160" t="s">
        <v>23598</v>
      </c>
      <c r="B7160" t="s">
        <v>23599</v>
      </c>
      <c r="C7160" t="s">
        <v>594</v>
      </c>
      <c r="D7160" t="s">
        <v>1190</v>
      </c>
      <c r="E7160" t="s">
        <v>596</v>
      </c>
      <c r="F7160" t="s">
        <v>574</v>
      </c>
      <c r="G7160" t="s">
        <v>23600</v>
      </c>
      <c r="H7160" t="str">
        <f>HYPERLINK("https://baanknet.com/view-property/222863/FD9B42EA627E7102C3395F9EFD47EE866049B2952B5D60692EEBC5B1671B69E7", "https://baanknet.com/view-property/222863/FD9B42EA627E7102C3395F9EFD47EE866049B2952B5D60692EEBC5B1671B69E7")</f>
        <v>https://baanknet.com/view-property/222863/FD9B42EA627E7102C3395F9EFD47EE866049B2952B5D60692EEBC5B1671B69E7</v>
      </c>
      <c r="I7160" t="str">
        <f>HYPERLINK("https://baanknet.com/view-property/222863/FD9B42EA627E7102C3395F9EFD47EE866049B2952B5D60692EEBC5B1671B69E7", "Open")</f>
        <v>Open</v>
      </c>
      <c r="J7160" t="s">
        <v>3803</v>
      </c>
      <c r="L7160">
        <v>2268000</v>
      </c>
      <c r="M7160">
        <v>226800</v>
      </c>
    </row>
    <row r="7161" spans="1:13" x14ac:dyDescent="0.25">
      <c r="A7161" t="s">
        <v>23601</v>
      </c>
      <c r="B7161" t="s">
        <v>23602</v>
      </c>
      <c r="C7161" t="s">
        <v>594</v>
      </c>
      <c r="D7161" t="s">
        <v>1310</v>
      </c>
      <c r="E7161" t="s">
        <v>596</v>
      </c>
      <c r="F7161" t="s">
        <v>574</v>
      </c>
      <c r="G7161" t="s">
        <v>23603</v>
      </c>
      <c r="H7161" t="str">
        <f>HYPERLINK("https://baanknet.com/view-property/24014/34290AE6CBF8D3F108EB56904A97410DCFA269C4F62CBBC601470E5576F66530", "https://baanknet.com/view-property/24014/34290AE6CBF8D3F108EB56904A97410DCFA269C4F62CBBC601470E5576F66530")</f>
        <v>https://baanknet.com/view-property/24014/34290AE6CBF8D3F108EB56904A97410DCFA269C4F62CBBC601470E5576F66530</v>
      </c>
      <c r="I7161" t="str">
        <f>HYPERLINK("https://baanknet.com/view-property/24014/34290AE6CBF8D3F108EB56904A97410DCFA269C4F62CBBC601470E5576F66530", "Open")</f>
        <v>Open</v>
      </c>
      <c r="J7161" t="s">
        <v>3803</v>
      </c>
      <c r="L7161">
        <v>3880000</v>
      </c>
      <c r="M7161">
        <v>388000</v>
      </c>
    </row>
    <row r="7162" spans="1:13" x14ac:dyDescent="0.25">
      <c r="A7162" t="s">
        <v>23604</v>
      </c>
      <c r="B7162" t="s">
        <v>23605</v>
      </c>
      <c r="C7162" t="s">
        <v>594</v>
      </c>
      <c r="D7162" t="s">
        <v>1190</v>
      </c>
      <c r="E7162" t="s">
        <v>596</v>
      </c>
      <c r="F7162" t="s">
        <v>574</v>
      </c>
      <c r="G7162" t="s">
        <v>23606</v>
      </c>
      <c r="H7162" t="str">
        <f>HYPERLINK("https://baanknet.com/view-property/115193/35555C93B5F231F9FAE330117EE7324F570ADB6CF55EBC503233672FBED9DA91", "https://baanknet.com/view-property/115193/35555C93B5F231F9FAE330117EE7324F570ADB6CF55EBC503233672FBED9DA91")</f>
        <v>https://baanknet.com/view-property/115193/35555C93B5F231F9FAE330117EE7324F570ADB6CF55EBC503233672FBED9DA91</v>
      </c>
      <c r="I7162" t="str">
        <f>HYPERLINK("https://baanknet.com/view-property/115193/35555C93B5F231F9FAE330117EE7324F570ADB6CF55EBC503233672FBED9DA91", "Open")</f>
        <v>Open</v>
      </c>
      <c r="J7162" t="s">
        <v>3803</v>
      </c>
      <c r="L7162">
        <v>3624000</v>
      </c>
      <c r="M7162">
        <v>362400</v>
      </c>
    </row>
    <row r="7163" spans="1:13" x14ac:dyDescent="0.25">
      <c r="A7163" t="s">
        <v>23607</v>
      </c>
      <c r="B7163" t="s">
        <v>23608</v>
      </c>
      <c r="C7163" t="s">
        <v>594</v>
      </c>
      <c r="D7163" t="s">
        <v>6493</v>
      </c>
      <c r="E7163" t="s">
        <v>596</v>
      </c>
      <c r="F7163" t="s">
        <v>574</v>
      </c>
      <c r="G7163" t="s">
        <v>23609</v>
      </c>
      <c r="H7163" t="str">
        <f>HYPERLINK("https://baanknet.com/view-property/236849/B50B4332B8AD0B02DD6D00D2A9E26E0917D9C9F130E19E3C43C59387F77D3C93", "https://baanknet.com/view-property/236849/B50B4332B8AD0B02DD6D00D2A9E26E0917D9C9F130E19E3C43C59387F77D3C93")</f>
        <v>https://baanknet.com/view-property/236849/B50B4332B8AD0B02DD6D00D2A9E26E0917D9C9F130E19E3C43C59387F77D3C93</v>
      </c>
      <c r="I7163" t="str">
        <f>HYPERLINK("https://baanknet.com/view-property/236849/B50B4332B8AD0B02DD6D00D2A9E26E0917D9C9F130E19E3C43C59387F77D3C93", "Open")</f>
        <v>Open</v>
      </c>
      <c r="J7163" t="s">
        <v>3803</v>
      </c>
      <c r="L7163">
        <v>1661000</v>
      </c>
      <c r="M7163">
        <v>166100</v>
      </c>
    </row>
    <row r="7164" spans="1:13" x14ac:dyDescent="0.25">
      <c r="A7164" t="s">
        <v>23610</v>
      </c>
      <c r="B7164" t="s">
        <v>23611</v>
      </c>
      <c r="C7164" t="s">
        <v>594</v>
      </c>
      <c r="D7164" t="s">
        <v>549</v>
      </c>
      <c r="E7164" t="s">
        <v>596</v>
      </c>
      <c r="F7164" t="s">
        <v>574</v>
      </c>
      <c r="G7164" t="s">
        <v>23612</v>
      </c>
      <c r="H7164" t="str">
        <f>HYPERLINK("https://baanknet.com/view-property/283524/4CC0C4880C02FBB5329238B7CE795619B5AD599FD15088B1595E95F7F32872C0", "https://baanknet.com/view-property/283524/4CC0C4880C02FBB5329238B7CE795619B5AD599FD15088B1595E95F7F32872C0")</f>
        <v>https://baanknet.com/view-property/283524/4CC0C4880C02FBB5329238B7CE795619B5AD599FD15088B1595E95F7F32872C0</v>
      </c>
      <c r="I7164" t="str">
        <f>HYPERLINK("https://baanknet.com/view-property/283524/4CC0C4880C02FBB5329238B7CE795619B5AD599FD15088B1595E95F7F32872C0", "Open")</f>
        <v>Open</v>
      </c>
      <c r="J7164" t="s">
        <v>3803</v>
      </c>
      <c r="L7164">
        <v>2160000</v>
      </c>
      <c r="M7164">
        <v>216000</v>
      </c>
    </row>
    <row r="7165" spans="1:13" x14ac:dyDescent="0.25">
      <c r="A7165" t="s">
        <v>23613</v>
      </c>
      <c r="B7165" t="s">
        <v>23614</v>
      </c>
      <c r="C7165" t="s">
        <v>594</v>
      </c>
      <c r="D7165" t="s">
        <v>1003</v>
      </c>
      <c r="E7165" t="s">
        <v>596</v>
      </c>
      <c r="F7165" t="s">
        <v>574</v>
      </c>
      <c r="G7165" t="s">
        <v>23615</v>
      </c>
      <c r="H7165" t="str">
        <f>HYPERLINK("https://baanknet.com/view-property/232537/9B291F6CAED1B817300238BDFDE8E6C440A879319683F81136BE6285BD43C5C4", "https://baanknet.com/view-property/232537/9B291F6CAED1B817300238BDFDE8E6C440A879319683F81136BE6285BD43C5C4")</f>
        <v>https://baanknet.com/view-property/232537/9B291F6CAED1B817300238BDFDE8E6C440A879319683F81136BE6285BD43C5C4</v>
      </c>
      <c r="I7165" t="str">
        <f>HYPERLINK("https://baanknet.com/view-property/232537/9B291F6CAED1B817300238BDFDE8E6C440A879319683F81136BE6285BD43C5C4", "Open")</f>
        <v>Open</v>
      </c>
      <c r="J7165" t="s">
        <v>3803</v>
      </c>
      <c r="L7165">
        <v>837000</v>
      </c>
      <c r="M7165">
        <v>83700</v>
      </c>
    </row>
    <row r="7166" spans="1:13" x14ac:dyDescent="0.25">
      <c r="A7166" t="s">
        <v>23616</v>
      </c>
      <c r="B7166" t="s">
        <v>23617</v>
      </c>
      <c r="C7166" t="s">
        <v>594</v>
      </c>
      <c r="D7166" t="s">
        <v>2163</v>
      </c>
      <c r="E7166" t="s">
        <v>596</v>
      </c>
      <c r="F7166" t="s">
        <v>574</v>
      </c>
      <c r="G7166" t="s">
        <v>23618</v>
      </c>
      <c r="H7166" t="str">
        <f>HYPERLINK("https://baanknet.com/view-property/29780/E1DD5293139023691982E7C2FF2D68205E6B49B97612B33C74664111BF73ECAE", "https://baanknet.com/view-property/29780/E1DD5293139023691982E7C2FF2D68205E6B49B97612B33C74664111BF73ECAE")</f>
        <v>https://baanknet.com/view-property/29780/E1DD5293139023691982E7C2FF2D68205E6B49B97612B33C74664111BF73ECAE</v>
      </c>
      <c r="I7166" t="str">
        <f>HYPERLINK("https://baanknet.com/view-property/29780/E1DD5293139023691982E7C2FF2D68205E6B49B97612B33C74664111BF73ECAE", "Open")</f>
        <v>Open</v>
      </c>
      <c r="J7166" t="s">
        <v>3803</v>
      </c>
      <c r="L7166">
        <v>2745000</v>
      </c>
      <c r="M7166">
        <v>274500</v>
      </c>
    </row>
    <row r="7167" spans="1:13" x14ac:dyDescent="0.25">
      <c r="A7167" t="s">
        <v>23619</v>
      </c>
      <c r="B7167" t="s">
        <v>23620</v>
      </c>
      <c r="C7167" t="s">
        <v>594</v>
      </c>
      <c r="D7167" t="s">
        <v>1003</v>
      </c>
      <c r="E7167" t="s">
        <v>596</v>
      </c>
      <c r="F7167" t="s">
        <v>574</v>
      </c>
      <c r="G7167" t="s">
        <v>23621</v>
      </c>
      <c r="H7167" t="str">
        <f>HYPERLINK("https://baanknet.com/view-property/232538/6FF27CF112AC6A29598607C9A28FC411100F92F6766625580F36EBF80791394A", "https://baanknet.com/view-property/232538/6FF27CF112AC6A29598607C9A28FC411100F92F6766625580F36EBF80791394A")</f>
        <v>https://baanknet.com/view-property/232538/6FF27CF112AC6A29598607C9A28FC411100F92F6766625580F36EBF80791394A</v>
      </c>
      <c r="I7167" t="str">
        <f>HYPERLINK("https://baanknet.com/view-property/232538/6FF27CF112AC6A29598607C9A28FC411100F92F6766625580F36EBF80791394A", "Open")</f>
        <v>Open</v>
      </c>
      <c r="J7167" t="s">
        <v>3803</v>
      </c>
      <c r="L7167">
        <v>8370000</v>
      </c>
      <c r="M7167">
        <v>837000</v>
      </c>
    </row>
    <row r="7168" spans="1:13" x14ac:dyDescent="0.25">
      <c r="A7168" t="s">
        <v>23622</v>
      </c>
      <c r="B7168" t="s">
        <v>23623</v>
      </c>
      <c r="C7168" t="s">
        <v>594</v>
      </c>
      <c r="D7168" t="s">
        <v>32</v>
      </c>
      <c r="E7168" t="s">
        <v>596</v>
      </c>
      <c r="F7168" t="s">
        <v>574</v>
      </c>
      <c r="G7168" t="s">
        <v>23624</v>
      </c>
      <c r="H7168" t="str">
        <f>HYPERLINK("https://baanknet.com/view-property/269243/9E35763B229931619B7E68881A225C120BEF73699CE81C0BD8885A126C60AB38", "https://baanknet.com/view-property/269243/9E35763B229931619B7E68881A225C120BEF73699CE81C0BD8885A126C60AB38")</f>
        <v>https://baanknet.com/view-property/269243/9E35763B229931619B7E68881A225C120BEF73699CE81C0BD8885A126C60AB38</v>
      </c>
      <c r="I7168" t="str">
        <f>HYPERLINK("https://baanknet.com/view-property/269243/9E35763B229931619B7E68881A225C120BEF73699CE81C0BD8885A126C60AB38", "Open")</f>
        <v>Open</v>
      </c>
      <c r="J7168" t="s">
        <v>3803</v>
      </c>
      <c r="L7168">
        <v>5630000</v>
      </c>
      <c r="M7168">
        <v>563000</v>
      </c>
    </row>
    <row r="7169" spans="1:13" x14ac:dyDescent="0.25">
      <c r="A7169" t="s">
        <v>23625</v>
      </c>
      <c r="B7169" t="s">
        <v>23626</v>
      </c>
      <c r="C7169" t="s">
        <v>594</v>
      </c>
      <c r="D7169" t="s">
        <v>1190</v>
      </c>
      <c r="E7169" t="s">
        <v>596</v>
      </c>
      <c r="F7169" t="s">
        <v>574</v>
      </c>
      <c r="G7169" t="s">
        <v>23627</v>
      </c>
      <c r="H7169" t="str">
        <f>HYPERLINK("https://baanknet.com/view-property/281554/C81E53001295902399362B89863410917B0F283334B69C8B290AEDADCB150288", "https://baanknet.com/view-property/281554/C81E53001295902399362B89863410917B0F283334B69C8B290AEDADCB150288")</f>
        <v>https://baanknet.com/view-property/281554/C81E53001295902399362B89863410917B0F283334B69C8B290AEDADCB150288</v>
      </c>
      <c r="I7169" t="str">
        <f>HYPERLINK("https://baanknet.com/view-property/281554/C81E53001295902399362B89863410917B0F283334B69C8B290AEDADCB150288", "Open")</f>
        <v>Open</v>
      </c>
      <c r="J7169" t="s">
        <v>3803</v>
      </c>
      <c r="L7169">
        <v>56950000</v>
      </c>
      <c r="M7169">
        <v>5695000</v>
      </c>
    </row>
    <row r="7170" spans="1:13" x14ac:dyDescent="0.25">
      <c r="A7170" t="s">
        <v>23628</v>
      </c>
      <c r="B7170" t="s">
        <v>23629</v>
      </c>
      <c r="C7170" t="s">
        <v>594</v>
      </c>
      <c r="D7170" t="s">
        <v>23630</v>
      </c>
      <c r="E7170" t="s">
        <v>596</v>
      </c>
      <c r="F7170" t="s">
        <v>574</v>
      </c>
      <c r="G7170" t="s">
        <v>23631</v>
      </c>
      <c r="H7170" t="str">
        <f>HYPERLINK("https://baanknet.com/view-property/281562/71C5B6F8602A5003F31881D034AE970E1BF1DE633929F28243532E6C9E13946D", "https://baanknet.com/view-property/281562/71C5B6F8602A5003F31881D034AE970E1BF1DE633929F28243532E6C9E13946D")</f>
        <v>https://baanknet.com/view-property/281562/71C5B6F8602A5003F31881D034AE970E1BF1DE633929F28243532E6C9E13946D</v>
      </c>
      <c r="I7170" t="str">
        <f>HYPERLINK("https://baanknet.com/view-property/281562/71C5B6F8602A5003F31881D034AE970E1BF1DE633929F28243532E6C9E13946D", "Open")</f>
        <v>Open</v>
      </c>
      <c r="J7170" t="s">
        <v>3803</v>
      </c>
      <c r="L7170">
        <v>16700000</v>
      </c>
      <c r="M7170">
        <v>1670000</v>
      </c>
    </row>
    <row r="7171" spans="1:13" x14ac:dyDescent="0.25">
      <c r="A7171" t="s">
        <v>23632</v>
      </c>
      <c r="B7171" t="s">
        <v>23633</v>
      </c>
      <c r="C7171" t="s">
        <v>594</v>
      </c>
      <c r="D7171" t="s">
        <v>937</v>
      </c>
      <c r="E7171" t="s">
        <v>596</v>
      </c>
      <c r="F7171" t="s">
        <v>574</v>
      </c>
      <c r="G7171" t="s">
        <v>23634</v>
      </c>
      <c r="H7171" t="str">
        <f>HYPERLINK("https://baanknet.com/view-property/281571/80AE3B80CF7F1A1CD11ECE167E806BE4F5489D2E9F65340D7B59A202A7570E87", "https://baanknet.com/view-property/281571/80AE3B80CF7F1A1CD11ECE167E806BE4F5489D2E9F65340D7B59A202A7570E87")</f>
        <v>https://baanknet.com/view-property/281571/80AE3B80CF7F1A1CD11ECE167E806BE4F5489D2E9F65340D7B59A202A7570E87</v>
      </c>
      <c r="I7171" t="str">
        <f>HYPERLINK("https://baanknet.com/view-property/281571/80AE3B80CF7F1A1CD11ECE167E806BE4F5489D2E9F65340D7B59A202A7570E87", "Open")</f>
        <v>Open</v>
      </c>
      <c r="J7171" t="s">
        <v>3803</v>
      </c>
      <c r="L7171">
        <v>8400000</v>
      </c>
      <c r="M7171">
        <v>840000</v>
      </c>
    </row>
    <row r="7172" spans="1:13" x14ac:dyDescent="0.25">
      <c r="A7172" t="s">
        <v>23635</v>
      </c>
      <c r="B7172" t="s">
        <v>23636</v>
      </c>
      <c r="C7172" t="s">
        <v>594</v>
      </c>
      <c r="D7172" t="s">
        <v>23590</v>
      </c>
      <c r="E7172" t="s">
        <v>596</v>
      </c>
      <c r="F7172" t="s">
        <v>574</v>
      </c>
      <c r="G7172" t="s">
        <v>23637</v>
      </c>
      <c r="H7172" t="str">
        <f>HYPERLINK("https://baanknet.com/view-property/249724/A1E0F02719BB82A10BC497D58E13225E2FAA9A02E06FBFB6E4981ABACB48A821", "https://baanknet.com/view-property/249724/A1E0F02719BB82A10BC497D58E13225E2FAA9A02E06FBFB6E4981ABACB48A821")</f>
        <v>https://baanknet.com/view-property/249724/A1E0F02719BB82A10BC497D58E13225E2FAA9A02E06FBFB6E4981ABACB48A821</v>
      </c>
      <c r="I7172" t="str">
        <f>HYPERLINK("https://baanknet.com/view-property/249724/A1E0F02719BB82A10BC497D58E13225E2FAA9A02E06FBFB6E4981ABACB48A821", "Open")</f>
        <v>Open</v>
      </c>
      <c r="J7172" t="s">
        <v>3803</v>
      </c>
      <c r="L7172">
        <v>12000000</v>
      </c>
      <c r="M7172">
        <v>1200000</v>
      </c>
    </row>
    <row r="7173" spans="1:13" x14ac:dyDescent="0.25">
      <c r="A7173" t="s">
        <v>23638</v>
      </c>
      <c r="B7173" t="s">
        <v>23639</v>
      </c>
      <c r="C7173" t="s">
        <v>594</v>
      </c>
      <c r="D7173" t="s">
        <v>837</v>
      </c>
      <c r="E7173" t="s">
        <v>596</v>
      </c>
      <c r="F7173" t="s">
        <v>574</v>
      </c>
      <c r="G7173" t="s">
        <v>23640</v>
      </c>
      <c r="H7173" t="str">
        <f>HYPERLINK("https://baanknet.com/view-property/77500/52CBD7B96BDC5BD1C33A43EB80A29586D2D953013EE2D977D2B9A6A54E83E780", "https://baanknet.com/view-property/77500/52CBD7B96BDC5BD1C33A43EB80A29586D2D953013EE2D977D2B9A6A54E83E780")</f>
        <v>https://baanknet.com/view-property/77500/52CBD7B96BDC5BD1C33A43EB80A29586D2D953013EE2D977D2B9A6A54E83E780</v>
      </c>
      <c r="I7173" t="str">
        <f>HYPERLINK("https://baanknet.com/view-property/77500/52CBD7B96BDC5BD1C33A43EB80A29586D2D953013EE2D977D2B9A6A54E83E780", "Open")</f>
        <v>Open</v>
      </c>
      <c r="J7173" t="s">
        <v>3803</v>
      </c>
      <c r="L7173">
        <v>1150000</v>
      </c>
      <c r="M7173">
        <v>115000</v>
      </c>
    </row>
    <row r="7174" spans="1:13" x14ac:dyDescent="0.25">
      <c r="A7174" t="s">
        <v>23641</v>
      </c>
      <c r="B7174" t="s">
        <v>23642</v>
      </c>
      <c r="C7174" t="s">
        <v>594</v>
      </c>
      <c r="D7174" t="s">
        <v>32</v>
      </c>
      <c r="E7174" t="s">
        <v>596</v>
      </c>
      <c r="F7174" t="s">
        <v>574</v>
      </c>
      <c r="G7174" t="s">
        <v>23643</v>
      </c>
      <c r="H7174" t="str">
        <f>HYPERLINK("https://baanknet.com/view-property/269396/DA1BB9E17ACFD8A44923D55F3CD49EA4CEEDA6FBFD38F93A909FD1BA013D5D48", "https://baanknet.com/view-property/269396/DA1BB9E17ACFD8A44923D55F3CD49EA4CEEDA6FBFD38F93A909FD1BA013D5D48")</f>
        <v>https://baanknet.com/view-property/269396/DA1BB9E17ACFD8A44923D55F3CD49EA4CEEDA6FBFD38F93A909FD1BA013D5D48</v>
      </c>
      <c r="I7174" t="str">
        <f>HYPERLINK("https://baanknet.com/view-property/269396/DA1BB9E17ACFD8A44923D55F3CD49EA4CEEDA6FBFD38F93A909FD1BA013D5D48", "Open")</f>
        <v>Open</v>
      </c>
      <c r="J7174" t="s">
        <v>3803</v>
      </c>
      <c r="L7174">
        <v>5630000</v>
      </c>
      <c r="M7174">
        <v>563000</v>
      </c>
    </row>
    <row r="7175" spans="1:13" x14ac:dyDescent="0.25">
      <c r="A7175" t="s">
        <v>23644</v>
      </c>
      <c r="B7175" t="s">
        <v>23645</v>
      </c>
      <c r="C7175" t="s">
        <v>594</v>
      </c>
      <c r="D7175" t="s">
        <v>1186</v>
      </c>
      <c r="E7175" t="s">
        <v>596</v>
      </c>
      <c r="F7175" t="s">
        <v>574</v>
      </c>
      <c r="G7175" t="s">
        <v>23646</v>
      </c>
      <c r="H7175" t="str">
        <f>HYPERLINK("https://baanknet.com/view-property/277803/EE9D119BA2AF812277704F68D79982AFCFD9DA48DB8A61EAA2C85C86A937C7B9", "https://baanknet.com/view-property/277803/EE9D119BA2AF812277704F68D79982AFCFD9DA48DB8A61EAA2C85C86A937C7B9")</f>
        <v>https://baanknet.com/view-property/277803/EE9D119BA2AF812277704F68D79982AFCFD9DA48DB8A61EAA2C85C86A937C7B9</v>
      </c>
      <c r="I7175" t="str">
        <f>HYPERLINK("https://baanknet.com/view-property/277803/EE9D119BA2AF812277704F68D79982AFCFD9DA48DB8A61EAA2C85C86A937C7B9", "Open")</f>
        <v>Open</v>
      </c>
      <c r="J7175" t="s">
        <v>3803</v>
      </c>
      <c r="L7175">
        <v>871000</v>
      </c>
      <c r="M7175">
        <v>87100</v>
      </c>
    </row>
    <row r="7176" spans="1:13" x14ac:dyDescent="0.25">
      <c r="A7176" t="s">
        <v>23647</v>
      </c>
      <c r="B7176" t="s">
        <v>23648</v>
      </c>
      <c r="C7176" t="s">
        <v>594</v>
      </c>
      <c r="D7176" t="s">
        <v>1186</v>
      </c>
      <c r="E7176" t="s">
        <v>596</v>
      </c>
      <c r="F7176" t="s">
        <v>574</v>
      </c>
      <c r="G7176" t="s">
        <v>23649</v>
      </c>
      <c r="H7176" t="str">
        <f>HYPERLINK("https://baanknet.com/view-property/277804/D2861A4C5EAE90472902B3A368F333808DEC4B12A3AEDAC2590EC4DAB7194AA4", "https://baanknet.com/view-property/277804/D2861A4C5EAE90472902B3A368F333808DEC4B12A3AEDAC2590EC4DAB7194AA4")</f>
        <v>https://baanknet.com/view-property/277804/D2861A4C5EAE90472902B3A368F333808DEC4B12A3AEDAC2590EC4DAB7194AA4</v>
      </c>
      <c r="I7176" t="str">
        <f>HYPERLINK("https://baanknet.com/view-property/277804/D2861A4C5EAE90472902B3A368F333808DEC4B12A3AEDAC2590EC4DAB7194AA4", "Open")</f>
        <v>Open</v>
      </c>
      <c r="J7176" t="s">
        <v>3803</v>
      </c>
      <c r="L7176">
        <v>768000</v>
      </c>
      <c r="M7176">
        <v>76800</v>
      </c>
    </row>
    <row r="7177" spans="1:13" x14ac:dyDescent="0.25">
      <c r="A7177" t="s">
        <v>23650</v>
      </c>
      <c r="B7177" t="s">
        <v>23651</v>
      </c>
      <c r="C7177" t="s">
        <v>594</v>
      </c>
      <c r="D7177" t="s">
        <v>32</v>
      </c>
      <c r="E7177" t="s">
        <v>596</v>
      </c>
      <c r="F7177" t="s">
        <v>574</v>
      </c>
      <c r="G7177" t="s">
        <v>23652</v>
      </c>
      <c r="H7177" t="str">
        <f>HYPERLINK("https://baanknet.com/view-property/269391/836FCE61D59B049C71A5FBBF739DAC4E106D4B923D27C8788A4A4059EEED58D2", "https://baanknet.com/view-property/269391/836FCE61D59B049C71A5FBBF739DAC4E106D4B923D27C8788A4A4059EEED58D2")</f>
        <v>https://baanknet.com/view-property/269391/836FCE61D59B049C71A5FBBF739DAC4E106D4B923D27C8788A4A4059EEED58D2</v>
      </c>
      <c r="I7177" t="str">
        <f>HYPERLINK("https://baanknet.com/view-property/269391/836FCE61D59B049C71A5FBBF739DAC4E106D4B923D27C8788A4A4059EEED58D2", "Open")</f>
        <v>Open</v>
      </c>
      <c r="J7177" t="s">
        <v>3803</v>
      </c>
      <c r="L7177">
        <v>5630000</v>
      </c>
      <c r="M7177">
        <v>563000</v>
      </c>
    </row>
    <row r="7178" spans="1:13" x14ac:dyDescent="0.25">
      <c r="A7178" t="s">
        <v>23653</v>
      </c>
      <c r="B7178" t="s">
        <v>23654</v>
      </c>
      <c r="C7178" t="s">
        <v>594</v>
      </c>
      <c r="D7178" t="s">
        <v>501</v>
      </c>
      <c r="E7178" t="s">
        <v>596</v>
      </c>
      <c r="F7178" t="s">
        <v>574</v>
      </c>
      <c r="G7178" t="s">
        <v>23655</v>
      </c>
      <c r="H7178" t="str">
        <f>HYPERLINK("https://baanknet.com/view-property/288242/53CF95D1E71BF2645246413628EC9C527D110F4288862689E577C6C269F0A6A2", "https://baanknet.com/view-property/288242/53CF95D1E71BF2645246413628EC9C527D110F4288862689E577C6C269F0A6A2")</f>
        <v>https://baanknet.com/view-property/288242/53CF95D1E71BF2645246413628EC9C527D110F4288862689E577C6C269F0A6A2</v>
      </c>
      <c r="I7178" t="str">
        <f>HYPERLINK("https://baanknet.com/view-property/288242/53CF95D1E71BF2645246413628EC9C527D110F4288862689E577C6C269F0A6A2", "Open")</f>
        <v>Open</v>
      </c>
      <c r="J7178" t="s">
        <v>3803</v>
      </c>
      <c r="L7178">
        <v>14676000</v>
      </c>
      <c r="M7178">
        <v>1467600</v>
      </c>
    </row>
    <row r="7179" spans="1:13" x14ac:dyDescent="0.25">
      <c r="A7179" t="s">
        <v>23656</v>
      </c>
      <c r="B7179" t="s">
        <v>23657</v>
      </c>
      <c r="C7179" t="s">
        <v>594</v>
      </c>
      <c r="D7179" t="s">
        <v>501</v>
      </c>
      <c r="E7179" t="s">
        <v>596</v>
      </c>
      <c r="F7179" t="s">
        <v>574</v>
      </c>
      <c r="G7179" t="s">
        <v>23658</v>
      </c>
      <c r="H7179" t="str">
        <f>HYPERLINK("https://baanknet.com/view-property/288254/92916270356467101FC392E58669149BA04B3A54F60A6906A59DD4F76051AC79", "https://baanknet.com/view-property/288254/92916270356467101FC392E58669149BA04B3A54F60A6906A59DD4F76051AC79")</f>
        <v>https://baanknet.com/view-property/288254/92916270356467101FC392E58669149BA04B3A54F60A6906A59DD4F76051AC79</v>
      </c>
      <c r="I7179" t="str">
        <f>HYPERLINK("https://baanknet.com/view-property/288254/92916270356467101FC392E58669149BA04B3A54F60A6906A59DD4F76051AC79", "Open")</f>
        <v>Open</v>
      </c>
      <c r="J7179" t="s">
        <v>3803</v>
      </c>
      <c r="L7179">
        <v>11280000</v>
      </c>
      <c r="M7179">
        <v>1128000</v>
      </c>
    </row>
    <row r="7180" spans="1:13" x14ac:dyDescent="0.25">
      <c r="A7180" t="s">
        <v>23659</v>
      </c>
      <c r="B7180" t="s">
        <v>23660</v>
      </c>
      <c r="C7180" t="s">
        <v>594</v>
      </c>
      <c r="D7180" t="s">
        <v>23661</v>
      </c>
      <c r="E7180" t="s">
        <v>596</v>
      </c>
      <c r="F7180" t="s">
        <v>574</v>
      </c>
      <c r="G7180" t="s">
        <v>23662</v>
      </c>
      <c r="H7180" t="str">
        <f>HYPERLINK("https://baanknet.com/view-property/114919/45381E86ADE65AF73A1E6FCEA51A87E868E94D7C69078E4E47EB107929330DE1", "https://baanknet.com/view-property/114919/45381E86ADE65AF73A1E6FCEA51A87E868E94D7C69078E4E47EB107929330DE1")</f>
        <v>https://baanknet.com/view-property/114919/45381E86ADE65AF73A1E6FCEA51A87E868E94D7C69078E4E47EB107929330DE1</v>
      </c>
      <c r="I7180" t="str">
        <f>HYPERLINK("https://baanknet.com/view-property/114919/45381E86ADE65AF73A1E6FCEA51A87E868E94D7C69078E4E47EB107929330DE1", "Open")</f>
        <v>Open</v>
      </c>
      <c r="J7180" t="s">
        <v>3803</v>
      </c>
      <c r="L7180">
        <v>3900000</v>
      </c>
      <c r="M7180">
        <v>390000</v>
      </c>
    </row>
    <row r="7181" spans="1:13" x14ac:dyDescent="0.25">
      <c r="A7181" t="s">
        <v>23663</v>
      </c>
      <c r="B7181" t="s">
        <v>23664</v>
      </c>
      <c r="C7181" t="s">
        <v>594</v>
      </c>
      <c r="D7181" t="s">
        <v>32</v>
      </c>
      <c r="E7181" t="s">
        <v>596</v>
      </c>
      <c r="F7181" t="s">
        <v>574</v>
      </c>
      <c r="G7181" t="s">
        <v>23665</v>
      </c>
      <c r="H7181" t="str">
        <f>HYPERLINK("https://baanknet.com/view-property/288278/9AAC00A9F52BF95F60D54222DEBC6BD2D266508C1165A32388340E9E81A64AA3", "https://baanknet.com/view-property/288278/9AAC00A9F52BF95F60D54222DEBC6BD2D266508C1165A32388340E9E81A64AA3")</f>
        <v>https://baanknet.com/view-property/288278/9AAC00A9F52BF95F60D54222DEBC6BD2D266508C1165A32388340E9E81A64AA3</v>
      </c>
      <c r="I7181" t="str">
        <f>HYPERLINK("https://baanknet.com/view-property/288278/9AAC00A9F52BF95F60D54222DEBC6BD2D266508C1165A32388340E9E81A64AA3", "Open")</f>
        <v>Open</v>
      </c>
      <c r="J7181" t="s">
        <v>3803</v>
      </c>
      <c r="L7181">
        <v>5630000</v>
      </c>
      <c r="M7181">
        <v>563000</v>
      </c>
    </row>
    <row r="7182" spans="1:13" x14ac:dyDescent="0.25">
      <c r="A7182" t="s">
        <v>23666</v>
      </c>
      <c r="B7182" t="s">
        <v>23667</v>
      </c>
      <c r="C7182" t="s">
        <v>594</v>
      </c>
      <c r="D7182" t="s">
        <v>32</v>
      </c>
      <c r="E7182" t="s">
        <v>596</v>
      </c>
      <c r="F7182" t="s">
        <v>574</v>
      </c>
      <c r="G7182" t="s">
        <v>23668</v>
      </c>
      <c r="H7182" t="str">
        <f>HYPERLINK("https://baanknet.com/view-property/288279/8889113B804BD99E7C0B89F29797C8E43343A6CC10AAFCFF0F1B430F1C34FAC9", "https://baanknet.com/view-property/288279/8889113B804BD99E7C0B89F29797C8E43343A6CC10AAFCFF0F1B430F1C34FAC9")</f>
        <v>https://baanknet.com/view-property/288279/8889113B804BD99E7C0B89F29797C8E43343A6CC10AAFCFF0F1B430F1C34FAC9</v>
      </c>
      <c r="I7182" t="str">
        <f>HYPERLINK("https://baanknet.com/view-property/288279/8889113B804BD99E7C0B89F29797C8E43343A6CC10AAFCFF0F1B430F1C34FAC9", "Open")</f>
        <v>Open</v>
      </c>
      <c r="J7182" t="s">
        <v>3803</v>
      </c>
      <c r="L7182">
        <v>5630000</v>
      </c>
      <c r="M7182">
        <v>563000</v>
      </c>
    </row>
    <row r="7183" spans="1:13" x14ac:dyDescent="0.25">
      <c r="A7183" t="s">
        <v>23669</v>
      </c>
      <c r="B7183" t="s">
        <v>23670</v>
      </c>
      <c r="C7183" t="s">
        <v>594</v>
      </c>
      <c r="D7183" t="s">
        <v>32</v>
      </c>
      <c r="E7183" t="s">
        <v>596</v>
      </c>
      <c r="F7183" t="s">
        <v>574</v>
      </c>
      <c r="G7183" t="s">
        <v>23671</v>
      </c>
      <c r="H7183" t="str">
        <f>HYPERLINK("https://baanknet.com/view-property/288280/CE446C9AA60E91B79CD9A504F2C2D0CA2FE720129CA62539F53BFDF2922050D0", "https://baanknet.com/view-property/288280/CE446C9AA60E91B79CD9A504F2C2D0CA2FE720129CA62539F53BFDF2922050D0")</f>
        <v>https://baanknet.com/view-property/288280/CE446C9AA60E91B79CD9A504F2C2D0CA2FE720129CA62539F53BFDF2922050D0</v>
      </c>
      <c r="I7183" t="str">
        <f>HYPERLINK("https://baanknet.com/view-property/288280/CE446C9AA60E91B79CD9A504F2C2D0CA2FE720129CA62539F53BFDF2922050D0", "Open")</f>
        <v>Open</v>
      </c>
      <c r="J7183" t="s">
        <v>3803</v>
      </c>
      <c r="L7183">
        <v>5630000</v>
      </c>
      <c r="M7183">
        <v>563000</v>
      </c>
    </row>
    <row r="7184" spans="1:13" x14ac:dyDescent="0.25">
      <c r="A7184" t="s">
        <v>23672</v>
      </c>
      <c r="B7184" t="s">
        <v>23673</v>
      </c>
      <c r="C7184" t="s">
        <v>594</v>
      </c>
      <c r="D7184" t="s">
        <v>23512</v>
      </c>
      <c r="E7184" t="s">
        <v>596</v>
      </c>
      <c r="F7184" t="s">
        <v>574</v>
      </c>
      <c r="G7184" t="s">
        <v>23674</v>
      </c>
      <c r="H7184" t="str">
        <f>HYPERLINK("https://baanknet.com/view-property/288222/EAC971237711D9A7CC6C3513C1920E9CB62B352E54E83E3A2C4FFDC17C92C3B3", "https://baanknet.com/view-property/288222/EAC971237711D9A7CC6C3513C1920E9CB62B352E54E83E3A2C4FFDC17C92C3B3")</f>
        <v>https://baanknet.com/view-property/288222/EAC971237711D9A7CC6C3513C1920E9CB62B352E54E83E3A2C4FFDC17C92C3B3</v>
      </c>
      <c r="I7184" t="str">
        <f>HYPERLINK("https://baanknet.com/view-property/288222/EAC971237711D9A7CC6C3513C1920E9CB62B352E54E83E3A2C4FFDC17C92C3B3", "Open")</f>
        <v>Open</v>
      </c>
      <c r="J7184" t="s">
        <v>3803</v>
      </c>
      <c r="L7184">
        <v>3488000</v>
      </c>
      <c r="M7184">
        <v>348800</v>
      </c>
    </row>
    <row r="7185" spans="1:13" x14ac:dyDescent="0.25">
      <c r="A7185" t="s">
        <v>23675</v>
      </c>
      <c r="B7185" t="s">
        <v>23676</v>
      </c>
      <c r="C7185" t="s">
        <v>594</v>
      </c>
      <c r="D7185" t="s">
        <v>23512</v>
      </c>
      <c r="E7185" t="s">
        <v>596</v>
      </c>
      <c r="F7185" t="s">
        <v>574</v>
      </c>
      <c r="G7185" t="s">
        <v>23677</v>
      </c>
      <c r="H7185" t="str">
        <f>HYPERLINK("https://baanknet.com/view-property/288223/B098E7BF0888BB77C2DF7AFB0462D6C687B26111DD6FA866E99A1CFDA61C3B1F", "https://baanknet.com/view-property/288223/B098E7BF0888BB77C2DF7AFB0462D6C687B26111DD6FA866E99A1CFDA61C3B1F")</f>
        <v>https://baanknet.com/view-property/288223/B098E7BF0888BB77C2DF7AFB0462D6C687B26111DD6FA866E99A1CFDA61C3B1F</v>
      </c>
      <c r="I7185" t="str">
        <f>HYPERLINK("https://baanknet.com/view-property/288223/B098E7BF0888BB77C2DF7AFB0462D6C687B26111DD6FA866E99A1CFDA61C3B1F", "Open")</f>
        <v>Open</v>
      </c>
      <c r="J7185" t="s">
        <v>3803</v>
      </c>
      <c r="L7185">
        <v>2035000</v>
      </c>
      <c r="M7185">
        <v>203500</v>
      </c>
    </row>
    <row r="7186" spans="1:13" x14ac:dyDescent="0.25">
      <c r="A7186" t="s">
        <v>23678</v>
      </c>
      <c r="B7186" t="s">
        <v>23679</v>
      </c>
      <c r="C7186" t="s">
        <v>594</v>
      </c>
      <c r="D7186" t="s">
        <v>13217</v>
      </c>
      <c r="E7186" t="s">
        <v>596</v>
      </c>
      <c r="F7186" t="s">
        <v>574</v>
      </c>
      <c r="G7186" t="s">
        <v>23680</v>
      </c>
      <c r="H7186" t="str">
        <f>HYPERLINK("https://baanknet.com/view-property/71659/5D8815ECB861ADCD8F622631B5840574178CBF7E7BD3E7B781894BFFD2A38912", "https://baanknet.com/view-property/71659/5D8815ECB861ADCD8F622631B5840574178CBF7E7BD3E7B781894BFFD2A38912")</f>
        <v>https://baanknet.com/view-property/71659/5D8815ECB861ADCD8F622631B5840574178CBF7E7BD3E7B781894BFFD2A38912</v>
      </c>
      <c r="I7186" t="str">
        <f>HYPERLINK("https://baanknet.com/view-property/71659/5D8815ECB861ADCD8F622631B5840574178CBF7E7BD3E7B781894BFFD2A38912", "Open")</f>
        <v>Open</v>
      </c>
      <c r="J7186" t="s">
        <v>3803</v>
      </c>
      <c r="L7186">
        <v>580000</v>
      </c>
      <c r="M7186">
        <v>58000</v>
      </c>
    </row>
    <row r="7187" spans="1:13" x14ac:dyDescent="0.25">
      <c r="A7187" t="s">
        <v>23681</v>
      </c>
      <c r="B7187" t="s">
        <v>23682</v>
      </c>
      <c r="C7187" t="s">
        <v>594</v>
      </c>
      <c r="D7187" t="s">
        <v>13234</v>
      </c>
      <c r="E7187" t="s">
        <v>596</v>
      </c>
      <c r="F7187" t="s">
        <v>574</v>
      </c>
      <c r="G7187" t="s">
        <v>23683</v>
      </c>
      <c r="H7187" t="str">
        <f>HYPERLINK("https://baanknet.com/view-property/202637/92CFA6147D742B46BCD47EEC597BF737D53E09DDFA54517F5819041048BED2D8", "https://baanknet.com/view-property/202637/92CFA6147D742B46BCD47EEC597BF737D53E09DDFA54517F5819041048BED2D8")</f>
        <v>https://baanknet.com/view-property/202637/92CFA6147D742B46BCD47EEC597BF737D53E09DDFA54517F5819041048BED2D8</v>
      </c>
      <c r="I7187" t="str">
        <f>HYPERLINK("https://baanknet.com/view-property/202637/92CFA6147D742B46BCD47EEC597BF737D53E09DDFA54517F5819041048BED2D8", "Open")</f>
        <v>Open</v>
      </c>
      <c r="J7187" t="s">
        <v>3803</v>
      </c>
      <c r="L7187">
        <v>1288000</v>
      </c>
      <c r="M7187">
        <v>128800</v>
      </c>
    </row>
    <row r="7188" spans="1:13" x14ac:dyDescent="0.25">
      <c r="A7188" t="s">
        <v>23684</v>
      </c>
      <c r="B7188" t="s">
        <v>23685</v>
      </c>
      <c r="C7188" t="s">
        <v>594</v>
      </c>
      <c r="D7188" t="s">
        <v>13217</v>
      </c>
      <c r="E7188" t="s">
        <v>596</v>
      </c>
      <c r="F7188" t="s">
        <v>574</v>
      </c>
      <c r="G7188" t="s">
        <v>23686</v>
      </c>
      <c r="H7188" t="str">
        <f>HYPERLINK("https://baanknet.com/view-property/30338/C3B2BD50C7C8C2C9A78B27DDDBA1087F31AE2C50DCE1470CC24CFD4502917E94", "https://baanknet.com/view-property/30338/C3B2BD50C7C8C2C9A78B27DDDBA1087F31AE2C50DCE1470CC24CFD4502917E94")</f>
        <v>https://baanknet.com/view-property/30338/C3B2BD50C7C8C2C9A78B27DDDBA1087F31AE2C50DCE1470CC24CFD4502917E94</v>
      </c>
      <c r="I7188" t="str">
        <f>HYPERLINK("https://baanknet.com/view-property/30338/C3B2BD50C7C8C2C9A78B27DDDBA1087F31AE2C50DCE1470CC24CFD4502917E94", "Open")</f>
        <v>Open</v>
      </c>
      <c r="J7188" t="s">
        <v>3803</v>
      </c>
      <c r="L7188">
        <v>964000</v>
      </c>
      <c r="M7188">
        <v>96400</v>
      </c>
    </row>
    <row r="7189" spans="1:13" x14ac:dyDescent="0.25">
      <c r="A7189" t="s">
        <v>23687</v>
      </c>
      <c r="B7189" t="s">
        <v>23688</v>
      </c>
      <c r="C7189" t="s">
        <v>594</v>
      </c>
      <c r="D7189" t="s">
        <v>13217</v>
      </c>
      <c r="E7189" t="s">
        <v>596</v>
      </c>
      <c r="F7189" t="s">
        <v>574</v>
      </c>
      <c r="G7189" t="s">
        <v>23689</v>
      </c>
      <c r="H7189" t="str">
        <f>HYPERLINK("https://baanknet.com/view-property/254792/CE2F43B817C4D2526FFCA0A46794329B23625B3C2C68B9BA8F9B01E661030176", "https://baanknet.com/view-property/254792/CE2F43B817C4D2526FFCA0A46794329B23625B3C2C68B9BA8F9B01E661030176")</f>
        <v>https://baanknet.com/view-property/254792/CE2F43B817C4D2526FFCA0A46794329B23625B3C2C68B9BA8F9B01E661030176</v>
      </c>
      <c r="I7189" t="str">
        <f>HYPERLINK("https://baanknet.com/view-property/254792/CE2F43B817C4D2526FFCA0A46794329B23625B3C2C68B9BA8F9B01E661030176", "Open")</f>
        <v>Open</v>
      </c>
      <c r="J7189" t="s">
        <v>3803</v>
      </c>
      <c r="L7189">
        <v>1063000</v>
      </c>
      <c r="M7189">
        <v>106300</v>
      </c>
    </row>
    <row r="7190" spans="1:13" x14ac:dyDescent="0.25">
      <c r="A7190" t="s">
        <v>23690</v>
      </c>
      <c r="B7190" t="s">
        <v>23691</v>
      </c>
      <c r="C7190" t="s">
        <v>594</v>
      </c>
      <c r="D7190" t="s">
        <v>23692</v>
      </c>
      <c r="E7190" t="s">
        <v>596</v>
      </c>
      <c r="F7190" t="s">
        <v>574</v>
      </c>
      <c r="G7190" t="s">
        <v>23693</v>
      </c>
      <c r="H7190" t="str">
        <f>HYPERLINK("https://baanknet.com/view-property/51722/4517186B4BE64FED4532A4FA839CC8BA65910C919523893A9CB8A75C72C30246", "https://baanknet.com/view-property/51722/4517186B4BE64FED4532A4FA839CC8BA65910C919523893A9CB8A75C72C30246")</f>
        <v>https://baanknet.com/view-property/51722/4517186B4BE64FED4532A4FA839CC8BA65910C919523893A9CB8A75C72C30246</v>
      </c>
      <c r="I7190" t="str">
        <f>HYPERLINK("https://baanknet.com/view-property/51722/4517186B4BE64FED4532A4FA839CC8BA65910C919523893A9CB8A75C72C30246", "Open")</f>
        <v>Open</v>
      </c>
      <c r="J7190" t="s">
        <v>3803</v>
      </c>
      <c r="L7190">
        <v>6210000</v>
      </c>
      <c r="M7190">
        <v>621000</v>
      </c>
    </row>
    <row r="7191" spans="1:13" x14ac:dyDescent="0.25">
      <c r="A7191" t="s">
        <v>23694</v>
      </c>
      <c r="B7191" t="s">
        <v>23695</v>
      </c>
      <c r="C7191" t="s">
        <v>594</v>
      </c>
      <c r="D7191" t="s">
        <v>6152</v>
      </c>
      <c r="E7191" t="s">
        <v>596</v>
      </c>
      <c r="F7191" t="s">
        <v>574</v>
      </c>
      <c r="G7191" t="s">
        <v>23696</v>
      </c>
      <c r="H7191" t="str">
        <f>HYPERLINK("https://baanknet.com/view-property/277787/283C94CCBF73E5D67F17D83FD99DB84953CA2F006E1381825714D0C4EF87F308", "https://baanknet.com/view-property/277787/283C94CCBF73E5D67F17D83FD99DB84953CA2F006E1381825714D0C4EF87F308")</f>
        <v>https://baanknet.com/view-property/277787/283C94CCBF73E5D67F17D83FD99DB84953CA2F006E1381825714D0C4EF87F308</v>
      </c>
      <c r="I7191" t="str">
        <f>HYPERLINK("https://baanknet.com/view-property/277787/283C94CCBF73E5D67F17D83FD99DB84953CA2F006E1381825714D0C4EF87F308", "Open")</f>
        <v>Open</v>
      </c>
      <c r="J7191" t="s">
        <v>3803</v>
      </c>
      <c r="L7191">
        <v>1192400</v>
      </c>
      <c r="M7191">
        <v>119240</v>
      </c>
    </row>
    <row r="7192" spans="1:13" x14ac:dyDescent="0.25">
      <c r="A7192" t="s">
        <v>23697</v>
      </c>
      <c r="B7192" t="s">
        <v>23698</v>
      </c>
      <c r="C7192" t="s">
        <v>594</v>
      </c>
      <c r="D7192" t="s">
        <v>1310</v>
      </c>
      <c r="E7192" t="s">
        <v>596</v>
      </c>
      <c r="F7192" t="s">
        <v>574</v>
      </c>
      <c r="G7192" t="s">
        <v>23699</v>
      </c>
      <c r="H7192" t="str">
        <f>HYPERLINK("https://baanknet.com/view-property/238819/D25A45D5DD566F14762B6AFF403FBDAAF7D90BDDB49BF5428B4E3D5C71CBEAA2", "https://baanknet.com/view-property/238819/D25A45D5DD566F14762B6AFF403FBDAAF7D90BDDB49BF5428B4E3D5C71CBEAA2")</f>
        <v>https://baanknet.com/view-property/238819/D25A45D5DD566F14762B6AFF403FBDAAF7D90BDDB49BF5428B4E3D5C71CBEAA2</v>
      </c>
      <c r="I7192" t="str">
        <f>HYPERLINK("https://baanknet.com/view-property/238819/D25A45D5DD566F14762B6AFF403FBDAAF7D90BDDB49BF5428B4E3D5C71CBEAA2", "Open")</f>
        <v>Open</v>
      </c>
      <c r="J7192" t="s">
        <v>3803</v>
      </c>
      <c r="L7192">
        <v>23750000</v>
      </c>
      <c r="M7192">
        <v>2375000</v>
      </c>
    </row>
    <row r="7193" spans="1:13" x14ac:dyDescent="0.25">
      <c r="A7193" t="s">
        <v>23700</v>
      </c>
      <c r="B7193" t="s">
        <v>23701</v>
      </c>
      <c r="C7193" t="s">
        <v>594</v>
      </c>
      <c r="D7193" t="s">
        <v>549</v>
      </c>
      <c r="E7193" t="s">
        <v>596</v>
      </c>
      <c r="F7193" t="s">
        <v>574</v>
      </c>
      <c r="G7193" t="s">
        <v>23702</v>
      </c>
      <c r="H7193" t="str">
        <f>HYPERLINK("https://baanknet.com/view-property/288285/5FA76153A10FC79780A93CBC31812F3B15FD26AE6EE13DF9436B9F864BC7024F", "https://baanknet.com/view-property/288285/5FA76153A10FC79780A93CBC31812F3B15FD26AE6EE13DF9436B9F864BC7024F")</f>
        <v>https://baanknet.com/view-property/288285/5FA76153A10FC79780A93CBC31812F3B15FD26AE6EE13DF9436B9F864BC7024F</v>
      </c>
      <c r="I7193" t="str">
        <f>HYPERLINK("https://baanknet.com/view-property/288285/5FA76153A10FC79780A93CBC31812F3B15FD26AE6EE13DF9436B9F864BC7024F", "Open")</f>
        <v>Open</v>
      </c>
      <c r="J7193" t="s">
        <v>3803</v>
      </c>
      <c r="L7193">
        <v>1685000</v>
      </c>
      <c r="M7193">
        <v>169000</v>
      </c>
    </row>
    <row r="7194" spans="1:13" x14ac:dyDescent="0.25">
      <c r="A7194" t="s">
        <v>23703</v>
      </c>
      <c r="B7194" t="s">
        <v>23704</v>
      </c>
      <c r="C7194" t="s">
        <v>594</v>
      </c>
      <c r="D7194" t="s">
        <v>23705</v>
      </c>
      <c r="E7194" t="s">
        <v>596</v>
      </c>
      <c r="F7194" t="s">
        <v>574</v>
      </c>
      <c r="G7194" t="s">
        <v>23706</v>
      </c>
      <c r="H7194" t="str">
        <f>HYPERLINK("https://baanknet.com/view-property/288341/CCFE4815A5A6B4F3573F6450B4EB570B5B953E924ABBE7644B3B99252DA704F9", "https://baanknet.com/view-property/288341/CCFE4815A5A6B4F3573F6450B4EB570B5B953E924ABBE7644B3B99252DA704F9")</f>
        <v>https://baanknet.com/view-property/288341/CCFE4815A5A6B4F3573F6450B4EB570B5B953E924ABBE7644B3B99252DA704F9</v>
      </c>
      <c r="I7194" t="str">
        <f>HYPERLINK("https://baanknet.com/view-property/288341/CCFE4815A5A6B4F3573F6450B4EB570B5B953E924ABBE7644B3B99252DA704F9", "Open")</f>
        <v>Open</v>
      </c>
      <c r="J7194" t="s">
        <v>3803</v>
      </c>
      <c r="L7194">
        <v>5300000</v>
      </c>
      <c r="M7194">
        <v>530000</v>
      </c>
    </row>
    <row r="7195" spans="1:13" x14ac:dyDescent="0.25">
      <c r="A7195" t="s">
        <v>23707</v>
      </c>
      <c r="B7195" t="s">
        <v>23708</v>
      </c>
      <c r="C7195" t="s">
        <v>594</v>
      </c>
      <c r="D7195" t="s">
        <v>23709</v>
      </c>
      <c r="E7195" t="s">
        <v>596</v>
      </c>
      <c r="F7195" t="s">
        <v>574</v>
      </c>
      <c r="G7195" t="s">
        <v>23710</v>
      </c>
      <c r="H7195" t="str">
        <f>HYPERLINK("https://baanknet.com/view-property/288339/9F9427A3CBF814FD3442D4E2E915835103E2C6E8248516382177C8332970036E", "https://baanknet.com/view-property/288339/9F9427A3CBF814FD3442D4E2E915835103E2C6E8248516382177C8332970036E")</f>
        <v>https://baanknet.com/view-property/288339/9F9427A3CBF814FD3442D4E2E915835103E2C6E8248516382177C8332970036E</v>
      </c>
      <c r="I7195" t="str">
        <f>HYPERLINK("https://baanknet.com/view-property/288339/9F9427A3CBF814FD3442D4E2E915835103E2C6E8248516382177C8332970036E", "Open")</f>
        <v>Open</v>
      </c>
      <c r="J7195" t="s">
        <v>3803</v>
      </c>
      <c r="L7195">
        <v>2000000</v>
      </c>
      <c r="M7195">
        <v>200000</v>
      </c>
    </row>
    <row r="7196" spans="1:13" x14ac:dyDescent="0.25">
      <c r="A7196" t="s">
        <v>23711</v>
      </c>
      <c r="B7196" t="s">
        <v>23712</v>
      </c>
      <c r="C7196" t="s">
        <v>594</v>
      </c>
      <c r="D7196" t="s">
        <v>7909</v>
      </c>
      <c r="E7196" t="s">
        <v>596</v>
      </c>
      <c r="F7196" t="s">
        <v>574</v>
      </c>
      <c r="G7196" t="s">
        <v>23713</v>
      </c>
      <c r="H7196" t="str">
        <f>HYPERLINK("https://baanknet.com/view-property/283520/941672CE143D6FA606763703521301AE4FB5C493672ADDAB05A9736A838F9B15", "https://baanknet.com/view-property/283520/941672CE143D6FA606763703521301AE4FB5C493672ADDAB05A9736A838F9B15")</f>
        <v>https://baanknet.com/view-property/283520/941672CE143D6FA606763703521301AE4FB5C493672ADDAB05A9736A838F9B15</v>
      </c>
      <c r="I7196" t="str">
        <f>HYPERLINK("https://baanknet.com/view-property/283520/941672CE143D6FA606763703521301AE4FB5C493672ADDAB05A9736A838F9B15", "Open")</f>
        <v>Open</v>
      </c>
      <c r="J7196" t="s">
        <v>3803</v>
      </c>
      <c r="L7196">
        <v>5932000</v>
      </c>
      <c r="M7196">
        <v>593200</v>
      </c>
    </row>
    <row r="7197" spans="1:13" x14ac:dyDescent="0.25">
      <c r="A7197" t="s">
        <v>23714</v>
      </c>
      <c r="B7197" t="s">
        <v>23715</v>
      </c>
      <c r="C7197" t="s">
        <v>594</v>
      </c>
      <c r="D7197" t="s">
        <v>18202</v>
      </c>
      <c r="E7197" t="s">
        <v>596</v>
      </c>
      <c r="F7197" t="s">
        <v>574</v>
      </c>
      <c r="G7197" t="s">
        <v>23716</v>
      </c>
      <c r="H7197" t="str">
        <f>HYPERLINK("https://baanknet.com/view-property/275131/1653738B5868876DFC8243A409AAD2DC75DA06346A6D78FC85C52A26C959E0CF", "https://baanknet.com/view-property/275131/1653738B5868876DFC8243A409AAD2DC75DA06346A6D78FC85C52A26C959E0CF")</f>
        <v>https://baanknet.com/view-property/275131/1653738B5868876DFC8243A409AAD2DC75DA06346A6D78FC85C52A26C959E0CF</v>
      </c>
      <c r="I7197" t="str">
        <f>HYPERLINK("https://baanknet.com/view-property/275131/1653738B5868876DFC8243A409AAD2DC75DA06346A6D78FC85C52A26C959E0CF", "Open")</f>
        <v>Open</v>
      </c>
      <c r="J7197" t="s">
        <v>3803</v>
      </c>
      <c r="L7197">
        <v>5130000</v>
      </c>
      <c r="M7197">
        <v>513000</v>
      </c>
    </row>
    <row r="7198" spans="1:13" x14ac:dyDescent="0.25">
      <c r="A7198" t="s">
        <v>23717</v>
      </c>
      <c r="B7198" t="s">
        <v>23718</v>
      </c>
      <c r="C7198" t="s">
        <v>594</v>
      </c>
      <c r="D7198" t="s">
        <v>900</v>
      </c>
      <c r="E7198" t="s">
        <v>596</v>
      </c>
      <c r="F7198" t="s">
        <v>574</v>
      </c>
      <c r="G7198" t="s">
        <v>23719</v>
      </c>
      <c r="H7198" t="str">
        <f>HYPERLINK("https://baanknet.com/view-property/280067/2D5F495D45C84835CEB332839C947B56A5475DFD595B39F2F0AAAF9D447B092F", "https://baanknet.com/view-property/280067/2D5F495D45C84835CEB332839C947B56A5475DFD595B39F2F0AAAF9D447B092F")</f>
        <v>https://baanknet.com/view-property/280067/2D5F495D45C84835CEB332839C947B56A5475DFD595B39F2F0AAAF9D447B092F</v>
      </c>
      <c r="I7198" t="str">
        <f>HYPERLINK("https://baanknet.com/view-property/280067/2D5F495D45C84835CEB332839C947B56A5475DFD595B39F2F0AAAF9D447B092F", "Open")</f>
        <v>Open</v>
      </c>
      <c r="J7198" t="s">
        <v>3803</v>
      </c>
      <c r="L7198">
        <v>12700000</v>
      </c>
      <c r="M7198">
        <v>1270000</v>
      </c>
    </row>
    <row r="7199" spans="1:13" x14ac:dyDescent="0.25">
      <c r="A7199" t="s">
        <v>23720</v>
      </c>
      <c r="B7199" t="s">
        <v>23721</v>
      </c>
      <c r="C7199" t="s">
        <v>594</v>
      </c>
      <c r="D7199" t="s">
        <v>23722</v>
      </c>
      <c r="E7199" t="s">
        <v>596</v>
      </c>
      <c r="F7199" t="s">
        <v>574</v>
      </c>
      <c r="G7199" t="s">
        <v>23723</v>
      </c>
      <c r="H7199" t="str">
        <f>HYPERLINK("https://baanknet.com/view-property/276333/FEF4FC5A0F850E7F6B35A8A373EC384FC70536D94BC14C61286C5D5A9D3DEA37", "https://baanknet.com/view-property/276333/FEF4FC5A0F850E7F6B35A8A373EC384FC70536D94BC14C61286C5D5A9D3DEA37")</f>
        <v>https://baanknet.com/view-property/276333/FEF4FC5A0F850E7F6B35A8A373EC384FC70536D94BC14C61286C5D5A9D3DEA37</v>
      </c>
      <c r="I7199" t="str">
        <f>HYPERLINK("https://baanknet.com/view-property/276333/FEF4FC5A0F850E7F6B35A8A373EC384FC70536D94BC14C61286C5D5A9D3DEA37", "Open")</f>
        <v>Open</v>
      </c>
      <c r="J7199" t="s">
        <v>3803</v>
      </c>
      <c r="L7199">
        <v>4270000</v>
      </c>
      <c r="M7199">
        <v>427000</v>
      </c>
    </row>
    <row r="7200" spans="1:13" x14ac:dyDescent="0.25">
      <c r="A7200" t="s">
        <v>23724</v>
      </c>
      <c r="B7200" t="s">
        <v>23725</v>
      </c>
      <c r="C7200" t="s">
        <v>594</v>
      </c>
      <c r="D7200" t="s">
        <v>6914</v>
      </c>
      <c r="E7200" t="s">
        <v>596</v>
      </c>
      <c r="F7200" t="s">
        <v>574</v>
      </c>
      <c r="G7200" t="s">
        <v>23726</v>
      </c>
      <c r="H7200" t="str">
        <f>HYPERLINK("https://baanknet.com/view-property/234909/49EE473784E236FFD330F98F64010A26B2799678C3029BE113B1DF466751CC2F", "https://baanknet.com/view-property/234909/49EE473784E236FFD330F98F64010A26B2799678C3029BE113B1DF466751CC2F")</f>
        <v>https://baanknet.com/view-property/234909/49EE473784E236FFD330F98F64010A26B2799678C3029BE113B1DF466751CC2F</v>
      </c>
      <c r="I7200" t="str">
        <f>HYPERLINK("https://baanknet.com/view-property/234909/49EE473784E236FFD330F98F64010A26B2799678C3029BE113B1DF466751CC2F", "Open")</f>
        <v>Open</v>
      </c>
      <c r="J7200" t="s">
        <v>3803</v>
      </c>
      <c r="L7200">
        <v>2475000</v>
      </c>
      <c r="M7200">
        <v>250000</v>
      </c>
    </row>
    <row r="7201" spans="1:13" x14ac:dyDescent="0.25">
      <c r="A7201" t="s">
        <v>23727</v>
      </c>
      <c r="B7201" t="s">
        <v>23728</v>
      </c>
      <c r="C7201" t="s">
        <v>594</v>
      </c>
      <c r="D7201" t="s">
        <v>501</v>
      </c>
      <c r="E7201" t="s">
        <v>596</v>
      </c>
      <c r="F7201" t="s">
        <v>574</v>
      </c>
      <c r="G7201" t="s">
        <v>23729</v>
      </c>
      <c r="H7201" t="str">
        <f>HYPERLINK("https://baanknet.com/view-property/268922/66423972E66884FF4FBA5B3C4001014098ECBF33DF37FA18CAED3DCE3EDEE886", "https://baanknet.com/view-property/268922/66423972E66884FF4FBA5B3C4001014098ECBF33DF37FA18CAED3DCE3EDEE886")</f>
        <v>https://baanknet.com/view-property/268922/66423972E66884FF4FBA5B3C4001014098ECBF33DF37FA18CAED3DCE3EDEE886</v>
      </c>
      <c r="I7201" t="str">
        <f>HYPERLINK("https://baanknet.com/view-property/268922/66423972E66884FF4FBA5B3C4001014098ECBF33DF37FA18CAED3DCE3EDEE886", "Open")</f>
        <v>Open</v>
      </c>
      <c r="J7201" t="s">
        <v>3803</v>
      </c>
      <c r="L7201">
        <v>2853000</v>
      </c>
      <c r="M7201">
        <v>285300</v>
      </c>
    </row>
    <row r="7202" spans="1:13" x14ac:dyDescent="0.25">
      <c r="A7202" t="s">
        <v>23730</v>
      </c>
      <c r="B7202" t="s">
        <v>23731</v>
      </c>
      <c r="C7202" t="s">
        <v>594</v>
      </c>
      <c r="D7202" t="s">
        <v>900</v>
      </c>
      <c r="E7202" t="s">
        <v>596</v>
      </c>
      <c r="F7202" t="s">
        <v>574</v>
      </c>
      <c r="G7202" t="s">
        <v>23732</v>
      </c>
      <c r="H7202" t="str">
        <f>HYPERLINK("https://baanknet.com/view-property/280075/A1EFC48FA32CEC4A64E7185C7B88113256E03D48D51DD68F5F5427E2E527F164", "https://baanknet.com/view-property/280075/A1EFC48FA32CEC4A64E7185C7B88113256E03D48D51DD68F5F5427E2E527F164")</f>
        <v>https://baanknet.com/view-property/280075/A1EFC48FA32CEC4A64E7185C7B88113256E03D48D51DD68F5F5427E2E527F164</v>
      </c>
      <c r="I7202" t="str">
        <f>HYPERLINK("https://baanknet.com/view-property/280075/A1EFC48FA32CEC4A64E7185C7B88113256E03D48D51DD68F5F5427E2E527F164", "Open")</f>
        <v>Open</v>
      </c>
      <c r="J7202" t="s">
        <v>3803</v>
      </c>
      <c r="L7202">
        <v>2400000</v>
      </c>
      <c r="M7202">
        <v>240000</v>
      </c>
    </row>
    <row r="7203" spans="1:13" x14ac:dyDescent="0.25">
      <c r="A7203" t="s">
        <v>23733</v>
      </c>
      <c r="B7203" t="s">
        <v>23734</v>
      </c>
      <c r="C7203" t="s">
        <v>594</v>
      </c>
      <c r="D7203" t="s">
        <v>900</v>
      </c>
      <c r="E7203" t="s">
        <v>596</v>
      </c>
      <c r="F7203" t="s">
        <v>574</v>
      </c>
      <c r="G7203" t="s">
        <v>23735</v>
      </c>
      <c r="H7203" t="str">
        <f>HYPERLINK("https://baanknet.com/view-property/280080/41530541175E93D46392FEF4C9D2780EE26C5529C3FF089AB5384274E4D35EDD", "https://baanknet.com/view-property/280080/41530541175E93D46392FEF4C9D2780EE26C5529C3FF089AB5384274E4D35EDD")</f>
        <v>https://baanknet.com/view-property/280080/41530541175E93D46392FEF4C9D2780EE26C5529C3FF089AB5384274E4D35EDD</v>
      </c>
      <c r="I7203" t="str">
        <f>HYPERLINK("https://baanknet.com/view-property/280080/41530541175E93D46392FEF4C9D2780EE26C5529C3FF089AB5384274E4D35EDD", "Open")</f>
        <v>Open</v>
      </c>
      <c r="J7203" t="s">
        <v>3803</v>
      </c>
      <c r="L7203">
        <v>12200000</v>
      </c>
      <c r="M7203">
        <v>1220000</v>
      </c>
    </row>
    <row r="7204" spans="1:13" x14ac:dyDescent="0.25">
      <c r="A7204" t="s">
        <v>23736</v>
      </c>
      <c r="B7204" t="s">
        <v>23737</v>
      </c>
      <c r="C7204" t="s">
        <v>594</v>
      </c>
      <c r="D7204" t="s">
        <v>23738</v>
      </c>
      <c r="E7204" t="s">
        <v>596</v>
      </c>
      <c r="F7204" t="s">
        <v>574</v>
      </c>
      <c r="G7204" t="s">
        <v>23739</v>
      </c>
      <c r="H7204" t="str">
        <f>HYPERLINK("https://baanknet.com/view-property/280084/83923EF7F9842E9B19B4143F37CE28ED8AF44EA6ADC0D31F41ABCDE52DF193FF", "https://baanknet.com/view-property/280084/83923EF7F9842E9B19B4143F37CE28ED8AF44EA6ADC0D31F41ABCDE52DF193FF")</f>
        <v>https://baanknet.com/view-property/280084/83923EF7F9842E9B19B4143F37CE28ED8AF44EA6ADC0D31F41ABCDE52DF193FF</v>
      </c>
      <c r="I7204" t="str">
        <f>HYPERLINK("https://baanknet.com/view-property/280084/83923EF7F9842E9B19B4143F37CE28ED8AF44EA6ADC0D31F41ABCDE52DF193FF", "Open")</f>
        <v>Open</v>
      </c>
      <c r="J7204" t="s">
        <v>3803</v>
      </c>
      <c r="L7204">
        <v>3500000</v>
      </c>
      <c r="M7204">
        <v>350000</v>
      </c>
    </row>
    <row r="7205" spans="1:13" x14ac:dyDescent="0.25">
      <c r="A7205" t="s">
        <v>23740</v>
      </c>
      <c r="B7205" t="s">
        <v>23741</v>
      </c>
      <c r="C7205" t="s">
        <v>594</v>
      </c>
      <c r="D7205" t="s">
        <v>23738</v>
      </c>
      <c r="E7205" t="s">
        <v>596</v>
      </c>
      <c r="F7205" t="s">
        <v>574</v>
      </c>
      <c r="G7205" t="s">
        <v>23742</v>
      </c>
      <c r="H7205" t="str">
        <f>HYPERLINK("https://baanknet.com/view-property/280085/EC7F086867A2228F6233449B642012BA801E33D4A790BE899F376C00E3966D0E", "https://baanknet.com/view-property/280085/EC7F086867A2228F6233449B642012BA801E33D4A790BE899F376C00E3966D0E")</f>
        <v>https://baanknet.com/view-property/280085/EC7F086867A2228F6233449B642012BA801E33D4A790BE899F376C00E3966D0E</v>
      </c>
      <c r="I7205" t="str">
        <f>HYPERLINK("https://baanknet.com/view-property/280085/EC7F086867A2228F6233449B642012BA801E33D4A790BE899F376C00E3966D0E", "Open")</f>
        <v>Open</v>
      </c>
      <c r="J7205" t="s">
        <v>3803</v>
      </c>
      <c r="L7205">
        <v>3500000</v>
      </c>
      <c r="M7205">
        <v>350000</v>
      </c>
    </row>
    <row r="7206" spans="1:13" x14ac:dyDescent="0.25">
      <c r="A7206" t="s">
        <v>23743</v>
      </c>
      <c r="B7206" t="s">
        <v>23744</v>
      </c>
      <c r="C7206" t="s">
        <v>594</v>
      </c>
      <c r="D7206" t="s">
        <v>23738</v>
      </c>
      <c r="E7206" t="s">
        <v>596</v>
      </c>
      <c r="F7206" t="s">
        <v>574</v>
      </c>
      <c r="G7206" t="s">
        <v>23745</v>
      </c>
      <c r="H7206" t="str">
        <f>HYPERLINK("https://baanknet.com/view-property/280088/BBDF98427B313D15FD4DE7CBAF54A7FE532BB6E849FB477A0660E982B60D181E", "https://baanknet.com/view-property/280088/BBDF98427B313D15FD4DE7CBAF54A7FE532BB6E849FB477A0660E982B60D181E")</f>
        <v>https://baanknet.com/view-property/280088/BBDF98427B313D15FD4DE7CBAF54A7FE532BB6E849FB477A0660E982B60D181E</v>
      </c>
      <c r="I7206" t="str">
        <f>HYPERLINK("https://baanknet.com/view-property/280088/BBDF98427B313D15FD4DE7CBAF54A7FE532BB6E849FB477A0660E982B60D181E", "Open")</f>
        <v>Open</v>
      </c>
      <c r="J7206" t="s">
        <v>3803</v>
      </c>
      <c r="L7206">
        <v>6600000</v>
      </c>
      <c r="M7206">
        <v>660000</v>
      </c>
    </row>
    <row r="7207" spans="1:13" x14ac:dyDescent="0.25">
      <c r="A7207" t="s">
        <v>23746</v>
      </c>
      <c r="B7207" t="s">
        <v>23747</v>
      </c>
      <c r="C7207" t="s">
        <v>594</v>
      </c>
      <c r="D7207" t="s">
        <v>23738</v>
      </c>
      <c r="E7207" t="s">
        <v>596</v>
      </c>
      <c r="F7207" t="s">
        <v>574</v>
      </c>
      <c r="G7207" t="s">
        <v>23748</v>
      </c>
      <c r="H7207" t="str">
        <f>HYPERLINK("https://baanknet.com/view-property/280091/B97463D0B66EDCE6A54529D3CEAB306BE94B2B82DB45276C4E73B13CA1C7529A", "https://baanknet.com/view-property/280091/B97463D0B66EDCE6A54529D3CEAB306BE94B2B82DB45276C4E73B13CA1C7529A")</f>
        <v>https://baanknet.com/view-property/280091/B97463D0B66EDCE6A54529D3CEAB306BE94B2B82DB45276C4E73B13CA1C7529A</v>
      </c>
      <c r="I7207" t="str">
        <f>HYPERLINK("https://baanknet.com/view-property/280091/B97463D0B66EDCE6A54529D3CEAB306BE94B2B82DB45276C4E73B13CA1C7529A", "Open")</f>
        <v>Open</v>
      </c>
      <c r="J7207" t="s">
        <v>3803</v>
      </c>
      <c r="L7207">
        <v>7700000</v>
      </c>
      <c r="M7207">
        <v>770000</v>
      </c>
    </row>
    <row r="7208" spans="1:13" x14ac:dyDescent="0.25">
      <c r="A7208" t="s">
        <v>23749</v>
      </c>
      <c r="B7208" t="s">
        <v>23750</v>
      </c>
      <c r="C7208" t="s">
        <v>594</v>
      </c>
      <c r="D7208" t="s">
        <v>6914</v>
      </c>
      <c r="E7208" t="s">
        <v>596</v>
      </c>
      <c r="F7208" t="s">
        <v>574</v>
      </c>
      <c r="G7208" t="s">
        <v>23751</v>
      </c>
      <c r="H7208" t="str">
        <f>HYPERLINK("https://baanknet.com/view-property/288297/2BAF2B06CFAEA7F67053E99CCB9B9417D81E86143343BF02D2D1E8EF5BAA94DF", "https://baanknet.com/view-property/288297/2BAF2B06CFAEA7F67053E99CCB9B9417D81E86143343BF02D2D1E8EF5BAA94DF")</f>
        <v>https://baanknet.com/view-property/288297/2BAF2B06CFAEA7F67053E99CCB9B9417D81E86143343BF02D2D1E8EF5BAA94DF</v>
      </c>
      <c r="I7208" t="str">
        <f>HYPERLINK("https://baanknet.com/view-property/288297/2BAF2B06CFAEA7F67053E99CCB9B9417D81E86143343BF02D2D1E8EF5BAA94DF", "Open")</f>
        <v>Open</v>
      </c>
      <c r="J7208" t="s">
        <v>3803</v>
      </c>
      <c r="L7208">
        <v>1536000</v>
      </c>
      <c r="M7208">
        <v>153600</v>
      </c>
    </row>
    <row r="7209" spans="1:13" x14ac:dyDescent="0.25">
      <c r="A7209" t="s">
        <v>23752</v>
      </c>
      <c r="B7209" t="s">
        <v>23753</v>
      </c>
      <c r="C7209" t="s">
        <v>144</v>
      </c>
      <c r="D7209" t="s">
        <v>23754</v>
      </c>
      <c r="E7209" t="s">
        <v>7502</v>
      </c>
      <c r="F7209" t="s">
        <v>624</v>
      </c>
      <c r="G7209" t="s">
        <v>23755</v>
      </c>
      <c r="H7209" t="str">
        <f>HYPERLINK("https://baanknet.com/view-property/199740/F16E53346A7FF410EE5EF5ED9692990F7CA674C0F5D2468346B18C116A228901", "https://baanknet.com/view-property/199740/F16E53346A7FF410EE5EF5ED9692990F7CA674C0F5D2468346B18C116A228901")</f>
        <v>https://baanknet.com/view-property/199740/F16E53346A7FF410EE5EF5ED9692990F7CA674C0F5D2468346B18C116A228901</v>
      </c>
      <c r="I7209" t="str">
        <f>HYPERLINK("https://baanknet.com/view-property/199740/F16E53346A7FF410EE5EF5ED9692990F7CA674C0F5D2468346B18C116A228901", "Open")</f>
        <v>Open</v>
      </c>
      <c r="J7209" t="s">
        <v>3803</v>
      </c>
      <c r="L7209">
        <v>1170000</v>
      </c>
      <c r="M7209">
        <v>117000</v>
      </c>
    </row>
    <row r="7210" spans="1:13" x14ac:dyDescent="0.25">
      <c r="A7210" t="s">
        <v>23756</v>
      </c>
      <c r="B7210" t="s">
        <v>23757</v>
      </c>
      <c r="C7210" t="s">
        <v>589</v>
      </c>
      <c r="D7210" t="s">
        <v>9101</v>
      </c>
      <c r="E7210" t="s">
        <v>623</v>
      </c>
      <c r="F7210" t="s">
        <v>624</v>
      </c>
      <c r="G7210" t="s">
        <v>23758</v>
      </c>
      <c r="H7210" t="str">
        <f>HYPERLINK("https://baanknet.com/view-property/287678/C160EBC4CEB8587B98942A5FDF4D587286E82B6EC8AC97054DD1718C3B8FFFCD", "https://baanknet.com/view-property/287678/C160EBC4CEB8587B98942A5FDF4D587286E82B6EC8AC97054DD1718C3B8FFFCD")</f>
        <v>https://baanknet.com/view-property/287678/C160EBC4CEB8587B98942A5FDF4D587286E82B6EC8AC97054DD1718C3B8FFFCD</v>
      </c>
      <c r="I7210" t="str">
        <f>HYPERLINK("https://baanknet.com/view-property/287678/C160EBC4CEB8587B98942A5FDF4D587286E82B6EC8AC97054DD1718C3B8FFFCD", "Open")</f>
        <v>Open</v>
      </c>
      <c r="J7210" t="s">
        <v>3803</v>
      </c>
      <c r="L7210">
        <v>3270000</v>
      </c>
      <c r="M7210">
        <v>327000</v>
      </c>
    </row>
    <row r="7211" spans="1:13" x14ac:dyDescent="0.25">
      <c r="A7211" t="s">
        <v>23759</v>
      </c>
      <c r="B7211" t="s">
        <v>23760</v>
      </c>
      <c r="C7211" t="s">
        <v>15</v>
      </c>
      <c r="D7211" t="s">
        <v>5955</v>
      </c>
      <c r="E7211" t="s">
        <v>7521</v>
      </c>
      <c r="F7211" t="s">
        <v>8384</v>
      </c>
      <c r="G7211" t="s">
        <v>23761</v>
      </c>
      <c r="H7211" t="str">
        <f>HYPERLINK("https://baanknet.com/view-property/240840/ED23A48980AAF871DE348D11B71D1B34DA33A4571D862DD3100896A067E865C5", "https://baanknet.com/view-property/240840/ED23A48980AAF871DE348D11B71D1B34DA33A4571D862DD3100896A067E865C5")</f>
        <v>https://baanknet.com/view-property/240840/ED23A48980AAF871DE348D11B71D1B34DA33A4571D862DD3100896A067E865C5</v>
      </c>
      <c r="I7211" t="str">
        <f>HYPERLINK("https://baanknet.com/view-property/240840/ED23A48980AAF871DE348D11B71D1B34DA33A4571D862DD3100896A067E865C5", "Open")</f>
        <v>Open</v>
      </c>
      <c r="J7211" t="s">
        <v>3803</v>
      </c>
      <c r="L7211">
        <v>4100000</v>
      </c>
      <c r="M7211">
        <v>410000</v>
      </c>
    </row>
    <row r="7212" spans="1:13" x14ac:dyDescent="0.25">
      <c r="A7212" t="s">
        <v>23762</v>
      </c>
      <c r="B7212" t="s">
        <v>23763</v>
      </c>
      <c r="C7212" t="s">
        <v>15</v>
      </c>
      <c r="D7212" t="s">
        <v>5955</v>
      </c>
      <c r="E7212" t="s">
        <v>7521</v>
      </c>
      <c r="F7212" t="s">
        <v>8384</v>
      </c>
      <c r="G7212" t="s">
        <v>23764</v>
      </c>
      <c r="H7212" t="str">
        <f>HYPERLINK("https://baanknet.com/view-property/240841/1622E2D3BBA964A24D563F6C140794EC3D79A330BD121C51E7D40DCD7BCC7E4B", "https://baanknet.com/view-property/240841/1622E2D3BBA964A24D563F6C140794EC3D79A330BD121C51E7D40DCD7BCC7E4B")</f>
        <v>https://baanknet.com/view-property/240841/1622E2D3BBA964A24D563F6C140794EC3D79A330BD121C51E7D40DCD7BCC7E4B</v>
      </c>
      <c r="I7212" t="str">
        <f>HYPERLINK("https://baanknet.com/view-property/240841/1622E2D3BBA964A24D563F6C140794EC3D79A330BD121C51E7D40DCD7BCC7E4B", "Open")</f>
        <v>Open</v>
      </c>
      <c r="J7212" t="s">
        <v>3803</v>
      </c>
      <c r="L7212">
        <v>4100000</v>
      </c>
      <c r="M7212">
        <v>410000</v>
      </c>
    </row>
    <row r="7213" spans="1:13" x14ac:dyDescent="0.25">
      <c r="A7213" t="s">
        <v>23765</v>
      </c>
      <c r="B7213" t="s">
        <v>23766</v>
      </c>
      <c r="C7213" t="s">
        <v>15</v>
      </c>
      <c r="D7213" t="s">
        <v>5955</v>
      </c>
      <c r="E7213" t="s">
        <v>7521</v>
      </c>
      <c r="F7213" t="s">
        <v>8384</v>
      </c>
      <c r="G7213" t="s">
        <v>23767</v>
      </c>
      <c r="H7213" t="str">
        <f>HYPERLINK("https://baanknet.com/view-property/240842/ED8FB6FF059128088B8BC43AB01D12CACEEEF4F5DD580FE49649C15785E958B6", "https://baanknet.com/view-property/240842/ED8FB6FF059128088B8BC43AB01D12CACEEEF4F5DD580FE49649C15785E958B6")</f>
        <v>https://baanknet.com/view-property/240842/ED8FB6FF059128088B8BC43AB01D12CACEEEF4F5DD580FE49649C15785E958B6</v>
      </c>
      <c r="I7213" t="str">
        <f>HYPERLINK("https://baanknet.com/view-property/240842/ED8FB6FF059128088B8BC43AB01D12CACEEEF4F5DD580FE49649C15785E958B6", "Open")</f>
        <v>Open</v>
      </c>
      <c r="J7213" t="s">
        <v>3803</v>
      </c>
      <c r="L7213">
        <v>2750000</v>
      </c>
      <c r="M7213">
        <v>275000</v>
      </c>
    </row>
    <row r="7214" spans="1:13" x14ac:dyDescent="0.25">
      <c r="A7214" t="s">
        <v>23768</v>
      </c>
      <c r="B7214" t="s">
        <v>23769</v>
      </c>
      <c r="C7214" t="s">
        <v>15</v>
      </c>
      <c r="D7214" t="s">
        <v>5955</v>
      </c>
      <c r="E7214" t="s">
        <v>7521</v>
      </c>
      <c r="F7214" t="s">
        <v>8384</v>
      </c>
      <c r="G7214" t="s">
        <v>23770</v>
      </c>
      <c r="H7214" t="str">
        <f>HYPERLINK("https://baanknet.com/view-property/240835/46CC3F131A61F0F622E9A6089C8FED68872964629B2A1489C20F99CA04CD26E1", "https://baanknet.com/view-property/240835/46CC3F131A61F0F622E9A6089C8FED68872964629B2A1489C20F99CA04CD26E1")</f>
        <v>https://baanknet.com/view-property/240835/46CC3F131A61F0F622E9A6089C8FED68872964629B2A1489C20F99CA04CD26E1</v>
      </c>
      <c r="I7214" t="str">
        <f>HYPERLINK("https://baanknet.com/view-property/240835/46CC3F131A61F0F622E9A6089C8FED68872964629B2A1489C20F99CA04CD26E1", "Open")</f>
        <v>Open</v>
      </c>
      <c r="J7214" t="s">
        <v>3803</v>
      </c>
      <c r="L7214">
        <v>4100000</v>
      </c>
      <c r="M7214">
        <v>410000</v>
      </c>
    </row>
    <row r="7215" spans="1:13" x14ac:dyDescent="0.25">
      <c r="A7215" t="s">
        <v>23771</v>
      </c>
      <c r="B7215" t="s">
        <v>23772</v>
      </c>
      <c r="C7215" t="s">
        <v>15</v>
      </c>
      <c r="D7215" t="s">
        <v>5955</v>
      </c>
      <c r="E7215" t="s">
        <v>7521</v>
      </c>
      <c r="F7215" t="s">
        <v>8384</v>
      </c>
      <c r="G7215" t="s">
        <v>23773</v>
      </c>
      <c r="H7215" t="str">
        <f>HYPERLINK("https://baanknet.com/view-property/240837/39FCE4E180435EC2B107B08F44E3AF91AB65FC93CBF37FF14814ECAEC47ACF3C", "https://baanknet.com/view-property/240837/39FCE4E180435EC2B107B08F44E3AF91AB65FC93CBF37FF14814ECAEC47ACF3C")</f>
        <v>https://baanknet.com/view-property/240837/39FCE4E180435EC2B107B08F44E3AF91AB65FC93CBF37FF14814ECAEC47ACF3C</v>
      </c>
      <c r="I7215" t="str">
        <f>HYPERLINK("https://baanknet.com/view-property/240837/39FCE4E180435EC2B107B08F44E3AF91AB65FC93CBF37FF14814ECAEC47ACF3C", "Open")</f>
        <v>Open</v>
      </c>
      <c r="J7215" t="s">
        <v>3803</v>
      </c>
      <c r="L7215">
        <v>4100000</v>
      </c>
      <c r="M7215">
        <v>410000</v>
      </c>
    </row>
    <row r="7216" spans="1:13" x14ac:dyDescent="0.25">
      <c r="A7216" t="s">
        <v>23774</v>
      </c>
      <c r="B7216" t="s">
        <v>23775</v>
      </c>
      <c r="C7216" t="s">
        <v>387</v>
      </c>
      <c r="D7216" t="s">
        <v>23776</v>
      </c>
      <c r="E7216" t="s">
        <v>10589</v>
      </c>
      <c r="F7216" t="s">
        <v>10604</v>
      </c>
      <c r="G7216" t="s">
        <v>23777</v>
      </c>
      <c r="H7216" t="str">
        <f>HYPERLINK("https://baanknet.com/view-property/204183/1F54BF2B173ABAFD6404D9203052A7F34423EA94BE93C0EB20DF041EAF9C8801", "https://baanknet.com/view-property/204183/1F54BF2B173ABAFD6404D9203052A7F34423EA94BE93C0EB20DF041EAF9C8801")</f>
        <v>https://baanknet.com/view-property/204183/1F54BF2B173ABAFD6404D9203052A7F34423EA94BE93C0EB20DF041EAF9C8801</v>
      </c>
      <c r="I7216" t="str">
        <f>HYPERLINK("https://baanknet.com/view-property/204183/1F54BF2B173ABAFD6404D9203052A7F34423EA94BE93C0EB20DF041EAF9C8801", "Open")</f>
        <v>Open</v>
      </c>
      <c r="J7216" t="s">
        <v>3803</v>
      </c>
      <c r="L7216">
        <v>1967000</v>
      </c>
      <c r="M7216">
        <v>196700</v>
      </c>
    </row>
    <row r="7217" spans="1:13" x14ac:dyDescent="0.25">
      <c r="A7217" t="s">
        <v>23778</v>
      </c>
      <c r="B7217" t="s">
        <v>23779</v>
      </c>
      <c r="C7217" t="s">
        <v>15</v>
      </c>
      <c r="D7217" t="s">
        <v>4305</v>
      </c>
      <c r="E7217" t="s">
        <v>10624</v>
      </c>
      <c r="F7217" t="s">
        <v>10625</v>
      </c>
      <c r="G7217" t="s">
        <v>23780</v>
      </c>
      <c r="H7217" t="str">
        <f>HYPERLINK("https://baanknet.com/view-property/238796/4387B31D2FF4D8D814F531C6CEF1095C1B7D812C26903E95EC80138C41B79C5D", "https://baanknet.com/view-property/238796/4387B31D2FF4D8D814F531C6CEF1095C1B7D812C26903E95EC80138C41B79C5D")</f>
        <v>https://baanknet.com/view-property/238796/4387B31D2FF4D8D814F531C6CEF1095C1B7D812C26903E95EC80138C41B79C5D</v>
      </c>
      <c r="I7217" t="str">
        <f>HYPERLINK("https://baanknet.com/view-property/238796/4387B31D2FF4D8D814F531C6CEF1095C1B7D812C26903E95EC80138C41B79C5D", "Open")</f>
        <v>Open</v>
      </c>
      <c r="J7217" t="s">
        <v>3803</v>
      </c>
      <c r="L7217">
        <v>1917000</v>
      </c>
      <c r="M7217">
        <v>191700</v>
      </c>
    </row>
    <row r="7218" spans="1:13" x14ac:dyDescent="0.25">
      <c r="A7218" t="s">
        <v>23781</v>
      </c>
      <c r="B7218" t="s">
        <v>23782</v>
      </c>
      <c r="C7218" t="s">
        <v>15</v>
      </c>
      <c r="D7218" t="s">
        <v>1916</v>
      </c>
      <c r="E7218" t="s">
        <v>10624</v>
      </c>
      <c r="F7218" t="s">
        <v>10625</v>
      </c>
      <c r="G7218" t="s">
        <v>23783</v>
      </c>
      <c r="H7218" t="str">
        <f>HYPERLINK("https://baanknet.com/view-property/279159/9CEAE6F1446FCF563B730AA755137B8AEAD0841B6113E3C6EBAA6A842142B3AC", "https://baanknet.com/view-property/279159/9CEAE6F1446FCF563B730AA755137B8AEAD0841B6113E3C6EBAA6A842142B3AC")</f>
        <v>https://baanknet.com/view-property/279159/9CEAE6F1446FCF563B730AA755137B8AEAD0841B6113E3C6EBAA6A842142B3AC</v>
      </c>
      <c r="I7218" t="str">
        <f>HYPERLINK("https://baanknet.com/view-property/279159/9CEAE6F1446FCF563B730AA755137B8AEAD0841B6113E3C6EBAA6A842142B3AC", "Open")</f>
        <v>Open</v>
      </c>
      <c r="J7218" t="s">
        <v>3803</v>
      </c>
      <c r="L7218">
        <v>13091000</v>
      </c>
      <c r="M7218">
        <v>1309100</v>
      </c>
    </row>
    <row r="7219" spans="1:13" x14ac:dyDescent="0.25">
      <c r="A7219" t="s">
        <v>23784</v>
      </c>
      <c r="B7219" t="s">
        <v>23785</v>
      </c>
      <c r="C7219" t="s">
        <v>15</v>
      </c>
      <c r="D7219" t="s">
        <v>23786</v>
      </c>
      <c r="E7219" t="s">
        <v>10624</v>
      </c>
      <c r="F7219" t="s">
        <v>10625</v>
      </c>
      <c r="G7219" t="s">
        <v>23787</v>
      </c>
      <c r="H7219" t="str">
        <f>HYPERLINK("https://baanknet.com/view-property/253465/DDBC2965D5B420BFA6AAE1037538D4F2BB3536040165FC4DA5149FB59F7F7433", "https://baanknet.com/view-property/253465/DDBC2965D5B420BFA6AAE1037538D4F2BB3536040165FC4DA5149FB59F7F7433")</f>
        <v>https://baanknet.com/view-property/253465/DDBC2965D5B420BFA6AAE1037538D4F2BB3536040165FC4DA5149FB59F7F7433</v>
      </c>
      <c r="I7219" t="str">
        <f>HYPERLINK("https://baanknet.com/view-property/253465/DDBC2965D5B420BFA6AAE1037538D4F2BB3536040165FC4DA5149FB59F7F7433", "Open")</f>
        <v>Open</v>
      </c>
      <c r="J7219" t="s">
        <v>3803</v>
      </c>
      <c r="L7219">
        <v>2514000</v>
      </c>
      <c r="M7219">
        <v>251400</v>
      </c>
    </row>
    <row r="7220" spans="1:13" x14ac:dyDescent="0.25">
      <c r="A7220" t="s">
        <v>23788</v>
      </c>
      <c r="B7220" t="s">
        <v>23789</v>
      </c>
      <c r="C7220" t="s">
        <v>15</v>
      </c>
      <c r="D7220" t="s">
        <v>19474</v>
      </c>
      <c r="E7220" t="s">
        <v>10624</v>
      </c>
      <c r="F7220" t="s">
        <v>10625</v>
      </c>
      <c r="G7220" t="s">
        <v>23790</v>
      </c>
      <c r="H7220" t="str">
        <f>HYPERLINK("https://baanknet.com/view-property/283548/F4FEF56B7ACBF9693953256E6ED271C9341C7B6D783659F1998B1B479B5A391C", "https://baanknet.com/view-property/283548/F4FEF56B7ACBF9693953256E6ED271C9341C7B6D783659F1998B1B479B5A391C")</f>
        <v>https://baanknet.com/view-property/283548/F4FEF56B7ACBF9693953256E6ED271C9341C7B6D783659F1998B1B479B5A391C</v>
      </c>
      <c r="I7220" t="str">
        <f>HYPERLINK("https://baanknet.com/view-property/283548/F4FEF56B7ACBF9693953256E6ED271C9341C7B6D783659F1998B1B479B5A391C", "Open")</f>
        <v>Open</v>
      </c>
      <c r="J7220" t="s">
        <v>3803</v>
      </c>
      <c r="L7220">
        <v>131000</v>
      </c>
      <c r="M7220">
        <v>13100</v>
      </c>
    </row>
    <row r="7221" spans="1:13" x14ac:dyDescent="0.25">
      <c r="A7221" t="s">
        <v>23791</v>
      </c>
      <c r="B7221" t="s">
        <v>23792</v>
      </c>
      <c r="C7221" t="s">
        <v>15</v>
      </c>
      <c r="D7221" t="s">
        <v>4301</v>
      </c>
      <c r="E7221" t="s">
        <v>10624</v>
      </c>
      <c r="F7221" t="s">
        <v>10625</v>
      </c>
      <c r="G7221" t="s">
        <v>23793</v>
      </c>
      <c r="H7221" t="str">
        <f>HYPERLINK("https://baanknet.com/view-property/189995/8DECB20F0664ED637C0594CCE7FA1F905D532762B8D160733FFF09EB4728E1AF", "https://baanknet.com/view-property/189995/8DECB20F0664ED637C0594CCE7FA1F905D532762B8D160733FFF09EB4728E1AF")</f>
        <v>https://baanknet.com/view-property/189995/8DECB20F0664ED637C0594CCE7FA1F905D532762B8D160733FFF09EB4728E1AF</v>
      </c>
      <c r="I7221" t="str">
        <f>HYPERLINK("https://baanknet.com/view-property/189995/8DECB20F0664ED637C0594CCE7FA1F905D532762B8D160733FFF09EB4728E1AF", "Open")</f>
        <v>Open</v>
      </c>
      <c r="J7221" t="s">
        <v>3803</v>
      </c>
      <c r="L7221">
        <v>1264410</v>
      </c>
      <c r="M7221">
        <v>126441</v>
      </c>
    </row>
    <row r="7222" spans="1:13" x14ac:dyDescent="0.25">
      <c r="A7222" t="s">
        <v>23794</v>
      </c>
      <c r="B7222" t="s">
        <v>23795</v>
      </c>
      <c r="C7222" t="s">
        <v>15</v>
      </c>
      <c r="D7222" t="s">
        <v>23796</v>
      </c>
      <c r="E7222" t="s">
        <v>10624</v>
      </c>
      <c r="F7222" t="s">
        <v>10625</v>
      </c>
      <c r="G7222" t="s">
        <v>23797</v>
      </c>
      <c r="H7222" t="str">
        <f>HYPERLINK("https://baanknet.com/view-property/190005/CC15A5B380F5587194AEAF7FA4A59557507668EA62D1D7F8A65F0448D5246802", "https://baanknet.com/view-property/190005/CC15A5B380F5587194AEAF7FA4A59557507668EA62D1D7F8A65F0448D5246802")</f>
        <v>https://baanknet.com/view-property/190005/CC15A5B380F5587194AEAF7FA4A59557507668EA62D1D7F8A65F0448D5246802</v>
      </c>
      <c r="I7222" t="str">
        <f>HYPERLINK("https://baanknet.com/view-property/190005/CC15A5B380F5587194AEAF7FA4A59557507668EA62D1D7F8A65F0448D5246802", "Open")</f>
        <v>Open</v>
      </c>
      <c r="J7222" t="s">
        <v>3803</v>
      </c>
      <c r="L7222">
        <v>220000</v>
      </c>
      <c r="M7222">
        <v>22000</v>
      </c>
    </row>
    <row r="7223" spans="1:13" x14ac:dyDescent="0.25">
      <c r="A7223" t="s">
        <v>23798</v>
      </c>
      <c r="B7223" t="s">
        <v>23799</v>
      </c>
      <c r="C7223" t="s">
        <v>121</v>
      </c>
      <c r="D7223" t="s">
        <v>23800</v>
      </c>
      <c r="E7223" t="s">
        <v>10590</v>
      </c>
      <c r="F7223" t="s">
        <v>10604</v>
      </c>
      <c r="G7223" t="s">
        <v>23801</v>
      </c>
      <c r="H7223" t="str">
        <f>HYPERLINK("https://baanknet.com/view-property/256400/3693860C416ED058366F87519A63E7F882D98D90EA54E7E48871C13AEBC1F58C", "https://baanknet.com/view-property/256400/3693860C416ED058366F87519A63E7F882D98D90EA54E7E48871C13AEBC1F58C")</f>
        <v>https://baanknet.com/view-property/256400/3693860C416ED058366F87519A63E7F882D98D90EA54E7E48871C13AEBC1F58C</v>
      </c>
      <c r="I7223" t="str">
        <f>HYPERLINK("https://baanknet.com/view-property/256400/3693860C416ED058366F87519A63E7F882D98D90EA54E7E48871C13AEBC1F58C", "Open")</f>
        <v>Open</v>
      </c>
      <c r="J7223" t="s">
        <v>3803</v>
      </c>
      <c r="L7223">
        <v>3318000</v>
      </c>
      <c r="M7223">
        <v>331800</v>
      </c>
    </row>
    <row r="7224" spans="1:13" x14ac:dyDescent="0.25">
      <c r="A7224" t="s">
        <v>23802</v>
      </c>
      <c r="B7224" t="s">
        <v>23803</v>
      </c>
      <c r="C7224" t="s">
        <v>387</v>
      </c>
      <c r="D7224" t="s">
        <v>23804</v>
      </c>
      <c r="E7224" t="s">
        <v>11023</v>
      </c>
      <c r="F7224" t="s">
        <v>11004</v>
      </c>
      <c r="G7224" t="s">
        <v>23805</v>
      </c>
      <c r="H7224" t="str">
        <f>HYPERLINK("https://baanknet.com/view-property/243284/B42946EFDFCC073DFCDAFFFB0B7E5B2A03BBB13540EFE127F92C314BE2E81A9F", "https://baanknet.com/view-property/243284/B42946EFDFCC073DFCDAFFFB0B7E5B2A03BBB13540EFE127F92C314BE2E81A9F")</f>
        <v>https://baanknet.com/view-property/243284/B42946EFDFCC073DFCDAFFFB0B7E5B2A03BBB13540EFE127F92C314BE2E81A9F</v>
      </c>
      <c r="I7224" t="str">
        <f>HYPERLINK("https://baanknet.com/view-property/243284/B42946EFDFCC073DFCDAFFFB0B7E5B2A03BBB13540EFE127F92C314BE2E81A9F", "Open")</f>
        <v>Open</v>
      </c>
      <c r="J7224" t="s">
        <v>3803</v>
      </c>
      <c r="L7224">
        <v>929000</v>
      </c>
      <c r="M7224">
        <v>92900</v>
      </c>
    </row>
    <row r="7225" spans="1:13" x14ac:dyDescent="0.25">
      <c r="A7225" t="s">
        <v>23806</v>
      </c>
      <c r="B7225" t="s">
        <v>23807</v>
      </c>
      <c r="C7225" t="s">
        <v>7449</v>
      </c>
      <c r="D7225" t="s">
        <v>20494</v>
      </c>
      <c r="E7225" t="s">
        <v>11023</v>
      </c>
      <c r="F7225" t="s">
        <v>11004</v>
      </c>
      <c r="G7225" t="s">
        <v>23808</v>
      </c>
      <c r="H7225" t="str">
        <f>HYPERLINK("https://baanknet.com/view-property/170840/75C32A4A5BE05B90355ADC9403DCE2AC19DADDA108E213C093D77E50988255CB", "https://baanknet.com/view-property/170840/75C32A4A5BE05B90355ADC9403DCE2AC19DADDA108E213C093D77E50988255CB")</f>
        <v>https://baanknet.com/view-property/170840/75C32A4A5BE05B90355ADC9403DCE2AC19DADDA108E213C093D77E50988255CB</v>
      </c>
      <c r="I7225" t="str">
        <f>HYPERLINK("https://baanknet.com/view-property/170840/75C32A4A5BE05B90355ADC9403DCE2AC19DADDA108E213C093D77E50988255CB", "Open")</f>
        <v>Open</v>
      </c>
      <c r="J7225" t="s">
        <v>3803</v>
      </c>
      <c r="L7225">
        <v>2003000</v>
      </c>
      <c r="M7225">
        <v>200300</v>
      </c>
    </row>
    <row r="7226" spans="1:13" x14ac:dyDescent="0.25">
      <c r="A7226" t="s">
        <v>23809</v>
      </c>
      <c r="B7226" t="s">
        <v>23810</v>
      </c>
      <c r="C7226" t="s">
        <v>7449</v>
      </c>
      <c r="D7226" t="s">
        <v>23811</v>
      </c>
      <c r="E7226" t="s">
        <v>11023</v>
      </c>
      <c r="F7226" t="s">
        <v>11004</v>
      </c>
      <c r="G7226" t="s">
        <v>23812</v>
      </c>
      <c r="H7226" t="str">
        <f>HYPERLINK("https://baanknet.com/view-property/275214/D93271C777EAEF2545F0391D0F5C763500A31A1A2A6B2C24157FC3E98BCD2442", "https://baanknet.com/view-property/275214/D93271C777EAEF2545F0391D0F5C763500A31A1A2A6B2C24157FC3E98BCD2442")</f>
        <v>https://baanknet.com/view-property/275214/D93271C777EAEF2545F0391D0F5C763500A31A1A2A6B2C24157FC3E98BCD2442</v>
      </c>
      <c r="I7226" t="str">
        <f>HYPERLINK("https://baanknet.com/view-property/275214/D93271C777EAEF2545F0391D0F5C763500A31A1A2A6B2C24157FC3E98BCD2442", "Open")</f>
        <v>Open</v>
      </c>
      <c r="J7226" t="s">
        <v>3803</v>
      </c>
      <c r="L7226">
        <v>17200000</v>
      </c>
      <c r="M7226">
        <v>1720000</v>
      </c>
    </row>
    <row r="7227" spans="1:13" x14ac:dyDescent="0.25">
      <c r="A7227" t="s">
        <v>23813</v>
      </c>
      <c r="B7227" t="s">
        <v>23814</v>
      </c>
      <c r="C7227" t="s">
        <v>387</v>
      </c>
      <c r="D7227" t="s">
        <v>1051</v>
      </c>
      <c r="E7227" t="s">
        <v>11023</v>
      </c>
      <c r="F7227" t="s">
        <v>11004</v>
      </c>
      <c r="G7227" t="s">
        <v>23815</v>
      </c>
      <c r="H7227" t="str">
        <f>HYPERLINK("https://baanknet.com/view-property/183631/F92CDD67E27141944F3C01EF374A3465BED818D93983B63D944F93F36267649D", "https://baanknet.com/view-property/183631/F92CDD67E27141944F3C01EF374A3465BED818D93983B63D944F93F36267649D")</f>
        <v>https://baanknet.com/view-property/183631/F92CDD67E27141944F3C01EF374A3465BED818D93983B63D944F93F36267649D</v>
      </c>
      <c r="I7227" t="str">
        <f>HYPERLINK("https://baanknet.com/view-property/183631/F92CDD67E27141944F3C01EF374A3465BED818D93983B63D944F93F36267649D", "Open")</f>
        <v>Open</v>
      </c>
      <c r="J7227" t="s">
        <v>3803</v>
      </c>
      <c r="L7227">
        <v>2598000</v>
      </c>
      <c r="M7227">
        <v>259800</v>
      </c>
    </row>
    <row r="7228" spans="1:13" x14ac:dyDescent="0.25">
      <c r="A7228" t="s">
        <v>23816</v>
      </c>
      <c r="B7228" t="s">
        <v>23817</v>
      </c>
      <c r="C7228" t="s">
        <v>7449</v>
      </c>
      <c r="D7228" t="s">
        <v>7479</v>
      </c>
      <c r="E7228" t="s">
        <v>11023</v>
      </c>
      <c r="F7228" t="s">
        <v>11430</v>
      </c>
      <c r="G7228" t="s">
        <v>23818</v>
      </c>
      <c r="H7228" t="str">
        <f>HYPERLINK("https://baanknet.com/view-property/260347/90C1F033313516AC61F90D28FF88974028A3EBA0FC05D35950FC1B24CC05C145", "https://baanknet.com/view-property/260347/90C1F033313516AC61F90D28FF88974028A3EBA0FC05D35950FC1B24CC05C145")</f>
        <v>https://baanknet.com/view-property/260347/90C1F033313516AC61F90D28FF88974028A3EBA0FC05D35950FC1B24CC05C145</v>
      </c>
      <c r="I7228" t="str">
        <f>HYPERLINK("https://baanknet.com/view-property/260347/90C1F033313516AC61F90D28FF88974028A3EBA0FC05D35950FC1B24CC05C145", "Open")</f>
        <v>Open</v>
      </c>
      <c r="J7228" t="s">
        <v>3803</v>
      </c>
      <c r="L7228">
        <v>2483000</v>
      </c>
      <c r="M7228">
        <v>248300</v>
      </c>
    </row>
    <row r="7229" spans="1:13" x14ac:dyDescent="0.25">
      <c r="A7229" t="s">
        <v>23819</v>
      </c>
      <c r="B7229" t="s">
        <v>23820</v>
      </c>
      <c r="C7229" t="s">
        <v>525</v>
      </c>
      <c r="D7229" t="s">
        <v>1488</v>
      </c>
      <c r="E7229" t="s">
        <v>11024</v>
      </c>
      <c r="F7229" t="s">
        <v>11102</v>
      </c>
      <c r="G7229" t="s">
        <v>23821</v>
      </c>
      <c r="H7229" t="str">
        <f>HYPERLINK("https://baanknet.com/view-property/287052/2AF701BF81E77F2702712C6058C20C24B93F366BE92876066A5C9FFEAAB3C207", "https://baanknet.com/view-property/287052/2AF701BF81E77F2702712C6058C20C24B93F366BE92876066A5C9FFEAAB3C207")</f>
        <v>https://baanknet.com/view-property/287052/2AF701BF81E77F2702712C6058C20C24B93F366BE92876066A5C9FFEAAB3C207</v>
      </c>
      <c r="I7229" t="str">
        <f>HYPERLINK("https://baanknet.com/view-property/287052/2AF701BF81E77F2702712C6058C20C24B93F366BE92876066A5C9FFEAAB3C207", "Open")</f>
        <v>Open</v>
      </c>
      <c r="J7229" t="s">
        <v>3803</v>
      </c>
      <c r="L7229">
        <v>4400000</v>
      </c>
      <c r="M7229">
        <v>440000</v>
      </c>
    </row>
    <row r="7230" spans="1:13" x14ac:dyDescent="0.25">
      <c r="A7230" t="s">
        <v>23822</v>
      </c>
      <c r="B7230" t="s">
        <v>23823</v>
      </c>
      <c r="C7230" t="s">
        <v>144</v>
      </c>
      <c r="D7230" t="s">
        <v>1300</v>
      </c>
      <c r="E7230" t="s">
        <v>11024</v>
      </c>
      <c r="F7230" t="s">
        <v>12405</v>
      </c>
      <c r="G7230" t="s">
        <v>23824</v>
      </c>
      <c r="H7230" t="str">
        <f>HYPERLINK("https://baanknet.com/view-property/202747/290C9F98CC07E77B5A50A5394888E2D8FA0B5B33FB7239EADB52792455616833", "https://baanknet.com/view-property/202747/290C9F98CC07E77B5A50A5394888E2D8FA0B5B33FB7239EADB52792455616833")</f>
        <v>https://baanknet.com/view-property/202747/290C9F98CC07E77B5A50A5394888E2D8FA0B5B33FB7239EADB52792455616833</v>
      </c>
      <c r="I7230" t="str">
        <f>HYPERLINK("https://baanknet.com/view-property/202747/290C9F98CC07E77B5A50A5394888E2D8FA0B5B33FB7239EADB52792455616833", "Open")</f>
        <v>Open</v>
      </c>
      <c r="J7230" t="s">
        <v>3803</v>
      </c>
      <c r="L7230">
        <v>2645000</v>
      </c>
      <c r="M7230">
        <v>264500</v>
      </c>
    </row>
    <row r="7231" spans="1:13" x14ac:dyDescent="0.25">
      <c r="A7231" t="s">
        <v>23825</v>
      </c>
      <c r="B7231" t="s">
        <v>23826</v>
      </c>
      <c r="C7231" t="s">
        <v>144</v>
      </c>
      <c r="D7231" t="s">
        <v>8087</v>
      </c>
      <c r="E7231" t="s">
        <v>11024</v>
      </c>
      <c r="F7231" t="s">
        <v>12405</v>
      </c>
      <c r="G7231" t="s">
        <v>23827</v>
      </c>
      <c r="H7231" t="str">
        <f>HYPERLINK("https://baanknet.com/view-property/269780/22924B90C9664C61FDA7E3E24B38E15169C1F6BA44D946F3CFF19A6BA27F7494", "https://baanknet.com/view-property/269780/22924B90C9664C61FDA7E3E24B38E15169C1F6BA44D946F3CFF19A6BA27F7494")</f>
        <v>https://baanknet.com/view-property/269780/22924B90C9664C61FDA7E3E24B38E15169C1F6BA44D946F3CFF19A6BA27F7494</v>
      </c>
      <c r="I7231" t="str">
        <f>HYPERLINK("https://baanknet.com/view-property/269780/22924B90C9664C61FDA7E3E24B38E15169C1F6BA44D946F3CFF19A6BA27F7494", "Open")</f>
        <v>Open</v>
      </c>
      <c r="J7231" t="s">
        <v>3803</v>
      </c>
      <c r="L7231">
        <v>2900000</v>
      </c>
      <c r="M7231">
        <v>290000</v>
      </c>
    </row>
    <row r="7232" spans="1:13" x14ac:dyDescent="0.25">
      <c r="A7232" t="s">
        <v>23828</v>
      </c>
      <c r="B7232" t="s">
        <v>23829</v>
      </c>
      <c r="C7232" t="s">
        <v>144</v>
      </c>
      <c r="D7232" t="s">
        <v>1300</v>
      </c>
      <c r="E7232" t="s">
        <v>11024</v>
      </c>
      <c r="F7232" t="s">
        <v>12405</v>
      </c>
      <c r="G7232" t="s">
        <v>23830</v>
      </c>
      <c r="H7232" t="str">
        <f>HYPERLINK("https://baanknet.com/view-property/58728/03F3B2F8DC38AF08AD612CDB045FE61F0650AA4E36883D9F06C7EAD19CCD8E64", "https://baanknet.com/view-property/58728/03F3B2F8DC38AF08AD612CDB045FE61F0650AA4E36883D9F06C7EAD19CCD8E64")</f>
        <v>https://baanknet.com/view-property/58728/03F3B2F8DC38AF08AD612CDB045FE61F0650AA4E36883D9F06C7EAD19CCD8E64</v>
      </c>
      <c r="I7232" t="str">
        <f>HYPERLINK("https://baanknet.com/view-property/58728/03F3B2F8DC38AF08AD612CDB045FE61F0650AA4E36883D9F06C7EAD19CCD8E64", "Open")</f>
        <v>Open</v>
      </c>
      <c r="J7232" t="s">
        <v>3803</v>
      </c>
      <c r="L7232">
        <v>1660050</v>
      </c>
      <c r="M7232">
        <v>166005</v>
      </c>
    </row>
    <row r="7233" spans="1:13" x14ac:dyDescent="0.25">
      <c r="A7233" t="s">
        <v>23831</v>
      </c>
      <c r="B7233" t="s">
        <v>23832</v>
      </c>
      <c r="C7233" t="s">
        <v>144</v>
      </c>
      <c r="D7233" t="s">
        <v>1300</v>
      </c>
      <c r="E7233" t="s">
        <v>11024</v>
      </c>
      <c r="F7233" t="s">
        <v>12405</v>
      </c>
      <c r="G7233" t="s">
        <v>23833</v>
      </c>
      <c r="H7233" t="str">
        <f>HYPERLINK("https://baanknet.com/view-property/247990/543ED91205681FD0450F00603CCCE79B5EB1803C79DABF863869BC28B303C3F3", "https://baanknet.com/view-property/247990/543ED91205681FD0450F00603CCCE79B5EB1803C79DABF863869BC28B303C3F3")</f>
        <v>https://baanknet.com/view-property/247990/543ED91205681FD0450F00603CCCE79B5EB1803C79DABF863869BC28B303C3F3</v>
      </c>
      <c r="I7233" t="str">
        <f>HYPERLINK("https://baanknet.com/view-property/247990/543ED91205681FD0450F00603CCCE79B5EB1803C79DABF863869BC28B303C3F3", "Open")</f>
        <v>Open</v>
      </c>
      <c r="J7233" t="s">
        <v>3803</v>
      </c>
      <c r="L7233">
        <v>1272500</v>
      </c>
      <c r="M7233">
        <v>127250</v>
      </c>
    </row>
    <row r="7234" spans="1:13" x14ac:dyDescent="0.25">
      <c r="A7234" t="s">
        <v>23834</v>
      </c>
      <c r="B7234" t="s">
        <v>23835</v>
      </c>
      <c r="C7234" t="s">
        <v>571</v>
      </c>
      <c r="D7234" t="s">
        <v>23836</v>
      </c>
      <c r="E7234" t="s">
        <v>11024</v>
      </c>
      <c r="F7234" t="s">
        <v>13958</v>
      </c>
      <c r="G7234" t="s">
        <v>23837</v>
      </c>
      <c r="H7234" t="str">
        <f>HYPERLINK("https://baanknet.com/view-property/288351/2ED6F0245C214DA0AC818D1C100A13737F7B32D1BADC0D1AC903AF08B68A7D0A", "https://baanknet.com/view-property/288351/2ED6F0245C214DA0AC818D1C100A13737F7B32D1BADC0D1AC903AF08B68A7D0A")</f>
        <v>https://baanknet.com/view-property/288351/2ED6F0245C214DA0AC818D1C100A13737F7B32D1BADC0D1AC903AF08B68A7D0A</v>
      </c>
      <c r="I7234" t="str">
        <f>HYPERLINK("https://baanknet.com/view-property/288351/2ED6F0245C214DA0AC818D1C100A13737F7B32D1BADC0D1AC903AF08B68A7D0A", "Open")</f>
        <v>Open</v>
      </c>
      <c r="J7234" t="s">
        <v>3803</v>
      </c>
      <c r="L7234">
        <v>2800000</v>
      </c>
      <c r="M7234">
        <v>280000</v>
      </c>
    </row>
    <row r="7235" spans="1:13" x14ac:dyDescent="0.25">
      <c r="A7235" t="s">
        <v>23838</v>
      </c>
      <c r="B7235" t="s">
        <v>23839</v>
      </c>
      <c r="C7235" t="s">
        <v>571</v>
      </c>
      <c r="D7235" t="s">
        <v>23836</v>
      </c>
      <c r="E7235" t="s">
        <v>11024</v>
      </c>
      <c r="F7235" t="s">
        <v>13958</v>
      </c>
      <c r="G7235" t="s">
        <v>23840</v>
      </c>
      <c r="H7235" t="str">
        <f>HYPERLINK("https://baanknet.com/view-property/288350/740481F2F8E2093D0C196AB67746EA55BD9133D109E260CC9B6B4E98854BF124", "https://baanknet.com/view-property/288350/740481F2F8E2093D0C196AB67746EA55BD9133D109E260CC9B6B4E98854BF124")</f>
        <v>https://baanknet.com/view-property/288350/740481F2F8E2093D0C196AB67746EA55BD9133D109E260CC9B6B4E98854BF124</v>
      </c>
      <c r="I7235" t="str">
        <f>HYPERLINK("https://baanknet.com/view-property/288350/740481F2F8E2093D0C196AB67746EA55BD9133D109E260CC9B6B4E98854BF124", "Open")</f>
        <v>Open</v>
      </c>
      <c r="J7235" t="s">
        <v>3803</v>
      </c>
      <c r="L7235">
        <v>2510000</v>
      </c>
      <c r="M7235">
        <v>251000</v>
      </c>
    </row>
    <row r="7236" spans="1:13" x14ac:dyDescent="0.25">
      <c r="A7236" t="s">
        <v>23841</v>
      </c>
      <c r="B7236" t="s">
        <v>23842</v>
      </c>
      <c r="C7236" t="s">
        <v>121</v>
      </c>
      <c r="D7236" t="s">
        <v>18684</v>
      </c>
      <c r="E7236" t="s">
        <v>11024</v>
      </c>
      <c r="F7236" t="s">
        <v>11004</v>
      </c>
      <c r="G7236" t="s">
        <v>23843</v>
      </c>
      <c r="H7236" t="str">
        <f>HYPERLINK("https://baanknet.com/view-property/226520/C51A4B8AC31CA1C294A9E43CE82266B231D633B9F2F62B08844352DDD0FF6371", "https://baanknet.com/view-property/226520/C51A4B8AC31CA1C294A9E43CE82266B231D633B9F2F62B08844352DDD0FF6371")</f>
        <v>https://baanknet.com/view-property/226520/C51A4B8AC31CA1C294A9E43CE82266B231D633B9F2F62B08844352DDD0FF6371</v>
      </c>
      <c r="I7236" t="str">
        <f>HYPERLINK("https://baanknet.com/view-property/226520/C51A4B8AC31CA1C294A9E43CE82266B231D633B9F2F62B08844352DDD0FF6371", "Open")</f>
        <v>Open</v>
      </c>
      <c r="J7236" t="s">
        <v>3803</v>
      </c>
      <c r="L7236">
        <v>1825000</v>
      </c>
      <c r="M7236">
        <v>182500</v>
      </c>
    </row>
    <row r="7237" spans="1:13" x14ac:dyDescent="0.25">
      <c r="A7237" t="s">
        <v>23844</v>
      </c>
      <c r="B7237" t="s">
        <v>23845</v>
      </c>
      <c r="C7237" t="s">
        <v>121</v>
      </c>
      <c r="D7237" t="s">
        <v>429</v>
      </c>
      <c r="E7237" t="s">
        <v>11024</v>
      </c>
      <c r="F7237" t="s">
        <v>11004</v>
      </c>
      <c r="G7237" t="s">
        <v>23846</v>
      </c>
      <c r="H7237" t="str">
        <f>HYPERLINK("https://baanknet.com/view-property/288262/8379F7C6EEC1A3E0AF25E3E2543DDB5877316553524936B708D9CBB263045229", "https://baanknet.com/view-property/288262/8379F7C6EEC1A3E0AF25E3E2543DDB5877316553524936B708D9CBB263045229")</f>
        <v>https://baanknet.com/view-property/288262/8379F7C6EEC1A3E0AF25E3E2543DDB5877316553524936B708D9CBB263045229</v>
      </c>
      <c r="I7237" t="str">
        <f>HYPERLINK("https://baanknet.com/view-property/288262/8379F7C6EEC1A3E0AF25E3E2543DDB5877316553524936B708D9CBB263045229", "Open")</f>
        <v>Open</v>
      </c>
      <c r="J7237" t="s">
        <v>3803</v>
      </c>
      <c r="L7237">
        <v>11300000</v>
      </c>
      <c r="M7237">
        <v>1130000</v>
      </c>
    </row>
    <row r="7238" spans="1:13" x14ac:dyDescent="0.25">
      <c r="A7238" t="s">
        <v>23847</v>
      </c>
      <c r="B7238" t="s">
        <v>23848</v>
      </c>
      <c r="C7238" t="s">
        <v>144</v>
      </c>
      <c r="D7238" t="s">
        <v>23849</v>
      </c>
      <c r="E7238" t="s">
        <v>11024</v>
      </c>
      <c r="F7238" t="s">
        <v>11004</v>
      </c>
      <c r="G7238" t="s">
        <v>23850</v>
      </c>
      <c r="H7238" t="str">
        <f>HYPERLINK("https://baanknet.com/view-property/288284/CC74CA70AB4FCC17956C9EBE6B6CDE4C3B4F8F31F4CBCFD4AC110115C12F9D5A", "https://baanknet.com/view-property/288284/CC74CA70AB4FCC17956C9EBE6B6CDE4C3B4F8F31F4CBCFD4AC110115C12F9D5A")</f>
        <v>https://baanknet.com/view-property/288284/CC74CA70AB4FCC17956C9EBE6B6CDE4C3B4F8F31F4CBCFD4AC110115C12F9D5A</v>
      </c>
      <c r="I7238" t="str">
        <f>HYPERLINK("https://baanknet.com/view-property/288284/CC74CA70AB4FCC17956C9EBE6B6CDE4C3B4F8F31F4CBCFD4AC110115C12F9D5A", "Open")</f>
        <v>Open</v>
      </c>
      <c r="J7238" t="s">
        <v>3803</v>
      </c>
      <c r="L7238">
        <v>1822100</v>
      </c>
      <c r="M7238">
        <v>182210</v>
      </c>
    </row>
    <row r="7239" spans="1:13" x14ac:dyDescent="0.25">
      <c r="A7239" t="s">
        <v>23851</v>
      </c>
      <c r="B7239" t="s">
        <v>23852</v>
      </c>
      <c r="C7239" t="s">
        <v>332</v>
      </c>
      <c r="D7239" t="s">
        <v>1246</v>
      </c>
      <c r="E7239" t="s">
        <v>11024</v>
      </c>
      <c r="F7239" t="s">
        <v>11004</v>
      </c>
      <c r="G7239" t="s">
        <v>23853</v>
      </c>
      <c r="H7239" t="str">
        <f>HYPERLINK("https://baanknet.com/view-property/249573/52BEBFB718CF69356900D29DAAA270BF21A6D797FECFF442BD940ABBB11933A6", "https://baanknet.com/view-property/249573/52BEBFB718CF69356900D29DAAA270BF21A6D797FECFF442BD940ABBB11933A6")</f>
        <v>https://baanknet.com/view-property/249573/52BEBFB718CF69356900D29DAAA270BF21A6D797FECFF442BD940ABBB11933A6</v>
      </c>
      <c r="I7239" t="str">
        <f>HYPERLINK("https://baanknet.com/view-property/249573/52BEBFB718CF69356900D29DAAA270BF21A6D797FECFF442BD940ABBB11933A6", "Open")</f>
        <v>Open</v>
      </c>
      <c r="J7239" t="s">
        <v>3803</v>
      </c>
      <c r="L7239">
        <v>6000000</v>
      </c>
      <c r="M7239">
        <v>600000</v>
      </c>
    </row>
    <row r="7240" spans="1:13" x14ac:dyDescent="0.25">
      <c r="A7240" t="s">
        <v>23854</v>
      </c>
      <c r="B7240" t="s">
        <v>23855</v>
      </c>
      <c r="C7240" t="s">
        <v>144</v>
      </c>
      <c r="D7240" t="s">
        <v>23856</v>
      </c>
      <c r="E7240" t="s">
        <v>11024</v>
      </c>
      <c r="F7240" t="s">
        <v>11004</v>
      </c>
      <c r="G7240" t="s">
        <v>23857</v>
      </c>
      <c r="H7240" t="str">
        <f>HYPERLINK("https://baanknet.com/view-property/288067/9777F947F8E471B84C35056A585B4D7813D7E09C040E3FB2162BBDDFE78774CC", "https://baanknet.com/view-property/288067/9777F947F8E471B84C35056A585B4D7813D7E09C040E3FB2162BBDDFE78774CC")</f>
        <v>https://baanknet.com/view-property/288067/9777F947F8E471B84C35056A585B4D7813D7E09C040E3FB2162BBDDFE78774CC</v>
      </c>
      <c r="I7240" t="str">
        <f>HYPERLINK("https://baanknet.com/view-property/288067/9777F947F8E471B84C35056A585B4D7813D7E09C040E3FB2162BBDDFE78774CC", "Open")</f>
        <v>Open</v>
      </c>
      <c r="J7240" t="s">
        <v>3803</v>
      </c>
      <c r="L7240">
        <v>1820200</v>
      </c>
      <c r="M7240">
        <v>182020</v>
      </c>
    </row>
    <row r="7241" spans="1:13" x14ac:dyDescent="0.25">
      <c r="A7241" t="s">
        <v>23858</v>
      </c>
      <c r="B7241" t="s">
        <v>23859</v>
      </c>
      <c r="C7241" t="s">
        <v>144</v>
      </c>
      <c r="D7241" t="s">
        <v>23856</v>
      </c>
      <c r="E7241" t="s">
        <v>11024</v>
      </c>
      <c r="F7241" t="s">
        <v>11004</v>
      </c>
      <c r="G7241" t="s">
        <v>23860</v>
      </c>
      <c r="H7241" t="str">
        <f>HYPERLINK("https://baanknet.com/view-property/288078/0DD924EF67ED6C425C77408FD80BF4FE4AA7ECC4D4BB64F3FF3A52067F1416DD", "https://baanknet.com/view-property/288078/0DD924EF67ED6C425C77408FD80BF4FE4AA7ECC4D4BB64F3FF3A52067F1416DD")</f>
        <v>https://baanknet.com/view-property/288078/0DD924EF67ED6C425C77408FD80BF4FE4AA7ECC4D4BB64F3FF3A52067F1416DD</v>
      </c>
      <c r="I7241" t="str">
        <f>HYPERLINK("https://baanknet.com/view-property/288078/0DD924EF67ED6C425C77408FD80BF4FE4AA7ECC4D4BB64F3FF3A52067F1416DD", "Open")</f>
        <v>Open</v>
      </c>
      <c r="J7241" t="s">
        <v>3803</v>
      </c>
      <c r="L7241">
        <v>3751550</v>
      </c>
      <c r="M7241">
        <v>375155</v>
      </c>
    </row>
    <row r="7242" spans="1:13" x14ac:dyDescent="0.25">
      <c r="A7242" t="s">
        <v>23861</v>
      </c>
      <c r="B7242" t="s">
        <v>23862</v>
      </c>
      <c r="C7242" t="s">
        <v>144</v>
      </c>
      <c r="D7242" t="s">
        <v>23856</v>
      </c>
      <c r="E7242" t="s">
        <v>11024</v>
      </c>
      <c r="F7242" t="s">
        <v>11004</v>
      </c>
      <c r="G7242" t="s">
        <v>23863</v>
      </c>
      <c r="H7242" t="str">
        <f>HYPERLINK("https://baanknet.com/view-property/286798/1E9012CAF1EC075590C15432A352644DAEE43D4D710F3120B48BB5DA03F795E5", "https://baanknet.com/view-property/286798/1E9012CAF1EC075590C15432A352644DAEE43D4D710F3120B48BB5DA03F795E5")</f>
        <v>https://baanknet.com/view-property/286798/1E9012CAF1EC075590C15432A352644DAEE43D4D710F3120B48BB5DA03F795E5</v>
      </c>
      <c r="I7242" t="str">
        <f>HYPERLINK("https://baanknet.com/view-property/286798/1E9012CAF1EC075590C15432A352644DAEE43D4D710F3120B48BB5DA03F795E5", "Open")</f>
        <v>Open</v>
      </c>
      <c r="J7242" t="s">
        <v>3803</v>
      </c>
      <c r="L7242">
        <v>1817350</v>
      </c>
      <c r="M7242">
        <v>181735</v>
      </c>
    </row>
    <row r="7243" spans="1:13" x14ac:dyDescent="0.25">
      <c r="A7243" t="s">
        <v>23864</v>
      </c>
      <c r="B7243" t="s">
        <v>23865</v>
      </c>
      <c r="C7243" t="s">
        <v>144</v>
      </c>
      <c r="D7243" t="s">
        <v>23866</v>
      </c>
      <c r="E7243" t="s">
        <v>11024</v>
      </c>
      <c r="F7243" t="s">
        <v>11004</v>
      </c>
      <c r="G7243" t="s">
        <v>23867</v>
      </c>
      <c r="H7243" t="str">
        <f>HYPERLINK("https://baanknet.com/view-property/288116/CD6139369123E8929C4D070CDD8E7D7EDA01B5892D65D8DB2B062A2D8166DF75", "https://baanknet.com/view-property/288116/CD6139369123E8929C4D070CDD8E7D7EDA01B5892D65D8DB2B062A2D8166DF75")</f>
        <v>https://baanknet.com/view-property/288116/CD6139369123E8929C4D070CDD8E7D7EDA01B5892D65D8DB2B062A2D8166DF75</v>
      </c>
      <c r="I7243" t="str">
        <f>HYPERLINK("https://baanknet.com/view-property/288116/CD6139369123E8929C4D070CDD8E7D7EDA01B5892D65D8DB2B062A2D8166DF75", "Open")</f>
        <v>Open</v>
      </c>
      <c r="J7243" t="s">
        <v>3803</v>
      </c>
      <c r="L7243">
        <v>18635200</v>
      </c>
      <c r="M7243">
        <v>1863520</v>
      </c>
    </row>
    <row r="7244" spans="1:13" x14ac:dyDescent="0.25">
      <c r="A7244" t="s">
        <v>23868</v>
      </c>
      <c r="B7244" t="s">
        <v>23869</v>
      </c>
      <c r="C7244" t="s">
        <v>387</v>
      </c>
      <c r="D7244" t="s">
        <v>357</v>
      </c>
      <c r="E7244" t="s">
        <v>11024</v>
      </c>
      <c r="F7244" t="s">
        <v>11430</v>
      </c>
      <c r="G7244" t="s">
        <v>23870</v>
      </c>
      <c r="H7244" t="str">
        <f>HYPERLINK("https://baanknet.com/view-property/287845/1B0740855628F2159E6FFDABD9FEE4AB7BB3F9EDBDCBC008D7B8E63B5080BF6F", "https://baanknet.com/view-property/287845/1B0740855628F2159E6FFDABD9FEE4AB7BB3F9EDBDCBC008D7B8E63B5080BF6F")</f>
        <v>https://baanknet.com/view-property/287845/1B0740855628F2159E6FFDABD9FEE4AB7BB3F9EDBDCBC008D7B8E63B5080BF6F</v>
      </c>
      <c r="I7244" t="str">
        <f>HYPERLINK("https://baanknet.com/view-property/287845/1B0740855628F2159E6FFDABD9FEE4AB7BB3F9EDBDCBC008D7B8E63B5080BF6F", "Open")</f>
        <v>Open</v>
      </c>
      <c r="J7244" t="s">
        <v>3803</v>
      </c>
      <c r="L7244">
        <v>4216320</v>
      </c>
      <c r="M7244">
        <v>421632</v>
      </c>
    </row>
    <row r="7245" spans="1:13" x14ac:dyDescent="0.25">
      <c r="A7245" t="s">
        <v>23871</v>
      </c>
      <c r="B7245" t="s">
        <v>23872</v>
      </c>
      <c r="C7245" t="s">
        <v>7449</v>
      </c>
      <c r="D7245" t="s">
        <v>23873</v>
      </c>
      <c r="E7245" t="s">
        <v>11024</v>
      </c>
      <c r="F7245" t="s">
        <v>11430</v>
      </c>
      <c r="G7245" t="s">
        <v>23874</v>
      </c>
      <c r="H7245" t="str">
        <f>HYPERLINK("https://baanknet.com/view-property/120155/03C5B44CEBE9D768A3C696FD8DA1DD8ABD17060095D29DE435DD837E03E26795", "https://baanknet.com/view-property/120155/03C5B44CEBE9D768A3C696FD8DA1DD8ABD17060095D29DE435DD837E03E26795")</f>
        <v>https://baanknet.com/view-property/120155/03C5B44CEBE9D768A3C696FD8DA1DD8ABD17060095D29DE435DD837E03E26795</v>
      </c>
      <c r="I7245" t="str">
        <f>HYPERLINK("https://baanknet.com/view-property/120155/03C5B44CEBE9D768A3C696FD8DA1DD8ABD17060095D29DE435DD837E03E26795", "Open")</f>
        <v>Open</v>
      </c>
      <c r="J7245" t="s">
        <v>3803</v>
      </c>
    </row>
    <row r="7246" spans="1:13" x14ac:dyDescent="0.25">
      <c r="A7246" t="s">
        <v>23875</v>
      </c>
      <c r="B7246" t="s">
        <v>23876</v>
      </c>
      <c r="C7246" t="s">
        <v>15</v>
      </c>
      <c r="D7246" t="s">
        <v>23877</v>
      </c>
      <c r="E7246" t="s">
        <v>11032</v>
      </c>
      <c r="F7246" t="s">
        <v>11102</v>
      </c>
      <c r="G7246" t="s">
        <v>23878</v>
      </c>
      <c r="H7246" t="str">
        <f>HYPERLINK("https://baanknet.com/view-property/288306/67797E66255E494F251F62ED95F7372021166B9CA848D1736F50C0BB5002F786", "https://baanknet.com/view-property/288306/67797E66255E494F251F62ED95F7372021166B9CA848D1736F50C0BB5002F786")</f>
        <v>https://baanknet.com/view-property/288306/67797E66255E494F251F62ED95F7372021166B9CA848D1736F50C0BB5002F786</v>
      </c>
      <c r="I7246" t="str">
        <f>HYPERLINK("https://baanknet.com/view-property/288306/67797E66255E494F251F62ED95F7372021166B9CA848D1736F50C0BB5002F786", "Open")</f>
        <v>Open</v>
      </c>
      <c r="J7246" t="s">
        <v>3803</v>
      </c>
      <c r="L7246">
        <v>3305000</v>
      </c>
      <c r="M7246">
        <v>330500</v>
      </c>
    </row>
    <row r="7247" spans="1:13" x14ac:dyDescent="0.25">
      <c r="A7247" t="s">
        <v>23879</v>
      </c>
      <c r="B7247" t="s">
        <v>23880</v>
      </c>
      <c r="C7247" t="s">
        <v>15</v>
      </c>
      <c r="D7247" t="s">
        <v>23881</v>
      </c>
      <c r="E7247" t="s">
        <v>11032</v>
      </c>
      <c r="F7247" t="s">
        <v>11102</v>
      </c>
      <c r="G7247" t="s">
        <v>23882</v>
      </c>
      <c r="H7247" t="str">
        <f>HYPERLINK("https://baanknet.com/view-property/288323/9A618AEDF606A6BFF73621142DC1ACE81A1C80E30952643CA7B088FFB2B72748", "https://baanknet.com/view-property/288323/9A618AEDF606A6BFF73621142DC1ACE81A1C80E30952643CA7B088FFB2B72748")</f>
        <v>https://baanknet.com/view-property/288323/9A618AEDF606A6BFF73621142DC1ACE81A1C80E30952643CA7B088FFB2B72748</v>
      </c>
      <c r="I7247" t="str">
        <f>HYPERLINK("https://baanknet.com/view-property/288323/9A618AEDF606A6BFF73621142DC1ACE81A1C80E30952643CA7B088FFB2B72748", "Open")</f>
        <v>Open</v>
      </c>
      <c r="J7247" t="s">
        <v>3803</v>
      </c>
      <c r="L7247">
        <v>600000</v>
      </c>
      <c r="M7247">
        <v>60000</v>
      </c>
    </row>
    <row r="7248" spans="1:13" x14ac:dyDescent="0.25">
      <c r="A7248" t="s">
        <v>23883</v>
      </c>
      <c r="B7248" t="s">
        <v>23884</v>
      </c>
      <c r="C7248" t="s">
        <v>387</v>
      </c>
      <c r="D7248" t="s">
        <v>18034</v>
      </c>
      <c r="E7248" t="s">
        <v>11032</v>
      </c>
      <c r="F7248" t="s">
        <v>12405</v>
      </c>
      <c r="G7248" t="s">
        <v>23885</v>
      </c>
      <c r="H7248" t="str">
        <f>HYPERLINK("https://baanknet.com/view-property/288253/39767A58F9027EB0498825335149C12C925128D13D47C82A72D1DEED8B319AE7", "https://baanknet.com/view-property/288253/39767A58F9027EB0498825335149C12C925128D13D47C82A72D1DEED8B319AE7")</f>
        <v>https://baanknet.com/view-property/288253/39767A58F9027EB0498825335149C12C925128D13D47C82A72D1DEED8B319AE7</v>
      </c>
      <c r="I7248" t="str">
        <f>HYPERLINK("https://baanknet.com/view-property/288253/39767A58F9027EB0498825335149C12C925128D13D47C82A72D1DEED8B319AE7", "Open")</f>
        <v>Open</v>
      </c>
      <c r="J7248" t="s">
        <v>3803</v>
      </c>
      <c r="L7248">
        <v>910000</v>
      </c>
      <c r="M7248">
        <v>91000</v>
      </c>
    </row>
    <row r="7249" spans="1:13" x14ac:dyDescent="0.25">
      <c r="A7249" t="s">
        <v>23886</v>
      </c>
      <c r="B7249" t="s">
        <v>23887</v>
      </c>
      <c r="C7249" t="s">
        <v>83</v>
      </c>
      <c r="D7249" t="s">
        <v>1246</v>
      </c>
      <c r="E7249" t="s">
        <v>11102</v>
      </c>
      <c r="F7249" t="s">
        <v>11010</v>
      </c>
      <c r="G7249" t="s">
        <v>23888</v>
      </c>
      <c r="H7249" t="str">
        <f>HYPERLINK("https://baanknet.com/view-property/287838/77FD11465B4F037CBB1CC2D0A45049E7C8A62E43C6C482F7F191C87A67881F37", "https://baanknet.com/view-property/287838/77FD11465B4F037CBB1CC2D0A45049E7C8A62E43C6C482F7F191C87A67881F37")</f>
        <v>https://baanknet.com/view-property/287838/77FD11465B4F037CBB1CC2D0A45049E7C8A62E43C6C482F7F191C87A67881F37</v>
      </c>
      <c r="I7249" t="str">
        <f>HYPERLINK("https://baanknet.com/view-property/287838/77FD11465B4F037CBB1CC2D0A45049E7C8A62E43C6C482F7F191C87A67881F37", "Open")</f>
        <v>Open</v>
      </c>
      <c r="J7249" t="s">
        <v>3803</v>
      </c>
      <c r="L7249">
        <v>7626000</v>
      </c>
      <c r="M7249">
        <v>762600</v>
      </c>
    </row>
    <row r="7250" spans="1:13" x14ac:dyDescent="0.25">
      <c r="A7250" t="s">
        <v>23889</v>
      </c>
      <c r="B7250" t="s">
        <v>23890</v>
      </c>
      <c r="C7250" t="s">
        <v>83</v>
      </c>
      <c r="D7250" t="s">
        <v>23891</v>
      </c>
      <c r="E7250" t="s">
        <v>11102</v>
      </c>
      <c r="F7250" t="s">
        <v>11010</v>
      </c>
      <c r="G7250" t="s">
        <v>23892</v>
      </c>
      <c r="H7250" t="str">
        <f>HYPERLINK("https://baanknet.com/view-property/283236/349756D7ABBE5C037A726F9EECC9290FD68C97E12FC0789E6C1FAA10EC7B791C", "https://baanknet.com/view-property/283236/349756D7ABBE5C037A726F9EECC9290FD68C97E12FC0789E6C1FAA10EC7B791C")</f>
        <v>https://baanknet.com/view-property/283236/349756D7ABBE5C037A726F9EECC9290FD68C97E12FC0789E6C1FAA10EC7B791C</v>
      </c>
      <c r="I7250" t="str">
        <f>HYPERLINK("https://baanknet.com/view-property/283236/349756D7ABBE5C037A726F9EECC9290FD68C97E12FC0789E6C1FAA10EC7B791C", "Open")</f>
        <v>Open</v>
      </c>
      <c r="J7250" t="s">
        <v>3803</v>
      </c>
      <c r="L7250">
        <v>1101600</v>
      </c>
      <c r="M7250">
        <v>110160</v>
      </c>
    </row>
    <row r="7251" spans="1:13" x14ac:dyDescent="0.25">
      <c r="A7251" t="s">
        <v>23893</v>
      </c>
      <c r="B7251" t="s">
        <v>23894</v>
      </c>
      <c r="C7251" t="s">
        <v>83</v>
      </c>
      <c r="D7251" t="s">
        <v>4760</v>
      </c>
      <c r="E7251" t="s">
        <v>11102</v>
      </c>
      <c r="F7251" t="s">
        <v>11010</v>
      </c>
      <c r="G7251" t="s">
        <v>23895</v>
      </c>
      <c r="H7251" t="str">
        <f>HYPERLINK("https://baanknet.com/view-property/231204/94A4A5018CD088FD79620DD0F61354A7C9CA3D5513F060ACFCF3AE042B749A18", "https://baanknet.com/view-property/231204/94A4A5018CD088FD79620DD0F61354A7C9CA3D5513F060ACFCF3AE042B749A18")</f>
        <v>https://baanknet.com/view-property/231204/94A4A5018CD088FD79620DD0F61354A7C9CA3D5513F060ACFCF3AE042B749A18</v>
      </c>
      <c r="I7251" t="str">
        <f>HYPERLINK("https://baanknet.com/view-property/231204/94A4A5018CD088FD79620DD0F61354A7C9CA3D5513F060ACFCF3AE042B749A18", "Open")</f>
        <v>Open</v>
      </c>
      <c r="J7251" t="s">
        <v>3803</v>
      </c>
      <c r="L7251">
        <v>18691250</v>
      </c>
      <c r="M7251">
        <v>1869125</v>
      </c>
    </row>
    <row r="7252" spans="1:13" x14ac:dyDescent="0.25">
      <c r="A7252" t="s">
        <v>23896</v>
      </c>
      <c r="B7252" t="s">
        <v>23897</v>
      </c>
      <c r="C7252" t="s">
        <v>83</v>
      </c>
      <c r="D7252" t="s">
        <v>21719</v>
      </c>
      <c r="E7252" t="s">
        <v>11102</v>
      </c>
      <c r="F7252" t="s">
        <v>11010</v>
      </c>
      <c r="G7252" t="s">
        <v>23898</v>
      </c>
      <c r="H7252" t="str">
        <f>HYPERLINK("https://baanknet.com/view-property/287458/E34DA5E1851FB14D44072613D5049005FB4C7A274374B6D4F975956EDC79CBD3", "https://baanknet.com/view-property/287458/E34DA5E1851FB14D44072613D5049005FB4C7A274374B6D4F975956EDC79CBD3")</f>
        <v>https://baanknet.com/view-property/287458/E34DA5E1851FB14D44072613D5049005FB4C7A274374B6D4F975956EDC79CBD3</v>
      </c>
      <c r="I7252" t="str">
        <f>HYPERLINK("https://baanknet.com/view-property/287458/E34DA5E1851FB14D44072613D5049005FB4C7A274374B6D4F975956EDC79CBD3", "Open")</f>
        <v>Open</v>
      </c>
      <c r="J7252" t="s">
        <v>3803</v>
      </c>
      <c r="L7252">
        <v>15738300</v>
      </c>
      <c r="M7252">
        <v>1573830</v>
      </c>
    </row>
    <row r="7253" spans="1:13" x14ac:dyDescent="0.25">
      <c r="A7253" t="s">
        <v>23899</v>
      </c>
      <c r="B7253" t="s">
        <v>23900</v>
      </c>
      <c r="C7253" t="s">
        <v>387</v>
      </c>
      <c r="D7253" t="s">
        <v>23901</v>
      </c>
      <c r="E7253" t="s">
        <v>11004</v>
      </c>
      <c r="F7253" t="s">
        <v>11430</v>
      </c>
      <c r="G7253" t="s">
        <v>23902</v>
      </c>
      <c r="H7253" t="str">
        <f>HYPERLINK("https://baanknet.com/view-property/185113/FB24AC2F0243CA812057A5B3ED961B873D0DF4D07706E662FE41600948B86BC9", "https://baanknet.com/view-property/185113/FB24AC2F0243CA812057A5B3ED961B873D0DF4D07706E662FE41600948B86BC9")</f>
        <v>https://baanknet.com/view-property/185113/FB24AC2F0243CA812057A5B3ED961B873D0DF4D07706E662FE41600948B86BC9</v>
      </c>
      <c r="I7253" t="str">
        <f>HYPERLINK("https://baanknet.com/view-property/185113/FB24AC2F0243CA812057A5B3ED961B873D0DF4D07706E662FE41600948B86BC9", "Open")</f>
        <v>Open</v>
      </c>
      <c r="J7253" t="s">
        <v>3803</v>
      </c>
      <c r="L7253">
        <v>556000</v>
      </c>
      <c r="M7253">
        <v>55600</v>
      </c>
    </row>
    <row r="7254" spans="1:13" x14ac:dyDescent="0.25">
      <c r="A7254" t="s">
        <v>23903</v>
      </c>
      <c r="B7254" t="s">
        <v>23904</v>
      </c>
      <c r="C7254" t="s">
        <v>387</v>
      </c>
      <c r="D7254" t="s">
        <v>23901</v>
      </c>
      <c r="E7254" t="s">
        <v>11004</v>
      </c>
      <c r="F7254" t="s">
        <v>11430</v>
      </c>
      <c r="G7254" t="s">
        <v>23905</v>
      </c>
      <c r="H7254" t="str">
        <f>HYPERLINK("https://baanknet.com/view-property/185150/E52F826B2602E3B6592B0B9FBE5EE06908E4C676894F0845B8D2E125E922D252", "https://baanknet.com/view-property/185150/E52F826B2602E3B6592B0B9FBE5EE06908E4C676894F0845B8D2E125E922D252")</f>
        <v>https://baanknet.com/view-property/185150/E52F826B2602E3B6592B0B9FBE5EE06908E4C676894F0845B8D2E125E922D252</v>
      </c>
      <c r="I7254" t="str">
        <f>HYPERLINK("https://baanknet.com/view-property/185150/E52F826B2602E3B6592B0B9FBE5EE06908E4C676894F0845B8D2E125E922D252", "Open")</f>
        <v>Open</v>
      </c>
      <c r="J7254" t="s">
        <v>3803</v>
      </c>
      <c r="L7254">
        <v>500000</v>
      </c>
      <c r="M7254">
        <v>50000</v>
      </c>
    </row>
    <row r="7255" spans="1:13" x14ac:dyDescent="0.25">
      <c r="A7255" t="s">
        <v>23906</v>
      </c>
      <c r="B7255" t="s">
        <v>23907</v>
      </c>
      <c r="C7255" t="s">
        <v>15</v>
      </c>
      <c r="D7255" t="s">
        <v>3217</v>
      </c>
      <c r="E7255" t="s">
        <v>15507</v>
      </c>
      <c r="F7255" t="s">
        <v>15515</v>
      </c>
      <c r="G7255" t="s">
        <v>23908</v>
      </c>
      <c r="H7255" t="str">
        <f>HYPERLINK("https://baanknet.com/view-property/185291/AF1F6DC1E5A83B6C68D1A3A36CDD80F5C1E719856BA3AC9F88A305E3C0D3A8FC", "https://baanknet.com/view-property/185291/AF1F6DC1E5A83B6C68D1A3A36CDD80F5C1E719856BA3AC9F88A305E3C0D3A8FC")</f>
        <v>https://baanknet.com/view-property/185291/AF1F6DC1E5A83B6C68D1A3A36CDD80F5C1E719856BA3AC9F88A305E3C0D3A8FC</v>
      </c>
      <c r="I7255" t="str">
        <f>HYPERLINK("https://baanknet.com/view-property/185291/AF1F6DC1E5A83B6C68D1A3A36CDD80F5C1E719856BA3AC9F88A305E3C0D3A8FC", "Open")</f>
        <v>Open</v>
      </c>
      <c r="J7255" t="s">
        <v>3803</v>
      </c>
      <c r="L7255">
        <v>1195000</v>
      </c>
      <c r="M7255">
        <v>119500</v>
      </c>
    </row>
    <row r="7256" spans="1:13" x14ac:dyDescent="0.25">
      <c r="A7256" t="s">
        <v>23909</v>
      </c>
      <c r="B7256" t="s">
        <v>23910</v>
      </c>
      <c r="C7256" t="s">
        <v>15</v>
      </c>
      <c r="D7256" t="s">
        <v>714</v>
      </c>
      <c r="E7256" t="s">
        <v>15507</v>
      </c>
      <c r="F7256" t="s">
        <v>15515</v>
      </c>
      <c r="G7256" t="s">
        <v>23911</v>
      </c>
      <c r="H7256" t="str">
        <f>HYPERLINK("https://baanknet.com/view-property/286540/C5739F6427B797EE04BCF5D0D7C9BD68D84DF38D6CED809A377B0B8EFF0101E0", "https://baanknet.com/view-property/286540/C5739F6427B797EE04BCF5D0D7C9BD68D84DF38D6CED809A377B0B8EFF0101E0")</f>
        <v>https://baanknet.com/view-property/286540/C5739F6427B797EE04BCF5D0D7C9BD68D84DF38D6CED809A377B0B8EFF0101E0</v>
      </c>
      <c r="I7256" t="str">
        <f>HYPERLINK("https://baanknet.com/view-property/286540/C5739F6427B797EE04BCF5D0D7C9BD68D84DF38D6CED809A377B0B8EFF0101E0", "Open")</f>
        <v>Open</v>
      </c>
      <c r="J7256" t="s">
        <v>3803</v>
      </c>
      <c r="L7256">
        <v>2500000</v>
      </c>
      <c r="M7256">
        <v>250000</v>
      </c>
    </row>
    <row r="7257" spans="1:13" x14ac:dyDescent="0.25">
      <c r="A7257" t="s">
        <v>23912</v>
      </c>
      <c r="B7257" t="s">
        <v>23913</v>
      </c>
      <c r="C7257" t="s">
        <v>121</v>
      </c>
      <c r="D7257" t="s">
        <v>2891</v>
      </c>
      <c r="E7257" t="s">
        <v>15507</v>
      </c>
      <c r="F7257" t="s">
        <v>15560</v>
      </c>
      <c r="G7257" t="s">
        <v>23914</v>
      </c>
      <c r="H7257" t="str">
        <f>HYPERLINK("https://baanknet.com/view-property/189804/7C87CD652038354205B2D9406B6E8414D1306F609437648B047A7EC0F525E340", "https://baanknet.com/view-property/189804/7C87CD652038354205B2D9406B6E8414D1306F609437648B047A7EC0F525E340")</f>
        <v>https://baanknet.com/view-property/189804/7C87CD652038354205B2D9406B6E8414D1306F609437648B047A7EC0F525E340</v>
      </c>
      <c r="I7257" t="str">
        <f>HYPERLINK("https://baanknet.com/view-property/189804/7C87CD652038354205B2D9406B6E8414D1306F609437648B047A7EC0F525E340", "Open")</f>
        <v>Open</v>
      </c>
      <c r="J7257" t="s">
        <v>3803</v>
      </c>
      <c r="L7257">
        <v>8380260</v>
      </c>
      <c r="M7257">
        <v>838026</v>
      </c>
    </row>
    <row r="7258" spans="1:13" x14ac:dyDescent="0.25">
      <c r="A7258" t="s">
        <v>23915</v>
      </c>
      <c r="B7258" t="s">
        <v>23916</v>
      </c>
      <c r="C7258" t="s">
        <v>571</v>
      </c>
      <c r="D7258" t="s">
        <v>157</v>
      </c>
      <c r="E7258" t="s">
        <v>15507</v>
      </c>
      <c r="F7258" t="s">
        <v>15560</v>
      </c>
      <c r="G7258" t="s">
        <v>23917</v>
      </c>
      <c r="H7258" t="str">
        <f>HYPERLINK("https://baanknet.com/view-property/96717/4F69E7A53797259410CCEA2B89A1E534D6CFB329010F30AF08A69BE4E0B569D2", "https://baanknet.com/view-property/96717/4F69E7A53797259410CCEA2B89A1E534D6CFB329010F30AF08A69BE4E0B569D2")</f>
        <v>https://baanknet.com/view-property/96717/4F69E7A53797259410CCEA2B89A1E534D6CFB329010F30AF08A69BE4E0B569D2</v>
      </c>
      <c r="I7258" t="str">
        <f>HYPERLINK("https://baanknet.com/view-property/96717/4F69E7A53797259410CCEA2B89A1E534D6CFB329010F30AF08A69BE4E0B569D2", "Open")</f>
        <v>Open</v>
      </c>
      <c r="J7258" t="s">
        <v>3803</v>
      </c>
      <c r="L7258">
        <v>1952000</v>
      </c>
      <c r="M7258">
        <v>195200</v>
      </c>
    </row>
    <row r="7259" spans="1:13" x14ac:dyDescent="0.25">
      <c r="A7259" t="s">
        <v>23918</v>
      </c>
      <c r="B7259" t="s">
        <v>23919</v>
      </c>
      <c r="C7259" t="s">
        <v>121</v>
      </c>
      <c r="D7259" t="s">
        <v>2684</v>
      </c>
      <c r="E7259" t="s">
        <v>15507</v>
      </c>
      <c r="F7259" t="s">
        <v>15560</v>
      </c>
      <c r="G7259" t="s">
        <v>23920</v>
      </c>
      <c r="H7259" t="str">
        <f>HYPERLINK("https://baanknet.com/view-property/213569/473274E62AA74E22FAD2ED1611A3AF8DADE0AC28F2F6FCF4FDE279D570F7B34F", "https://baanknet.com/view-property/213569/473274E62AA74E22FAD2ED1611A3AF8DADE0AC28F2F6FCF4FDE279D570F7B34F")</f>
        <v>https://baanknet.com/view-property/213569/473274E62AA74E22FAD2ED1611A3AF8DADE0AC28F2F6FCF4FDE279D570F7B34F</v>
      </c>
      <c r="I7259" t="str">
        <f>HYPERLINK("https://baanknet.com/view-property/213569/473274E62AA74E22FAD2ED1611A3AF8DADE0AC28F2F6FCF4FDE279D570F7B34F", "Open")</f>
        <v>Open</v>
      </c>
      <c r="J7259" t="s">
        <v>3803</v>
      </c>
      <c r="L7259">
        <v>5708000</v>
      </c>
      <c r="M7259">
        <v>570800</v>
      </c>
    </row>
    <row r="7260" spans="1:13" x14ac:dyDescent="0.25">
      <c r="A7260" t="s">
        <v>23921</v>
      </c>
      <c r="B7260" t="s">
        <v>23922</v>
      </c>
      <c r="C7260" t="s">
        <v>121</v>
      </c>
      <c r="D7260" t="s">
        <v>5968</v>
      </c>
      <c r="E7260" t="s">
        <v>15507</v>
      </c>
      <c r="F7260" t="s">
        <v>15560</v>
      </c>
      <c r="G7260" t="s">
        <v>23923</v>
      </c>
      <c r="H7260" t="str">
        <f>HYPERLINK("https://baanknet.com/view-property/288331/203727DD6C098BAA8D0D4E7437A7D6B13E30F90DDA583A42DD7E55C62ABE662C", "https://baanknet.com/view-property/288331/203727DD6C098BAA8D0D4E7437A7D6B13E30F90DDA583A42DD7E55C62ABE662C")</f>
        <v>https://baanknet.com/view-property/288331/203727DD6C098BAA8D0D4E7437A7D6B13E30F90DDA583A42DD7E55C62ABE662C</v>
      </c>
      <c r="I7260" t="str">
        <f>HYPERLINK("https://baanknet.com/view-property/288331/203727DD6C098BAA8D0D4E7437A7D6B13E30F90DDA583A42DD7E55C62ABE662C", "Open")</f>
        <v>Open</v>
      </c>
      <c r="J7260" t="s">
        <v>3803</v>
      </c>
      <c r="L7260">
        <v>4118700</v>
      </c>
      <c r="M7260">
        <v>411870</v>
      </c>
    </row>
    <row r="7261" spans="1:13" x14ac:dyDescent="0.25">
      <c r="A7261" t="s">
        <v>23924</v>
      </c>
      <c r="B7261" t="s">
        <v>23925</v>
      </c>
      <c r="C7261" t="s">
        <v>832</v>
      </c>
      <c r="D7261" t="s">
        <v>3236</v>
      </c>
      <c r="E7261" t="s">
        <v>23926</v>
      </c>
      <c r="F7261" t="s">
        <v>18275</v>
      </c>
      <c r="G7261" t="s">
        <v>23927</v>
      </c>
      <c r="H7261" t="str">
        <f>HYPERLINK("https://baanknet.com/view-property/284674/2D2DAC5FB47454E8D1E0EDA37A739D0F766E09D3F0C088A574648388D7D55999", "https://baanknet.com/view-property/284674/2D2DAC5FB47454E8D1E0EDA37A739D0F766E09D3F0C088A574648388D7D55999")</f>
        <v>https://baanknet.com/view-property/284674/2D2DAC5FB47454E8D1E0EDA37A739D0F766E09D3F0C088A574648388D7D55999</v>
      </c>
      <c r="I7261" t="str">
        <f>HYPERLINK("https://baanknet.com/view-property/284674/2D2DAC5FB47454E8D1E0EDA37A739D0F766E09D3F0C088A574648388D7D55999", "Open")</f>
        <v>Open</v>
      </c>
      <c r="J7261" t="s">
        <v>3803</v>
      </c>
      <c r="L7261">
        <v>4000000</v>
      </c>
      <c r="M7261">
        <v>400000</v>
      </c>
    </row>
    <row r="7262" spans="1:13" x14ac:dyDescent="0.25">
      <c r="A7262" t="s">
        <v>23928</v>
      </c>
      <c r="B7262" t="s">
        <v>23929</v>
      </c>
      <c r="C7262" t="s">
        <v>15</v>
      </c>
      <c r="D7262" t="s">
        <v>127</v>
      </c>
      <c r="E7262" t="s">
        <v>18366</v>
      </c>
      <c r="F7262" t="s">
        <v>18424</v>
      </c>
      <c r="G7262" t="s">
        <v>23930</v>
      </c>
      <c r="H7262" t="str">
        <f>HYPERLINK("https://baanknet.com/view-property/271945/015067CC39FCB1C6826D8A62C6D5506767739DEE76BC6AAC31C1DB680917B611", "https://baanknet.com/view-property/271945/015067CC39FCB1C6826D8A62C6D5506767739DEE76BC6AAC31C1DB680917B611")</f>
        <v>https://baanknet.com/view-property/271945/015067CC39FCB1C6826D8A62C6D5506767739DEE76BC6AAC31C1DB680917B611</v>
      </c>
      <c r="I7262" t="str">
        <f>HYPERLINK("https://baanknet.com/view-property/271945/015067CC39FCB1C6826D8A62C6D5506767739DEE76BC6AAC31C1DB680917B611", "Open")</f>
        <v>Open</v>
      </c>
      <c r="J7262" t="s">
        <v>3803</v>
      </c>
      <c r="L7262">
        <v>2703000</v>
      </c>
      <c r="M7262">
        <v>270300</v>
      </c>
    </row>
    <row r="7263" spans="1:13" x14ac:dyDescent="0.25">
      <c r="A7263" t="s">
        <v>23931</v>
      </c>
      <c r="B7263" t="s">
        <v>23932</v>
      </c>
      <c r="C7263" t="s">
        <v>832</v>
      </c>
      <c r="D7263" t="s">
        <v>18002</v>
      </c>
      <c r="E7263" t="s">
        <v>18571</v>
      </c>
      <c r="F7263" t="s">
        <v>18587</v>
      </c>
      <c r="G7263" t="s">
        <v>23933</v>
      </c>
      <c r="H7263" t="str">
        <f>HYPERLINK("https://baanknet.com/view-property/252648/8299EEB1ED100FF2EF92683580FA909A54E29F75B5C50EE878E6A397686B47FD", "https://baanknet.com/view-property/252648/8299EEB1ED100FF2EF92683580FA909A54E29F75B5C50EE878E6A397686B47FD")</f>
        <v>https://baanknet.com/view-property/252648/8299EEB1ED100FF2EF92683580FA909A54E29F75B5C50EE878E6A397686B47FD</v>
      </c>
      <c r="I7263" t="str">
        <f>HYPERLINK("https://baanknet.com/view-property/252648/8299EEB1ED100FF2EF92683580FA909A54E29F75B5C50EE878E6A397686B47FD", "Open")</f>
        <v>Open</v>
      </c>
      <c r="J7263" t="s">
        <v>3803</v>
      </c>
      <c r="L7263">
        <v>2600000</v>
      </c>
      <c r="M7263">
        <v>260000</v>
      </c>
    </row>
    <row r="7264" spans="1:13" x14ac:dyDescent="0.25">
      <c r="A7264" t="s">
        <v>23934</v>
      </c>
      <c r="B7264" t="s">
        <v>23935</v>
      </c>
      <c r="C7264" t="s">
        <v>571</v>
      </c>
      <c r="D7264" t="s">
        <v>706</v>
      </c>
      <c r="E7264" t="s">
        <v>18665</v>
      </c>
      <c r="F7264" t="s">
        <v>18777</v>
      </c>
      <c r="G7264" t="s">
        <v>23936</v>
      </c>
      <c r="H7264" t="str">
        <f>HYPERLINK("https://baanknet.com/view-property/242183/E3DB91514F4D7CB4F93FC6E0F787136590EDDBA9B1C78FC5FDB15B519385EF77", "https://baanknet.com/view-property/242183/E3DB91514F4D7CB4F93FC6E0F787136590EDDBA9B1C78FC5FDB15B519385EF77")</f>
        <v>https://baanknet.com/view-property/242183/E3DB91514F4D7CB4F93FC6E0F787136590EDDBA9B1C78FC5FDB15B519385EF77</v>
      </c>
      <c r="I7264" t="str">
        <f>HYPERLINK("https://baanknet.com/view-property/242183/E3DB91514F4D7CB4F93FC6E0F787136590EDDBA9B1C78FC5FDB15B519385EF77", "Open")</f>
        <v>Open</v>
      </c>
      <c r="J7264" t="s">
        <v>3803</v>
      </c>
      <c r="L7264">
        <v>2100000</v>
      </c>
      <c r="M7264">
        <v>210000</v>
      </c>
    </row>
    <row r="7265" spans="1:13" x14ac:dyDescent="0.25">
      <c r="A7265" t="s">
        <v>23937</v>
      </c>
      <c r="B7265" t="s">
        <v>23938</v>
      </c>
      <c r="C7265" t="s">
        <v>121</v>
      </c>
      <c r="D7265" t="s">
        <v>23939</v>
      </c>
      <c r="E7265" t="s">
        <v>18665</v>
      </c>
      <c r="F7265" t="s">
        <v>18777</v>
      </c>
      <c r="G7265" t="s">
        <v>23940</v>
      </c>
      <c r="H7265" t="str">
        <f>HYPERLINK("https://baanknet.com/view-property/236168/0A514B4F7F3547FD0C34E5EDFCF3380997C7FD385233CFEA8FB894820CF82589", "https://baanknet.com/view-property/236168/0A514B4F7F3547FD0C34E5EDFCF3380997C7FD385233CFEA8FB894820CF82589")</f>
        <v>https://baanknet.com/view-property/236168/0A514B4F7F3547FD0C34E5EDFCF3380997C7FD385233CFEA8FB894820CF82589</v>
      </c>
      <c r="I7265" t="str">
        <f>HYPERLINK("https://baanknet.com/view-property/236168/0A514B4F7F3547FD0C34E5EDFCF3380997C7FD385233CFEA8FB894820CF82589", "Open")</f>
        <v>Open</v>
      </c>
      <c r="J7265" t="s">
        <v>3803</v>
      </c>
      <c r="L7265">
        <v>3429000</v>
      </c>
      <c r="M7265">
        <v>342900</v>
      </c>
    </row>
    <row r="7266" spans="1:13" x14ac:dyDescent="0.25">
      <c r="A7266" t="s">
        <v>23941</v>
      </c>
      <c r="B7266" t="s">
        <v>23942</v>
      </c>
      <c r="C7266" t="s">
        <v>121</v>
      </c>
      <c r="D7266" t="s">
        <v>415</v>
      </c>
      <c r="E7266" t="s">
        <v>18665</v>
      </c>
      <c r="F7266" t="s">
        <v>18777</v>
      </c>
      <c r="G7266" t="s">
        <v>23943</v>
      </c>
      <c r="H7266" t="str">
        <f>HYPERLINK("https://baanknet.com/view-property/179197/3E86DE0740C55A09D9971C0CC40B7D4F8365FBA557D2341684FB54DB1F9E99CB", "https://baanknet.com/view-property/179197/3E86DE0740C55A09D9971C0CC40B7D4F8365FBA557D2341684FB54DB1F9E99CB")</f>
        <v>https://baanknet.com/view-property/179197/3E86DE0740C55A09D9971C0CC40B7D4F8365FBA557D2341684FB54DB1F9E99CB</v>
      </c>
      <c r="I7266" t="str">
        <f>HYPERLINK("https://baanknet.com/view-property/179197/3E86DE0740C55A09D9971C0CC40B7D4F8365FBA557D2341684FB54DB1F9E99CB", "Open")</f>
        <v>Open</v>
      </c>
      <c r="J7266" t="s">
        <v>3803</v>
      </c>
      <c r="L7266">
        <v>9059940</v>
      </c>
      <c r="M7266">
        <v>906000</v>
      </c>
    </row>
    <row r="7267" spans="1:13" x14ac:dyDescent="0.25">
      <c r="A7267" t="s">
        <v>23944</v>
      </c>
      <c r="B7267" t="s">
        <v>23945</v>
      </c>
      <c r="C7267" t="s">
        <v>121</v>
      </c>
      <c r="D7267" t="s">
        <v>415</v>
      </c>
      <c r="E7267" t="s">
        <v>18665</v>
      </c>
      <c r="F7267" t="s">
        <v>18777</v>
      </c>
      <c r="G7267" t="s">
        <v>23946</v>
      </c>
      <c r="H7267" t="str">
        <f>HYPERLINK("https://baanknet.com/view-property/287215/F4E47D4B694A472B44A8BF74A72E0C5E84CDC9840BDF5CB08872B786DA5D3A95", "https://baanknet.com/view-property/287215/F4E47D4B694A472B44A8BF74A72E0C5E84CDC9840BDF5CB08872B786DA5D3A95")</f>
        <v>https://baanknet.com/view-property/287215/F4E47D4B694A472B44A8BF74A72E0C5E84CDC9840BDF5CB08872B786DA5D3A95</v>
      </c>
      <c r="I7267" t="str">
        <f>HYPERLINK("https://baanknet.com/view-property/287215/F4E47D4B694A472B44A8BF74A72E0C5E84CDC9840BDF5CB08872B786DA5D3A95", "Open")</f>
        <v>Open</v>
      </c>
      <c r="J7267" t="s">
        <v>3803</v>
      </c>
      <c r="L7267">
        <v>2000000</v>
      </c>
      <c r="M7267">
        <v>200000</v>
      </c>
    </row>
    <row r="7268" spans="1:13" x14ac:dyDescent="0.25">
      <c r="A7268" t="s">
        <v>23947</v>
      </c>
      <c r="B7268" t="s">
        <v>23948</v>
      </c>
      <c r="C7268" t="s">
        <v>121</v>
      </c>
      <c r="D7268" t="s">
        <v>13632</v>
      </c>
      <c r="E7268" t="s">
        <v>18823</v>
      </c>
      <c r="F7268" t="s">
        <v>18680</v>
      </c>
      <c r="G7268" t="s">
        <v>23949</v>
      </c>
      <c r="H7268" t="str">
        <f>HYPERLINK("https://baanknet.com/view-property/180845/57ED474CD3358B5AEE5C4010B6229A787A7DED9C3D382D1F965989865CA984FE", "https://baanknet.com/view-property/180845/57ED474CD3358B5AEE5C4010B6229A787A7DED9C3D382D1F965989865CA984FE")</f>
        <v>https://baanknet.com/view-property/180845/57ED474CD3358B5AEE5C4010B6229A787A7DED9C3D382D1F965989865CA984FE</v>
      </c>
      <c r="I7268" t="str">
        <f>HYPERLINK("https://baanknet.com/view-property/180845/57ED474CD3358B5AEE5C4010B6229A787A7DED9C3D382D1F965989865CA984FE", "Open")</f>
        <v>Open</v>
      </c>
      <c r="J7268" t="s">
        <v>3803</v>
      </c>
      <c r="L7268">
        <v>4660000</v>
      </c>
      <c r="M7268">
        <v>466000</v>
      </c>
    </row>
    <row r="7269" spans="1:13" x14ac:dyDescent="0.25">
      <c r="A7269" t="s">
        <v>23950</v>
      </c>
      <c r="B7269" t="s">
        <v>23951</v>
      </c>
      <c r="C7269" t="s">
        <v>121</v>
      </c>
      <c r="D7269" t="s">
        <v>84</v>
      </c>
      <c r="E7269" t="s">
        <v>18823</v>
      </c>
      <c r="F7269" t="s">
        <v>18680</v>
      </c>
      <c r="G7269" t="s">
        <v>23952</v>
      </c>
      <c r="H7269" t="str">
        <f>HYPERLINK("https://baanknet.com/view-property/184185/AEA4663E7CA6746BB4425A4615FAD4B25F31EE23FDFB454E797E87AECD66B083", "https://baanknet.com/view-property/184185/AEA4663E7CA6746BB4425A4615FAD4B25F31EE23FDFB454E797E87AECD66B083")</f>
        <v>https://baanknet.com/view-property/184185/AEA4663E7CA6746BB4425A4615FAD4B25F31EE23FDFB454E797E87AECD66B083</v>
      </c>
      <c r="I7269" t="str">
        <f>HYPERLINK("https://baanknet.com/view-property/184185/AEA4663E7CA6746BB4425A4615FAD4B25F31EE23FDFB454E797E87AECD66B083", "Open")</f>
        <v>Open</v>
      </c>
      <c r="J7269" t="s">
        <v>3803</v>
      </c>
      <c r="L7269">
        <v>1400000</v>
      </c>
      <c r="M7269">
        <v>140000</v>
      </c>
    </row>
    <row r="7270" spans="1:13" x14ac:dyDescent="0.25">
      <c r="A7270" t="s">
        <v>23953</v>
      </c>
      <c r="B7270" t="s">
        <v>23954</v>
      </c>
      <c r="C7270" t="s">
        <v>121</v>
      </c>
      <c r="D7270" t="s">
        <v>84</v>
      </c>
      <c r="E7270" t="s">
        <v>18823</v>
      </c>
      <c r="F7270" t="s">
        <v>18680</v>
      </c>
      <c r="G7270" t="s">
        <v>23955</v>
      </c>
      <c r="H7270" t="str">
        <f>HYPERLINK("https://baanknet.com/view-property/177952/1D3AD8D7E514D74E2781CBAF82276F230C9B6D0D3C2C1F01A2EF3A6BF3C024EF", "https://baanknet.com/view-property/177952/1D3AD8D7E514D74E2781CBAF82276F230C9B6D0D3C2C1F01A2EF3A6BF3C024EF")</f>
        <v>https://baanknet.com/view-property/177952/1D3AD8D7E514D74E2781CBAF82276F230C9B6D0D3C2C1F01A2EF3A6BF3C024EF</v>
      </c>
      <c r="I7270" t="str">
        <f>HYPERLINK("https://baanknet.com/view-property/177952/1D3AD8D7E514D74E2781CBAF82276F230C9B6D0D3C2C1F01A2EF3A6BF3C024EF", "Open")</f>
        <v>Open</v>
      </c>
      <c r="J7270" t="s">
        <v>3803</v>
      </c>
      <c r="L7270">
        <v>2200000</v>
      </c>
      <c r="M7270">
        <v>220000</v>
      </c>
    </row>
    <row r="7271" spans="1:13" x14ac:dyDescent="0.25">
      <c r="A7271" t="s">
        <v>23956</v>
      </c>
      <c r="B7271" t="s">
        <v>23957</v>
      </c>
      <c r="C7271" t="s">
        <v>121</v>
      </c>
      <c r="D7271" t="s">
        <v>1380</v>
      </c>
      <c r="E7271" t="s">
        <v>18823</v>
      </c>
      <c r="F7271" t="s">
        <v>18680</v>
      </c>
      <c r="G7271" t="s">
        <v>23958</v>
      </c>
      <c r="H7271" t="str">
        <f>HYPERLINK("https://baanknet.com/view-property/280523/7939521B96DBEBF06D65ED1D67084EE01C25772DCAEFC51D2008466DB9AE6142", "https://baanknet.com/view-property/280523/7939521B96DBEBF06D65ED1D67084EE01C25772DCAEFC51D2008466DB9AE6142")</f>
        <v>https://baanknet.com/view-property/280523/7939521B96DBEBF06D65ED1D67084EE01C25772DCAEFC51D2008466DB9AE6142</v>
      </c>
      <c r="I7271" t="str">
        <f>HYPERLINK("https://baanknet.com/view-property/280523/7939521B96DBEBF06D65ED1D67084EE01C25772DCAEFC51D2008466DB9AE6142", "Open")</f>
        <v>Open</v>
      </c>
      <c r="J7271" t="s">
        <v>3803</v>
      </c>
      <c r="L7271">
        <v>1410000</v>
      </c>
      <c r="M7271">
        <v>141000</v>
      </c>
    </row>
    <row r="7272" spans="1:13" x14ac:dyDescent="0.25">
      <c r="A7272" t="s">
        <v>23959</v>
      </c>
      <c r="B7272" t="s">
        <v>23960</v>
      </c>
      <c r="C7272" t="s">
        <v>121</v>
      </c>
      <c r="D7272" t="s">
        <v>1380</v>
      </c>
      <c r="E7272" t="s">
        <v>18823</v>
      </c>
      <c r="F7272" t="s">
        <v>18680</v>
      </c>
      <c r="G7272" t="s">
        <v>23961</v>
      </c>
      <c r="H7272" t="str">
        <f>HYPERLINK("https://baanknet.com/view-property/179161/470C3AA0665C6DA556AC64CBB457C0338EFEA8074E600DD92DCA9DFE166C1F49", "https://baanknet.com/view-property/179161/470C3AA0665C6DA556AC64CBB457C0338EFEA8074E600DD92DCA9DFE166C1F49")</f>
        <v>https://baanknet.com/view-property/179161/470C3AA0665C6DA556AC64CBB457C0338EFEA8074E600DD92DCA9DFE166C1F49</v>
      </c>
      <c r="I7272" t="str">
        <f>HYPERLINK("https://baanknet.com/view-property/179161/470C3AA0665C6DA556AC64CBB457C0338EFEA8074E600DD92DCA9DFE166C1F49", "Open")</f>
        <v>Open</v>
      </c>
      <c r="J7272" t="s">
        <v>3803</v>
      </c>
      <c r="L7272">
        <v>1250000</v>
      </c>
      <c r="M7272">
        <v>125000</v>
      </c>
    </row>
    <row r="7273" spans="1:13" x14ac:dyDescent="0.25">
      <c r="A7273" t="s">
        <v>23962</v>
      </c>
      <c r="B7273" t="s">
        <v>23963</v>
      </c>
      <c r="C7273" t="s">
        <v>121</v>
      </c>
      <c r="D7273" t="s">
        <v>23964</v>
      </c>
      <c r="E7273" t="s">
        <v>18823</v>
      </c>
      <c r="F7273" t="s">
        <v>18680</v>
      </c>
      <c r="G7273" t="s">
        <v>23965</v>
      </c>
      <c r="H7273" t="str">
        <f>HYPERLINK("https://baanknet.com/view-property/179134/E8E4D26B638BFE9898B2A03DF6D135AF6B1B1940CF58BE65FA3692914C424D59", "https://baanknet.com/view-property/179134/E8E4D26B638BFE9898B2A03DF6D135AF6B1B1940CF58BE65FA3692914C424D59")</f>
        <v>https://baanknet.com/view-property/179134/E8E4D26B638BFE9898B2A03DF6D135AF6B1B1940CF58BE65FA3692914C424D59</v>
      </c>
      <c r="I7273" t="str">
        <f>HYPERLINK("https://baanknet.com/view-property/179134/E8E4D26B638BFE9898B2A03DF6D135AF6B1B1940CF58BE65FA3692914C424D59", "Open")</f>
        <v>Open</v>
      </c>
      <c r="J7273" t="s">
        <v>3803</v>
      </c>
      <c r="L7273">
        <v>1400000</v>
      </c>
      <c r="M7273">
        <v>140000</v>
      </c>
    </row>
    <row r="7274" spans="1:13" x14ac:dyDescent="0.25">
      <c r="A7274" t="s">
        <v>23966</v>
      </c>
      <c r="B7274" t="s">
        <v>23967</v>
      </c>
      <c r="C7274" t="s">
        <v>121</v>
      </c>
      <c r="D7274" t="s">
        <v>1348</v>
      </c>
      <c r="E7274" t="s">
        <v>18823</v>
      </c>
      <c r="F7274" t="s">
        <v>18680</v>
      </c>
      <c r="G7274" t="s">
        <v>23968</v>
      </c>
      <c r="H7274" t="str">
        <f>HYPERLINK("https://baanknet.com/view-property/179122/CE8086DF327C6AF3BD62B9751959D3A0C11CFE81B54975D59506B5798264ED04", "https://baanknet.com/view-property/179122/CE8086DF327C6AF3BD62B9751959D3A0C11CFE81B54975D59506B5798264ED04")</f>
        <v>https://baanknet.com/view-property/179122/CE8086DF327C6AF3BD62B9751959D3A0C11CFE81B54975D59506B5798264ED04</v>
      </c>
      <c r="I7274" t="str">
        <f>HYPERLINK("https://baanknet.com/view-property/179122/CE8086DF327C6AF3BD62B9751959D3A0C11CFE81B54975D59506B5798264ED04", "Open")</f>
        <v>Open</v>
      </c>
      <c r="J7274" t="s">
        <v>3803</v>
      </c>
      <c r="L7274">
        <v>1538000</v>
      </c>
      <c r="M7274">
        <v>153800</v>
      </c>
    </row>
    <row r="7275" spans="1:13" x14ac:dyDescent="0.25">
      <c r="A7275" t="s">
        <v>23969</v>
      </c>
      <c r="B7275" t="s">
        <v>23970</v>
      </c>
      <c r="C7275" t="s">
        <v>121</v>
      </c>
      <c r="D7275" t="s">
        <v>23964</v>
      </c>
      <c r="E7275" t="s">
        <v>18823</v>
      </c>
      <c r="F7275" t="s">
        <v>18680</v>
      </c>
      <c r="G7275" t="s">
        <v>23971</v>
      </c>
      <c r="H7275" t="str">
        <f>HYPERLINK("https://baanknet.com/view-property/276183/19D88119C3E09E16061368BE60C57831BE8B0FD5BC72530540BECB00E6BCC272", "https://baanknet.com/view-property/276183/19D88119C3E09E16061368BE60C57831BE8B0FD5BC72530540BECB00E6BCC272")</f>
        <v>https://baanknet.com/view-property/276183/19D88119C3E09E16061368BE60C57831BE8B0FD5BC72530540BECB00E6BCC272</v>
      </c>
      <c r="I7275" t="str">
        <f>HYPERLINK("https://baanknet.com/view-property/276183/19D88119C3E09E16061368BE60C57831BE8B0FD5BC72530540BECB00E6BCC272", "Open")</f>
        <v>Open</v>
      </c>
      <c r="J7275" t="s">
        <v>3803</v>
      </c>
      <c r="L7275">
        <v>268000</v>
      </c>
      <c r="M7275">
        <v>26800</v>
      </c>
    </row>
    <row r="7276" spans="1:13" x14ac:dyDescent="0.25">
      <c r="A7276" t="s">
        <v>23972</v>
      </c>
      <c r="B7276" t="s">
        <v>23973</v>
      </c>
      <c r="C7276" t="s">
        <v>121</v>
      </c>
      <c r="D7276" t="s">
        <v>1380</v>
      </c>
      <c r="E7276" t="s">
        <v>18823</v>
      </c>
      <c r="F7276" t="s">
        <v>18680</v>
      </c>
      <c r="G7276" t="s">
        <v>23974</v>
      </c>
      <c r="H7276" t="str">
        <f>HYPERLINK("https://baanknet.com/view-property/179147/52AD071C908E5AA9E0B12369A6564D180D1DEBD61AFB6C612ABF59BB99FD7D81", "https://baanknet.com/view-property/179147/52AD071C908E5AA9E0B12369A6564D180D1DEBD61AFB6C612ABF59BB99FD7D81")</f>
        <v>https://baanknet.com/view-property/179147/52AD071C908E5AA9E0B12369A6564D180D1DEBD61AFB6C612ABF59BB99FD7D81</v>
      </c>
      <c r="I7276" t="str">
        <f>HYPERLINK("https://baanknet.com/view-property/179147/52AD071C908E5AA9E0B12369A6564D180D1DEBD61AFB6C612ABF59BB99FD7D81", "Open")</f>
        <v>Open</v>
      </c>
      <c r="J7276" t="s">
        <v>3803</v>
      </c>
      <c r="L7276">
        <v>883000</v>
      </c>
      <c r="M7276">
        <v>88300</v>
      </c>
    </row>
    <row r="7277" spans="1:13" x14ac:dyDescent="0.25">
      <c r="A7277" t="s">
        <v>23975</v>
      </c>
      <c r="B7277" t="s">
        <v>23976</v>
      </c>
      <c r="C7277" t="s">
        <v>83</v>
      </c>
      <c r="D7277" t="s">
        <v>845</v>
      </c>
      <c r="E7277" t="s">
        <v>18837</v>
      </c>
      <c r="F7277" t="s">
        <v>18777</v>
      </c>
      <c r="G7277" t="s">
        <v>23977</v>
      </c>
      <c r="H7277" t="str">
        <f>HYPERLINK("https://baanknet.com/view-property/224407/8CA9261CF0DA308D60FA64D06E216F37DC48C174537AF38D50B3BC4502EB0F0D", "https://baanknet.com/view-property/224407/8CA9261CF0DA308D60FA64D06E216F37DC48C174537AF38D50B3BC4502EB0F0D")</f>
        <v>https://baanknet.com/view-property/224407/8CA9261CF0DA308D60FA64D06E216F37DC48C174537AF38D50B3BC4502EB0F0D</v>
      </c>
      <c r="I7277" t="str">
        <f>HYPERLINK("https://baanknet.com/view-property/224407/8CA9261CF0DA308D60FA64D06E216F37DC48C174537AF38D50B3BC4502EB0F0D", "Open")</f>
        <v>Open</v>
      </c>
      <c r="J7277" t="s">
        <v>3803</v>
      </c>
      <c r="L7277">
        <v>1078920</v>
      </c>
      <c r="M7277">
        <v>107892</v>
      </c>
    </row>
    <row r="7278" spans="1:13" x14ac:dyDescent="0.25">
      <c r="A7278" t="s">
        <v>23978</v>
      </c>
      <c r="B7278" t="s">
        <v>23979</v>
      </c>
      <c r="C7278" t="s">
        <v>83</v>
      </c>
      <c r="D7278" t="s">
        <v>17198</v>
      </c>
      <c r="E7278" t="s">
        <v>18837</v>
      </c>
      <c r="F7278" t="s">
        <v>19096</v>
      </c>
      <c r="G7278" t="s">
        <v>23980</v>
      </c>
      <c r="H7278" t="str">
        <f>HYPERLINK("https://baanknet.com/view-property/53354/BD69CAA38255EEFD63A99BEB20CA5207F29E00DBF9D5B98C5AC7A61C2266A7B4", "https://baanknet.com/view-property/53354/BD69CAA38255EEFD63A99BEB20CA5207F29E00DBF9D5B98C5AC7A61C2266A7B4")</f>
        <v>https://baanknet.com/view-property/53354/BD69CAA38255EEFD63A99BEB20CA5207F29E00DBF9D5B98C5AC7A61C2266A7B4</v>
      </c>
      <c r="I7278" t="str">
        <f>HYPERLINK("https://baanknet.com/view-property/53354/BD69CAA38255EEFD63A99BEB20CA5207F29E00DBF9D5B98C5AC7A61C2266A7B4", "Open")</f>
        <v>Open</v>
      </c>
      <c r="J7278" t="s">
        <v>3803</v>
      </c>
      <c r="L7278">
        <v>1625000</v>
      </c>
      <c r="M7278">
        <v>162500</v>
      </c>
    </row>
    <row r="7279" spans="1:13" x14ac:dyDescent="0.25">
      <c r="A7279" t="s">
        <v>23981</v>
      </c>
      <c r="B7279" t="s">
        <v>23982</v>
      </c>
      <c r="C7279" t="s">
        <v>83</v>
      </c>
      <c r="D7279" t="s">
        <v>608</v>
      </c>
      <c r="E7279" t="s">
        <v>18837</v>
      </c>
      <c r="F7279" t="s">
        <v>19096</v>
      </c>
      <c r="G7279" t="s">
        <v>23983</v>
      </c>
      <c r="H7279" t="str">
        <f>HYPERLINK("https://baanknet.com/view-property/240600/AD1DF2A187FA91847F5D6058936117325030219914E816FCD0A7C7011F53A64F", "https://baanknet.com/view-property/240600/AD1DF2A187FA91847F5D6058936117325030219914E816FCD0A7C7011F53A64F")</f>
        <v>https://baanknet.com/view-property/240600/AD1DF2A187FA91847F5D6058936117325030219914E816FCD0A7C7011F53A64F</v>
      </c>
      <c r="I7279" t="str">
        <f>HYPERLINK("https://baanknet.com/view-property/240600/AD1DF2A187FA91847F5D6058936117325030219914E816FCD0A7C7011F53A64F", "Open")</f>
        <v>Open</v>
      </c>
      <c r="J7279" t="s">
        <v>3803</v>
      </c>
      <c r="L7279">
        <v>45700000</v>
      </c>
      <c r="M7279">
        <v>4570000</v>
      </c>
    </row>
    <row r="7280" spans="1:13" x14ac:dyDescent="0.25">
      <c r="A7280" t="s">
        <v>23984</v>
      </c>
      <c r="B7280" t="s">
        <v>23985</v>
      </c>
      <c r="C7280" t="s">
        <v>83</v>
      </c>
      <c r="D7280" t="s">
        <v>12673</v>
      </c>
      <c r="E7280" t="s">
        <v>18837</v>
      </c>
      <c r="F7280" t="s">
        <v>19096</v>
      </c>
      <c r="G7280" t="s">
        <v>23986</v>
      </c>
      <c r="H7280" t="str">
        <f>HYPERLINK("https://baanknet.com/view-property/278329/203A691C7AD3A4AF5F7500DE2C35AD17E3B6CFB6A487D9D1A0C1BD3CE48E13DC", "https://baanknet.com/view-property/278329/203A691C7AD3A4AF5F7500DE2C35AD17E3B6CFB6A487D9D1A0C1BD3CE48E13DC")</f>
        <v>https://baanknet.com/view-property/278329/203A691C7AD3A4AF5F7500DE2C35AD17E3B6CFB6A487D9D1A0C1BD3CE48E13DC</v>
      </c>
      <c r="I7280" t="str">
        <f>HYPERLINK("https://baanknet.com/view-property/278329/203A691C7AD3A4AF5F7500DE2C35AD17E3B6CFB6A487D9D1A0C1BD3CE48E13DC", "Open")</f>
        <v>Open</v>
      </c>
      <c r="J7280" t="s">
        <v>3803</v>
      </c>
      <c r="L7280">
        <v>498800</v>
      </c>
      <c r="M7280">
        <v>49880</v>
      </c>
    </row>
    <row r="7281" spans="1:13" x14ac:dyDescent="0.25">
      <c r="A7281" t="s">
        <v>23987</v>
      </c>
      <c r="B7281" t="s">
        <v>23988</v>
      </c>
      <c r="C7281" t="s">
        <v>83</v>
      </c>
      <c r="D7281" t="s">
        <v>12673</v>
      </c>
      <c r="E7281" t="s">
        <v>18837</v>
      </c>
      <c r="F7281" t="s">
        <v>19096</v>
      </c>
      <c r="G7281" t="s">
        <v>23989</v>
      </c>
      <c r="H7281" t="str">
        <f>HYPERLINK("https://baanknet.com/view-property/278328/1E9B3112C6D5E03645A251A93936A386AFCCD782DB69D3AB781D1B9D278347E5", "https://baanknet.com/view-property/278328/1E9B3112C6D5E03645A251A93936A386AFCCD782DB69D3AB781D1B9D278347E5")</f>
        <v>https://baanknet.com/view-property/278328/1E9B3112C6D5E03645A251A93936A386AFCCD782DB69D3AB781D1B9D278347E5</v>
      </c>
      <c r="I7281" t="str">
        <f>HYPERLINK("https://baanknet.com/view-property/278328/1E9B3112C6D5E03645A251A93936A386AFCCD782DB69D3AB781D1B9D278347E5", "Open")</f>
        <v>Open</v>
      </c>
      <c r="J7281" t="s">
        <v>3803</v>
      </c>
      <c r="L7281">
        <v>464000</v>
      </c>
      <c r="M7281">
        <v>46400</v>
      </c>
    </row>
    <row r="7282" spans="1:13" x14ac:dyDescent="0.25">
      <c r="A7282" t="s">
        <v>23990</v>
      </c>
      <c r="B7282" t="s">
        <v>23991</v>
      </c>
      <c r="C7282" t="s">
        <v>83</v>
      </c>
      <c r="D7282" t="s">
        <v>12673</v>
      </c>
      <c r="E7282" t="s">
        <v>18837</v>
      </c>
      <c r="F7282" t="s">
        <v>19096</v>
      </c>
      <c r="G7282" t="s">
        <v>23992</v>
      </c>
      <c r="H7282" t="str">
        <f>HYPERLINK("https://baanknet.com/view-property/278327/32B427691BF4570E127B21B628AE69130C003DD83D13FA3BD65F99C2245CF4D9", "https://baanknet.com/view-property/278327/32B427691BF4570E127B21B628AE69130C003DD83D13FA3BD65F99C2245CF4D9")</f>
        <v>https://baanknet.com/view-property/278327/32B427691BF4570E127B21B628AE69130C003DD83D13FA3BD65F99C2245CF4D9</v>
      </c>
      <c r="I7282" t="str">
        <f>HYPERLINK("https://baanknet.com/view-property/278327/32B427691BF4570E127B21B628AE69130C003DD83D13FA3BD65F99C2245CF4D9", "Open")</f>
        <v>Open</v>
      </c>
      <c r="J7282" t="s">
        <v>3803</v>
      </c>
      <c r="L7282">
        <v>464000</v>
      </c>
      <c r="M7282">
        <v>46400</v>
      </c>
    </row>
    <row r="7283" spans="1:13" x14ac:dyDescent="0.25">
      <c r="A7283" t="s">
        <v>23993</v>
      </c>
      <c r="B7283" t="s">
        <v>23994</v>
      </c>
      <c r="C7283" t="s">
        <v>83</v>
      </c>
      <c r="D7283" t="s">
        <v>12673</v>
      </c>
      <c r="E7283" t="s">
        <v>18837</v>
      </c>
      <c r="F7283" t="s">
        <v>19096</v>
      </c>
      <c r="G7283" t="s">
        <v>23995</v>
      </c>
      <c r="H7283" t="str">
        <f>HYPERLINK("https://baanknet.com/view-property/278324/538DA847F00CF812A9C17539745730FD4AB085E52E1EDEC22355FB9F47464922", "https://baanknet.com/view-property/278324/538DA847F00CF812A9C17539745730FD4AB085E52E1EDEC22355FB9F47464922")</f>
        <v>https://baanknet.com/view-property/278324/538DA847F00CF812A9C17539745730FD4AB085E52E1EDEC22355FB9F47464922</v>
      </c>
      <c r="I7283" t="str">
        <f>HYPERLINK("https://baanknet.com/view-property/278324/538DA847F00CF812A9C17539745730FD4AB085E52E1EDEC22355FB9F47464922", "Open")</f>
        <v>Open</v>
      </c>
      <c r="J7283" t="s">
        <v>3803</v>
      </c>
      <c r="L7283">
        <v>464000</v>
      </c>
      <c r="M7283">
        <v>46400</v>
      </c>
    </row>
    <row r="7284" spans="1:13" x14ac:dyDescent="0.25">
      <c r="A7284" t="s">
        <v>23996</v>
      </c>
      <c r="B7284" t="s">
        <v>23997</v>
      </c>
      <c r="C7284" t="s">
        <v>571</v>
      </c>
      <c r="D7284" t="s">
        <v>4587</v>
      </c>
      <c r="E7284" t="s">
        <v>19424</v>
      </c>
      <c r="F7284" t="s">
        <v>19526</v>
      </c>
      <c r="G7284" t="s">
        <v>23998</v>
      </c>
      <c r="H7284" t="str">
        <f>HYPERLINK("https://baanknet.com/view-property/107612/96E9EADA4800D9F5D30C7C4CF04EFB165D316A7B56FAD2E32A3DE6B7C2701104", "https://baanknet.com/view-property/107612/96E9EADA4800D9F5D30C7C4CF04EFB165D316A7B56FAD2E32A3DE6B7C2701104")</f>
        <v>https://baanknet.com/view-property/107612/96E9EADA4800D9F5D30C7C4CF04EFB165D316A7B56FAD2E32A3DE6B7C2701104</v>
      </c>
      <c r="I7284" t="str">
        <f>HYPERLINK("https://baanknet.com/view-property/107612/96E9EADA4800D9F5D30C7C4CF04EFB165D316A7B56FAD2E32A3DE6B7C2701104", "Open")</f>
        <v>Open</v>
      </c>
      <c r="J7284" t="s">
        <v>3803</v>
      </c>
      <c r="L7284">
        <v>31800000</v>
      </c>
      <c r="M7284">
        <v>3180000</v>
      </c>
    </row>
    <row r="7285" spans="1:13" x14ac:dyDescent="0.25">
      <c r="A7285" t="s">
        <v>23999</v>
      </c>
      <c r="B7285" t="s">
        <v>24000</v>
      </c>
      <c r="C7285" t="s">
        <v>15</v>
      </c>
      <c r="D7285" t="s">
        <v>309</v>
      </c>
      <c r="E7285" t="s">
        <v>19425</v>
      </c>
      <c r="F7285" t="s">
        <v>19526</v>
      </c>
      <c r="G7285" t="s">
        <v>24001</v>
      </c>
      <c r="H7285" t="str">
        <f>HYPERLINK("https://baanknet.com/view-property/240637/292CD07A94E13C467051AAF6B9BCC8B3FF3C9B369071D7E8D0934A6540323E03", "https://baanknet.com/view-property/240637/292CD07A94E13C467051AAF6B9BCC8B3FF3C9B369071D7E8D0934A6540323E03")</f>
        <v>https://baanknet.com/view-property/240637/292CD07A94E13C467051AAF6B9BCC8B3FF3C9B369071D7E8D0934A6540323E03</v>
      </c>
      <c r="I7285" t="str">
        <f>HYPERLINK("https://baanknet.com/view-property/240637/292CD07A94E13C467051AAF6B9BCC8B3FF3C9B369071D7E8D0934A6540323E03", "Open")</f>
        <v>Open</v>
      </c>
      <c r="J7285" t="s">
        <v>3803</v>
      </c>
      <c r="L7285">
        <v>2343000</v>
      </c>
      <c r="M7285">
        <v>234300</v>
      </c>
    </row>
    <row r="7286" spans="1:13" x14ac:dyDescent="0.25">
      <c r="A7286" t="s">
        <v>24002</v>
      </c>
      <c r="B7286" t="s">
        <v>24003</v>
      </c>
      <c r="C7286" t="s">
        <v>15</v>
      </c>
      <c r="D7286" t="s">
        <v>309</v>
      </c>
      <c r="E7286" t="s">
        <v>19425</v>
      </c>
      <c r="F7286" t="s">
        <v>19526</v>
      </c>
      <c r="G7286" t="s">
        <v>24004</v>
      </c>
      <c r="H7286" t="str">
        <f>HYPERLINK("https://baanknet.com/view-property/240795/7462FCC6E7872E506324DEF596F4850312DCF0453965C1B65BA7E99D8B0686FF", "https://baanknet.com/view-property/240795/7462FCC6E7872E506324DEF596F4850312DCF0453965C1B65BA7E99D8B0686FF")</f>
        <v>https://baanknet.com/view-property/240795/7462FCC6E7872E506324DEF596F4850312DCF0453965C1B65BA7E99D8B0686FF</v>
      </c>
      <c r="I7286" t="str">
        <f>HYPERLINK("https://baanknet.com/view-property/240795/7462FCC6E7872E506324DEF596F4850312DCF0453965C1B65BA7E99D8B0686FF", "Open")</f>
        <v>Open</v>
      </c>
      <c r="J7286" t="s">
        <v>3803</v>
      </c>
      <c r="L7286">
        <v>969000</v>
      </c>
      <c r="M7286">
        <v>96900</v>
      </c>
    </row>
    <row r="7287" spans="1:13" x14ac:dyDescent="0.25">
      <c r="A7287" t="s">
        <v>24005</v>
      </c>
      <c r="B7287" t="s">
        <v>24006</v>
      </c>
      <c r="C7287" t="s">
        <v>589</v>
      </c>
      <c r="D7287" t="s">
        <v>4481</v>
      </c>
      <c r="E7287" t="s">
        <v>19543</v>
      </c>
      <c r="F7287" t="s">
        <v>19553</v>
      </c>
      <c r="G7287" t="s">
        <v>24007</v>
      </c>
      <c r="H7287" t="str">
        <f>HYPERLINK("https://baanknet.com/view-property/223731/C19530750396D01941DCA7A567A1B1C18309837B90BB33261BB8BB5FC8EE53DD", "https://baanknet.com/view-property/223731/C19530750396D01941DCA7A567A1B1C18309837B90BB33261BB8BB5FC8EE53DD")</f>
        <v>https://baanknet.com/view-property/223731/C19530750396D01941DCA7A567A1B1C18309837B90BB33261BB8BB5FC8EE53DD</v>
      </c>
      <c r="I7287" t="str">
        <f>HYPERLINK("https://baanknet.com/view-property/223731/C19530750396D01941DCA7A567A1B1C18309837B90BB33261BB8BB5FC8EE53DD", "Open")</f>
        <v>Open</v>
      </c>
      <c r="J7287" t="s">
        <v>3803</v>
      </c>
      <c r="L7287">
        <v>1526000</v>
      </c>
      <c r="M7287">
        <v>152600</v>
      </c>
    </row>
    <row r="7288" spans="1:13" x14ac:dyDescent="0.25">
      <c r="A7288" t="s">
        <v>24008</v>
      </c>
      <c r="B7288" t="s">
        <v>24009</v>
      </c>
      <c r="C7288" t="s">
        <v>589</v>
      </c>
      <c r="D7288" t="s">
        <v>19548</v>
      </c>
      <c r="E7288" t="s">
        <v>19543</v>
      </c>
      <c r="F7288" t="s">
        <v>19553</v>
      </c>
      <c r="G7288" t="s">
        <v>24010</v>
      </c>
      <c r="H7288" t="str">
        <f>HYPERLINK("https://baanknet.com/view-property/223179/95A86DC66C46C7A4B2994E69474EDB2F2D039B1FC4D75C1BF6A33DF6467DEB0A", "https://baanknet.com/view-property/223179/95A86DC66C46C7A4B2994E69474EDB2F2D039B1FC4D75C1BF6A33DF6467DEB0A")</f>
        <v>https://baanknet.com/view-property/223179/95A86DC66C46C7A4B2994E69474EDB2F2D039B1FC4D75C1BF6A33DF6467DEB0A</v>
      </c>
      <c r="I7288" t="str">
        <f>HYPERLINK("https://baanknet.com/view-property/223179/95A86DC66C46C7A4B2994E69474EDB2F2D039B1FC4D75C1BF6A33DF6467DEB0A", "Open")</f>
        <v>Open</v>
      </c>
      <c r="J7288" t="s">
        <v>3803</v>
      </c>
      <c r="L7288">
        <v>1437000</v>
      </c>
      <c r="M7288">
        <v>143700</v>
      </c>
    </row>
    <row r="7289" spans="1:13" x14ac:dyDescent="0.25">
      <c r="A7289" t="s">
        <v>24011</v>
      </c>
      <c r="B7289" t="s">
        <v>24012</v>
      </c>
      <c r="C7289" t="s">
        <v>589</v>
      </c>
      <c r="D7289" t="s">
        <v>1182</v>
      </c>
      <c r="E7289" t="s">
        <v>19543</v>
      </c>
      <c r="F7289" t="s">
        <v>19553</v>
      </c>
      <c r="G7289" t="s">
        <v>24013</v>
      </c>
      <c r="H7289" t="str">
        <f>HYPERLINK("https://baanknet.com/view-property/223081/F715BAE82AC4482781F553B9BA4998AF41B753482389F590990BAF9739EE13ED", "https://baanknet.com/view-property/223081/F715BAE82AC4482781F553B9BA4998AF41B753482389F590990BAF9739EE13ED")</f>
        <v>https://baanknet.com/view-property/223081/F715BAE82AC4482781F553B9BA4998AF41B753482389F590990BAF9739EE13ED</v>
      </c>
      <c r="I7289" t="str">
        <f>HYPERLINK("https://baanknet.com/view-property/223081/F715BAE82AC4482781F553B9BA4998AF41B753482389F590990BAF9739EE13ED", "Open")</f>
        <v>Open</v>
      </c>
      <c r="J7289" t="s">
        <v>3803</v>
      </c>
      <c r="L7289">
        <v>1135000</v>
      </c>
      <c r="M7289">
        <v>113500</v>
      </c>
    </row>
    <row r="7290" spans="1:13" x14ac:dyDescent="0.25">
      <c r="A7290" t="s">
        <v>24014</v>
      </c>
      <c r="B7290" t="s">
        <v>24015</v>
      </c>
      <c r="C7290" t="s">
        <v>589</v>
      </c>
      <c r="D7290" t="s">
        <v>4481</v>
      </c>
      <c r="E7290" t="s">
        <v>19543</v>
      </c>
      <c r="F7290" t="s">
        <v>19553</v>
      </c>
      <c r="G7290" t="s">
        <v>24016</v>
      </c>
      <c r="H7290" t="str">
        <f>HYPERLINK("https://baanknet.com/view-property/252426/3A5BDAD345D16078094BE79F77207A460BDDB6025937CE1166F1B3B0917C49D7", "https://baanknet.com/view-property/252426/3A5BDAD345D16078094BE79F77207A460BDDB6025937CE1166F1B3B0917C49D7")</f>
        <v>https://baanknet.com/view-property/252426/3A5BDAD345D16078094BE79F77207A460BDDB6025937CE1166F1B3B0917C49D7</v>
      </c>
      <c r="I7290" t="str">
        <f>HYPERLINK("https://baanknet.com/view-property/252426/3A5BDAD345D16078094BE79F77207A460BDDB6025937CE1166F1B3B0917C49D7", "Open")</f>
        <v>Open</v>
      </c>
      <c r="J7290" t="s">
        <v>3803</v>
      </c>
      <c r="L7290">
        <v>1359000</v>
      </c>
      <c r="M7290">
        <v>135900</v>
      </c>
    </row>
    <row r="7291" spans="1:13" x14ac:dyDescent="0.25">
      <c r="A7291" t="s">
        <v>24017</v>
      </c>
      <c r="B7291" t="s">
        <v>24018</v>
      </c>
      <c r="C7291" t="s">
        <v>726</v>
      </c>
      <c r="D7291" t="s">
        <v>710</v>
      </c>
      <c r="E7291" t="s">
        <v>19824</v>
      </c>
      <c r="F7291" t="s">
        <v>19544</v>
      </c>
      <c r="G7291" t="s">
        <v>24019</v>
      </c>
      <c r="H7291" t="str">
        <f>HYPERLINK("https://baanknet.com/view-property/276115/E151CC9FE3238262E8A430BB50C9A5CED7435CCFD9A387DC0B2F898F9837A337", "https://baanknet.com/view-property/276115/E151CC9FE3238262E8A430BB50C9A5CED7435CCFD9A387DC0B2F898F9837A337")</f>
        <v>https://baanknet.com/view-property/276115/E151CC9FE3238262E8A430BB50C9A5CED7435CCFD9A387DC0B2F898F9837A337</v>
      </c>
      <c r="I7291" t="str">
        <f>HYPERLINK("https://baanknet.com/view-property/276115/E151CC9FE3238262E8A430BB50C9A5CED7435CCFD9A387DC0B2F898F9837A337", "Open")</f>
        <v>Open</v>
      </c>
      <c r="J7291" t="s">
        <v>3803</v>
      </c>
      <c r="L7291">
        <v>2600000</v>
      </c>
      <c r="M7291">
        <v>260000</v>
      </c>
    </row>
    <row r="7292" spans="1:13" x14ac:dyDescent="0.25">
      <c r="A7292" t="s">
        <v>24020</v>
      </c>
      <c r="B7292" t="s">
        <v>24021</v>
      </c>
      <c r="C7292" t="s">
        <v>332</v>
      </c>
      <c r="D7292" t="s">
        <v>4976</v>
      </c>
      <c r="E7292" t="s">
        <v>19824</v>
      </c>
      <c r="F7292" t="s">
        <v>19553</v>
      </c>
      <c r="G7292" t="s">
        <v>24022</v>
      </c>
      <c r="H7292" t="str">
        <f>HYPERLINK("https://baanknet.com/view-property/283645/7F53D09A30969BC25770F713F9E194FAF7B1E9759F2016144BE10CBDF451670E", "https://baanknet.com/view-property/283645/7F53D09A30969BC25770F713F9E194FAF7B1E9759F2016144BE10CBDF451670E")</f>
        <v>https://baanknet.com/view-property/283645/7F53D09A30969BC25770F713F9E194FAF7B1E9759F2016144BE10CBDF451670E</v>
      </c>
      <c r="I7292" t="str">
        <f>HYPERLINK("https://baanknet.com/view-property/283645/7F53D09A30969BC25770F713F9E194FAF7B1E9759F2016144BE10CBDF451670E", "Open")</f>
        <v>Open</v>
      </c>
      <c r="J7292" t="s">
        <v>3803</v>
      </c>
      <c r="L7292">
        <v>21300000</v>
      </c>
      <c r="M7292">
        <v>2130000</v>
      </c>
    </row>
    <row r="7293" spans="1:13" x14ac:dyDescent="0.25">
      <c r="A7293" t="s">
        <v>24023</v>
      </c>
      <c r="B7293" t="s">
        <v>24024</v>
      </c>
      <c r="C7293" t="s">
        <v>589</v>
      </c>
      <c r="D7293" t="s">
        <v>1190</v>
      </c>
      <c r="E7293" t="s">
        <v>19824</v>
      </c>
      <c r="F7293" t="s">
        <v>19553</v>
      </c>
      <c r="G7293" t="s">
        <v>24025</v>
      </c>
      <c r="H7293" t="str">
        <f>HYPERLINK("https://baanknet.com/view-property/250557/7B3267AD406BF4DD3A4951C9381C9EB2FC7A260DA3A7837F41B00FF555B1B30C", "https://baanknet.com/view-property/250557/7B3267AD406BF4DD3A4951C9381C9EB2FC7A260DA3A7837F41B00FF555B1B30C")</f>
        <v>https://baanknet.com/view-property/250557/7B3267AD406BF4DD3A4951C9381C9EB2FC7A260DA3A7837F41B00FF555B1B30C</v>
      </c>
      <c r="I7293" t="str">
        <f>HYPERLINK("https://baanknet.com/view-property/250557/7B3267AD406BF4DD3A4951C9381C9EB2FC7A260DA3A7837F41B00FF555B1B30C", "Open")</f>
        <v>Open</v>
      </c>
      <c r="J7293" t="s">
        <v>3803</v>
      </c>
      <c r="L7293">
        <v>5046000</v>
      </c>
      <c r="M7293">
        <v>504600</v>
      </c>
    </row>
    <row r="7294" spans="1:13" x14ac:dyDescent="0.25">
      <c r="A7294" t="s">
        <v>24026</v>
      </c>
      <c r="B7294" t="s">
        <v>24027</v>
      </c>
      <c r="C7294" t="s">
        <v>15</v>
      </c>
      <c r="D7294" t="s">
        <v>5944</v>
      </c>
      <c r="E7294" t="s">
        <v>19539</v>
      </c>
      <c r="F7294" t="s">
        <v>20352</v>
      </c>
      <c r="G7294" t="s">
        <v>24028</v>
      </c>
      <c r="H7294" t="str">
        <f>HYPERLINK("https://baanknet.com/view-property/240651/EDC2AFCA93F8F00760DB6065294F7B8E10AC6DFBC922BC72B160E1FAA9C8F35F", "https://baanknet.com/view-property/240651/EDC2AFCA93F8F00760DB6065294F7B8E10AC6DFBC922BC72B160E1FAA9C8F35F")</f>
        <v>https://baanknet.com/view-property/240651/EDC2AFCA93F8F00760DB6065294F7B8E10AC6DFBC922BC72B160E1FAA9C8F35F</v>
      </c>
      <c r="I7294" t="str">
        <f>HYPERLINK("https://baanknet.com/view-property/240651/EDC2AFCA93F8F00760DB6065294F7B8E10AC6DFBC922BC72B160E1FAA9C8F35F", "Open")</f>
        <v>Open</v>
      </c>
      <c r="J7294" t="s">
        <v>3803</v>
      </c>
      <c r="L7294">
        <v>1758000</v>
      </c>
      <c r="M7294">
        <v>175800</v>
      </c>
    </row>
    <row r="7295" spans="1:13" x14ac:dyDescent="0.25">
      <c r="A7295" t="s">
        <v>24029</v>
      </c>
      <c r="B7295" t="s">
        <v>24030</v>
      </c>
      <c r="C7295" t="s">
        <v>332</v>
      </c>
      <c r="D7295" t="s">
        <v>15945</v>
      </c>
      <c r="E7295" t="s">
        <v>642</v>
      </c>
      <c r="F7295" t="s">
        <v>643</v>
      </c>
      <c r="G7295" t="s">
        <v>24031</v>
      </c>
      <c r="H7295" t="str">
        <f>HYPERLINK("https://baanknet.com/view-property/261758/D93E2E0C4AE1EAC42E91AA2362EE02C2F93E0562BF1E4C865EBE808565536555", "https://baanknet.com/view-property/261758/D93E2E0C4AE1EAC42E91AA2362EE02C2F93E0562BF1E4C865EBE808565536555")</f>
        <v>https://baanknet.com/view-property/261758/D93E2E0C4AE1EAC42E91AA2362EE02C2F93E0562BF1E4C865EBE808565536555</v>
      </c>
      <c r="I7295" t="str">
        <f>HYPERLINK("https://baanknet.com/view-property/261758/D93E2E0C4AE1EAC42E91AA2362EE02C2F93E0562BF1E4C865EBE808565536555", "Open")</f>
        <v>Open</v>
      </c>
      <c r="J7295" t="s">
        <v>3803</v>
      </c>
      <c r="L7295">
        <v>1170000</v>
      </c>
      <c r="M7295">
        <v>117000</v>
      </c>
    </row>
    <row r="7296" spans="1:13" x14ac:dyDescent="0.25">
      <c r="A7296" t="s">
        <v>24032</v>
      </c>
      <c r="B7296" t="s">
        <v>24033</v>
      </c>
      <c r="C7296" t="s">
        <v>15</v>
      </c>
      <c r="D7296" t="s">
        <v>127</v>
      </c>
      <c r="E7296" t="s">
        <v>20459</v>
      </c>
      <c r="F7296" t="s">
        <v>20610</v>
      </c>
      <c r="G7296" t="s">
        <v>24034</v>
      </c>
      <c r="H7296" t="str">
        <f>HYPERLINK("https://baanknet.com/view-property/248161/7538A3D36CE426BFF960B460B8D5E173DC6C7C17F6767F05B36F20B0C3F31243", "https://baanknet.com/view-property/248161/7538A3D36CE426BFF960B460B8D5E173DC6C7C17F6767F05B36F20B0C3F31243")</f>
        <v>https://baanknet.com/view-property/248161/7538A3D36CE426BFF960B460B8D5E173DC6C7C17F6767F05B36F20B0C3F31243</v>
      </c>
      <c r="I7296" t="str">
        <f>HYPERLINK("https://baanknet.com/view-property/248161/7538A3D36CE426BFF960B460B8D5E173DC6C7C17F6767F05B36F20B0C3F31243", "Open")</f>
        <v>Open</v>
      </c>
      <c r="J7296" t="s">
        <v>3803</v>
      </c>
      <c r="L7296">
        <v>2126000</v>
      </c>
      <c r="M7296">
        <v>212600</v>
      </c>
    </row>
    <row r="7297" spans="1:13" x14ac:dyDescent="0.25">
      <c r="A7297" t="s">
        <v>24035</v>
      </c>
      <c r="B7297" t="s">
        <v>24036</v>
      </c>
      <c r="C7297" t="s">
        <v>83</v>
      </c>
      <c r="D7297" t="s">
        <v>853</v>
      </c>
      <c r="E7297" t="s">
        <v>20707</v>
      </c>
      <c r="F7297" t="s">
        <v>20708</v>
      </c>
      <c r="G7297" t="s">
        <v>24037</v>
      </c>
      <c r="H7297" t="str">
        <f>HYPERLINK("https://baanknet.com/view-property/287823/88559FF0971408BEC8DA17A6EEC2ECF7837D4B6A86A77FF1ABA20C2C9289D708", "https://baanknet.com/view-property/287823/88559FF0971408BEC8DA17A6EEC2ECF7837D4B6A86A77FF1ABA20C2C9289D708")</f>
        <v>https://baanknet.com/view-property/287823/88559FF0971408BEC8DA17A6EEC2ECF7837D4B6A86A77FF1ABA20C2C9289D708</v>
      </c>
      <c r="I7297" t="str">
        <f>HYPERLINK("https://baanknet.com/view-property/287823/88559FF0971408BEC8DA17A6EEC2ECF7837D4B6A86A77FF1ABA20C2C9289D708", "Open")</f>
        <v>Open</v>
      </c>
      <c r="J7297" t="s">
        <v>3803</v>
      </c>
      <c r="L7297">
        <v>2487000</v>
      </c>
      <c r="M7297">
        <v>248700</v>
      </c>
    </row>
    <row r="7298" spans="1:13" x14ac:dyDescent="0.25">
      <c r="A7298" t="s">
        <v>24038</v>
      </c>
      <c r="B7298" t="s">
        <v>24039</v>
      </c>
      <c r="C7298" t="s">
        <v>15</v>
      </c>
      <c r="D7298" t="s">
        <v>16842</v>
      </c>
      <c r="E7298" t="s">
        <v>20830</v>
      </c>
      <c r="F7298" t="s">
        <v>24040</v>
      </c>
      <c r="G7298" t="s">
        <v>24041</v>
      </c>
      <c r="H7298" t="str">
        <f>HYPERLINK("https://baanknet.com/view-property/288272/4B8B9E39FD55DEA1123D96787A249E8C2EFFCB4B5C75FD0405DC36CE219E191E", "https://baanknet.com/view-property/288272/4B8B9E39FD55DEA1123D96787A249E8C2EFFCB4B5C75FD0405DC36CE219E191E")</f>
        <v>https://baanknet.com/view-property/288272/4B8B9E39FD55DEA1123D96787A249E8C2EFFCB4B5C75FD0405DC36CE219E191E</v>
      </c>
      <c r="I7298" t="str">
        <f>HYPERLINK("https://baanknet.com/view-property/288272/4B8B9E39FD55DEA1123D96787A249E8C2EFFCB4B5C75FD0405DC36CE219E191E", "Open")</f>
        <v>Open</v>
      </c>
      <c r="J7298" t="s">
        <v>3803</v>
      </c>
      <c r="L7298">
        <v>693000</v>
      </c>
      <c r="M7298">
        <v>69300</v>
      </c>
    </row>
    <row r="7299" spans="1:13" x14ac:dyDescent="0.25">
      <c r="A7299" t="s">
        <v>24042</v>
      </c>
      <c r="B7299" t="s">
        <v>24043</v>
      </c>
      <c r="C7299" t="s">
        <v>594</v>
      </c>
      <c r="D7299" t="s">
        <v>32</v>
      </c>
      <c r="E7299" t="s">
        <v>20830</v>
      </c>
      <c r="F7299" t="s">
        <v>20808</v>
      </c>
      <c r="G7299" t="s">
        <v>24044</v>
      </c>
      <c r="H7299" t="str">
        <f>HYPERLINK("https://baanknet.com/view-property/251170/72B758007C75662E570E9224055B2773F4ABFBEE88293D9FEE0A4CA0F9AFDDC1", "https://baanknet.com/view-property/251170/72B758007C75662E570E9224055B2773F4ABFBEE88293D9FEE0A4CA0F9AFDDC1")</f>
        <v>https://baanknet.com/view-property/251170/72B758007C75662E570E9224055B2773F4ABFBEE88293D9FEE0A4CA0F9AFDDC1</v>
      </c>
      <c r="I7299" t="str">
        <f>HYPERLINK("https://baanknet.com/view-property/251170/72B758007C75662E570E9224055B2773F4ABFBEE88293D9FEE0A4CA0F9AFDDC1", "Open")</f>
        <v>Open</v>
      </c>
      <c r="J7299" t="s">
        <v>3803</v>
      </c>
      <c r="L7299">
        <v>2822000</v>
      </c>
      <c r="M7299">
        <v>282200</v>
      </c>
    </row>
    <row r="7300" spans="1:13" x14ac:dyDescent="0.25">
      <c r="A7300" t="s">
        <v>24045</v>
      </c>
      <c r="B7300" t="s">
        <v>24046</v>
      </c>
      <c r="C7300" t="s">
        <v>594</v>
      </c>
      <c r="D7300" t="s">
        <v>32</v>
      </c>
      <c r="E7300" t="s">
        <v>20830</v>
      </c>
      <c r="F7300" t="s">
        <v>20808</v>
      </c>
      <c r="G7300" t="s">
        <v>24047</v>
      </c>
      <c r="H7300" t="str">
        <f>HYPERLINK("https://baanknet.com/view-property/251173/1543E40E4462A63169B46D70770886481CDE7E58302E91598E48F7324A5A953D", "https://baanknet.com/view-property/251173/1543E40E4462A63169B46D70770886481CDE7E58302E91598E48F7324A5A953D")</f>
        <v>https://baanknet.com/view-property/251173/1543E40E4462A63169B46D70770886481CDE7E58302E91598E48F7324A5A953D</v>
      </c>
      <c r="I7300" t="str">
        <f>HYPERLINK("https://baanknet.com/view-property/251173/1543E40E4462A63169B46D70770886481CDE7E58302E91598E48F7324A5A953D", "Open")</f>
        <v>Open</v>
      </c>
      <c r="J7300" t="s">
        <v>3803</v>
      </c>
      <c r="L7300">
        <v>2822000</v>
      </c>
      <c r="M7300">
        <v>282200</v>
      </c>
    </row>
    <row r="7301" spans="1:13" x14ac:dyDescent="0.25">
      <c r="A7301" t="s">
        <v>24048</v>
      </c>
      <c r="B7301" t="s">
        <v>24049</v>
      </c>
      <c r="C7301" t="s">
        <v>594</v>
      </c>
      <c r="D7301" t="s">
        <v>24050</v>
      </c>
      <c r="E7301" t="s">
        <v>20830</v>
      </c>
      <c r="F7301" t="s">
        <v>20808</v>
      </c>
      <c r="G7301" t="s">
        <v>24051</v>
      </c>
      <c r="H7301" t="str">
        <f>HYPERLINK("https://baanknet.com/view-property/94864/574809CCF8729325E4C3B5B21CF7FDA0AD38525E03260C97F96FADF48E93BD2A", "https://baanknet.com/view-property/94864/574809CCF8729325E4C3B5B21CF7FDA0AD38525E03260C97F96FADF48E93BD2A")</f>
        <v>https://baanknet.com/view-property/94864/574809CCF8729325E4C3B5B21CF7FDA0AD38525E03260C97F96FADF48E93BD2A</v>
      </c>
      <c r="I7301" t="str">
        <f>HYPERLINK("https://baanknet.com/view-property/94864/574809CCF8729325E4C3B5B21CF7FDA0AD38525E03260C97F96FADF48E93BD2A", "Open")</f>
        <v>Open</v>
      </c>
      <c r="J7301" t="s">
        <v>3803</v>
      </c>
      <c r="L7301">
        <v>3250000</v>
      </c>
      <c r="M7301">
        <v>325000</v>
      </c>
    </row>
    <row r="7302" spans="1:13" x14ac:dyDescent="0.25">
      <c r="A7302" t="s">
        <v>24052</v>
      </c>
      <c r="B7302" t="s">
        <v>24053</v>
      </c>
      <c r="C7302" t="s">
        <v>594</v>
      </c>
      <c r="D7302" t="s">
        <v>501</v>
      </c>
      <c r="E7302" t="s">
        <v>20830</v>
      </c>
      <c r="F7302" t="s">
        <v>20808</v>
      </c>
      <c r="G7302" t="s">
        <v>24054</v>
      </c>
      <c r="H7302" t="str">
        <f>HYPERLINK("https://baanknet.com/view-property/265272/1EB844E3AD41E4E8A8F364E6B7235430D8E5E42B2B9F298FF3FD95924E6F8735", "https://baanknet.com/view-property/265272/1EB844E3AD41E4E8A8F364E6B7235430D8E5E42B2B9F298FF3FD95924E6F8735")</f>
        <v>https://baanknet.com/view-property/265272/1EB844E3AD41E4E8A8F364E6B7235430D8E5E42B2B9F298FF3FD95924E6F8735</v>
      </c>
      <c r="I7302" t="str">
        <f>HYPERLINK("https://baanknet.com/view-property/265272/1EB844E3AD41E4E8A8F364E6B7235430D8E5E42B2B9F298FF3FD95924E6F8735", "Open")</f>
        <v>Open</v>
      </c>
      <c r="J7302" t="s">
        <v>3803</v>
      </c>
      <c r="L7302">
        <v>1430000</v>
      </c>
      <c r="M7302">
        <v>143000</v>
      </c>
    </row>
    <row r="7303" spans="1:13" x14ac:dyDescent="0.25">
      <c r="A7303" t="s">
        <v>24055</v>
      </c>
      <c r="B7303" t="s">
        <v>24056</v>
      </c>
      <c r="C7303" t="s">
        <v>594</v>
      </c>
      <c r="D7303" t="s">
        <v>937</v>
      </c>
      <c r="E7303" t="s">
        <v>20830</v>
      </c>
      <c r="F7303" t="s">
        <v>20808</v>
      </c>
      <c r="G7303" t="s">
        <v>24057</v>
      </c>
      <c r="H7303" t="str">
        <f>HYPERLINK("https://baanknet.com/view-property/95988/E2678033647AF7A03BE20670AE90DC66301B56CEBCD20DA6A2D9A34B62CFBC7D", "https://baanknet.com/view-property/95988/E2678033647AF7A03BE20670AE90DC66301B56CEBCD20DA6A2D9A34B62CFBC7D")</f>
        <v>https://baanknet.com/view-property/95988/E2678033647AF7A03BE20670AE90DC66301B56CEBCD20DA6A2D9A34B62CFBC7D</v>
      </c>
      <c r="I7303" t="str">
        <f>HYPERLINK("https://baanknet.com/view-property/95988/E2678033647AF7A03BE20670AE90DC66301B56CEBCD20DA6A2D9A34B62CFBC7D", "Open")</f>
        <v>Open</v>
      </c>
      <c r="J7303" t="s">
        <v>3803</v>
      </c>
      <c r="L7303">
        <v>1490000</v>
      </c>
      <c r="M7303">
        <v>149000</v>
      </c>
    </row>
    <row r="7304" spans="1:13" x14ac:dyDescent="0.25">
      <c r="A7304" t="s">
        <v>24058</v>
      </c>
      <c r="B7304" t="s">
        <v>24059</v>
      </c>
      <c r="C7304" t="s">
        <v>594</v>
      </c>
      <c r="D7304" t="s">
        <v>937</v>
      </c>
      <c r="E7304" t="s">
        <v>20830</v>
      </c>
      <c r="F7304" t="s">
        <v>20808</v>
      </c>
      <c r="G7304" t="s">
        <v>24060</v>
      </c>
      <c r="H7304" t="str">
        <f>HYPERLINK("https://baanknet.com/view-property/108266/DC6BD1341B4370DAEEEF051573D4CB720EFD22DE5D0787C8D431E81ED69BA3CF", "https://baanknet.com/view-property/108266/DC6BD1341B4370DAEEEF051573D4CB720EFD22DE5D0787C8D431E81ED69BA3CF")</f>
        <v>https://baanknet.com/view-property/108266/DC6BD1341B4370DAEEEF051573D4CB720EFD22DE5D0787C8D431E81ED69BA3CF</v>
      </c>
      <c r="I7304" t="str">
        <f>HYPERLINK("https://baanknet.com/view-property/108266/DC6BD1341B4370DAEEEF051573D4CB720EFD22DE5D0787C8D431E81ED69BA3CF", "Open")</f>
        <v>Open</v>
      </c>
      <c r="J7304" t="s">
        <v>3803</v>
      </c>
      <c r="L7304">
        <v>1740000</v>
      </c>
      <c r="M7304">
        <v>174000</v>
      </c>
    </row>
    <row r="7305" spans="1:13" x14ac:dyDescent="0.25">
      <c r="A7305" t="s">
        <v>24061</v>
      </c>
      <c r="B7305" t="s">
        <v>24062</v>
      </c>
      <c r="C7305" t="s">
        <v>594</v>
      </c>
      <c r="D7305" t="s">
        <v>937</v>
      </c>
      <c r="E7305" t="s">
        <v>20830</v>
      </c>
      <c r="F7305" t="s">
        <v>20808</v>
      </c>
      <c r="G7305" t="s">
        <v>24063</v>
      </c>
      <c r="H7305" t="str">
        <f>HYPERLINK("https://baanknet.com/view-property/108499/3DFF9EDFC684D64358D3FA66FB326BD14673959B2EDD8CD8EBC75F32262CF029", "https://baanknet.com/view-property/108499/3DFF9EDFC684D64358D3FA66FB326BD14673959B2EDD8CD8EBC75F32262CF029")</f>
        <v>https://baanknet.com/view-property/108499/3DFF9EDFC684D64358D3FA66FB326BD14673959B2EDD8CD8EBC75F32262CF029</v>
      </c>
      <c r="I7305" t="str">
        <f>HYPERLINK("https://baanknet.com/view-property/108499/3DFF9EDFC684D64358D3FA66FB326BD14673959B2EDD8CD8EBC75F32262CF029", "Open")</f>
        <v>Open</v>
      </c>
      <c r="J7305" t="s">
        <v>3803</v>
      </c>
      <c r="L7305">
        <v>1740000</v>
      </c>
      <c r="M7305">
        <v>174000</v>
      </c>
    </row>
    <row r="7306" spans="1:13" x14ac:dyDescent="0.25">
      <c r="A7306" t="s">
        <v>24064</v>
      </c>
      <c r="B7306" t="s">
        <v>24065</v>
      </c>
      <c r="C7306" t="s">
        <v>594</v>
      </c>
      <c r="D7306" t="s">
        <v>937</v>
      </c>
      <c r="E7306" t="s">
        <v>20830</v>
      </c>
      <c r="F7306" t="s">
        <v>20808</v>
      </c>
      <c r="G7306" t="s">
        <v>24066</v>
      </c>
      <c r="H7306" t="str">
        <f>HYPERLINK("https://baanknet.com/view-property/236711/E067275F104D18D3E02AF426CBB404D9C8702737EACB76069196AEBE485571DB", "https://baanknet.com/view-property/236711/E067275F104D18D3E02AF426CBB404D9C8702737EACB76069196AEBE485571DB")</f>
        <v>https://baanknet.com/view-property/236711/E067275F104D18D3E02AF426CBB404D9C8702737EACB76069196AEBE485571DB</v>
      </c>
      <c r="I7306" t="str">
        <f>HYPERLINK("https://baanknet.com/view-property/236711/E067275F104D18D3E02AF426CBB404D9C8702737EACB76069196AEBE485571DB", "Open")</f>
        <v>Open</v>
      </c>
      <c r="J7306" t="s">
        <v>3803</v>
      </c>
      <c r="L7306">
        <v>9639000</v>
      </c>
      <c r="M7306">
        <v>963900</v>
      </c>
    </row>
    <row r="7307" spans="1:13" x14ac:dyDescent="0.25">
      <c r="A7307" t="s">
        <v>24067</v>
      </c>
      <c r="B7307" t="s">
        <v>24068</v>
      </c>
      <c r="C7307" t="s">
        <v>594</v>
      </c>
      <c r="D7307" t="s">
        <v>937</v>
      </c>
      <c r="E7307" t="s">
        <v>20830</v>
      </c>
      <c r="F7307" t="s">
        <v>20808</v>
      </c>
      <c r="G7307" t="s">
        <v>24069</v>
      </c>
      <c r="H7307" t="str">
        <f>HYPERLINK("https://baanknet.com/view-property/236713/10853A17662326F2367E995A237EC9AB3E7A927E69C82F75019830E79F155D29", "https://baanknet.com/view-property/236713/10853A17662326F2367E995A237EC9AB3E7A927E69C82F75019830E79F155D29")</f>
        <v>https://baanknet.com/view-property/236713/10853A17662326F2367E995A237EC9AB3E7A927E69C82F75019830E79F155D29</v>
      </c>
      <c r="I7307" t="str">
        <f>HYPERLINK("https://baanknet.com/view-property/236713/10853A17662326F2367E995A237EC9AB3E7A927E69C82F75019830E79F155D29", "Open")</f>
        <v>Open</v>
      </c>
      <c r="J7307" t="s">
        <v>3803</v>
      </c>
      <c r="L7307">
        <v>5063000</v>
      </c>
      <c r="M7307">
        <v>506300</v>
      </c>
    </row>
    <row r="7308" spans="1:13" x14ac:dyDescent="0.25">
      <c r="A7308" t="s">
        <v>24070</v>
      </c>
      <c r="B7308" t="s">
        <v>24071</v>
      </c>
      <c r="C7308" t="s">
        <v>594</v>
      </c>
      <c r="D7308" t="s">
        <v>10544</v>
      </c>
      <c r="E7308" t="s">
        <v>20830</v>
      </c>
      <c r="F7308" t="s">
        <v>20808</v>
      </c>
      <c r="G7308" t="s">
        <v>24072</v>
      </c>
      <c r="H7308" t="str">
        <f>HYPERLINK("https://baanknet.com/view-property/285238/0FC8F014ED49C07F8465E98CF2C079317633D420DB0E8548EEF12781A40285D7", "https://baanknet.com/view-property/285238/0FC8F014ED49C07F8465E98CF2C079317633D420DB0E8548EEF12781A40285D7")</f>
        <v>https://baanknet.com/view-property/285238/0FC8F014ED49C07F8465E98CF2C079317633D420DB0E8548EEF12781A40285D7</v>
      </c>
      <c r="I7308" t="str">
        <f>HYPERLINK("https://baanknet.com/view-property/285238/0FC8F014ED49C07F8465E98CF2C079317633D420DB0E8548EEF12781A40285D7", "Open")</f>
        <v>Open</v>
      </c>
      <c r="J7308" t="s">
        <v>3803</v>
      </c>
      <c r="L7308">
        <v>1890000</v>
      </c>
      <c r="M7308">
        <v>189000</v>
      </c>
    </row>
    <row r="7309" spans="1:13" x14ac:dyDescent="0.25">
      <c r="A7309" t="s">
        <v>24073</v>
      </c>
      <c r="B7309" t="s">
        <v>24074</v>
      </c>
      <c r="C7309" t="s">
        <v>594</v>
      </c>
      <c r="D7309" t="s">
        <v>937</v>
      </c>
      <c r="E7309" t="s">
        <v>20830</v>
      </c>
      <c r="F7309" t="s">
        <v>21462</v>
      </c>
      <c r="G7309" t="s">
        <v>24075</v>
      </c>
      <c r="H7309" t="str">
        <f>HYPERLINK("https://baanknet.com/view-property/103401/46EA24F80A9AD40B5FDC045A12BCC2D65B898C700F28002476B0F8940A1A7ED2", "https://baanknet.com/view-property/103401/46EA24F80A9AD40B5FDC045A12BCC2D65B898C700F28002476B0F8940A1A7ED2")</f>
        <v>https://baanknet.com/view-property/103401/46EA24F80A9AD40B5FDC045A12BCC2D65B898C700F28002476B0F8940A1A7ED2</v>
      </c>
      <c r="I7309" t="str">
        <f>HYPERLINK("https://baanknet.com/view-property/103401/46EA24F80A9AD40B5FDC045A12BCC2D65B898C700F28002476B0F8940A1A7ED2", "Open")</f>
        <v>Open</v>
      </c>
      <c r="J7309" t="s">
        <v>3803</v>
      </c>
      <c r="L7309">
        <v>6910000</v>
      </c>
      <c r="M7309">
        <v>691000</v>
      </c>
    </row>
    <row r="7310" spans="1:13" x14ac:dyDescent="0.25">
      <c r="A7310" t="s">
        <v>24076</v>
      </c>
      <c r="B7310" t="s">
        <v>24077</v>
      </c>
      <c r="C7310" t="s">
        <v>332</v>
      </c>
      <c r="D7310" t="s">
        <v>3994</v>
      </c>
      <c r="E7310" t="s">
        <v>21036</v>
      </c>
      <c r="F7310" t="s">
        <v>21041</v>
      </c>
      <c r="G7310" t="s">
        <v>24078</v>
      </c>
      <c r="H7310" t="str">
        <f>HYPERLINK("https://baanknet.com/view-property/287084/41BE08A6540E1D1E0F205255A02E17F994922503F4CCF1DB85BDDF30E33F75BC", "https://baanknet.com/view-property/287084/41BE08A6540E1D1E0F205255A02E17F994922503F4CCF1DB85BDDF30E33F75BC")</f>
        <v>https://baanknet.com/view-property/287084/41BE08A6540E1D1E0F205255A02E17F994922503F4CCF1DB85BDDF30E33F75BC</v>
      </c>
      <c r="I7310" t="str">
        <f>HYPERLINK("https://baanknet.com/view-property/287084/41BE08A6540E1D1E0F205255A02E17F994922503F4CCF1DB85BDDF30E33F75BC", "Open")</f>
        <v>Open</v>
      </c>
      <c r="J7310" t="s">
        <v>3803</v>
      </c>
      <c r="L7310">
        <v>1811000</v>
      </c>
      <c r="M7310">
        <v>181100</v>
      </c>
    </row>
    <row r="7311" spans="1:13" x14ac:dyDescent="0.25">
      <c r="A7311" t="s">
        <v>24079</v>
      </c>
      <c r="B7311" t="s">
        <v>24080</v>
      </c>
      <c r="C7311" t="s">
        <v>571</v>
      </c>
      <c r="D7311" t="s">
        <v>578</v>
      </c>
      <c r="E7311" t="s">
        <v>21077</v>
      </c>
      <c r="F7311" t="s">
        <v>24081</v>
      </c>
      <c r="G7311" t="s">
        <v>24082</v>
      </c>
      <c r="H7311" t="str">
        <f>HYPERLINK("https://baanknet.com/view-property/283050/C59A2F588CCDED709CB5B6E18DE943D80B3E2A8F99AB12925B6C7599B91BBE0B", "https://baanknet.com/view-property/283050/C59A2F588CCDED709CB5B6E18DE943D80B3E2A8F99AB12925B6C7599B91BBE0B")</f>
        <v>https://baanknet.com/view-property/283050/C59A2F588CCDED709CB5B6E18DE943D80B3E2A8F99AB12925B6C7599B91BBE0B</v>
      </c>
      <c r="I7311" t="str">
        <f>HYPERLINK("https://baanknet.com/view-property/283050/C59A2F588CCDED709CB5B6E18DE943D80B3E2A8F99AB12925B6C7599B91BBE0B", "Open")</f>
        <v>Open</v>
      </c>
      <c r="J7311" t="s">
        <v>3803</v>
      </c>
      <c r="L7311">
        <v>13000000</v>
      </c>
      <c r="M7311">
        <v>1300000</v>
      </c>
    </row>
    <row r="7312" spans="1:13" x14ac:dyDescent="0.25">
      <c r="A7312" t="s">
        <v>24083</v>
      </c>
      <c r="B7312" t="s">
        <v>24084</v>
      </c>
      <c r="C7312" t="s">
        <v>332</v>
      </c>
      <c r="D7312" t="s">
        <v>4542</v>
      </c>
      <c r="E7312" t="s">
        <v>21296</v>
      </c>
      <c r="F7312" t="s">
        <v>21305</v>
      </c>
      <c r="G7312" t="s">
        <v>24085</v>
      </c>
      <c r="H7312" t="str">
        <f>HYPERLINK("https://baanknet.com/view-property/270551/89D47E1FB137CC7409CCB250CE90BA59DF9593CB9330C3AEC97E34F0B0A91465", "https://baanknet.com/view-property/270551/89D47E1FB137CC7409CCB250CE90BA59DF9593CB9330C3AEC97E34F0B0A91465")</f>
        <v>https://baanknet.com/view-property/270551/89D47E1FB137CC7409CCB250CE90BA59DF9593CB9330C3AEC97E34F0B0A91465</v>
      </c>
      <c r="I7312" t="str">
        <f>HYPERLINK("https://baanknet.com/view-property/270551/89D47E1FB137CC7409CCB250CE90BA59DF9593CB9330C3AEC97E34F0B0A91465", "Open")</f>
        <v>Open</v>
      </c>
      <c r="J7312" t="s">
        <v>3803</v>
      </c>
      <c r="L7312">
        <v>3800000</v>
      </c>
      <c r="M7312">
        <v>380000</v>
      </c>
    </row>
    <row r="7313" spans="1:13" x14ac:dyDescent="0.25">
      <c r="A7313" t="s">
        <v>24086</v>
      </c>
      <c r="B7313" t="s">
        <v>24087</v>
      </c>
      <c r="C7313" t="s">
        <v>121</v>
      </c>
      <c r="D7313" t="s">
        <v>84</v>
      </c>
      <c r="E7313" t="s">
        <v>648</v>
      </c>
      <c r="F7313" t="s">
        <v>649</v>
      </c>
      <c r="G7313" t="s">
        <v>24088</v>
      </c>
      <c r="H7313" t="str">
        <f>HYPERLINK("https://baanknet.com/view-property/177949/59A5FD2D6E98B14127262D23C30B6B299BD0B10F65F236139356F88A9E43EB25", "https://baanknet.com/view-property/177949/59A5FD2D6E98B14127262D23C30B6B299BD0B10F65F236139356F88A9E43EB25")</f>
        <v>https://baanknet.com/view-property/177949/59A5FD2D6E98B14127262D23C30B6B299BD0B10F65F236139356F88A9E43EB25</v>
      </c>
      <c r="I7313" t="str">
        <f>HYPERLINK("https://baanknet.com/view-property/177949/59A5FD2D6E98B14127262D23C30B6B299BD0B10F65F236139356F88A9E43EB25", "Open")</f>
        <v>Open</v>
      </c>
      <c r="J7313" t="s">
        <v>3803</v>
      </c>
      <c r="L7313">
        <v>1962000</v>
      </c>
      <c r="M7313">
        <v>196200</v>
      </c>
    </row>
    <row r="7314" spans="1:13" x14ac:dyDescent="0.25">
      <c r="A7314" t="s">
        <v>24089</v>
      </c>
      <c r="B7314" t="s">
        <v>24090</v>
      </c>
      <c r="C7314" t="s">
        <v>15</v>
      </c>
      <c r="D7314" t="s">
        <v>19936</v>
      </c>
      <c r="E7314" t="s">
        <v>21698</v>
      </c>
      <c r="F7314" t="s">
        <v>21669</v>
      </c>
      <c r="G7314" t="s">
        <v>24091</v>
      </c>
      <c r="H7314" t="str">
        <f>HYPERLINK("https://baanknet.com/view-property/287134/B6B4717D4C8A3CB05FCCA0C60FC8CE07F84D6A34A109EE27CD3E2A167C6F3CD9", "https://baanknet.com/view-property/287134/B6B4717D4C8A3CB05FCCA0C60FC8CE07F84D6A34A109EE27CD3E2A167C6F3CD9")</f>
        <v>https://baanknet.com/view-property/287134/B6B4717D4C8A3CB05FCCA0C60FC8CE07F84D6A34A109EE27CD3E2A167C6F3CD9</v>
      </c>
      <c r="I7314" t="str">
        <f>HYPERLINK("https://baanknet.com/view-property/287134/B6B4717D4C8A3CB05FCCA0C60FC8CE07F84D6A34A109EE27CD3E2A167C6F3CD9", "Open")</f>
        <v>Open</v>
      </c>
      <c r="J7314" t="s">
        <v>3803</v>
      </c>
      <c r="L7314">
        <v>2763000</v>
      </c>
      <c r="M7314">
        <v>276300</v>
      </c>
    </row>
    <row r="7315" spans="1:13" x14ac:dyDescent="0.25">
      <c r="A7315" t="s">
        <v>24092</v>
      </c>
      <c r="B7315" t="s">
        <v>24093</v>
      </c>
      <c r="C7315" t="s">
        <v>15</v>
      </c>
      <c r="D7315" t="s">
        <v>10888</v>
      </c>
      <c r="E7315" t="s">
        <v>24094</v>
      </c>
      <c r="F7315" t="s">
        <v>24095</v>
      </c>
      <c r="G7315" t="s">
        <v>24096</v>
      </c>
      <c r="H7315" t="str">
        <f>HYPERLINK("https://baanknet.com/view-property/287613/CB7ABE085004E816A80A640CA187C28B9C372B1D731A103BE7D0A4C6910578BB", "https://baanknet.com/view-property/287613/CB7ABE085004E816A80A640CA187C28B9C372B1D731A103BE7D0A4C6910578BB")</f>
        <v>https://baanknet.com/view-property/287613/CB7ABE085004E816A80A640CA187C28B9C372B1D731A103BE7D0A4C6910578BB</v>
      </c>
      <c r="I7315" t="str">
        <f>HYPERLINK("https://baanknet.com/view-property/287613/CB7ABE085004E816A80A640CA187C28B9C372B1D731A103BE7D0A4C6910578BB", "Open")</f>
        <v>Open</v>
      </c>
      <c r="J7315" t="s">
        <v>3803</v>
      </c>
      <c r="L7315">
        <v>2550000</v>
      </c>
      <c r="M7315">
        <v>255000</v>
      </c>
    </row>
    <row r="7316" spans="1:13" x14ac:dyDescent="0.25">
      <c r="A7316" t="s">
        <v>24097</v>
      </c>
      <c r="B7316" t="s">
        <v>24098</v>
      </c>
      <c r="C7316" t="s">
        <v>144</v>
      </c>
      <c r="D7316" t="s">
        <v>4679</v>
      </c>
      <c r="E7316" t="s">
        <v>24094</v>
      </c>
      <c r="F7316" t="s">
        <v>24099</v>
      </c>
      <c r="G7316" t="s">
        <v>24100</v>
      </c>
      <c r="H7316" t="str">
        <f>HYPERLINK("https://baanknet.com/view-property/259552/4A87CAF1B624E76391D1CD992355FA57DD2BCF3C2871C39CFEAA562AAAF3FE3A", "https://baanknet.com/view-property/259552/4A87CAF1B624E76391D1CD992355FA57DD2BCF3C2871C39CFEAA562AAAF3FE3A")</f>
        <v>https://baanknet.com/view-property/259552/4A87CAF1B624E76391D1CD992355FA57DD2BCF3C2871C39CFEAA562AAAF3FE3A</v>
      </c>
      <c r="I7316" t="str">
        <f>HYPERLINK("https://baanknet.com/view-property/259552/4A87CAF1B624E76391D1CD992355FA57DD2BCF3C2871C39CFEAA562AAAF3FE3A", "Open")</f>
        <v>Open</v>
      </c>
      <c r="J7316" t="s">
        <v>3803</v>
      </c>
      <c r="L7316">
        <v>63911000</v>
      </c>
      <c r="M7316">
        <v>6391100</v>
      </c>
    </row>
    <row r="7317" spans="1:13" x14ac:dyDescent="0.25">
      <c r="A7317" t="s">
        <v>24101</v>
      </c>
      <c r="B7317" t="s">
        <v>24102</v>
      </c>
      <c r="C7317" t="s">
        <v>144</v>
      </c>
      <c r="D7317" t="s">
        <v>24103</v>
      </c>
      <c r="E7317" t="s">
        <v>24104</v>
      </c>
      <c r="F7317" t="s">
        <v>24105</v>
      </c>
      <c r="G7317" t="s">
        <v>24106</v>
      </c>
      <c r="H7317" t="str">
        <f>HYPERLINK("https://baanknet.com/view-property/264872/5E9D749645DCCE393CFF2887CD8D26D116FCADC46F9B4EE0E20273C3CA6DD954", "https://baanknet.com/view-property/264872/5E9D749645DCCE393CFF2887CD8D26D116FCADC46F9B4EE0E20273C3CA6DD954")</f>
        <v>https://baanknet.com/view-property/264872/5E9D749645DCCE393CFF2887CD8D26D116FCADC46F9B4EE0E20273C3CA6DD954</v>
      </c>
      <c r="I7317" t="str">
        <f>HYPERLINK("https://baanknet.com/view-property/264872/5E9D749645DCCE393CFF2887CD8D26D116FCADC46F9B4EE0E20273C3CA6DD954", "Open")</f>
        <v>Open</v>
      </c>
      <c r="J7317" t="s">
        <v>3803</v>
      </c>
      <c r="L7317">
        <v>3488400</v>
      </c>
      <c r="M7317">
        <v>348840</v>
      </c>
    </row>
    <row r="7318" spans="1:13" x14ac:dyDescent="0.25">
      <c r="A7318" t="s">
        <v>24107</v>
      </c>
      <c r="B7318" t="s">
        <v>24108</v>
      </c>
      <c r="C7318" t="s">
        <v>144</v>
      </c>
      <c r="D7318" t="s">
        <v>10310</v>
      </c>
      <c r="E7318" t="s">
        <v>24104</v>
      </c>
      <c r="F7318" t="s">
        <v>24105</v>
      </c>
      <c r="G7318" t="s">
        <v>24109</v>
      </c>
      <c r="H7318" t="str">
        <f>HYPERLINK("https://baanknet.com/view-property/288179/75469BCC83679CB370727E38BAF4CB1392C50B79424BAF4D13C4B8C353A3D8D1", "https://baanknet.com/view-property/288179/75469BCC83679CB370727E38BAF4CB1392C50B79424BAF4D13C4B8C353A3D8D1")</f>
        <v>https://baanknet.com/view-property/288179/75469BCC83679CB370727E38BAF4CB1392C50B79424BAF4D13C4B8C353A3D8D1</v>
      </c>
      <c r="I7318" t="str">
        <f>HYPERLINK("https://baanknet.com/view-property/288179/75469BCC83679CB370727E38BAF4CB1392C50B79424BAF4D13C4B8C353A3D8D1", "Open")</f>
        <v>Open</v>
      </c>
      <c r="J7318" t="s">
        <v>3803</v>
      </c>
      <c r="L7318">
        <v>1396500</v>
      </c>
      <c r="M7318">
        <v>139650</v>
      </c>
    </row>
    <row r="7319" spans="1:13" x14ac:dyDescent="0.25">
      <c r="A7319" t="s">
        <v>24110</v>
      </c>
      <c r="B7319" t="s">
        <v>24111</v>
      </c>
      <c r="C7319" t="s">
        <v>144</v>
      </c>
      <c r="D7319" t="s">
        <v>309</v>
      </c>
      <c r="E7319" t="s">
        <v>24104</v>
      </c>
      <c r="F7319" t="s">
        <v>24105</v>
      </c>
      <c r="G7319" t="s">
        <v>24112</v>
      </c>
      <c r="H7319" t="str">
        <f>HYPERLINK("https://baanknet.com/view-property/288158/2186D0CEC902E9F5E471507F90AEAF9565A824C0415DA0AA611C52729986FC1F", "https://baanknet.com/view-property/288158/2186D0CEC902E9F5E471507F90AEAF9565A824C0415DA0AA611C52729986FC1F")</f>
        <v>https://baanknet.com/view-property/288158/2186D0CEC902E9F5E471507F90AEAF9565A824C0415DA0AA611C52729986FC1F</v>
      </c>
      <c r="I7319" t="str">
        <f>HYPERLINK("https://baanknet.com/view-property/288158/2186D0CEC902E9F5E471507F90AEAF9565A824C0415DA0AA611C52729986FC1F", "Open")</f>
        <v>Open</v>
      </c>
      <c r="J7319" t="s">
        <v>3803</v>
      </c>
      <c r="L7319">
        <v>2280000</v>
      </c>
      <c r="M7319">
        <v>228000</v>
      </c>
    </row>
    <row r="7320" spans="1:13" x14ac:dyDescent="0.25">
      <c r="A7320" t="s">
        <v>24113</v>
      </c>
      <c r="B7320" t="s">
        <v>24114</v>
      </c>
      <c r="C7320" t="s">
        <v>144</v>
      </c>
      <c r="D7320" t="s">
        <v>14401</v>
      </c>
      <c r="E7320" t="s">
        <v>24104</v>
      </c>
      <c r="F7320" t="s">
        <v>24115</v>
      </c>
      <c r="G7320" t="s">
        <v>24116</v>
      </c>
      <c r="H7320" t="str">
        <f>HYPERLINK("https://baanknet.com/view-property/288083/7A2035C3BC10B024C60BA59CA39AF361321C38A097BBDCC24FD3F1B6B429EFB5", "https://baanknet.com/view-property/288083/7A2035C3BC10B024C60BA59CA39AF361321C38A097BBDCC24FD3F1B6B429EFB5")</f>
        <v>https://baanknet.com/view-property/288083/7A2035C3BC10B024C60BA59CA39AF361321C38A097BBDCC24FD3F1B6B429EFB5</v>
      </c>
      <c r="I7320" t="str">
        <f>HYPERLINK("https://baanknet.com/view-property/288083/7A2035C3BC10B024C60BA59CA39AF361321C38A097BBDCC24FD3F1B6B429EFB5", "Open")</f>
        <v>Open</v>
      </c>
      <c r="J7320" t="s">
        <v>3803</v>
      </c>
      <c r="L7320">
        <v>2463000</v>
      </c>
      <c r="M7320">
        <v>246300</v>
      </c>
    </row>
    <row r="7321" spans="1:13" x14ac:dyDescent="0.25">
      <c r="A7321" t="s">
        <v>24117</v>
      </c>
      <c r="B7321" t="s">
        <v>24118</v>
      </c>
      <c r="C7321" t="s">
        <v>144</v>
      </c>
      <c r="D7321" t="s">
        <v>24119</v>
      </c>
      <c r="E7321" t="s">
        <v>24104</v>
      </c>
      <c r="F7321" t="s">
        <v>24115</v>
      </c>
      <c r="G7321" t="s">
        <v>24120</v>
      </c>
      <c r="H7321" t="str">
        <f>HYPERLINK("https://baanknet.com/view-property/288013/101A9FF2AE28ABEA74DDB064DECAC3C67B4481062499F2458B40886965D4FB57", "https://baanknet.com/view-property/288013/101A9FF2AE28ABEA74DDB064DECAC3C67B4481062499F2458B40886965D4FB57")</f>
        <v>https://baanknet.com/view-property/288013/101A9FF2AE28ABEA74DDB064DECAC3C67B4481062499F2458B40886965D4FB57</v>
      </c>
      <c r="I7321" t="str">
        <f>HYPERLINK("https://baanknet.com/view-property/288013/101A9FF2AE28ABEA74DDB064DECAC3C67B4481062499F2458B40886965D4FB57", "Open")</f>
        <v>Open</v>
      </c>
      <c r="J7321" t="s">
        <v>3803</v>
      </c>
      <c r="L7321">
        <v>13461000</v>
      </c>
      <c r="M7321">
        <v>1346100</v>
      </c>
    </row>
    <row r="7322" spans="1:13" x14ac:dyDescent="0.25">
      <c r="A7322" t="s">
        <v>24121</v>
      </c>
      <c r="B7322" t="s">
        <v>24122</v>
      </c>
      <c r="C7322" t="s">
        <v>144</v>
      </c>
      <c r="D7322" t="s">
        <v>13560</v>
      </c>
      <c r="E7322" t="s">
        <v>24104</v>
      </c>
      <c r="F7322" t="s">
        <v>24115</v>
      </c>
      <c r="G7322" t="s">
        <v>24123</v>
      </c>
      <c r="H7322" t="str">
        <f>HYPERLINK("https://baanknet.com/view-property/288003/F9070AA1DC73C925E9243F76D21E0A177374443A956A6D3D053FD74DE636C8E5", "https://baanknet.com/view-property/288003/F9070AA1DC73C925E9243F76D21E0A177374443A956A6D3D053FD74DE636C8E5")</f>
        <v>https://baanknet.com/view-property/288003/F9070AA1DC73C925E9243F76D21E0A177374443A956A6D3D053FD74DE636C8E5</v>
      </c>
      <c r="I7322" t="str">
        <f>HYPERLINK("https://baanknet.com/view-property/288003/F9070AA1DC73C925E9243F76D21E0A177374443A956A6D3D053FD74DE636C8E5", "Open")</f>
        <v>Open</v>
      </c>
      <c r="J7322" t="s">
        <v>3803</v>
      </c>
      <c r="L7322">
        <v>11821500</v>
      </c>
      <c r="M7322">
        <v>1182150</v>
      </c>
    </row>
    <row r="7323" spans="1:13" x14ac:dyDescent="0.25">
      <c r="A7323" t="s">
        <v>24124</v>
      </c>
      <c r="B7323" t="s">
        <v>24125</v>
      </c>
      <c r="C7323" t="s">
        <v>144</v>
      </c>
      <c r="D7323" t="s">
        <v>4387</v>
      </c>
      <c r="E7323" t="s">
        <v>24104</v>
      </c>
      <c r="F7323" t="s">
        <v>24115</v>
      </c>
      <c r="G7323" t="s">
        <v>24126</v>
      </c>
      <c r="H7323" t="str">
        <f>HYPERLINK("https://baanknet.com/view-property/287061/8F65D234D85F440C701F0829E8F731635D2E85966218FF46D8354A2E5D85EE56", "https://baanknet.com/view-property/287061/8F65D234D85F440C701F0829E8F731635D2E85966218FF46D8354A2E5D85EE56")</f>
        <v>https://baanknet.com/view-property/287061/8F65D234D85F440C701F0829E8F731635D2E85966218FF46D8354A2E5D85EE56</v>
      </c>
      <c r="I7323" t="str">
        <f>HYPERLINK("https://baanknet.com/view-property/287061/8F65D234D85F440C701F0829E8F731635D2E85966218FF46D8354A2E5D85EE56", "Open")</f>
        <v>Open</v>
      </c>
      <c r="J7323" t="s">
        <v>3803</v>
      </c>
      <c r="L7323">
        <v>15735800</v>
      </c>
      <c r="M7323">
        <v>1573580</v>
      </c>
    </row>
    <row r="7324" spans="1:13" x14ac:dyDescent="0.25">
      <c r="A7324" t="s">
        <v>24127</v>
      </c>
      <c r="B7324" t="s">
        <v>24128</v>
      </c>
      <c r="C7324" t="s">
        <v>144</v>
      </c>
      <c r="D7324" t="s">
        <v>578</v>
      </c>
      <c r="E7324" t="s">
        <v>24104</v>
      </c>
      <c r="F7324" t="s">
        <v>24129</v>
      </c>
      <c r="G7324" t="s">
        <v>24130</v>
      </c>
      <c r="H7324" t="str">
        <f>HYPERLINK("https://baanknet.com/view-property/288056/23769737322A30102C915D118E797555124D602FFE8973F0D931CE8D923D8653", "https://baanknet.com/view-property/288056/23769737322A30102C915D118E797555124D602FFE8973F0D931CE8D923D8653")</f>
        <v>https://baanknet.com/view-property/288056/23769737322A30102C915D118E797555124D602FFE8973F0D931CE8D923D8653</v>
      </c>
      <c r="I7324" t="str">
        <f>HYPERLINK("https://baanknet.com/view-property/288056/23769737322A30102C915D118E797555124D602FFE8973F0D931CE8D923D8653", "Open")</f>
        <v>Open</v>
      </c>
      <c r="J7324" t="s">
        <v>3803</v>
      </c>
      <c r="L7324">
        <v>1757500</v>
      </c>
      <c r="M7324">
        <v>175750</v>
      </c>
    </row>
    <row r="7325" spans="1:13" x14ac:dyDescent="0.25">
      <c r="A7325" t="s">
        <v>24131</v>
      </c>
      <c r="B7325" t="s">
        <v>24132</v>
      </c>
      <c r="C7325" t="s">
        <v>144</v>
      </c>
      <c r="D7325" t="s">
        <v>578</v>
      </c>
      <c r="E7325" t="s">
        <v>24104</v>
      </c>
      <c r="F7325" t="s">
        <v>24129</v>
      </c>
      <c r="G7325" t="s">
        <v>24133</v>
      </c>
      <c r="H7325" t="str">
        <f>HYPERLINK("https://baanknet.com/view-property/288065/4FF35010CA0226FFBE588B3C627473B1568FBEC68C6FAD4793A8FDC1A86A3C5F", "https://baanknet.com/view-property/288065/4FF35010CA0226FFBE588B3C627473B1568FBEC68C6FAD4793A8FDC1A86A3C5F")</f>
        <v>https://baanknet.com/view-property/288065/4FF35010CA0226FFBE588B3C627473B1568FBEC68C6FAD4793A8FDC1A86A3C5F</v>
      </c>
      <c r="I7325" t="str">
        <f>HYPERLINK("https://baanknet.com/view-property/288065/4FF35010CA0226FFBE588B3C627473B1568FBEC68C6FAD4793A8FDC1A86A3C5F", "Open")</f>
        <v>Open</v>
      </c>
      <c r="J7325" t="s">
        <v>3803</v>
      </c>
      <c r="L7325">
        <v>3301250</v>
      </c>
      <c r="M7325">
        <v>330125</v>
      </c>
    </row>
    <row r="7326" spans="1:13" x14ac:dyDescent="0.25">
      <c r="A7326" t="s">
        <v>24134</v>
      </c>
      <c r="B7326" t="s">
        <v>24135</v>
      </c>
      <c r="C7326" t="s">
        <v>144</v>
      </c>
      <c r="D7326" t="s">
        <v>578</v>
      </c>
      <c r="E7326" t="s">
        <v>24104</v>
      </c>
      <c r="F7326" t="s">
        <v>24129</v>
      </c>
      <c r="G7326" t="s">
        <v>24136</v>
      </c>
      <c r="H7326" t="str">
        <f>HYPERLINK("https://baanknet.com/view-property/288060/6CCFA17AE24B93EC3B89EA098D0F371C9C0997F5F3372CEC49C3604C0D1892E3", "https://baanknet.com/view-property/288060/6CCFA17AE24B93EC3B89EA098D0F371C9C0997F5F3372CEC49C3604C0D1892E3")</f>
        <v>https://baanknet.com/view-property/288060/6CCFA17AE24B93EC3B89EA098D0F371C9C0997F5F3372CEC49C3604C0D1892E3</v>
      </c>
      <c r="I7326" t="str">
        <f>HYPERLINK("https://baanknet.com/view-property/288060/6CCFA17AE24B93EC3B89EA098D0F371C9C0997F5F3372CEC49C3604C0D1892E3", "Open")</f>
        <v>Open</v>
      </c>
      <c r="J7326" t="s">
        <v>3803</v>
      </c>
      <c r="L7326">
        <v>2940250</v>
      </c>
      <c r="M7326">
        <v>294025</v>
      </c>
    </row>
    <row r="7327" spans="1:13" x14ac:dyDescent="0.25">
      <c r="A7327" t="s">
        <v>24137</v>
      </c>
      <c r="B7327" t="s">
        <v>24138</v>
      </c>
      <c r="C7327" t="s">
        <v>144</v>
      </c>
      <c r="D7327" t="s">
        <v>24139</v>
      </c>
      <c r="E7327" t="s">
        <v>24104</v>
      </c>
      <c r="F7327" t="s">
        <v>24129</v>
      </c>
      <c r="G7327" t="s">
        <v>24140</v>
      </c>
      <c r="H7327" t="str">
        <f>HYPERLINK("https://baanknet.com/view-property/288237/FABEFF01D1E0AFB582BAF4FD7FC02EC8599FAA1646A5A04404A67CFDC531CE77", "https://baanknet.com/view-property/288237/FABEFF01D1E0AFB582BAF4FD7FC02EC8599FAA1646A5A04404A67CFDC531CE77")</f>
        <v>https://baanknet.com/view-property/288237/FABEFF01D1E0AFB582BAF4FD7FC02EC8599FAA1646A5A04404A67CFDC531CE77</v>
      </c>
      <c r="I7327" t="str">
        <f>HYPERLINK("https://baanknet.com/view-property/288237/FABEFF01D1E0AFB582BAF4FD7FC02EC8599FAA1646A5A04404A67CFDC531CE77", "Open")</f>
        <v>Open</v>
      </c>
      <c r="J7327" t="s">
        <v>3803</v>
      </c>
      <c r="L7327">
        <v>1482000</v>
      </c>
      <c r="M7327">
        <v>148200</v>
      </c>
    </row>
    <row r="7328" spans="1:13" x14ac:dyDescent="0.25">
      <c r="A7328" t="s">
        <v>24141</v>
      </c>
      <c r="B7328" t="s">
        <v>24142</v>
      </c>
      <c r="C7328" t="s">
        <v>144</v>
      </c>
      <c r="D7328" t="s">
        <v>346</v>
      </c>
      <c r="E7328" t="s">
        <v>24104</v>
      </c>
      <c r="F7328" t="s">
        <v>24143</v>
      </c>
      <c r="G7328" t="s">
        <v>24144</v>
      </c>
      <c r="H7328" t="str">
        <f>HYPERLINK("https://baanknet.com/view-property/288208/DB6CFB9D68F59109489EBD4D5D0BDAE056009F9E87DBF4B2D879E91501C8667E", "https://baanknet.com/view-property/288208/DB6CFB9D68F59109489EBD4D5D0BDAE056009F9E87DBF4B2D879E91501C8667E")</f>
        <v>https://baanknet.com/view-property/288208/DB6CFB9D68F59109489EBD4D5D0BDAE056009F9E87DBF4B2D879E91501C8667E</v>
      </c>
      <c r="I7328" t="str">
        <f>HYPERLINK("https://baanknet.com/view-property/288208/DB6CFB9D68F59109489EBD4D5D0BDAE056009F9E87DBF4B2D879E91501C8667E", "Open")</f>
        <v>Open</v>
      </c>
      <c r="J7328" t="s">
        <v>3803</v>
      </c>
      <c r="L7328">
        <v>9025000</v>
      </c>
      <c r="M7328">
        <v>902500</v>
      </c>
    </row>
    <row r="7329" spans="1:13" x14ac:dyDescent="0.25">
      <c r="A7329" t="s">
        <v>24145</v>
      </c>
      <c r="B7329" t="s">
        <v>24146</v>
      </c>
      <c r="C7329" t="s">
        <v>144</v>
      </c>
      <c r="D7329" t="s">
        <v>346</v>
      </c>
      <c r="E7329" t="s">
        <v>24104</v>
      </c>
      <c r="F7329" t="s">
        <v>24143</v>
      </c>
      <c r="G7329" t="s">
        <v>24147</v>
      </c>
      <c r="H7329" t="str">
        <f>HYPERLINK("https://baanknet.com/view-property/288203/392846273D72BC4D87E5335B7C1A1108344AB349BD35F8334724E3AD615BD093", "https://baanknet.com/view-property/288203/392846273D72BC4D87E5335B7C1A1108344AB349BD35F8334724E3AD615BD093")</f>
        <v>https://baanknet.com/view-property/288203/392846273D72BC4D87E5335B7C1A1108344AB349BD35F8334724E3AD615BD093</v>
      </c>
      <c r="I7329" t="str">
        <f>HYPERLINK("https://baanknet.com/view-property/288203/392846273D72BC4D87E5335B7C1A1108344AB349BD35F8334724E3AD615BD093", "Open")</f>
        <v>Open</v>
      </c>
      <c r="J7329" t="s">
        <v>3803</v>
      </c>
      <c r="L7329">
        <v>2024450</v>
      </c>
      <c r="M7329">
        <v>202445</v>
      </c>
    </row>
    <row r="7330" spans="1:13" x14ac:dyDescent="0.25">
      <c r="A7330" t="s">
        <v>24148</v>
      </c>
      <c r="B7330" t="s">
        <v>24149</v>
      </c>
      <c r="C7330" t="s">
        <v>144</v>
      </c>
      <c r="D7330" t="s">
        <v>1602</v>
      </c>
      <c r="E7330" t="s">
        <v>24104</v>
      </c>
      <c r="F7330" t="s">
        <v>24150</v>
      </c>
      <c r="G7330" t="s">
        <v>24151</v>
      </c>
      <c r="H7330" t="str">
        <f>HYPERLINK("https://baanknet.com/view-property/288043/6A35935088A7EFC658B9A077C861E31F0B03B04B4BEF95F1D46C9272FBAF4592", "https://baanknet.com/view-property/288043/6A35935088A7EFC658B9A077C861E31F0B03B04B4BEF95F1D46C9272FBAF4592")</f>
        <v>https://baanknet.com/view-property/288043/6A35935088A7EFC658B9A077C861E31F0B03B04B4BEF95F1D46C9272FBAF4592</v>
      </c>
      <c r="I7330" t="str">
        <f>HYPERLINK("https://baanknet.com/view-property/288043/6A35935088A7EFC658B9A077C861E31F0B03B04B4BEF95F1D46C9272FBAF4592", "Open")</f>
        <v>Open</v>
      </c>
      <c r="J7330" t="s">
        <v>3803</v>
      </c>
      <c r="L7330">
        <v>9343435</v>
      </c>
      <c r="M7330">
        <v>934343.5</v>
      </c>
    </row>
    <row r="7331" spans="1:13" x14ac:dyDescent="0.25">
      <c r="A7331" t="s">
        <v>24152</v>
      </c>
      <c r="B7331" t="s">
        <v>24153</v>
      </c>
      <c r="C7331" t="s">
        <v>144</v>
      </c>
      <c r="D7331" t="s">
        <v>1348</v>
      </c>
      <c r="E7331" t="s">
        <v>24104</v>
      </c>
      <c r="F7331" t="s">
        <v>24150</v>
      </c>
      <c r="G7331" t="s">
        <v>24154</v>
      </c>
      <c r="H7331" t="str">
        <f>HYPERLINK("https://baanknet.com/view-property/288042/6BB790ADCB6B74617B78D83186F7D34D618826A63AC0463A33EEBB7DD237DEE5", "https://baanknet.com/view-property/288042/6BB790ADCB6B74617B78D83186F7D34D618826A63AC0463A33EEBB7DD237DEE5")</f>
        <v>https://baanknet.com/view-property/288042/6BB790ADCB6B74617B78D83186F7D34D618826A63AC0463A33EEBB7DD237DEE5</v>
      </c>
      <c r="I7331" t="str">
        <f>HYPERLINK("https://baanknet.com/view-property/288042/6BB790ADCB6B74617B78D83186F7D34D618826A63AC0463A33EEBB7DD237DEE5", "Open")</f>
        <v>Open</v>
      </c>
      <c r="J7331" t="s">
        <v>3803</v>
      </c>
      <c r="L7331">
        <v>1146000</v>
      </c>
      <c r="M7331">
        <v>114600</v>
      </c>
    </row>
    <row r="7332" spans="1:13" x14ac:dyDescent="0.25">
      <c r="A7332" t="s">
        <v>24155</v>
      </c>
      <c r="B7332" t="s">
        <v>24156</v>
      </c>
      <c r="C7332" t="s">
        <v>144</v>
      </c>
      <c r="D7332" t="s">
        <v>24157</v>
      </c>
      <c r="E7332" t="s">
        <v>24104</v>
      </c>
      <c r="F7332" t="s">
        <v>24150</v>
      </c>
      <c r="G7332" t="s">
        <v>24158</v>
      </c>
      <c r="H7332" t="str">
        <f>HYPERLINK("https://baanknet.com/view-property/288020/1C0DE527087642A8F0668F88E84DC7BD4B7A86B00F572CA7F4C49EE00CF629F6", "https://baanknet.com/view-property/288020/1C0DE527087642A8F0668F88E84DC7BD4B7A86B00F572CA7F4C49EE00CF629F6")</f>
        <v>https://baanknet.com/view-property/288020/1C0DE527087642A8F0668F88E84DC7BD4B7A86B00F572CA7F4C49EE00CF629F6</v>
      </c>
      <c r="I7332" t="str">
        <f>HYPERLINK("https://baanknet.com/view-property/288020/1C0DE527087642A8F0668F88E84DC7BD4B7A86B00F572CA7F4C49EE00CF629F6", "Open")</f>
        <v>Open</v>
      </c>
      <c r="J7332" t="s">
        <v>3803</v>
      </c>
      <c r="L7332">
        <v>1761000</v>
      </c>
      <c r="M7332">
        <v>176100</v>
      </c>
    </row>
    <row r="7333" spans="1:13" x14ac:dyDescent="0.25">
      <c r="A7333" t="s">
        <v>24159</v>
      </c>
      <c r="B7333" t="s">
        <v>24160</v>
      </c>
      <c r="C7333" t="s">
        <v>144</v>
      </c>
      <c r="D7333" t="s">
        <v>1602</v>
      </c>
      <c r="E7333" t="s">
        <v>24104</v>
      </c>
      <c r="F7333" t="s">
        <v>24150</v>
      </c>
      <c r="G7333" t="s">
        <v>24161</v>
      </c>
      <c r="H7333" t="str">
        <f>HYPERLINK("https://baanknet.com/view-property/288026/325BDC4AEC56765A47F33954337442DDB61E032F40CC7B18B6864A7CF9F73605", "https://baanknet.com/view-property/288026/325BDC4AEC56765A47F33954337442DDB61E032F40CC7B18B6864A7CF9F73605")</f>
        <v>https://baanknet.com/view-property/288026/325BDC4AEC56765A47F33954337442DDB61E032F40CC7B18B6864A7CF9F73605</v>
      </c>
      <c r="I7333" t="str">
        <f>HYPERLINK("https://baanknet.com/view-property/288026/325BDC4AEC56765A47F33954337442DDB61E032F40CC7B18B6864A7CF9F73605", "Open")</f>
        <v>Open</v>
      </c>
      <c r="J7333" t="s">
        <v>3803</v>
      </c>
      <c r="L7333">
        <v>6644455</v>
      </c>
      <c r="M7333">
        <v>664445.5</v>
      </c>
    </row>
    <row r="7334" spans="1:13" x14ac:dyDescent="0.25">
      <c r="A7334" t="s">
        <v>24162</v>
      </c>
      <c r="B7334" t="s">
        <v>24163</v>
      </c>
      <c r="C7334" t="s">
        <v>571</v>
      </c>
      <c r="D7334" t="s">
        <v>157</v>
      </c>
      <c r="E7334" t="s">
        <v>24104</v>
      </c>
      <c r="F7334" t="s">
        <v>24150</v>
      </c>
      <c r="G7334" t="s">
        <v>24164</v>
      </c>
      <c r="H7334" t="str">
        <f>HYPERLINK("https://baanknet.com/view-property/288055/64670FC19FC26489E00625CFE343B8F6B78A640F7350DA4F5A4C02F1B7237AA0", "https://baanknet.com/view-property/288055/64670FC19FC26489E00625CFE343B8F6B78A640F7350DA4F5A4C02F1B7237AA0")</f>
        <v>https://baanknet.com/view-property/288055/64670FC19FC26489E00625CFE343B8F6B78A640F7350DA4F5A4C02F1B7237AA0</v>
      </c>
      <c r="I7334" t="str">
        <f>HYPERLINK("https://baanknet.com/view-property/288055/64670FC19FC26489E00625CFE343B8F6B78A640F7350DA4F5A4C02F1B7237AA0", "Open")</f>
        <v>Open</v>
      </c>
      <c r="J7334" t="s">
        <v>3803</v>
      </c>
      <c r="L7334">
        <v>4217000</v>
      </c>
      <c r="M7334">
        <v>421700</v>
      </c>
    </row>
    <row r="7335" spans="1:13" x14ac:dyDescent="0.25">
      <c r="A7335" t="s">
        <v>24165</v>
      </c>
      <c r="B7335" t="s">
        <v>24166</v>
      </c>
      <c r="C7335" t="s">
        <v>144</v>
      </c>
      <c r="D7335" t="s">
        <v>2680</v>
      </c>
      <c r="E7335" t="s">
        <v>24104</v>
      </c>
      <c r="F7335" t="s">
        <v>24150</v>
      </c>
      <c r="G7335" t="s">
        <v>24167</v>
      </c>
      <c r="H7335" t="str">
        <f>HYPERLINK("https://baanknet.com/view-property/288176/A674FEA14E24A8CB191BBC1839CDA1EC8F58A062A532DD134B8E7BDDB792A5D9", "https://baanknet.com/view-property/288176/A674FEA14E24A8CB191BBC1839CDA1EC8F58A062A532DD134B8E7BDDB792A5D9")</f>
        <v>https://baanknet.com/view-property/288176/A674FEA14E24A8CB191BBC1839CDA1EC8F58A062A532DD134B8E7BDDB792A5D9</v>
      </c>
      <c r="I7335" t="str">
        <f>HYPERLINK("https://baanknet.com/view-property/288176/A674FEA14E24A8CB191BBC1839CDA1EC8F58A062A532DD134B8E7BDDB792A5D9", "Open")</f>
        <v>Open</v>
      </c>
      <c r="J7335" t="s">
        <v>3803</v>
      </c>
      <c r="L7335">
        <v>10747475</v>
      </c>
      <c r="M7335">
        <v>1074747.5</v>
      </c>
    </row>
    <row r="7336" spans="1:13" x14ac:dyDescent="0.25">
      <c r="A7336" t="s">
        <v>24168</v>
      </c>
      <c r="B7336" t="s">
        <v>24169</v>
      </c>
      <c r="C7336" t="s">
        <v>144</v>
      </c>
      <c r="D7336" t="s">
        <v>5025</v>
      </c>
      <c r="E7336" t="s">
        <v>24104</v>
      </c>
      <c r="F7336" t="s">
        <v>24150</v>
      </c>
      <c r="G7336" t="s">
        <v>24170</v>
      </c>
      <c r="H7336" t="str">
        <f>HYPERLINK("https://baanknet.com/view-property/274348/B55FDF5380752B6CD3563730DF52404AEF8EB47CDADD920F9447D780D6B7B98A", "https://baanknet.com/view-property/274348/B55FDF5380752B6CD3563730DF52404AEF8EB47CDADD920F9447D780D6B7B98A")</f>
        <v>https://baanknet.com/view-property/274348/B55FDF5380752B6CD3563730DF52404AEF8EB47CDADD920F9447D780D6B7B98A</v>
      </c>
      <c r="I7336" t="str">
        <f>HYPERLINK("https://baanknet.com/view-property/274348/B55FDF5380752B6CD3563730DF52404AEF8EB47CDADD920F9447D780D6B7B98A", "Open")</f>
        <v>Open</v>
      </c>
      <c r="J7336" t="s">
        <v>3803</v>
      </c>
      <c r="L7336">
        <v>3175000</v>
      </c>
      <c r="M7336">
        <v>317500</v>
      </c>
    </row>
    <row r="7337" spans="1:13" x14ac:dyDescent="0.25">
      <c r="A7337" t="s">
        <v>24171</v>
      </c>
      <c r="B7337" t="s">
        <v>24172</v>
      </c>
      <c r="C7337" t="s">
        <v>144</v>
      </c>
      <c r="D7337" t="s">
        <v>896</v>
      </c>
      <c r="E7337" t="s">
        <v>24104</v>
      </c>
      <c r="F7337" t="s">
        <v>24150</v>
      </c>
      <c r="G7337" t="s">
        <v>24173</v>
      </c>
      <c r="H7337" t="str">
        <f>HYPERLINK("https://baanknet.com/view-property/274477/A07DAFF98796DF53ACB6B15CF0625520FC6BC3E8F5C7606A272792C633BEEA5E", "https://baanknet.com/view-property/274477/A07DAFF98796DF53ACB6B15CF0625520FC6BC3E8F5C7606A272792C633BEEA5E")</f>
        <v>https://baanknet.com/view-property/274477/A07DAFF98796DF53ACB6B15CF0625520FC6BC3E8F5C7606A272792C633BEEA5E</v>
      </c>
      <c r="I7337" t="str">
        <f>HYPERLINK("https://baanknet.com/view-property/274477/A07DAFF98796DF53ACB6B15CF0625520FC6BC3E8F5C7606A272792C633BEEA5E", "Open")</f>
        <v>Open</v>
      </c>
      <c r="J7337" t="s">
        <v>3803</v>
      </c>
      <c r="L7337">
        <v>1586000</v>
      </c>
      <c r="M7337">
        <v>158600</v>
      </c>
    </row>
    <row r="7338" spans="1:13" x14ac:dyDescent="0.25">
      <c r="A7338" t="s">
        <v>24174</v>
      </c>
      <c r="B7338" t="s">
        <v>24175</v>
      </c>
      <c r="C7338" t="s">
        <v>144</v>
      </c>
      <c r="D7338" t="s">
        <v>3213</v>
      </c>
      <c r="E7338" t="s">
        <v>24104</v>
      </c>
      <c r="F7338" t="s">
        <v>24150</v>
      </c>
      <c r="G7338" t="s">
        <v>24176</v>
      </c>
      <c r="H7338" t="str">
        <f>HYPERLINK("https://baanknet.com/view-property/280649/23E07D4432FEDB30EFF301059221773CCBEB4D1B79996974484ECC28D191CC54", "https://baanknet.com/view-property/280649/23E07D4432FEDB30EFF301059221773CCBEB4D1B79996974484ECC28D191CC54")</f>
        <v>https://baanknet.com/view-property/280649/23E07D4432FEDB30EFF301059221773CCBEB4D1B79996974484ECC28D191CC54</v>
      </c>
      <c r="I7338" t="str">
        <f>HYPERLINK("https://baanknet.com/view-property/280649/23E07D4432FEDB30EFF301059221773CCBEB4D1B79996974484ECC28D191CC54", "Open")</f>
        <v>Open</v>
      </c>
      <c r="J7338" t="s">
        <v>3803</v>
      </c>
      <c r="L7338">
        <v>1760000</v>
      </c>
      <c r="M7338">
        <v>176000</v>
      </c>
    </row>
    <row r="7339" spans="1:13" x14ac:dyDescent="0.25">
      <c r="A7339" t="s">
        <v>24177</v>
      </c>
      <c r="B7339" t="s">
        <v>24178</v>
      </c>
      <c r="C7339" t="s">
        <v>144</v>
      </c>
      <c r="D7339" t="s">
        <v>5018</v>
      </c>
      <c r="E7339" t="s">
        <v>24104</v>
      </c>
      <c r="F7339" t="s">
        <v>24150</v>
      </c>
      <c r="G7339" t="s">
        <v>24179</v>
      </c>
      <c r="H7339" t="str">
        <f>HYPERLINK("https://baanknet.com/view-property/215290/D5FE5510BEC2005B047EEA5FFF14BDFB0C72B3E16F15A5A3711B485B2C9DDBB9", "https://baanknet.com/view-property/215290/D5FE5510BEC2005B047EEA5FFF14BDFB0C72B3E16F15A5A3711B485B2C9DDBB9")</f>
        <v>https://baanknet.com/view-property/215290/D5FE5510BEC2005B047EEA5FFF14BDFB0C72B3E16F15A5A3711B485B2C9DDBB9</v>
      </c>
      <c r="I7339" t="str">
        <f>HYPERLINK("https://baanknet.com/view-property/215290/D5FE5510BEC2005B047EEA5FFF14BDFB0C72B3E16F15A5A3711B485B2C9DDBB9", "Open")</f>
        <v>Open</v>
      </c>
      <c r="J7339" t="s">
        <v>3803</v>
      </c>
      <c r="L7339">
        <v>5200000</v>
      </c>
      <c r="M7339">
        <v>520000</v>
      </c>
    </row>
    <row r="7340" spans="1:13" x14ac:dyDescent="0.25">
      <c r="A7340" t="s">
        <v>24180</v>
      </c>
      <c r="B7340" t="s">
        <v>24181</v>
      </c>
      <c r="C7340" t="s">
        <v>144</v>
      </c>
      <c r="D7340" t="s">
        <v>102</v>
      </c>
      <c r="E7340" t="s">
        <v>24104</v>
      </c>
      <c r="F7340" t="s">
        <v>24150</v>
      </c>
      <c r="G7340" t="s">
        <v>24182</v>
      </c>
      <c r="H7340" t="str">
        <f>HYPERLINK("https://baanknet.com/view-property/267202/443EEEE6916A3D7F0591C5FA80B057FC41BE396EB6EF42E471B44FD830E58172", "https://baanknet.com/view-property/267202/443EEEE6916A3D7F0591C5FA80B057FC41BE396EB6EF42E471B44FD830E58172")</f>
        <v>https://baanknet.com/view-property/267202/443EEEE6916A3D7F0591C5FA80B057FC41BE396EB6EF42E471B44FD830E58172</v>
      </c>
      <c r="I7340" t="str">
        <f>HYPERLINK("https://baanknet.com/view-property/267202/443EEEE6916A3D7F0591C5FA80B057FC41BE396EB6EF42E471B44FD830E58172", "Open")</f>
        <v>Open</v>
      </c>
      <c r="J7340" t="s">
        <v>3803</v>
      </c>
      <c r="L7340">
        <v>1960000</v>
      </c>
      <c r="M7340">
        <v>196000</v>
      </c>
    </row>
    <row r="7341" spans="1:13" x14ac:dyDescent="0.25">
      <c r="A7341" t="s">
        <v>24183</v>
      </c>
      <c r="B7341" t="s">
        <v>24184</v>
      </c>
      <c r="C7341" t="s">
        <v>144</v>
      </c>
      <c r="D7341" t="s">
        <v>24185</v>
      </c>
      <c r="E7341" t="s">
        <v>24104</v>
      </c>
      <c r="F7341" t="s">
        <v>24150</v>
      </c>
      <c r="G7341" t="s">
        <v>24186</v>
      </c>
      <c r="H7341" t="str">
        <f>HYPERLINK("https://baanknet.com/view-property/273708/63D6B66A28C6BB9683D4563B10C2A081756DD322D8F74767F4F611783FC51920", "https://baanknet.com/view-property/273708/63D6B66A28C6BB9683D4563B10C2A081756DD322D8F74767F4F611783FC51920")</f>
        <v>https://baanknet.com/view-property/273708/63D6B66A28C6BB9683D4563B10C2A081756DD322D8F74767F4F611783FC51920</v>
      </c>
      <c r="I7341" t="str">
        <f>HYPERLINK("https://baanknet.com/view-property/273708/63D6B66A28C6BB9683D4563B10C2A081756DD322D8F74767F4F611783FC51920", "Open")</f>
        <v>Open</v>
      </c>
      <c r="J7341" t="s">
        <v>3803</v>
      </c>
      <c r="L7341">
        <v>794000</v>
      </c>
      <c r="M7341">
        <v>79400</v>
      </c>
    </row>
    <row r="7342" spans="1:13" x14ac:dyDescent="0.25">
      <c r="A7342" t="s">
        <v>24187</v>
      </c>
      <c r="B7342" t="s">
        <v>24188</v>
      </c>
      <c r="C7342" t="s">
        <v>144</v>
      </c>
      <c r="D7342" t="s">
        <v>282</v>
      </c>
      <c r="E7342" t="s">
        <v>24095</v>
      </c>
      <c r="F7342" t="s">
        <v>24189</v>
      </c>
      <c r="G7342" t="s">
        <v>24190</v>
      </c>
      <c r="H7342" t="str">
        <f>HYPERLINK("https://baanknet.com/view-property/287791/6C8611A271CE03D13E67F799B032F848AE5D1D2769A1ED0BA41D5965BDF1B800", "https://baanknet.com/view-property/287791/6C8611A271CE03D13E67F799B032F848AE5D1D2769A1ED0BA41D5965BDF1B800")</f>
        <v>https://baanknet.com/view-property/287791/6C8611A271CE03D13E67F799B032F848AE5D1D2769A1ED0BA41D5965BDF1B800</v>
      </c>
      <c r="I7342" t="str">
        <f>HYPERLINK("https://baanknet.com/view-property/287791/6C8611A271CE03D13E67F799B032F848AE5D1D2769A1ED0BA41D5965BDF1B800", "Open")</f>
        <v>Open</v>
      </c>
      <c r="J7342" t="s">
        <v>3803</v>
      </c>
      <c r="L7342">
        <v>2326000</v>
      </c>
      <c r="M7342">
        <v>232600</v>
      </c>
    </row>
    <row r="7343" spans="1:13" x14ac:dyDescent="0.25">
      <c r="A7343" t="s">
        <v>24191</v>
      </c>
      <c r="B7343" t="s">
        <v>24192</v>
      </c>
      <c r="C7343" t="s">
        <v>144</v>
      </c>
      <c r="D7343" t="s">
        <v>282</v>
      </c>
      <c r="E7343" t="s">
        <v>24095</v>
      </c>
      <c r="F7343" t="s">
        <v>24189</v>
      </c>
      <c r="G7343" t="s">
        <v>24193</v>
      </c>
      <c r="H7343" t="str">
        <f>HYPERLINK("https://baanknet.com/view-property/287795/D4D96BDCAA4DF77F2C90079D61D371C1A4EE446EDFE30312FCDBA0B7F486BC70", "https://baanknet.com/view-property/287795/D4D96BDCAA4DF77F2C90079D61D371C1A4EE446EDFE30312FCDBA0B7F486BC70")</f>
        <v>https://baanknet.com/view-property/287795/D4D96BDCAA4DF77F2C90079D61D371C1A4EE446EDFE30312FCDBA0B7F486BC70</v>
      </c>
      <c r="I7343" t="str">
        <f>HYPERLINK("https://baanknet.com/view-property/287795/D4D96BDCAA4DF77F2C90079D61D371C1A4EE446EDFE30312FCDBA0B7F486BC70", "Open")</f>
        <v>Open</v>
      </c>
      <c r="J7343" t="s">
        <v>3803</v>
      </c>
      <c r="L7343">
        <v>2326000</v>
      </c>
      <c r="M7343">
        <v>232600</v>
      </c>
    </row>
    <row r="7344" spans="1:13" x14ac:dyDescent="0.25">
      <c r="A7344" t="s">
        <v>24194</v>
      </c>
      <c r="B7344" t="s">
        <v>24195</v>
      </c>
      <c r="C7344" t="s">
        <v>144</v>
      </c>
      <c r="D7344" t="s">
        <v>282</v>
      </c>
      <c r="E7344" t="s">
        <v>24095</v>
      </c>
      <c r="F7344" t="s">
        <v>24189</v>
      </c>
      <c r="G7344" t="s">
        <v>24196</v>
      </c>
      <c r="H7344" t="str">
        <f>HYPERLINK("https://baanknet.com/view-property/287802/892B2E4716D0DF88D9089171F967023BB4FB6C16CDFCB7EBB152E4DB276722E3", "https://baanknet.com/view-property/287802/892B2E4716D0DF88D9089171F967023BB4FB6C16CDFCB7EBB152E4DB276722E3")</f>
        <v>https://baanknet.com/view-property/287802/892B2E4716D0DF88D9089171F967023BB4FB6C16CDFCB7EBB152E4DB276722E3</v>
      </c>
      <c r="I7344" t="str">
        <f>HYPERLINK("https://baanknet.com/view-property/287802/892B2E4716D0DF88D9089171F967023BB4FB6C16CDFCB7EBB152E4DB276722E3", "Open")</f>
        <v>Open</v>
      </c>
      <c r="J7344" t="s">
        <v>3803</v>
      </c>
      <c r="L7344">
        <v>2326000</v>
      </c>
      <c r="M7344">
        <v>232600</v>
      </c>
    </row>
    <row r="7345" spans="1:13" x14ac:dyDescent="0.25">
      <c r="A7345" t="s">
        <v>24197</v>
      </c>
      <c r="B7345" t="s">
        <v>24198</v>
      </c>
      <c r="C7345" t="s">
        <v>144</v>
      </c>
      <c r="D7345" t="s">
        <v>282</v>
      </c>
      <c r="E7345" t="s">
        <v>24095</v>
      </c>
      <c r="F7345" t="s">
        <v>24189</v>
      </c>
      <c r="G7345" t="s">
        <v>24199</v>
      </c>
      <c r="H7345" t="str">
        <f>HYPERLINK("https://baanknet.com/view-property/287803/C35749A881060172967F44ED17987B4D1FC4606D13B53BA23E0E5E66EB76961E", "https://baanknet.com/view-property/287803/C35749A881060172967F44ED17987B4D1FC4606D13B53BA23E0E5E66EB76961E")</f>
        <v>https://baanknet.com/view-property/287803/C35749A881060172967F44ED17987B4D1FC4606D13B53BA23E0E5E66EB76961E</v>
      </c>
      <c r="I7345" t="str">
        <f>HYPERLINK("https://baanknet.com/view-property/287803/C35749A881060172967F44ED17987B4D1FC4606D13B53BA23E0E5E66EB76961E", "Open")</f>
        <v>Open</v>
      </c>
      <c r="J7345" t="s">
        <v>3803</v>
      </c>
      <c r="L7345">
        <v>2326000</v>
      </c>
      <c r="M7345">
        <v>232600</v>
      </c>
    </row>
    <row r="7346" spans="1:13" x14ac:dyDescent="0.25">
      <c r="A7346" t="s">
        <v>24200</v>
      </c>
      <c r="B7346" t="s">
        <v>24201</v>
      </c>
      <c r="C7346" t="s">
        <v>144</v>
      </c>
      <c r="D7346" t="s">
        <v>1229</v>
      </c>
      <c r="E7346" t="s">
        <v>24202</v>
      </c>
      <c r="F7346" t="s">
        <v>24105</v>
      </c>
      <c r="G7346" t="s">
        <v>24203</v>
      </c>
      <c r="H7346" t="str">
        <f>HYPERLINK("https://baanknet.com/view-property/288200/AB387FCDF5BCDCF08937DEF32C071CA3EF29CF002B280A0EAC689203BBF25AC5", "https://baanknet.com/view-property/288200/AB387FCDF5BCDCF08937DEF32C071CA3EF29CF002B280A0EAC689203BBF25AC5")</f>
        <v>https://baanknet.com/view-property/288200/AB387FCDF5BCDCF08937DEF32C071CA3EF29CF002B280A0EAC689203BBF25AC5</v>
      </c>
      <c r="I7346" t="str">
        <f>HYPERLINK("https://baanknet.com/view-property/288200/AB387FCDF5BCDCF08937DEF32C071CA3EF29CF002B280A0EAC689203BBF25AC5", "Open")</f>
        <v>Open</v>
      </c>
      <c r="J7346" t="s">
        <v>3803</v>
      </c>
      <c r="L7346">
        <v>4310000</v>
      </c>
      <c r="M7346">
        <v>431000</v>
      </c>
    </row>
    <row r="7347" spans="1:13" x14ac:dyDescent="0.25">
      <c r="A7347" t="s">
        <v>24204</v>
      </c>
      <c r="B7347" t="s">
        <v>24205</v>
      </c>
      <c r="C7347" t="s">
        <v>144</v>
      </c>
      <c r="D7347" t="s">
        <v>12056</v>
      </c>
      <c r="E7347" t="s">
        <v>24202</v>
      </c>
      <c r="F7347" t="s">
        <v>24105</v>
      </c>
      <c r="G7347" t="s">
        <v>24206</v>
      </c>
      <c r="H7347" t="str">
        <f>HYPERLINK("https://baanknet.com/view-property/288199/AB673AD2D1F748AAE61B0DA4417107D5F577129EDB40A36388B78C0B3227281F", "https://baanknet.com/view-property/288199/AB673AD2D1F748AAE61B0DA4417107D5F577129EDB40A36388B78C0B3227281F")</f>
        <v>https://baanknet.com/view-property/288199/AB673AD2D1F748AAE61B0DA4417107D5F577129EDB40A36388B78C0B3227281F</v>
      </c>
      <c r="I7347" t="str">
        <f>HYPERLINK("https://baanknet.com/view-property/288199/AB673AD2D1F748AAE61B0DA4417107D5F577129EDB40A36388B78C0B3227281F", "Open")</f>
        <v>Open</v>
      </c>
      <c r="J7347" t="s">
        <v>3803</v>
      </c>
      <c r="L7347">
        <v>11520000</v>
      </c>
      <c r="M7347">
        <v>1152000</v>
      </c>
    </row>
    <row r="7348" spans="1:13" x14ac:dyDescent="0.25">
      <c r="A7348" t="s">
        <v>24207</v>
      </c>
      <c r="B7348" t="s">
        <v>24208</v>
      </c>
      <c r="C7348" t="s">
        <v>144</v>
      </c>
      <c r="D7348" t="s">
        <v>24209</v>
      </c>
      <c r="E7348" t="s">
        <v>24202</v>
      </c>
      <c r="F7348" t="s">
        <v>24105</v>
      </c>
      <c r="G7348" t="s">
        <v>24210</v>
      </c>
      <c r="H7348" t="str">
        <f>HYPERLINK("https://baanknet.com/view-property/288191/56B12A8922EEE3CE353EF170EC1D44C82E84329A1662DFAD73658E7787CBCAB7", "https://baanknet.com/view-property/288191/56B12A8922EEE3CE353EF170EC1D44C82E84329A1662DFAD73658E7787CBCAB7")</f>
        <v>https://baanknet.com/view-property/288191/56B12A8922EEE3CE353EF170EC1D44C82E84329A1662DFAD73658E7787CBCAB7</v>
      </c>
      <c r="I7348" t="str">
        <f>HYPERLINK("https://baanknet.com/view-property/288191/56B12A8922EEE3CE353EF170EC1D44C82E84329A1662DFAD73658E7787CBCAB7", "Open")</f>
        <v>Open</v>
      </c>
      <c r="J7348" t="s">
        <v>3803</v>
      </c>
      <c r="L7348">
        <v>1810000</v>
      </c>
      <c r="M7348">
        <v>181000</v>
      </c>
    </row>
    <row r="7349" spans="1:13" x14ac:dyDescent="0.25">
      <c r="A7349" t="s">
        <v>24211</v>
      </c>
      <c r="B7349" t="s">
        <v>24212</v>
      </c>
      <c r="C7349" t="s">
        <v>144</v>
      </c>
      <c r="D7349" t="s">
        <v>24213</v>
      </c>
      <c r="E7349" t="s">
        <v>24105</v>
      </c>
      <c r="F7349" t="s">
        <v>24143</v>
      </c>
      <c r="G7349" t="s">
        <v>24214</v>
      </c>
      <c r="H7349" t="str">
        <f>HYPERLINK("https://baanknet.com/view-property/287527/E6CC7F89B853C73F24F736FD7CE0AE44BC43E5D465A288FFC409D42BA9696861", "https://baanknet.com/view-property/287527/E6CC7F89B853C73F24F736FD7CE0AE44BC43E5D465A288FFC409D42BA9696861")</f>
        <v>https://baanknet.com/view-property/287527/E6CC7F89B853C73F24F736FD7CE0AE44BC43E5D465A288FFC409D42BA9696861</v>
      </c>
      <c r="I7349" t="str">
        <f>HYPERLINK("https://baanknet.com/view-property/287527/E6CC7F89B853C73F24F736FD7CE0AE44BC43E5D465A288FFC409D42BA9696861", "Open")</f>
        <v>Open</v>
      </c>
      <c r="J7349" t="s">
        <v>3803</v>
      </c>
      <c r="L7349">
        <v>1116250</v>
      </c>
      <c r="M7349">
        <v>111625</v>
      </c>
    </row>
    <row r="7350" spans="1:13" x14ac:dyDescent="0.25">
      <c r="A7350" t="s">
        <v>24215</v>
      </c>
      <c r="B7350" t="s">
        <v>24216</v>
      </c>
      <c r="C7350" t="s">
        <v>144</v>
      </c>
      <c r="D7350" t="s">
        <v>24217</v>
      </c>
      <c r="E7350" t="s">
        <v>24105</v>
      </c>
      <c r="F7350" t="s">
        <v>24143</v>
      </c>
      <c r="G7350" t="s">
        <v>24218</v>
      </c>
      <c r="H7350" t="str">
        <f>HYPERLINK("https://baanknet.com/view-property/287519/63207E270E4BFB953097E3FFFD430BE62FD6B57547A5AD49843352415B7AF417", "https://baanknet.com/view-property/287519/63207E270E4BFB953097E3FFFD430BE62FD6B57547A5AD49843352415B7AF417")</f>
        <v>https://baanknet.com/view-property/287519/63207E270E4BFB953097E3FFFD430BE62FD6B57547A5AD49843352415B7AF417</v>
      </c>
      <c r="I7350" t="str">
        <f>HYPERLINK("https://baanknet.com/view-property/287519/63207E270E4BFB953097E3FFFD430BE62FD6B57547A5AD49843352415B7AF417", "Open")</f>
        <v>Open</v>
      </c>
      <c r="J7350" t="s">
        <v>3803</v>
      </c>
      <c r="L7350">
        <v>1520000</v>
      </c>
      <c r="M7350">
        <v>152000</v>
      </c>
    </row>
    <row r="7351" spans="1:13" x14ac:dyDescent="0.25">
      <c r="A7351" t="s">
        <v>24219</v>
      </c>
      <c r="B7351" t="s">
        <v>24220</v>
      </c>
      <c r="C7351" t="s">
        <v>83</v>
      </c>
      <c r="D7351" t="s">
        <v>1218</v>
      </c>
      <c r="E7351" t="s">
        <v>24115</v>
      </c>
      <c r="F7351" t="s">
        <v>24221</v>
      </c>
      <c r="G7351" t="s">
        <v>24222</v>
      </c>
      <c r="H7351" t="str">
        <f>HYPERLINK("https://baanknet.com/view-property/288007/17F474A7FC9A2BCE2FD783366E892B2E9EDD06B2BDC1656DA290630E06977957", "https://baanknet.com/view-property/288007/17F474A7FC9A2BCE2FD783366E892B2E9EDD06B2BDC1656DA290630E06977957")</f>
        <v>https://baanknet.com/view-property/288007/17F474A7FC9A2BCE2FD783366E892B2E9EDD06B2BDC1656DA290630E06977957</v>
      </c>
      <c r="I7351" t="str">
        <f>HYPERLINK("https://baanknet.com/view-property/288007/17F474A7FC9A2BCE2FD783366E892B2E9EDD06B2BDC1656DA290630E06977957", "Open")</f>
        <v>Open</v>
      </c>
      <c r="J7351" t="s">
        <v>3803</v>
      </c>
      <c r="L7351">
        <v>1762200</v>
      </c>
      <c r="M7351">
        <v>176220</v>
      </c>
    </row>
    <row r="7352" spans="1:13" x14ac:dyDescent="0.25">
      <c r="A7352" t="s">
        <v>24223</v>
      </c>
      <c r="B7352" t="s">
        <v>24224</v>
      </c>
      <c r="C7352" t="s">
        <v>83</v>
      </c>
      <c r="D7352" t="s">
        <v>1218</v>
      </c>
      <c r="E7352" t="s">
        <v>24115</v>
      </c>
      <c r="F7352" t="s">
        <v>24221</v>
      </c>
      <c r="G7352" t="s">
        <v>24225</v>
      </c>
      <c r="H7352" t="str">
        <f>HYPERLINK("https://baanknet.com/view-property/288009/0CD5D7022B43A679E131CEBA421CEA9B4645A04F041A89B42B2BF7FBF5BB71D8", "https://baanknet.com/view-property/288009/0CD5D7022B43A679E131CEBA421CEA9B4645A04F041A89B42B2BF7FBF5BB71D8")</f>
        <v>https://baanknet.com/view-property/288009/0CD5D7022B43A679E131CEBA421CEA9B4645A04F041A89B42B2BF7FBF5BB71D8</v>
      </c>
      <c r="I7352" t="str">
        <f>HYPERLINK("https://baanknet.com/view-property/288009/0CD5D7022B43A679E131CEBA421CEA9B4645A04F041A89B42B2BF7FBF5BB71D8", "Open")</f>
        <v>Open</v>
      </c>
      <c r="J7352" t="s">
        <v>3803</v>
      </c>
      <c r="L7352">
        <v>1803600</v>
      </c>
      <c r="M7352">
        <v>180360</v>
      </c>
    </row>
    <row r="7353" spans="1:13" x14ac:dyDescent="0.25">
      <c r="A7353" t="s">
        <v>24226</v>
      </c>
      <c r="B7353" t="s">
        <v>24227</v>
      </c>
      <c r="C7353" t="s">
        <v>83</v>
      </c>
      <c r="D7353" t="s">
        <v>5358</v>
      </c>
      <c r="E7353" t="s">
        <v>24115</v>
      </c>
      <c r="F7353" t="s">
        <v>24221</v>
      </c>
      <c r="G7353" t="s">
        <v>24228</v>
      </c>
      <c r="H7353" t="str">
        <f>HYPERLINK("https://baanknet.com/view-property/288012/F4E63E328CF55D82A9EEA8274E4D52ADA2CA88893A8E305979484749FBB6F38F", "https://baanknet.com/view-property/288012/F4E63E328CF55D82A9EEA8274E4D52ADA2CA88893A8E305979484749FBB6F38F")</f>
        <v>https://baanknet.com/view-property/288012/F4E63E328CF55D82A9EEA8274E4D52ADA2CA88893A8E305979484749FBB6F38F</v>
      </c>
      <c r="I7353" t="str">
        <f>HYPERLINK("https://baanknet.com/view-property/288012/F4E63E328CF55D82A9EEA8274E4D52ADA2CA88893A8E305979484749FBB6F38F", "Open")</f>
        <v>Open</v>
      </c>
      <c r="J7353" t="s">
        <v>3803</v>
      </c>
      <c r="L7353">
        <v>4377100</v>
      </c>
      <c r="M7353">
        <v>437710</v>
      </c>
    </row>
    <row r="7354" spans="1:13" x14ac:dyDescent="0.25">
      <c r="A7354" t="s">
        <v>24229</v>
      </c>
      <c r="B7354" t="s">
        <v>24230</v>
      </c>
      <c r="C7354" t="s">
        <v>15</v>
      </c>
      <c r="D7354" t="s">
        <v>1169</v>
      </c>
      <c r="E7354" t="s">
        <v>21078</v>
      </c>
      <c r="F7354" t="s">
        <v>21085</v>
      </c>
      <c r="G7354" t="s">
        <v>24231</v>
      </c>
      <c r="H7354" t="str">
        <f>HYPERLINK("https://baanknet.com/view-property/247314/2DD39CE41E9A8A1D5E8648BC07B4E511D673262369700EAE02B70B01ED299065", "https://baanknet.com/view-property/247314/2DD39CE41E9A8A1D5E8648BC07B4E511D673262369700EAE02B70B01ED299065")</f>
        <v>https://baanknet.com/view-property/247314/2DD39CE41E9A8A1D5E8648BC07B4E511D673262369700EAE02B70B01ED299065</v>
      </c>
      <c r="I7354" t="str">
        <f>HYPERLINK("https://baanknet.com/view-property/247314/2DD39CE41E9A8A1D5E8648BC07B4E511D673262369700EAE02B70B01ED299065", "Open")</f>
        <v>Open</v>
      </c>
      <c r="J7354" t="s">
        <v>3803</v>
      </c>
      <c r="L7354">
        <v>1475000</v>
      </c>
      <c r="M7354">
        <v>147500</v>
      </c>
    </row>
    <row r="7355" spans="1:13" x14ac:dyDescent="0.25">
      <c r="A7355" t="s">
        <v>24232</v>
      </c>
      <c r="B7355" t="s">
        <v>24233</v>
      </c>
      <c r="C7355" t="s">
        <v>15</v>
      </c>
      <c r="D7355" t="s">
        <v>4471</v>
      </c>
      <c r="E7355" t="s">
        <v>21078</v>
      </c>
      <c r="F7355" t="s">
        <v>21085</v>
      </c>
      <c r="G7355" t="s">
        <v>24234</v>
      </c>
      <c r="H7355" t="str">
        <f>HYPERLINK("https://baanknet.com/view-property/264158/CAB4CE3CF1A5381A26A409455A6F247D06BFE62E8EE0626FB31C75D88563479B", "https://baanknet.com/view-property/264158/CAB4CE3CF1A5381A26A409455A6F247D06BFE62E8EE0626FB31C75D88563479B")</f>
        <v>https://baanknet.com/view-property/264158/CAB4CE3CF1A5381A26A409455A6F247D06BFE62E8EE0626FB31C75D88563479B</v>
      </c>
      <c r="I7355" t="str">
        <f>HYPERLINK("https://baanknet.com/view-property/264158/CAB4CE3CF1A5381A26A409455A6F247D06BFE62E8EE0626FB31C75D88563479B", "Open")</f>
        <v>Open</v>
      </c>
      <c r="J7355" t="s">
        <v>3803</v>
      </c>
      <c r="L7355">
        <v>1660000</v>
      </c>
      <c r="M7355">
        <v>166000</v>
      </c>
    </row>
    <row r="7356" spans="1:13" x14ac:dyDescent="0.25">
      <c r="A7356" t="s">
        <v>24235</v>
      </c>
      <c r="B7356" t="s">
        <v>24236</v>
      </c>
      <c r="C7356" t="s">
        <v>15</v>
      </c>
      <c r="D7356" t="s">
        <v>937</v>
      </c>
      <c r="E7356" t="s">
        <v>21078</v>
      </c>
      <c r="F7356" t="s">
        <v>21085</v>
      </c>
      <c r="G7356" t="s">
        <v>24237</v>
      </c>
      <c r="H7356" t="str">
        <f>HYPERLINK("https://baanknet.com/view-property/274079/0C50EB85EC4B2860BE3956199EED9F16D2C9DFA290DEBA0652AE3F6E055B9DE2", "https://baanknet.com/view-property/274079/0C50EB85EC4B2860BE3956199EED9F16D2C9DFA290DEBA0652AE3F6E055B9DE2")</f>
        <v>https://baanknet.com/view-property/274079/0C50EB85EC4B2860BE3956199EED9F16D2C9DFA290DEBA0652AE3F6E055B9DE2</v>
      </c>
      <c r="I7356" t="str">
        <f>HYPERLINK("https://baanknet.com/view-property/274079/0C50EB85EC4B2860BE3956199EED9F16D2C9DFA290DEBA0652AE3F6E055B9DE2", "Open")</f>
        <v>Open</v>
      </c>
      <c r="J7356" t="s">
        <v>3803</v>
      </c>
      <c r="L7356">
        <v>2000000</v>
      </c>
      <c r="M7356">
        <v>200000</v>
      </c>
    </row>
    <row r="7357" spans="1:13" x14ac:dyDescent="0.25">
      <c r="A7357" t="s">
        <v>24238</v>
      </c>
      <c r="B7357" t="s">
        <v>24239</v>
      </c>
      <c r="C7357" t="s">
        <v>15</v>
      </c>
      <c r="D7357" t="s">
        <v>873</v>
      </c>
      <c r="E7357" t="s">
        <v>21078</v>
      </c>
      <c r="F7357" t="s">
        <v>21085</v>
      </c>
      <c r="G7357" t="s">
        <v>24240</v>
      </c>
      <c r="H7357" t="str">
        <f>HYPERLINK("https://baanknet.com/view-property/243263/2757355C9177214BD6EBCA3FD1CF1A10606437F9D1AF470ED18D2A84F538E6CE", "https://baanknet.com/view-property/243263/2757355C9177214BD6EBCA3FD1CF1A10606437F9D1AF470ED18D2A84F538E6CE")</f>
        <v>https://baanknet.com/view-property/243263/2757355C9177214BD6EBCA3FD1CF1A10606437F9D1AF470ED18D2A84F538E6CE</v>
      </c>
      <c r="I7357" t="str">
        <f>HYPERLINK("https://baanknet.com/view-property/243263/2757355C9177214BD6EBCA3FD1CF1A10606437F9D1AF470ED18D2A84F538E6CE", "Open")</f>
        <v>Open</v>
      </c>
      <c r="J7357" t="s">
        <v>3803</v>
      </c>
      <c r="L7357">
        <v>4752000</v>
      </c>
      <c r="M7357">
        <v>475200</v>
      </c>
    </row>
    <row r="7358" spans="1:13" x14ac:dyDescent="0.25">
      <c r="A7358" t="s">
        <v>24241</v>
      </c>
      <c r="B7358" t="s">
        <v>24242</v>
      </c>
      <c r="C7358" t="s">
        <v>15</v>
      </c>
      <c r="D7358" t="s">
        <v>7328</v>
      </c>
      <c r="E7358" t="s">
        <v>21078</v>
      </c>
      <c r="F7358" t="s">
        <v>21085</v>
      </c>
      <c r="G7358" t="s">
        <v>24243</v>
      </c>
      <c r="H7358" t="str">
        <f>HYPERLINK("https://baanknet.com/view-property/204999/51B27EBE8CDB7C27321D2915E9100E6061657CCB740E5B5F7F89DC94B8BCB99B", "https://baanknet.com/view-property/204999/51B27EBE8CDB7C27321D2915E9100E6061657CCB740E5B5F7F89DC94B8BCB99B")</f>
        <v>https://baanknet.com/view-property/204999/51B27EBE8CDB7C27321D2915E9100E6061657CCB740E5B5F7F89DC94B8BCB99B</v>
      </c>
      <c r="I7358" t="str">
        <f>HYPERLINK("https://baanknet.com/view-property/204999/51B27EBE8CDB7C27321D2915E9100E6061657CCB740E5B5F7F89DC94B8BCB99B", "Open")</f>
        <v>Open</v>
      </c>
      <c r="J7358" t="s">
        <v>3803</v>
      </c>
      <c r="L7358">
        <v>47000000</v>
      </c>
      <c r="M7358">
        <v>4700000</v>
      </c>
    </row>
    <row r="7359" spans="1:13" x14ac:dyDescent="0.25">
      <c r="A7359" t="s">
        <v>24244</v>
      </c>
      <c r="B7359" t="s">
        <v>24245</v>
      </c>
      <c r="C7359" t="s">
        <v>121</v>
      </c>
      <c r="D7359" t="s">
        <v>24246</v>
      </c>
      <c r="E7359" t="s">
        <v>21334</v>
      </c>
      <c r="F7359" t="s">
        <v>649</v>
      </c>
      <c r="G7359" t="s">
        <v>24247</v>
      </c>
      <c r="H7359" t="str">
        <f>HYPERLINK("https://baanknet.com/view-property/224093/424EA855098447930727299528B8B910D472CB5F98A9693265977ECE3C62F6AF", "https://baanknet.com/view-property/224093/424EA855098447930727299528B8B910D472CB5F98A9693265977ECE3C62F6AF")</f>
        <v>https://baanknet.com/view-property/224093/424EA855098447930727299528B8B910D472CB5F98A9693265977ECE3C62F6AF</v>
      </c>
      <c r="I7359" t="str">
        <f>HYPERLINK("https://baanknet.com/view-property/224093/424EA855098447930727299528B8B910D472CB5F98A9693265977ECE3C62F6AF", "Open")</f>
        <v>Open</v>
      </c>
      <c r="J7359" t="s">
        <v>3803</v>
      </c>
      <c r="L7359">
        <v>8900000</v>
      </c>
      <c r="M7359">
        <v>890000</v>
      </c>
    </row>
    <row r="7360" spans="1:13" x14ac:dyDescent="0.25">
      <c r="A7360" t="s">
        <v>24248</v>
      </c>
      <c r="B7360" t="s">
        <v>24249</v>
      </c>
      <c r="C7360" t="s">
        <v>726</v>
      </c>
      <c r="D7360" t="s">
        <v>3289</v>
      </c>
      <c r="E7360" t="s">
        <v>648</v>
      </c>
      <c r="F7360" t="s">
        <v>21338</v>
      </c>
      <c r="G7360" t="s">
        <v>24250</v>
      </c>
      <c r="H7360" t="str">
        <f>HYPERLINK("https://baanknet.com/view-property/288400/8C972F20054F93A7568AA22117140A7A88FCA9A84843B22F0FF0095F55F3E15A", "https://baanknet.com/view-property/288400/8C972F20054F93A7568AA22117140A7A88FCA9A84843B22F0FF0095F55F3E15A")</f>
        <v>https://baanknet.com/view-property/288400/8C972F20054F93A7568AA22117140A7A88FCA9A84843B22F0FF0095F55F3E15A</v>
      </c>
      <c r="I7360" t="str">
        <f>HYPERLINK("https://baanknet.com/view-property/288400/8C972F20054F93A7568AA22117140A7A88FCA9A84843B22F0FF0095F55F3E15A", "Open")</f>
        <v>Open</v>
      </c>
      <c r="J7360" t="s">
        <v>3803</v>
      </c>
      <c r="L7360">
        <v>24750000</v>
      </c>
      <c r="M7360">
        <v>2475000</v>
      </c>
    </row>
    <row r="7361" spans="1:13" x14ac:dyDescent="0.25">
      <c r="A7361" t="s">
        <v>24251</v>
      </c>
      <c r="B7361" t="s">
        <v>24252</v>
      </c>
      <c r="C7361" t="s">
        <v>121</v>
      </c>
      <c r="D7361" t="s">
        <v>32</v>
      </c>
      <c r="E7361" t="s">
        <v>648</v>
      </c>
      <c r="F7361" t="s">
        <v>649</v>
      </c>
      <c r="G7361" t="s">
        <v>24253</v>
      </c>
      <c r="H7361" t="str">
        <f>HYPERLINK("https://baanknet.com/view-property/183339/3A43E969A02F891DFB968FCD4E2FE486704441ACDACB6E9C33769392F4651DE9", "https://baanknet.com/view-property/183339/3A43E969A02F891DFB968FCD4E2FE486704441ACDACB6E9C33769392F4651DE9")</f>
        <v>https://baanknet.com/view-property/183339/3A43E969A02F891DFB968FCD4E2FE486704441ACDACB6E9C33769392F4651DE9</v>
      </c>
      <c r="I7361" t="str">
        <f>HYPERLINK("https://baanknet.com/view-property/183339/3A43E969A02F891DFB968FCD4E2FE486704441ACDACB6E9C33769392F4651DE9", "Open")</f>
        <v>Open</v>
      </c>
      <c r="J7361" t="s">
        <v>3803</v>
      </c>
      <c r="L7361">
        <v>4277000</v>
      </c>
      <c r="M7361">
        <v>427700</v>
      </c>
    </row>
    <row r="7362" spans="1:13" x14ac:dyDescent="0.25">
      <c r="A7362" t="s">
        <v>24254</v>
      </c>
      <c r="B7362" t="s">
        <v>24255</v>
      </c>
      <c r="C7362" t="s">
        <v>121</v>
      </c>
      <c r="D7362" t="s">
        <v>32</v>
      </c>
      <c r="E7362" t="s">
        <v>648</v>
      </c>
      <c r="F7362" t="s">
        <v>649</v>
      </c>
      <c r="G7362" t="s">
        <v>24256</v>
      </c>
      <c r="H7362" t="str">
        <f>HYPERLINK("https://baanknet.com/view-property/183340/7D2A208893870780D2CAEE5C38A3C13C8976DA5DDF7D6E28E1066C5415C6CA7A", "https://baanknet.com/view-property/183340/7D2A208893870780D2CAEE5C38A3C13C8976DA5DDF7D6E28E1066C5415C6CA7A")</f>
        <v>https://baanknet.com/view-property/183340/7D2A208893870780D2CAEE5C38A3C13C8976DA5DDF7D6E28E1066C5415C6CA7A</v>
      </c>
      <c r="I7362" t="str">
        <f>HYPERLINK("https://baanknet.com/view-property/183340/7D2A208893870780D2CAEE5C38A3C13C8976DA5DDF7D6E28E1066C5415C6CA7A", "Open")</f>
        <v>Open</v>
      </c>
      <c r="J7362" t="s">
        <v>3803</v>
      </c>
      <c r="L7362">
        <v>4277000</v>
      </c>
      <c r="M7362">
        <v>427700</v>
      </c>
    </row>
    <row r="7363" spans="1:13" x14ac:dyDescent="0.25">
      <c r="A7363" t="s">
        <v>24257</v>
      </c>
      <c r="B7363" t="s">
        <v>24258</v>
      </c>
      <c r="C7363" t="s">
        <v>121</v>
      </c>
      <c r="D7363" t="s">
        <v>32</v>
      </c>
      <c r="E7363" t="s">
        <v>648</v>
      </c>
      <c r="F7363" t="s">
        <v>649</v>
      </c>
      <c r="G7363" t="s">
        <v>24259</v>
      </c>
      <c r="H7363" t="str">
        <f>HYPERLINK("https://baanknet.com/view-property/207672/F292A2B9FFF48B1F9A6A370E725C2A06819BB16F20023D1CA6FD8A9EC61B5E69", "https://baanknet.com/view-property/207672/F292A2B9FFF48B1F9A6A370E725C2A06819BB16F20023D1CA6FD8A9EC61B5E69")</f>
        <v>https://baanknet.com/view-property/207672/F292A2B9FFF48B1F9A6A370E725C2A06819BB16F20023D1CA6FD8A9EC61B5E69</v>
      </c>
      <c r="I7363" t="str">
        <f>HYPERLINK("https://baanknet.com/view-property/207672/F292A2B9FFF48B1F9A6A370E725C2A06819BB16F20023D1CA6FD8A9EC61B5E69", "Open")</f>
        <v>Open</v>
      </c>
      <c r="J7363" t="s">
        <v>3803</v>
      </c>
      <c r="L7363">
        <v>9560000</v>
      </c>
      <c r="M7363">
        <v>956000</v>
      </c>
    </row>
    <row r="7364" spans="1:13" x14ac:dyDescent="0.25">
      <c r="A7364" t="s">
        <v>24260</v>
      </c>
      <c r="B7364" t="s">
        <v>24261</v>
      </c>
      <c r="C7364" t="s">
        <v>121</v>
      </c>
      <c r="D7364" t="s">
        <v>497</v>
      </c>
      <c r="E7364" t="s">
        <v>648</v>
      </c>
      <c r="F7364" t="s">
        <v>649</v>
      </c>
      <c r="G7364" t="s">
        <v>24262</v>
      </c>
      <c r="H7364" t="str">
        <f>HYPERLINK("https://baanknet.com/view-property/177439/716A7D1E31A0CC1FF8A91A8AE8BB059F2238BA2CE317DDD018DBAE182B2D2F44", "https://baanknet.com/view-property/177439/716A7D1E31A0CC1FF8A91A8AE8BB059F2238BA2CE317DDD018DBAE182B2D2F44")</f>
        <v>https://baanknet.com/view-property/177439/716A7D1E31A0CC1FF8A91A8AE8BB059F2238BA2CE317DDD018DBAE182B2D2F44</v>
      </c>
      <c r="I7364" t="str">
        <f>HYPERLINK("https://baanknet.com/view-property/177439/716A7D1E31A0CC1FF8A91A8AE8BB059F2238BA2CE317DDD018DBAE182B2D2F44", "Open")</f>
        <v>Open</v>
      </c>
      <c r="J7364" t="s">
        <v>3803</v>
      </c>
      <c r="L7364">
        <v>5400000</v>
      </c>
      <c r="M7364">
        <v>540000</v>
      </c>
    </row>
    <row r="7365" spans="1:13" x14ac:dyDescent="0.25">
      <c r="A7365" t="s">
        <v>24263</v>
      </c>
      <c r="B7365" t="s">
        <v>24264</v>
      </c>
      <c r="C7365" t="s">
        <v>121</v>
      </c>
      <c r="D7365" t="s">
        <v>907</v>
      </c>
      <c r="E7365" t="s">
        <v>648</v>
      </c>
      <c r="F7365" t="s">
        <v>649</v>
      </c>
      <c r="G7365" t="s">
        <v>24265</v>
      </c>
      <c r="H7365" t="str">
        <f>HYPERLINK("https://baanknet.com/view-property/179102/A25A0FDFAB7478BED82608235D0D966AC6503FC7F3A7276369E568218D9202FC", "https://baanknet.com/view-property/179102/A25A0FDFAB7478BED82608235D0D966AC6503FC7F3A7276369E568218D9202FC")</f>
        <v>https://baanknet.com/view-property/179102/A25A0FDFAB7478BED82608235D0D966AC6503FC7F3A7276369E568218D9202FC</v>
      </c>
      <c r="I7365" t="str">
        <f>HYPERLINK("https://baanknet.com/view-property/179102/A25A0FDFAB7478BED82608235D0D966AC6503FC7F3A7276369E568218D9202FC", "Open")</f>
        <v>Open</v>
      </c>
      <c r="J7365" t="s">
        <v>3803</v>
      </c>
      <c r="L7365">
        <v>2990000</v>
      </c>
      <c r="M7365">
        <v>299000</v>
      </c>
    </row>
    <row r="7366" spans="1:13" x14ac:dyDescent="0.25">
      <c r="A7366" t="s">
        <v>24266</v>
      </c>
      <c r="B7366" t="s">
        <v>24267</v>
      </c>
      <c r="C7366" t="s">
        <v>121</v>
      </c>
      <c r="D7366" t="s">
        <v>4876</v>
      </c>
      <c r="E7366" t="s">
        <v>648</v>
      </c>
      <c r="F7366" t="s">
        <v>649</v>
      </c>
      <c r="G7366" t="s">
        <v>24268</v>
      </c>
      <c r="H7366" t="str">
        <f>HYPERLINK("https://baanknet.com/view-property/276823/2F4FC1127C290D7B8AEC3F33D01F38173E024803563E59B6F5C2BEFC1F0E4AC2", "https://baanknet.com/view-property/276823/2F4FC1127C290D7B8AEC3F33D01F38173E024803563E59B6F5C2BEFC1F0E4AC2")</f>
        <v>https://baanknet.com/view-property/276823/2F4FC1127C290D7B8AEC3F33D01F38173E024803563E59B6F5C2BEFC1F0E4AC2</v>
      </c>
      <c r="I7366" t="str">
        <f>HYPERLINK("https://baanknet.com/view-property/276823/2F4FC1127C290D7B8AEC3F33D01F38173E024803563E59B6F5C2BEFC1F0E4AC2", "Open")</f>
        <v>Open</v>
      </c>
      <c r="J7366" t="s">
        <v>3803</v>
      </c>
      <c r="L7366">
        <v>2205000</v>
      </c>
      <c r="M7366">
        <v>220500</v>
      </c>
    </row>
    <row r="7367" spans="1:13" x14ac:dyDescent="0.25">
      <c r="A7367" t="s">
        <v>24269</v>
      </c>
      <c r="B7367" t="s">
        <v>24270</v>
      </c>
      <c r="C7367" t="s">
        <v>121</v>
      </c>
      <c r="D7367" t="s">
        <v>4876</v>
      </c>
      <c r="E7367" t="s">
        <v>648</v>
      </c>
      <c r="F7367" t="s">
        <v>649</v>
      </c>
      <c r="G7367" t="s">
        <v>24271</v>
      </c>
      <c r="H7367" t="str">
        <f>HYPERLINK("https://baanknet.com/view-property/276535/4B249ECAA146891F670CA7DAD42030809F1FB9A9A76D7CD47472E23EFF5F195E", "https://baanknet.com/view-property/276535/4B249ECAA146891F670CA7DAD42030809F1FB9A9A76D7CD47472E23EFF5F195E")</f>
        <v>https://baanknet.com/view-property/276535/4B249ECAA146891F670CA7DAD42030809F1FB9A9A76D7CD47472E23EFF5F195E</v>
      </c>
      <c r="I7367" t="str">
        <f>HYPERLINK("https://baanknet.com/view-property/276535/4B249ECAA146891F670CA7DAD42030809F1FB9A9A76D7CD47472E23EFF5F195E", "Open")</f>
        <v>Open</v>
      </c>
      <c r="J7367" t="s">
        <v>3803</v>
      </c>
      <c r="L7367">
        <v>2800000</v>
      </c>
      <c r="M7367">
        <v>280000</v>
      </c>
    </row>
    <row r="7368" spans="1:13" x14ac:dyDescent="0.25">
      <c r="A7368" t="s">
        <v>24272</v>
      </c>
      <c r="B7368" t="s">
        <v>24273</v>
      </c>
      <c r="C7368" t="s">
        <v>121</v>
      </c>
      <c r="D7368" t="s">
        <v>497</v>
      </c>
      <c r="E7368" t="s">
        <v>648</v>
      </c>
      <c r="F7368" t="s">
        <v>649</v>
      </c>
      <c r="G7368" t="s">
        <v>24274</v>
      </c>
      <c r="H7368" t="str">
        <f>HYPERLINK("https://baanknet.com/view-property/177435/2C8D03D392F815AAC57D3F744692749B6AB4C004E7BC25264A1D7A7E7E6FC349", "https://baanknet.com/view-property/177435/2C8D03D392F815AAC57D3F744692749B6AB4C004E7BC25264A1D7A7E7E6FC349")</f>
        <v>https://baanknet.com/view-property/177435/2C8D03D392F815AAC57D3F744692749B6AB4C004E7BC25264A1D7A7E7E6FC349</v>
      </c>
      <c r="I7368" t="str">
        <f>HYPERLINK("https://baanknet.com/view-property/177435/2C8D03D392F815AAC57D3F744692749B6AB4C004E7BC25264A1D7A7E7E6FC349", "Open")</f>
        <v>Open</v>
      </c>
      <c r="J7368" t="s">
        <v>3803</v>
      </c>
      <c r="L7368">
        <v>3800000</v>
      </c>
      <c r="M7368">
        <v>380000</v>
      </c>
    </row>
    <row r="7369" spans="1:13" x14ac:dyDescent="0.25">
      <c r="A7369" t="s">
        <v>24275</v>
      </c>
      <c r="B7369" t="s">
        <v>24276</v>
      </c>
      <c r="C7369" t="s">
        <v>121</v>
      </c>
      <c r="D7369" t="s">
        <v>497</v>
      </c>
      <c r="E7369" t="s">
        <v>648</v>
      </c>
      <c r="F7369" t="s">
        <v>649</v>
      </c>
      <c r="G7369" t="s">
        <v>24277</v>
      </c>
      <c r="H7369" t="str">
        <f>HYPERLINK("https://baanknet.com/view-property/179096/DB912BA3CF0FB24CEF9182A845DEEE4EDFCEB24F77FC057142FFE67DA8948A5D", "https://baanknet.com/view-property/179096/DB912BA3CF0FB24CEF9182A845DEEE4EDFCEB24F77FC057142FFE67DA8948A5D")</f>
        <v>https://baanknet.com/view-property/179096/DB912BA3CF0FB24CEF9182A845DEEE4EDFCEB24F77FC057142FFE67DA8948A5D</v>
      </c>
      <c r="I7369" t="str">
        <f>HYPERLINK("https://baanknet.com/view-property/179096/DB912BA3CF0FB24CEF9182A845DEEE4EDFCEB24F77FC057142FFE67DA8948A5D", "Open")</f>
        <v>Open</v>
      </c>
      <c r="J7369" t="s">
        <v>3803</v>
      </c>
      <c r="L7369">
        <v>3060000</v>
      </c>
      <c r="M7369">
        <v>306000</v>
      </c>
    </row>
    <row r="7370" spans="1:13" x14ac:dyDescent="0.25">
      <c r="A7370" t="s">
        <v>24278</v>
      </c>
      <c r="B7370" t="s">
        <v>24279</v>
      </c>
      <c r="C7370" t="s">
        <v>121</v>
      </c>
      <c r="D7370" t="s">
        <v>24280</v>
      </c>
      <c r="E7370" t="s">
        <v>648</v>
      </c>
      <c r="F7370" t="s">
        <v>649</v>
      </c>
      <c r="G7370" t="s">
        <v>24281</v>
      </c>
      <c r="H7370" t="str">
        <f>HYPERLINK("https://baanknet.com/view-property/264868/9C3EF39653B4CDBFD4DB7E0BB31BAA7152E316A3D0ED887867D6154BF85FADE5", "https://baanknet.com/view-property/264868/9C3EF39653B4CDBFD4DB7E0BB31BAA7152E316A3D0ED887867D6154BF85FADE5")</f>
        <v>https://baanknet.com/view-property/264868/9C3EF39653B4CDBFD4DB7E0BB31BAA7152E316A3D0ED887867D6154BF85FADE5</v>
      </c>
      <c r="I7370" t="str">
        <f>HYPERLINK("https://baanknet.com/view-property/264868/9C3EF39653B4CDBFD4DB7E0BB31BAA7152E316A3D0ED887867D6154BF85FADE5", "Open")</f>
        <v>Open</v>
      </c>
      <c r="J7370" t="s">
        <v>3803</v>
      </c>
      <c r="L7370">
        <v>1800000</v>
      </c>
      <c r="M7370">
        <v>180000</v>
      </c>
    </row>
    <row r="7371" spans="1:13" x14ac:dyDescent="0.25">
      <c r="A7371" t="s">
        <v>24282</v>
      </c>
      <c r="B7371" t="s">
        <v>24283</v>
      </c>
      <c r="C7371" t="s">
        <v>121</v>
      </c>
      <c r="D7371" t="s">
        <v>24284</v>
      </c>
      <c r="E7371" t="s">
        <v>648</v>
      </c>
      <c r="F7371" t="s">
        <v>649</v>
      </c>
      <c r="G7371" t="s">
        <v>24285</v>
      </c>
      <c r="H7371" t="str">
        <f>HYPERLINK("https://baanknet.com/view-property/185005/E2F1ADA8B7C4F469B0F630B240EB5A4456C3D5A5FF9CE3A4BF0F0D141241BE67", "https://baanknet.com/view-property/185005/E2F1ADA8B7C4F469B0F630B240EB5A4456C3D5A5FF9CE3A4BF0F0D141241BE67")</f>
        <v>https://baanknet.com/view-property/185005/E2F1ADA8B7C4F469B0F630B240EB5A4456C3D5A5FF9CE3A4BF0F0D141241BE67</v>
      </c>
      <c r="I7371" t="str">
        <f>HYPERLINK("https://baanknet.com/view-property/185005/E2F1ADA8B7C4F469B0F630B240EB5A4456C3D5A5FF9CE3A4BF0F0D141241BE67", "Open")</f>
        <v>Open</v>
      </c>
      <c r="J7371" t="s">
        <v>3803</v>
      </c>
      <c r="L7371">
        <v>1091000</v>
      </c>
      <c r="M7371">
        <v>109100</v>
      </c>
    </row>
    <row r="7372" spans="1:13" x14ac:dyDescent="0.25">
      <c r="A7372" t="s">
        <v>24286</v>
      </c>
      <c r="B7372" t="s">
        <v>24287</v>
      </c>
      <c r="C7372" t="s">
        <v>15</v>
      </c>
      <c r="D7372" t="s">
        <v>24288</v>
      </c>
      <c r="E7372" t="s">
        <v>21650</v>
      </c>
      <c r="F7372" t="s">
        <v>21654</v>
      </c>
      <c r="G7372" t="s">
        <v>24289</v>
      </c>
      <c r="H7372" t="str">
        <f>HYPERLINK("https://baanknet.com/view-property/287760/BFAEC1EF589E5CA9A3C62CE4391D6AA60906565E4F340CADB3238CA5636CEEA5", "https://baanknet.com/view-property/287760/BFAEC1EF589E5CA9A3C62CE4391D6AA60906565E4F340CADB3238CA5636CEEA5")</f>
        <v>https://baanknet.com/view-property/287760/BFAEC1EF589E5CA9A3C62CE4391D6AA60906565E4F340CADB3238CA5636CEEA5</v>
      </c>
      <c r="I7372" t="str">
        <f>HYPERLINK("https://baanknet.com/view-property/287760/BFAEC1EF589E5CA9A3C62CE4391D6AA60906565E4F340CADB3238CA5636CEEA5", "Open")</f>
        <v>Open</v>
      </c>
      <c r="J7372" t="s">
        <v>3803</v>
      </c>
      <c r="L7372">
        <v>3180000</v>
      </c>
      <c r="M7372">
        <v>318000</v>
      </c>
    </row>
    <row r="7373" spans="1:13" x14ac:dyDescent="0.25">
      <c r="A7373" t="s">
        <v>24290</v>
      </c>
      <c r="B7373" t="s">
        <v>24291</v>
      </c>
      <c r="C7373" t="s">
        <v>144</v>
      </c>
      <c r="D7373" t="s">
        <v>813</v>
      </c>
      <c r="E7373" t="s">
        <v>24104</v>
      </c>
      <c r="F7373" t="s">
        <v>24143</v>
      </c>
      <c r="G7373" t="s">
        <v>24292</v>
      </c>
      <c r="H7373" t="str">
        <f>HYPERLINK("https://baanknet.com/view-property/288153/ECB6A56CD40BA425A089D905CE2BDF1AD95937F8D6E012BCB53D34411C375AC7", "https://baanknet.com/view-property/288153/ECB6A56CD40BA425A089D905CE2BDF1AD95937F8D6E012BCB53D34411C375AC7")</f>
        <v>https://baanknet.com/view-property/288153/ECB6A56CD40BA425A089D905CE2BDF1AD95937F8D6E012BCB53D34411C375AC7</v>
      </c>
      <c r="I7373" t="str">
        <f>HYPERLINK("https://baanknet.com/view-property/288153/ECB6A56CD40BA425A089D905CE2BDF1AD95937F8D6E012BCB53D34411C375AC7", "Open")</f>
        <v>Open</v>
      </c>
      <c r="J7373" t="s">
        <v>3803</v>
      </c>
      <c r="L7373">
        <v>2324000</v>
      </c>
      <c r="M7373">
        <v>232400</v>
      </c>
    </row>
    <row r="7374" spans="1:13" x14ac:dyDescent="0.25">
      <c r="A7374" t="s">
        <v>24293</v>
      </c>
      <c r="B7374" t="s">
        <v>24294</v>
      </c>
      <c r="C7374" t="s">
        <v>144</v>
      </c>
      <c r="D7374" t="s">
        <v>813</v>
      </c>
      <c r="E7374" t="s">
        <v>24104</v>
      </c>
      <c r="F7374" t="s">
        <v>24143</v>
      </c>
      <c r="G7374" t="s">
        <v>24295</v>
      </c>
      <c r="H7374" t="str">
        <f>HYPERLINK("https://baanknet.com/view-property/288141/10EA86963F44A92E5078DBFB51E49C6DE2634CFBAE2012622E1692E014B70522", "https://baanknet.com/view-property/288141/10EA86963F44A92E5078DBFB51E49C6DE2634CFBAE2012622E1692E014B70522")</f>
        <v>https://baanknet.com/view-property/288141/10EA86963F44A92E5078DBFB51E49C6DE2634CFBAE2012622E1692E014B70522</v>
      </c>
      <c r="I7374" t="str">
        <f>HYPERLINK("https://baanknet.com/view-property/288141/10EA86963F44A92E5078DBFB51E49C6DE2634CFBAE2012622E1692E014B70522", "Open")</f>
        <v>Open</v>
      </c>
      <c r="J7374" t="s">
        <v>3803</v>
      </c>
      <c r="L7374">
        <v>4868000</v>
      </c>
      <c r="M7374">
        <v>486800</v>
      </c>
    </row>
    <row r="7375" spans="1:13" x14ac:dyDescent="0.25">
      <c r="A7375" t="s">
        <v>24296</v>
      </c>
      <c r="B7375" t="s">
        <v>24297</v>
      </c>
      <c r="C7375" t="s">
        <v>144</v>
      </c>
      <c r="D7375" t="s">
        <v>5829</v>
      </c>
      <c r="E7375" t="s">
        <v>24104</v>
      </c>
      <c r="F7375" t="s">
        <v>24143</v>
      </c>
      <c r="G7375" t="s">
        <v>24298</v>
      </c>
      <c r="H7375" t="str">
        <f>HYPERLINK("https://baanknet.com/view-property/288128/FC251FCA6C4E74058566F75571F5A36729ADF5331066B9D258689B3359839EE4", "https://baanknet.com/view-property/288128/FC251FCA6C4E74058566F75571F5A36729ADF5331066B9D258689B3359839EE4")</f>
        <v>https://baanknet.com/view-property/288128/FC251FCA6C4E74058566F75571F5A36729ADF5331066B9D258689B3359839EE4</v>
      </c>
      <c r="I7375" t="str">
        <f>HYPERLINK("https://baanknet.com/view-property/288128/FC251FCA6C4E74058566F75571F5A36729ADF5331066B9D258689B3359839EE4", "Open")</f>
        <v>Open</v>
      </c>
      <c r="J7375" t="s">
        <v>3803</v>
      </c>
      <c r="L7375">
        <v>2109000</v>
      </c>
      <c r="M7375">
        <v>210900</v>
      </c>
    </row>
    <row r="7376" spans="1:13" x14ac:dyDescent="0.25">
      <c r="A7376" t="s">
        <v>24299</v>
      </c>
      <c r="B7376" t="s">
        <v>24300</v>
      </c>
      <c r="C7376" t="s">
        <v>144</v>
      </c>
      <c r="D7376" t="s">
        <v>5829</v>
      </c>
      <c r="E7376" t="s">
        <v>24104</v>
      </c>
      <c r="F7376" t="s">
        <v>24143</v>
      </c>
      <c r="G7376" t="s">
        <v>24301</v>
      </c>
      <c r="H7376" t="str">
        <f>HYPERLINK("https://baanknet.com/view-property/288111/2B1AFC4B52A9269E4E88E4D59AE6376B9CEE5E87492E15D7619F593CD14D4C11", "https://baanknet.com/view-property/288111/2B1AFC4B52A9269E4E88E4D59AE6376B9CEE5E87492E15D7619F593CD14D4C11")</f>
        <v>https://baanknet.com/view-property/288111/2B1AFC4B52A9269E4E88E4D59AE6376B9CEE5E87492E15D7619F593CD14D4C11</v>
      </c>
      <c r="I7376" t="str">
        <f>HYPERLINK("https://baanknet.com/view-property/288111/2B1AFC4B52A9269E4E88E4D59AE6376B9CEE5E87492E15D7619F593CD14D4C11", "Open")</f>
        <v>Open</v>
      </c>
      <c r="J7376" t="s">
        <v>3803</v>
      </c>
      <c r="L7376">
        <v>783000</v>
      </c>
      <c r="M7376">
        <v>78300</v>
      </c>
    </row>
    <row r="7377" spans="1:13" x14ac:dyDescent="0.25">
      <c r="A7377" t="s">
        <v>24302</v>
      </c>
      <c r="B7377" t="s">
        <v>24303</v>
      </c>
      <c r="C7377" t="s">
        <v>144</v>
      </c>
      <c r="D7377" t="s">
        <v>1366</v>
      </c>
      <c r="E7377" t="s">
        <v>24104</v>
      </c>
      <c r="F7377" t="s">
        <v>24143</v>
      </c>
      <c r="G7377" t="s">
        <v>24304</v>
      </c>
      <c r="H7377" t="str">
        <f>HYPERLINK("https://baanknet.com/view-property/288094/ADF4256087CF637A497D4E0894BA1EBEFF9DF127647768AFB4F7309B65B7E372", "https://baanknet.com/view-property/288094/ADF4256087CF637A497D4E0894BA1EBEFF9DF127647768AFB4F7309B65B7E372")</f>
        <v>https://baanknet.com/view-property/288094/ADF4256087CF637A497D4E0894BA1EBEFF9DF127647768AFB4F7309B65B7E372</v>
      </c>
      <c r="I7377" t="str">
        <f>HYPERLINK("https://baanknet.com/view-property/288094/ADF4256087CF637A497D4E0894BA1EBEFF9DF127647768AFB4F7309B65B7E372", "Open")</f>
        <v>Open</v>
      </c>
      <c r="J7377" t="s">
        <v>3803</v>
      </c>
      <c r="L7377">
        <v>5182000</v>
      </c>
      <c r="M7377">
        <v>518200</v>
      </c>
    </row>
    <row r="7378" spans="1:13" x14ac:dyDescent="0.25">
      <c r="A7378" t="s">
        <v>24305</v>
      </c>
      <c r="B7378" t="s">
        <v>24306</v>
      </c>
      <c r="C7378" t="s">
        <v>144</v>
      </c>
      <c r="D7378" t="s">
        <v>813</v>
      </c>
      <c r="E7378" t="s">
        <v>24104</v>
      </c>
      <c r="F7378" t="s">
        <v>24143</v>
      </c>
      <c r="G7378" t="s">
        <v>24307</v>
      </c>
      <c r="H7378" t="str">
        <f>HYPERLINK("https://baanknet.com/view-property/288139/2F9D3E8FBB2D130CE33442597796E7E2B9BFD5C55E37C161F895DD1398842B8E", "https://baanknet.com/view-property/288139/2F9D3E8FBB2D130CE33442597796E7E2B9BFD5C55E37C161F895DD1398842B8E")</f>
        <v>https://baanknet.com/view-property/288139/2F9D3E8FBB2D130CE33442597796E7E2B9BFD5C55E37C161F895DD1398842B8E</v>
      </c>
      <c r="I7378" t="str">
        <f>HYPERLINK("https://baanknet.com/view-property/288139/2F9D3E8FBB2D130CE33442597796E7E2B9BFD5C55E37C161F895DD1398842B8E", "Open")</f>
        <v>Open</v>
      </c>
      <c r="J7378" t="s">
        <v>3803</v>
      </c>
      <c r="L7378">
        <v>1639000</v>
      </c>
      <c r="M7378">
        <v>163900</v>
      </c>
    </row>
    <row r="7379" spans="1:13" x14ac:dyDescent="0.25">
      <c r="A7379" t="s">
        <v>24308</v>
      </c>
      <c r="B7379" t="s">
        <v>24309</v>
      </c>
      <c r="C7379" t="s">
        <v>144</v>
      </c>
      <c r="D7379" t="s">
        <v>813</v>
      </c>
      <c r="E7379" t="s">
        <v>24104</v>
      </c>
      <c r="F7379" t="s">
        <v>24143</v>
      </c>
      <c r="G7379" t="s">
        <v>24310</v>
      </c>
      <c r="H7379" t="str">
        <f>HYPERLINK("https://baanknet.com/view-property/288130/9B2B51D3D3F1DD52E06EE58CC063BED5A2F8A57BFA5033EAD34F2A797E598F27", "https://baanknet.com/view-property/288130/9B2B51D3D3F1DD52E06EE58CC063BED5A2F8A57BFA5033EAD34F2A797E598F27")</f>
        <v>https://baanknet.com/view-property/288130/9B2B51D3D3F1DD52E06EE58CC063BED5A2F8A57BFA5033EAD34F2A797E598F27</v>
      </c>
      <c r="I7379" t="str">
        <f>HYPERLINK("https://baanknet.com/view-property/288130/9B2B51D3D3F1DD52E06EE58CC063BED5A2F8A57BFA5033EAD34F2A797E598F27", "Open")</f>
        <v>Open</v>
      </c>
      <c r="J7379" t="s">
        <v>3803</v>
      </c>
      <c r="L7379">
        <v>1202000</v>
      </c>
      <c r="M7379">
        <v>120200</v>
      </c>
    </row>
    <row r="7380" spans="1:13" x14ac:dyDescent="0.25">
      <c r="A7380" t="s">
        <v>24311</v>
      </c>
      <c r="B7380" t="s">
        <v>24312</v>
      </c>
      <c r="C7380" t="s">
        <v>144</v>
      </c>
      <c r="D7380" t="s">
        <v>813</v>
      </c>
      <c r="E7380" t="s">
        <v>24104</v>
      </c>
      <c r="F7380" t="s">
        <v>24143</v>
      </c>
      <c r="G7380" t="s">
        <v>24313</v>
      </c>
      <c r="H7380" t="str">
        <f>HYPERLINK("https://baanknet.com/view-property/274422/EF76BBF4F56C5012E3685BC75B77F753A36004858CC6BB201D996B5FBBF09491", "https://baanknet.com/view-property/274422/EF76BBF4F56C5012E3685BC75B77F753A36004858CC6BB201D996B5FBBF09491")</f>
        <v>https://baanknet.com/view-property/274422/EF76BBF4F56C5012E3685BC75B77F753A36004858CC6BB201D996B5FBBF09491</v>
      </c>
      <c r="I7380" t="str">
        <f>HYPERLINK("https://baanknet.com/view-property/274422/EF76BBF4F56C5012E3685BC75B77F753A36004858CC6BB201D996B5FBBF09491", "Open")</f>
        <v>Open</v>
      </c>
      <c r="J7380" t="s">
        <v>3803</v>
      </c>
      <c r="L7380">
        <v>3550000</v>
      </c>
      <c r="M7380">
        <v>355000</v>
      </c>
    </row>
    <row r="7381" spans="1:13" x14ac:dyDescent="0.25">
      <c r="A7381" t="s">
        <v>24314</v>
      </c>
      <c r="B7381" t="s">
        <v>24315</v>
      </c>
      <c r="C7381" t="s">
        <v>15</v>
      </c>
      <c r="D7381" t="s">
        <v>608</v>
      </c>
      <c r="E7381" t="s">
        <v>24105</v>
      </c>
      <c r="F7381" t="s">
        <v>24129</v>
      </c>
      <c r="G7381" t="s">
        <v>24316</v>
      </c>
      <c r="H7381" t="str">
        <f>HYPERLINK("https://baanknet.com/view-property/288394/5670C882B4F60B8DCFA2D7D7B16FD08D3DE8B4E7ACDB3EEE507B1675ED17C826", "https://baanknet.com/view-property/288394/5670C882B4F60B8DCFA2D7D7B16FD08D3DE8B4E7ACDB3EEE507B1675ED17C826")</f>
        <v>https://baanknet.com/view-property/288394/5670C882B4F60B8DCFA2D7D7B16FD08D3DE8B4E7ACDB3EEE507B1675ED17C826</v>
      </c>
      <c r="I7381" t="str">
        <f>HYPERLINK("https://baanknet.com/view-property/288394/5670C882B4F60B8DCFA2D7D7B16FD08D3DE8B4E7ACDB3EEE507B1675ED17C826", "Open")</f>
        <v>Open</v>
      </c>
      <c r="J7381" t="s">
        <v>3803</v>
      </c>
      <c r="L7381">
        <v>38700000</v>
      </c>
      <c r="M7381">
        <v>3870000</v>
      </c>
    </row>
    <row r="7382" spans="1:13" x14ac:dyDescent="0.25">
      <c r="A7382" t="s">
        <v>24317</v>
      </c>
      <c r="B7382" t="s">
        <v>24318</v>
      </c>
      <c r="C7382" t="s">
        <v>15</v>
      </c>
      <c r="D7382" t="s">
        <v>608</v>
      </c>
      <c r="E7382" t="s">
        <v>24105</v>
      </c>
      <c r="F7382" t="s">
        <v>24129</v>
      </c>
      <c r="G7382" t="s">
        <v>24319</v>
      </c>
      <c r="H7382" t="str">
        <f>HYPERLINK("https://baanknet.com/view-property/288398/A8A348BA815DE6F5A2253979611E250FBEC5DDD5CB43D1182463A10B03FE5D9F", "https://baanknet.com/view-property/288398/A8A348BA815DE6F5A2253979611E250FBEC5DDD5CB43D1182463A10B03FE5D9F")</f>
        <v>https://baanknet.com/view-property/288398/A8A348BA815DE6F5A2253979611E250FBEC5DDD5CB43D1182463A10B03FE5D9F</v>
      </c>
      <c r="I7382" t="str">
        <f>HYPERLINK("https://baanknet.com/view-property/288398/A8A348BA815DE6F5A2253979611E250FBEC5DDD5CB43D1182463A10B03FE5D9F", "Open")</f>
        <v>Open</v>
      </c>
      <c r="J7382" t="s">
        <v>3803</v>
      </c>
      <c r="L7382">
        <v>88100000</v>
      </c>
      <c r="M7382">
        <v>8810000</v>
      </c>
    </row>
    <row r="7383" spans="1:13" x14ac:dyDescent="0.25">
      <c r="A7383" t="s">
        <v>24320</v>
      </c>
      <c r="B7383" t="s">
        <v>24321</v>
      </c>
      <c r="C7383" t="s">
        <v>15</v>
      </c>
      <c r="D7383" t="s">
        <v>608</v>
      </c>
      <c r="E7383" t="s">
        <v>24105</v>
      </c>
      <c r="F7383" t="s">
        <v>24129</v>
      </c>
      <c r="G7383" t="s">
        <v>24322</v>
      </c>
      <c r="H7383" t="str">
        <f>HYPERLINK("https://baanknet.com/view-property/288403/B78DB1DF639384C0C9A8BA3901A308219180F9E1A0FA9632D6BFC66ACC10CD33", "https://baanknet.com/view-property/288403/B78DB1DF639384C0C9A8BA3901A308219180F9E1A0FA9632D6BFC66ACC10CD33")</f>
        <v>https://baanknet.com/view-property/288403/B78DB1DF639384C0C9A8BA3901A308219180F9E1A0FA9632D6BFC66ACC10CD33</v>
      </c>
      <c r="I7383" t="str">
        <f>HYPERLINK("https://baanknet.com/view-property/288403/B78DB1DF639384C0C9A8BA3901A308219180F9E1A0FA9632D6BFC66ACC10CD33", "Open")</f>
        <v>Open</v>
      </c>
      <c r="J7383" t="s">
        <v>3803</v>
      </c>
      <c r="L7383">
        <v>32000000</v>
      </c>
      <c r="M7383">
        <v>3200000</v>
      </c>
    </row>
    <row r="7384" spans="1:13" x14ac:dyDescent="0.25">
      <c r="A7384" t="s">
        <v>24323</v>
      </c>
      <c r="B7384" t="s">
        <v>24324</v>
      </c>
      <c r="C7384" t="s">
        <v>121</v>
      </c>
      <c r="D7384" t="s">
        <v>1892</v>
      </c>
      <c r="E7384" t="s">
        <v>11024</v>
      </c>
      <c r="F7384" t="s">
        <v>11004</v>
      </c>
      <c r="G7384" t="s">
        <v>24325</v>
      </c>
      <c r="H7384" t="str">
        <f>HYPERLINK("https://baanknet.com/view-property/282547/F05B1D4ECEE129C3174523DBB588F5B575B1E223FD0112568102DC8B56E61333", "https://baanknet.com/view-property/282547/F05B1D4ECEE129C3174523DBB588F5B575B1E223FD0112568102DC8B56E61333")</f>
        <v>https://baanknet.com/view-property/282547/F05B1D4ECEE129C3174523DBB588F5B575B1E223FD0112568102DC8B56E61333</v>
      </c>
      <c r="I7384" t="str">
        <f>HYPERLINK("https://baanknet.com/view-property/282547/F05B1D4ECEE129C3174523DBB588F5B575B1E223FD0112568102DC8B56E61333", "Open")</f>
        <v>Open</v>
      </c>
      <c r="J7384" t="s">
        <v>3803</v>
      </c>
      <c r="L7384">
        <v>817000</v>
      </c>
      <c r="M7384">
        <v>82000</v>
      </c>
    </row>
    <row r="7385" spans="1:13" x14ac:dyDescent="0.25">
      <c r="A7385" t="s">
        <v>24326</v>
      </c>
      <c r="B7385" t="s">
        <v>24327</v>
      </c>
      <c r="C7385" t="s">
        <v>15</v>
      </c>
      <c r="D7385" t="s">
        <v>526</v>
      </c>
      <c r="E7385" t="s">
        <v>11981</v>
      </c>
      <c r="F7385" t="s">
        <v>11048</v>
      </c>
      <c r="G7385" t="s">
        <v>24328</v>
      </c>
      <c r="H7385" t="str">
        <f>HYPERLINK("https://baanknet.com/view-property/286226/0ACB85A39F7144F60FC8260D5B12D006B74AE39082CB20A31504AFE58680F587", "https://baanknet.com/view-property/286226/0ACB85A39F7144F60FC8260D5B12D006B74AE39082CB20A31504AFE58680F587")</f>
        <v>https://baanknet.com/view-property/286226/0ACB85A39F7144F60FC8260D5B12D006B74AE39082CB20A31504AFE58680F587</v>
      </c>
      <c r="I7385" t="str">
        <f>HYPERLINK("https://baanknet.com/view-property/286226/0ACB85A39F7144F60FC8260D5B12D006B74AE39082CB20A31504AFE58680F587", "Open")</f>
        <v>Open</v>
      </c>
      <c r="J7385" t="s">
        <v>3803</v>
      </c>
      <c r="L7385">
        <v>3000000</v>
      </c>
      <c r="M7385">
        <v>300000</v>
      </c>
    </row>
    <row r="7386" spans="1:13" x14ac:dyDescent="0.25">
      <c r="A7386" t="s">
        <v>24329</v>
      </c>
      <c r="B7386" t="s">
        <v>24330</v>
      </c>
      <c r="C7386" t="s">
        <v>83</v>
      </c>
      <c r="D7386" t="s">
        <v>608</v>
      </c>
      <c r="E7386" t="s">
        <v>18837</v>
      </c>
      <c r="F7386" t="s">
        <v>19096</v>
      </c>
      <c r="G7386" t="s">
        <v>24331</v>
      </c>
      <c r="H7386" t="str">
        <f>HYPERLINK("https://baanknet.com/view-property/240598/94E66B0C870FB08357B21027D23D41D37274E35ADE40514BC62D401DC7A37739", "https://baanknet.com/view-property/240598/94E66B0C870FB08357B21027D23D41D37274E35ADE40514BC62D401DC7A37739")</f>
        <v>https://baanknet.com/view-property/240598/94E66B0C870FB08357B21027D23D41D37274E35ADE40514BC62D401DC7A37739</v>
      </c>
      <c r="I7386" t="str">
        <f>HYPERLINK("https://baanknet.com/view-property/240598/94E66B0C870FB08357B21027D23D41D37274E35ADE40514BC62D401DC7A37739", "Open")</f>
        <v>Open</v>
      </c>
      <c r="J7386" t="s">
        <v>3803</v>
      </c>
      <c r="L7386">
        <v>45700000</v>
      </c>
      <c r="M7386">
        <v>4570000</v>
      </c>
    </row>
    <row r="7387" spans="1:13" x14ac:dyDescent="0.25">
      <c r="A7387" t="s">
        <v>24332</v>
      </c>
      <c r="B7387" t="s">
        <v>24333</v>
      </c>
      <c r="C7387" t="s">
        <v>83</v>
      </c>
      <c r="D7387" t="s">
        <v>1807</v>
      </c>
      <c r="E7387" t="s">
        <v>18837</v>
      </c>
      <c r="F7387" t="s">
        <v>19096</v>
      </c>
      <c r="G7387" t="s">
        <v>24334</v>
      </c>
      <c r="H7387" t="str">
        <f>HYPERLINK("https://baanknet.com/view-property/282404/D257BFC038C0691A10E8F062CE146AA497912297BDEB2BB21F5B335515CA2D47", "https://baanknet.com/view-property/282404/D257BFC038C0691A10E8F062CE146AA497912297BDEB2BB21F5B335515CA2D47")</f>
        <v>https://baanknet.com/view-property/282404/D257BFC038C0691A10E8F062CE146AA497912297BDEB2BB21F5B335515CA2D47</v>
      </c>
      <c r="I7387" t="str">
        <f>HYPERLINK("https://baanknet.com/view-property/282404/D257BFC038C0691A10E8F062CE146AA497912297BDEB2BB21F5B335515CA2D47", "Open")</f>
        <v>Open</v>
      </c>
      <c r="J7387" t="s">
        <v>3803</v>
      </c>
      <c r="L7387">
        <v>4250000</v>
      </c>
      <c r="M7387">
        <v>425000</v>
      </c>
    </row>
    <row r="7388" spans="1:13" x14ac:dyDescent="0.25">
      <c r="A7388" t="s">
        <v>24335</v>
      </c>
      <c r="B7388" t="s">
        <v>24336</v>
      </c>
      <c r="C7388" t="s">
        <v>83</v>
      </c>
      <c r="D7388" t="s">
        <v>2742</v>
      </c>
      <c r="E7388" t="s">
        <v>18837</v>
      </c>
      <c r="F7388" t="s">
        <v>19096</v>
      </c>
      <c r="G7388" t="s">
        <v>24337</v>
      </c>
      <c r="H7388" t="str">
        <f>HYPERLINK("https://baanknet.com/view-property/282390/4DC8C8868F9B317102BBE2A785E0B046B8243242C4ACDA4D70A27010B7BFBBF4", "https://baanknet.com/view-property/282390/4DC8C8868F9B317102BBE2A785E0B046B8243242C4ACDA4D70A27010B7BFBBF4")</f>
        <v>https://baanknet.com/view-property/282390/4DC8C8868F9B317102BBE2A785E0B046B8243242C4ACDA4D70A27010B7BFBBF4</v>
      </c>
      <c r="I7388" t="str">
        <f>HYPERLINK("https://baanknet.com/view-property/282390/4DC8C8868F9B317102BBE2A785E0B046B8243242C4ACDA4D70A27010B7BFBBF4", "Open")</f>
        <v>Open</v>
      </c>
      <c r="J7388" t="s">
        <v>3803</v>
      </c>
      <c r="L7388">
        <v>3420000</v>
      </c>
      <c r="M7388">
        <v>342000</v>
      </c>
    </row>
    <row r="7389" spans="1:13" x14ac:dyDescent="0.25">
      <c r="A7389" t="s">
        <v>24338</v>
      </c>
      <c r="B7389" t="s">
        <v>24339</v>
      </c>
      <c r="C7389" t="s">
        <v>83</v>
      </c>
      <c r="D7389" t="s">
        <v>24340</v>
      </c>
      <c r="E7389" t="s">
        <v>18837</v>
      </c>
      <c r="F7389" t="s">
        <v>19096</v>
      </c>
      <c r="G7389" t="s">
        <v>24341</v>
      </c>
      <c r="H7389" t="str">
        <f>HYPERLINK("https://baanknet.com/view-property/280906/AE35CF82F7A74E99D022902CCFC1D0998A33C07AA3A2D609C37F0BBDE6ABC6C7", "https://baanknet.com/view-property/280906/AE35CF82F7A74E99D022902CCFC1D0998A33C07AA3A2D609C37F0BBDE6ABC6C7")</f>
        <v>https://baanknet.com/view-property/280906/AE35CF82F7A74E99D022902CCFC1D0998A33C07AA3A2D609C37F0BBDE6ABC6C7</v>
      </c>
      <c r="I7389" t="str">
        <f>HYPERLINK("https://baanknet.com/view-property/280906/AE35CF82F7A74E99D022902CCFC1D0998A33C07AA3A2D609C37F0BBDE6ABC6C7", "Open")</f>
        <v>Open</v>
      </c>
      <c r="J7389" t="s">
        <v>3803</v>
      </c>
      <c r="L7389">
        <v>1130000</v>
      </c>
      <c r="M7389">
        <v>113000</v>
      </c>
    </row>
    <row r="7390" spans="1:13" x14ac:dyDescent="0.25">
      <c r="A7390" t="s">
        <v>24342</v>
      </c>
      <c r="B7390" t="s">
        <v>24343</v>
      </c>
      <c r="C7390" t="s">
        <v>83</v>
      </c>
      <c r="D7390" t="s">
        <v>9997</v>
      </c>
      <c r="E7390" t="s">
        <v>18837</v>
      </c>
      <c r="F7390" t="s">
        <v>19096</v>
      </c>
      <c r="G7390" t="s">
        <v>24344</v>
      </c>
      <c r="H7390" t="str">
        <f>HYPERLINK("https://baanknet.com/view-property/274907/FBECA27733420BF7E4AFFD380721EFD7F9B8228ABA4F3E6FA87A51CD783DBB82", "https://baanknet.com/view-property/274907/FBECA27733420BF7E4AFFD380721EFD7F9B8228ABA4F3E6FA87A51CD783DBB82")</f>
        <v>https://baanknet.com/view-property/274907/FBECA27733420BF7E4AFFD380721EFD7F9B8228ABA4F3E6FA87A51CD783DBB82</v>
      </c>
      <c r="I7390" t="str">
        <f>HYPERLINK("https://baanknet.com/view-property/274907/FBECA27733420BF7E4AFFD380721EFD7F9B8228ABA4F3E6FA87A51CD783DBB82", "Open")</f>
        <v>Open</v>
      </c>
      <c r="J7390" t="s">
        <v>3803</v>
      </c>
      <c r="L7390">
        <v>525000</v>
      </c>
      <c r="M7390">
        <v>52500</v>
      </c>
    </row>
    <row r="7391" spans="1:13" x14ac:dyDescent="0.25">
      <c r="A7391" t="s">
        <v>24345</v>
      </c>
      <c r="B7391" t="s">
        <v>24346</v>
      </c>
      <c r="C7391" t="s">
        <v>83</v>
      </c>
      <c r="D7391" t="s">
        <v>1488</v>
      </c>
      <c r="E7391" t="s">
        <v>18837</v>
      </c>
      <c r="F7391" t="s">
        <v>19096</v>
      </c>
      <c r="G7391" t="s">
        <v>24347</v>
      </c>
      <c r="H7391" t="str">
        <f>HYPERLINK("https://baanknet.com/view-property/282373/6B6B358AFC8DD0ACFCA4902163204DA344E4F651C0084476B96DDFF0B84AB6E8", "https://baanknet.com/view-property/282373/6B6B358AFC8DD0ACFCA4902163204DA344E4F651C0084476B96DDFF0B84AB6E8")</f>
        <v>https://baanknet.com/view-property/282373/6B6B358AFC8DD0ACFCA4902163204DA344E4F651C0084476B96DDFF0B84AB6E8</v>
      </c>
      <c r="I7391" t="str">
        <f>HYPERLINK("https://baanknet.com/view-property/282373/6B6B358AFC8DD0ACFCA4902163204DA344E4F651C0084476B96DDFF0B84AB6E8", "Open")</f>
        <v>Open</v>
      </c>
      <c r="J7391" t="s">
        <v>3803</v>
      </c>
      <c r="L7391">
        <v>940000</v>
      </c>
      <c r="M7391">
        <v>94000</v>
      </c>
    </row>
    <row r="7392" spans="1:13" x14ac:dyDescent="0.25">
      <c r="A7392" t="s">
        <v>24348</v>
      </c>
      <c r="B7392" t="s">
        <v>24349</v>
      </c>
      <c r="C7392" t="s">
        <v>387</v>
      </c>
      <c r="D7392" t="s">
        <v>4321</v>
      </c>
      <c r="E7392" t="s">
        <v>841</v>
      </c>
      <c r="F7392" t="s">
        <v>334</v>
      </c>
      <c r="G7392" t="s">
        <v>24350</v>
      </c>
      <c r="H7392" t="str">
        <f>HYPERLINK("https://baanknet.com/view-property/260006/B1E4DE3D2F77F90ACE13134DB7597B1BE48082A5ACE3F755D843C43C12D5607F", "https://baanknet.com/view-property/260006/B1E4DE3D2F77F90ACE13134DB7597B1BE48082A5ACE3F755D843C43C12D5607F")</f>
        <v>https://baanknet.com/view-property/260006/B1E4DE3D2F77F90ACE13134DB7597B1BE48082A5ACE3F755D843C43C12D5607F</v>
      </c>
      <c r="I7392" t="str">
        <f>HYPERLINK("https://baanknet.com/view-property/260006/B1E4DE3D2F77F90ACE13134DB7597B1BE48082A5ACE3F755D843C43C12D5607F", "Open")</f>
        <v>Open</v>
      </c>
      <c r="J7392" t="s">
        <v>20</v>
      </c>
      <c r="K7392" t="s">
        <v>21</v>
      </c>
      <c r="L7392">
        <v>7800000</v>
      </c>
      <c r="M7392">
        <v>780000</v>
      </c>
    </row>
    <row r="7393" spans="1:13" x14ac:dyDescent="0.25">
      <c r="A7393" t="s">
        <v>24351</v>
      </c>
      <c r="B7393" t="s">
        <v>24352</v>
      </c>
      <c r="C7393" t="s">
        <v>83</v>
      </c>
      <c r="D7393" t="s">
        <v>518</v>
      </c>
      <c r="E7393" t="s">
        <v>86</v>
      </c>
      <c r="F7393" t="s">
        <v>21846</v>
      </c>
      <c r="G7393" t="s">
        <v>24353</v>
      </c>
      <c r="H7393" t="str">
        <f>HYPERLINK("https://baanknet.com/view-property/271519/EB2DBDF9E5791130E2B19C33581D33A874BF65FE11BE8524E2D46DC78D4DD1F7", "https://baanknet.com/view-property/271519/EB2DBDF9E5791130E2B19C33581D33A874BF65FE11BE8524E2D46DC78D4DD1F7")</f>
        <v>https://baanknet.com/view-property/271519/EB2DBDF9E5791130E2B19C33581D33A874BF65FE11BE8524E2D46DC78D4DD1F7</v>
      </c>
      <c r="I7393" t="str">
        <f>HYPERLINK("https://baanknet.com/view-property/271519/EB2DBDF9E5791130E2B19C33581D33A874BF65FE11BE8524E2D46DC78D4DD1F7", "Open")</f>
        <v>Open</v>
      </c>
      <c r="J7393" t="s">
        <v>20</v>
      </c>
      <c r="K7393" t="s">
        <v>21</v>
      </c>
      <c r="L7393">
        <v>1908000</v>
      </c>
      <c r="M7393">
        <v>190800</v>
      </c>
    </row>
    <row r="7394" spans="1:13" x14ac:dyDescent="0.25">
      <c r="A7394" t="s">
        <v>24354</v>
      </c>
      <c r="B7394" t="s">
        <v>24355</v>
      </c>
      <c r="C7394" t="s">
        <v>121</v>
      </c>
      <c r="D7394" t="s">
        <v>991</v>
      </c>
      <c r="E7394" t="s">
        <v>284</v>
      </c>
      <c r="F7394" t="s">
        <v>334</v>
      </c>
      <c r="G7394" t="s">
        <v>24356</v>
      </c>
      <c r="H7394" t="str">
        <f>HYPERLINK("https://baanknet.com/view-property/269181/125BB13574A6974058C76690DA8797839A19F0BE4733A4CC4D3E3E1C60FA9EE0", "https://baanknet.com/view-property/269181/125BB13574A6974058C76690DA8797839A19F0BE4733A4CC4D3E3E1C60FA9EE0")</f>
        <v>https://baanknet.com/view-property/269181/125BB13574A6974058C76690DA8797839A19F0BE4733A4CC4D3E3E1C60FA9EE0</v>
      </c>
      <c r="I7394" t="str">
        <f>HYPERLINK("https://baanknet.com/view-property/269181/125BB13574A6974058C76690DA8797839A19F0BE4733A4CC4D3E3E1C60FA9EE0", "Open")</f>
        <v>Open</v>
      </c>
      <c r="J7394" t="s">
        <v>20</v>
      </c>
      <c r="K7394" t="s">
        <v>21</v>
      </c>
      <c r="L7394">
        <v>2964000</v>
      </c>
      <c r="M7394">
        <v>296400</v>
      </c>
    </row>
    <row r="7395" spans="1:13" x14ac:dyDescent="0.25">
      <c r="A7395" t="s">
        <v>24357</v>
      </c>
      <c r="B7395" t="s">
        <v>24358</v>
      </c>
      <c r="C7395" t="s">
        <v>594</v>
      </c>
      <c r="D7395" t="s">
        <v>900</v>
      </c>
      <c r="E7395" t="s">
        <v>596</v>
      </c>
      <c r="F7395" t="s">
        <v>574</v>
      </c>
      <c r="G7395" t="s">
        <v>24359</v>
      </c>
      <c r="H7395" t="str">
        <f>HYPERLINK("https://baanknet.com/view-property/288295/EA7AF8DC3EAF257C9A9EC9889607AD7484C33929775E7837A166D14D90971D5D", "https://baanknet.com/view-property/288295/EA7AF8DC3EAF257C9A9EC9889607AD7484C33929775E7837A166D14D90971D5D")</f>
        <v>https://baanknet.com/view-property/288295/EA7AF8DC3EAF257C9A9EC9889607AD7484C33929775E7837A166D14D90971D5D</v>
      </c>
      <c r="I7395" t="str">
        <f>HYPERLINK("https://baanknet.com/view-property/288295/EA7AF8DC3EAF257C9A9EC9889607AD7484C33929775E7837A166D14D90971D5D", "Open")</f>
        <v>Open</v>
      </c>
      <c r="J7395" t="s">
        <v>3803</v>
      </c>
      <c r="L7395">
        <v>3994000</v>
      </c>
      <c r="M7395">
        <v>399400</v>
      </c>
    </row>
    <row r="7396" spans="1:13" x14ac:dyDescent="0.25">
      <c r="A7396" t="s">
        <v>24360</v>
      </c>
      <c r="B7396" t="s">
        <v>24361</v>
      </c>
      <c r="C7396" t="s">
        <v>594</v>
      </c>
      <c r="D7396" t="s">
        <v>20902</v>
      </c>
      <c r="E7396" t="s">
        <v>596</v>
      </c>
      <c r="F7396" t="s">
        <v>574</v>
      </c>
      <c r="G7396" t="s">
        <v>24362</v>
      </c>
      <c r="H7396" t="str">
        <f>HYPERLINK("https://baanknet.com/view-property/236908/F0893A868DEFFEA2EF505C50CBCA2C0B862E732B8DB40045F285EC447AE729F6", "https://baanknet.com/view-property/236908/F0893A868DEFFEA2EF505C50CBCA2C0B862E732B8DB40045F285EC447AE729F6")</f>
        <v>https://baanknet.com/view-property/236908/F0893A868DEFFEA2EF505C50CBCA2C0B862E732B8DB40045F285EC447AE729F6</v>
      </c>
      <c r="I7396" t="str">
        <f>HYPERLINK("https://baanknet.com/view-property/236908/F0893A868DEFFEA2EF505C50CBCA2C0B862E732B8DB40045F285EC447AE729F6", "Open")</f>
        <v>Open</v>
      </c>
      <c r="J7396" t="s">
        <v>3803</v>
      </c>
      <c r="L7396">
        <v>1395000</v>
      </c>
      <c r="M7396">
        <v>139500</v>
      </c>
    </row>
    <row r="7397" spans="1:13" x14ac:dyDescent="0.25">
      <c r="A7397" t="s">
        <v>24363</v>
      </c>
      <c r="B7397" t="s">
        <v>24364</v>
      </c>
      <c r="C7397" t="s">
        <v>594</v>
      </c>
      <c r="D7397" t="s">
        <v>501</v>
      </c>
      <c r="E7397" t="s">
        <v>596</v>
      </c>
      <c r="F7397" t="s">
        <v>574</v>
      </c>
      <c r="G7397" t="s">
        <v>24365</v>
      </c>
      <c r="H7397" t="str">
        <f>HYPERLINK("https://baanknet.com/view-property/229742/FB277696C5378C53674A312AB870BF3C4814C0EDA1D89D21C91EF306B33F52CB", "https://baanknet.com/view-property/229742/FB277696C5378C53674A312AB870BF3C4814C0EDA1D89D21C91EF306B33F52CB")</f>
        <v>https://baanknet.com/view-property/229742/FB277696C5378C53674A312AB870BF3C4814C0EDA1D89D21C91EF306B33F52CB</v>
      </c>
      <c r="I7397" t="str">
        <f>HYPERLINK("https://baanknet.com/view-property/229742/FB277696C5378C53674A312AB870BF3C4814C0EDA1D89D21C91EF306B33F52CB", "Open")</f>
        <v>Open</v>
      </c>
      <c r="J7397" t="s">
        <v>3803</v>
      </c>
      <c r="L7397">
        <v>1092000</v>
      </c>
      <c r="M7397">
        <v>109200</v>
      </c>
    </row>
    <row r="7398" spans="1:13" x14ac:dyDescent="0.25">
      <c r="A7398" t="s">
        <v>24366</v>
      </c>
      <c r="B7398" t="s">
        <v>24367</v>
      </c>
      <c r="C7398" t="s">
        <v>594</v>
      </c>
      <c r="D7398" t="s">
        <v>4542</v>
      </c>
      <c r="E7398" t="s">
        <v>596</v>
      </c>
      <c r="F7398" t="s">
        <v>574</v>
      </c>
      <c r="G7398" t="s">
        <v>24368</v>
      </c>
      <c r="H7398" t="str">
        <f>HYPERLINK("https://baanknet.com/view-property/288290/C7DFF78C4A916C3C0EE8C67F33F3373325447DDEE90B165C3807623C3825786A", "https://baanknet.com/view-property/288290/C7DFF78C4A916C3C0EE8C67F33F3373325447DDEE90B165C3807623C3825786A")</f>
        <v>https://baanknet.com/view-property/288290/C7DFF78C4A916C3C0EE8C67F33F3373325447DDEE90B165C3807623C3825786A</v>
      </c>
      <c r="I7398" t="str">
        <f>HYPERLINK("https://baanknet.com/view-property/288290/C7DFF78C4A916C3C0EE8C67F33F3373325447DDEE90B165C3807623C3825786A", "Open")</f>
        <v>Open</v>
      </c>
      <c r="J7398" t="s">
        <v>3803</v>
      </c>
      <c r="L7398">
        <v>1783000</v>
      </c>
      <c r="M7398">
        <v>178300</v>
      </c>
    </row>
    <row r="7399" spans="1:13" x14ac:dyDescent="0.25">
      <c r="A7399" t="s">
        <v>24369</v>
      </c>
      <c r="B7399" t="s">
        <v>24370</v>
      </c>
      <c r="C7399" t="s">
        <v>121</v>
      </c>
      <c r="D7399" t="s">
        <v>24371</v>
      </c>
      <c r="E7399" t="s">
        <v>11024</v>
      </c>
      <c r="F7399" t="s">
        <v>11430</v>
      </c>
      <c r="G7399" t="s">
        <v>24372</v>
      </c>
      <c r="H7399" t="str">
        <f>HYPERLINK("https://baanknet.com/view-property/273268/56E7CA91F9F3C7551884E70FE31FDE9730ABE577AF22E31358AA9C1E96267F7E", "https://baanknet.com/view-property/273268/56E7CA91F9F3C7551884E70FE31FDE9730ABE577AF22E31358AA9C1E96267F7E")</f>
        <v>https://baanknet.com/view-property/273268/56E7CA91F9F3C7551884E70FE31FDE9730ABE577AF22E31358AA9C1E96267F7E</v>
      </c>
      <c r="I7399" t="str">
        <f>HYPERLINK("https://baanknet.com/view-property/273268/56E7CA91F9F3C7551884E70FE31FDE9730ABE577AF22E31358AA9C1E96267F7E", "Open")</f>
        <v>Open</v>
      </c>
      <c r="J7399" t="s">
        <v>3803</v>
      </c>
      <c r="L7399">
        <v>8519000</v>
      </c>
      <c r="M7399">
        <v>851900</v>
      </c>
    </row>
    <row r="7400" spans="1:13" x14ac:dyDescent="0.25">
      <c r="A7400" t="s">
        <v>24373</v>
      </c>
      <c r="B7400" t="s">
        <v>24374</v>
      </c>
      <c r="C7400" t="s">
        <v>121</v>
      </c>
      <c r="D7400" t="s">
        <v>2147</v>
      </c>
      <c r="E7400" t="s">
        <v>654</v>
      </c>
      <c r="F7400" t="s">
        <v>334</v>
      </c>
      <c r="G7400" t="s">
        <v>24375</v>
      </c>
      <c r="H7400" t="str">
        <f>HYPERLINK("https://baanknet.com/view-property/286777/2A2D13573360539ACDFDB6DCE0CC01E591137DBD5EDA49EF759FE90235450C82", "https://baanknet.com/view-property/286777/2A2D13573360539ACDFDB6DCE0CC01E591137DBD5EDA49EF759FE90235450C82")</f>
        <v>https://baanknet.com/view-property/286777/2A2D13573360539ACDFDB6DCE0CC01E591137DBD5EDA49EF759FE90235450C82</v>
      </c>
      <c r="I7400" t="str">
        <f>HYPERLINK("https://baanknet.com/view-property/286777/2A2D13573360539ACDFDB6DCE0CC01E591137DBD5EDA49EF759FE90235450C82", "Open")</f>
        <v>Open</v>
      </c>
      <c r="J7400" t="s">
        <v>20</v>
      </c>
      <c r="K7400" t="s">
        <v>21</v>
      </c>
      <c r="L7400">
        <v>2280550</v>
      </c>
      <c r="M7400">
        <v>228055</v>
      </c>
    </row>
    <row r="7401" spans="1:13" x14ac:dyDescent="0.25">
      <c r="A7401" t="s">
        <v>24376</v>
      </c>
      <c r="B7401" t="s">
        <v>24377</v>
      </c>
      <c r="C7401" t="s">
        <v>83</v>
      </c>
      <c r="D7401" t="s">
        <v>718</v>
      </c>
      <c r="E7401" t="s">
        <v>86</v>
      </c>
      <c r="F7401" t="s">
        <v>21846</v>
      </c>
      <c r="G7401" t="s">
        <v>24378</v>
      </c>
      <c r="H7401" t="str">
        <f>HYPERLINK("https://baanknet.com/view-property/288066/B83E71D969B349EC4BE2A4E042D03CC9EC65045785AB400011EE103E9D66F8A1", "https://baanknet.com/view-property/288066/B83E71D969B349EC4BE2A4E042D03CC9EC65045785AB400011EE103E9D66F8A1")</f>
        <v>https://baanknet.com/view-property/288066/B83E71D969B349EC4BE2A4E042D03CC9EC65045785AB400011EE103E9D66F8A1</v>
      </c>
      <c r="I7401" t="str">
        <f>HYPERLINK("https://baanknet.com/view-property/288066/B83E71D969B349EC4BE2A4E042D03CC9EC65045785AB400011EE103E9D66F8A1", "Open")</f>
        <v>Open</v>
      </c>
      <c r="J7401" t="s">
        <v>20</v>
      </c>
      <c r="K7401" t="s">
        <v>21</v>
      </c>
      <c r="L7401">
        <v>3280000</v>
      </c>
      <c r="M7401">
        <v>328000</v>
      </c>
    </row>
    <row r="7402" spans="1:13" x14ac:dyDescent="0.25">
      <c r="A7402" t="s">
        <v>24379</v>
      </c>
      <c r="B7402" t="s">
        <v>24380</v>
      </c>
      <c r="C7402" t="s">
        <v>594</v>
      </c>
      <c r="D7402" t="s">
        <v>4542</v>
      </c>
      <c r="E7402" t="s">
        <v>596</v>
      </c>
      <c r="F7402" t="s">
        <v>574</v>
      </c>
      <c r="G7402" t="s">
        <v>24381</v>
      </c>
      <c r="H7402" t="str">
        <f>HYPERLINK("https://baanknet.com/view-property/288291/3EAADC7068F28198A07784377E5E88A693F6532EAA83B10F48338456A03E94F6", "https://baanknet.com/view-property/288291/3EAADC7068F28198A07784377E5E88A693F6532EAA83B10F48338456A03E94F6")</f>
        <v>https://baanknet.com/view-property/288291/3EAADC7068F28198A07784377E5E88A693F6532EAA83B10F48338456A03E94F6</v>
      </c>
      <c r="I7402" t="str">
        <f>HYPERLINK("https://baanknet.com/view-property/288291/3EAADC7068F28198A07784377E5E88A693F6532EAA83B10F48338456A03E94F6", "Open")</f>
        <v>Open</v>
      </c>
      <c r="J7402" t="s">
        <v>3803</v>
      </c>
      <c r="L7402">
        <v>1962000</v>
      </c>
      <c r="M7402">
        <v>196200</v>
      </c>
    </row>
    <row r="7403" spans="1:13" x14ac:dyDescent="0.25">
      <c r="A7403" t="s">
        <v>24382</v>
      </c>
      <c r="B7403" t="s">
        <v>24383</v>
      </c>
      <c r="C7403" t="s">
        <v>594</v>
      </c>
      <c r="D7403" t="s">
        <v>4542</v>
      </c>
      <c r="E7403" t="s">
        <v>596</v>
      </c>
      <c r="F7403" t="s">
        <v>574</v>
      </c>
      <c r="G7403" t="s">
        <v>24384</v>
      </c>
      <c r="H7403" t="str">
        <f>HYPERLINK("https://baanknet.com/view-property/288294/A5DF355A7A6B27AFAF69CF19C91011F70DAFDCE7CA762B64551ECC4E38397AD7", "https://baanknet.com/view-property/288294/A5DF355A7A6B27AFAF69CF19C91011F70DAFDCE7CA762B64551ECC4E38397AD7")</f>
        <v>https://baanknet.com/view-property/288294/A5DF355A7A6B27AFAF69CF19C91011F70DAFDCE7CA762B64551ECC4E38397AD7</v>
      </c>
      <c r="I7403" t="str">
        <f>HYPERLINK("https://baanknet.com/view-property/288294/A5DF355A7A6B27AFAF69CF19C91011F70DAFDCE7CA762B64551ECC4E38397AD7", "Open")</f>
        <v>Open</v>
      </c>
      <c r="J7403" t="s">
        <v>3803</v>
      </c>
      <c r="L7403">
        <v>1832000</v>
      </c>
      <c r="M7403">
        <v>183200</v>
      </c>
    </row>
    <row r="7404" spans="1:13" x14ac:dyDescent="0.25">
      <c r="A7404" t="s">
        <v>24385</v>
      </c>
      <c r="B7404" t="s">
        <v>24386</v>
      </c>
      <c r="C7404" t="s">
        <v>15</v>
      </c>
      <c r="D7404" t="s">
        <v>526</v>
      </c>
      <c r="E7404" t="s">
        <v>10625</v>
      </c>
      <c r="F7404" t="s">
        <v>10861</v>
      </c>
      <c r="G7404" t="s">
        <v>24387</v>
      </c>
      <c r="H7404" t="str">
        <f>HYPERLINK("https://baanknet.com/view-property/286227/44A79AEDCA8C08525984B28092E9540C4926B3A8D80739AEA264A315DC696EFB", "https://baanknet.com/view-property/286227/44A79AEDCA8C08525984B28092E9540C4926B3A8D80739AEA264A315DC696EFB")</f>
        <v>https://baanknet.com/view-property/286227/44A79AEDCA8C08525984B28092E9540C4926B3A8D80739AEA264A315DC696EFB</v>
      </c>
      <c r="I7404" t="str">
        <f>HYPERLINK("https://baanknet.com/view-property/286227/44A79AEDCA8C08525984B28092E9540C4926B3A8D80739AEA264A315DC696EFB", "Open")</f>
        <v>Open</v>
      </c>
      <c r="J7404" t="s">
        <v>3803</v>
      </c>
      <c r="L7404">
        <v>3650000</v>
      </c>
      <c r="M7404">
        <v>365000</v>
      </c>
    </row>
    <row r="7405" spans="1:13" x14ac:dyDescent="0.25">
      <c r="A7405" t="s">
        <v>24388</v>
      </c>
      <c r="B7405" t="s">
        <v>24389</v>
      </c>
      <c r="C7405" t="s">
        <v>121</v>
      </c>
      <c r="D7405" t="s">
        <v>157</v>
      </c>
      <c r="E7405" t="s">
        <v>18823</v>
      </c>
      <c r="F7405" t="s">
        <v>18680</v>
      </c>
      <c r="G7405" t="s">
        <v>24390</v>
      </c>
      <c r="H7405" t="str">
        <f>HYPERLINK("https://baanknet.com/view-property/174403/98D6DB41C8190BFE5AE807FCF87D5A3389F7A6A9702E9C3C8C52FBBC3A1BC9BE", "https://baanknet.com/view-property/174403/98D6DB41C8190BFE5AE807FCF87D5A3389F7A6A9702E9C3C8C52FBBC3A1BC9BE")</f>
        <v>https://baanknet.com/view-property/174403/98D6DB41C8190BFE5AE807FCF87D5A3389F7A6A9702E9C3C8C52FBBC3A1BC9BE</v>
      </c>
      <c r="I7405" t="str">
        <f>HYPERLINK("https://baanknet.com/view-property/174403/98D6DB41C8190BFE5AE807FCF87D5A3389F7A6A9702E9C3C8C52FBBC3A1BC9BE", "Open")</f>
        <v>Open</v>
      </c>
      <c r="J7405" t="s">
        <v>3803</v>
      </c>
      <c r="L7405">
        <v>2420000</v>
      </c>
      <c r="M7405">
        <v>242000</v>
      </c>
    </row>
    <row r="7406" spans="1:13" x14ac:dyDescent="0.25">
      <c r="A7406" t="s">
        <v>24391</v>
      </c>
      <c r="B7406" t="s">
        <v>24392</v>
      </c>
      <c r="C7406" t="s">
        <v>121</v>
      </c>
      <c r="D7406" t="s">
        <v>157</v>
      </c>
      <c r="E7406" t="s">
        <v>18823</v>
      </c>
      <c r="F7406" t="s">
        <v>18680</v>
      </c>
      <c r="G7406" t="s">
        <v>24393</v>
      </c>
      <c r="H7406" t="str">
        <f>HYPERLINK("https://baanknet.com/view-property/174450/5D88E495427D0BE7F3F6A6AB6264DD6ADA63D2F8EA28B3A59FED8E6F6D8A5589", "https://baanknet.com/view-property/174450/5D88E495427D0BE7F3F6A6AB6264DD6ADA63D2F8EA28B3A59FED8E6F6D8A5589")</f>
        <v>https://baanknet.com/view-property/174450/5D88E495427D0BE7F3F6A6AB6264DD6ADA63D2F8EA28B3A59FED8E6F6D8A5589</v>
      </c>
      <c r="I7406" t="str">
        <f>HYPERLINK("https://baanknet.com/view-property/174450/5D88E495427D0BE7F3F6A6AB6264DD6ADA63D2F8EA28B3A59FED8E6F6D8A5589", "Open")</f>
        <v>Open</v>
      </c>
      <c r="J7406" t="s">
        <v>3803</v>
      </c>
      <c r="L7406">
        <v>3360000</v>
      </c>
      <c r="M7406">
        <v>336000</v>
      </c>
    </row>
    <row r="7407" spans="1:13" x14ac:dyDescent="0.25">
      <c r="A7407" t="s">
        <v>24394</v>
      </c>
      <c r="B7407" t="s">
        <v>24395</v>
      </c>
      <c r="C7407" t="s">
        <v>121</v>
      </c>
      <c r="D7407" t="s">
        <v>157</v>
      </c>
      <c r="E7407" t="s">
        <v>18823</v>
      </c>
      <c r="F7407" t="s">
        <v>18680</v>
      </c>
      <c r="G7407" t="s">
        <v>24396</v>
      </c>
      <c r="H7407" t="str">
        <f>HYPERLINK("https://baanknet.com/view-property/174442/4B2709F4ABD8A1C39F32FD5AF4690871ECB3C0B4205BB5D989D3C1BE3FFCB553", "https://baanknet.com/view-property/174442/4B2709F4ABD8A1C39F32FD5AF4690871ECB3C0B4205BB5D989D3C1BE3FFCB553")</f>
        <v>https://baanknet.com/view-property/174442/4B2709F4ABD8A1C39F32FD5AF4690871ECB3C0B4205BB5D989D3C1BE3FFCB553</v>
      </c>
      <c r="I7407" t="str">
        <f>HYPERLINK("https://baanknet.com/view-property/174442/4B2709F4ABD8A1C39F32FD5AF4690871ECB3C0B4205BB5D989D3C1BE3FFCB553", "Open")</f>
        <v>Open</v>
      </c>
      <c r="J7407" t="s">
        <v>3803</v>
      </c>
      <c r="L7407">
        <v>1310000</v>
      </c>
      <c r="M7407">
        <v>131000</v>
      </c>
    </row>
    <row r="7408" spans="1:13" x14ac:dyDescent="0.25">
      <c r="A7408" t="s">
        <v>24397</v>
      </c>
      <c r="B7408" t="s">
        <v>24398</v>
      </c>
      <c r="C7408" t="s">
        <v>571</v>
      </c>
      <c r="D7408" t="s">
        <v>3460</v>
      </c>
      <c r="E7408" t="s">
        <v>19394</v>
      </c>
      <c r="F7408" t="s">
        <v>19395</v>
      </c>
      <c r="G7408" t="s">
        <v>24399</v>
      </c>
      <c r="H7408" t="str">
        <f>HYPERLINK("https://baanknet.com/view-property/20693/33FEABD6E406CD54CA2A68218A0A25D5D82C3AA080CAB7C26BCC81B69C2419D3", "https://baanknet.com/view-property/20693/33FEABD6E406CD54CA2A68218A0A25D5D82C3AA080CAB7C26BCC81B69C2419D3")</f>
        <v>https://baanknet.com/view-property/20693/33FEABD6E406CD54CA2A68218A0A25D5D82C3AA080CAB7C26BCC81B69C2419D3</v>
      </c>
      <c r="I7408" t="str">
        <f>HYPERLINK("https://baanknet.com/view-property/20693/33FEABD6E406CD54CA2A68218A0A25D5D82C3AA080CAB7C26BCC81B69C2419D3", "Open")</f>
        <v>Open</v>
      </c>
      <c r="J7408" t="s">
        <v>3803</v>
      </c>
      <c r="L7408">
        <v>2150000</v>
      </c>
      <c r="M7408">
        <v>215000</v>
      </c>
    </row>
    <row r="7409" spans="1:13" x14ac:dyDescent="0.25">
      <c r="A7409" t="s">
        <v>24400</v>
      </c>
      <c r="B7409" t="s">
        <v>24401</v>
      </c>
      <c r="C7409" t="s">
        <v>83</v>
      </c>
      <c r="D7409" t="s">
        <v>1218</v>
      </c>
      <c r="E7409" t="s">
        <v>24115</v>
      </c>
      <c r="F7409" t="s">
        <v>24221</v>
      </c>
      <c r="G7409" t="s">
        <v>24402</v>
      </c>
      <c r="H7409" t="str">
        <f>HYPERLINK("https://baanknet.com/view-property/288004/0A2F4D6B9F08DB90BC83578210A52B742514039C8290A286F228B7E3F78468C7", "https://baanknet.com/view-property/288004/0A2F4D6B9F08DB90BC83578210A52B742514039C8290A286F228B7E3F78468C7")</f>
        <v>https://baanknet.com/view-property/288004/0A2F4D6B9F08DB90BC83578210A52B742514039C8290A286F228B7E3F78468C7</v>
      </c>
      <c r="I7409" t="str">
        <f>HYPERLINK("https://baanknet.com/view-property/288004/0A2F4D6B9F08DB90BC83578210A52B742514039C8290A286F228B7E3F78468C7", "Open")</f>
        <v>Open</v>
      </c>
      <c r="J7409" t="s">
        <v>3803</v>
      </c>
      <c r="L7409">
        <v>2523000</v>
      </c>
      <c r="M7409">
        <v>252300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Asset</cp:lastModifiedBy>
  <dcterms:created xsi:type="dcterms:W3CDTF">2026-06-23T10:56:20Z</dcterms:created>
  <dcterms:modified xsi:type="dcterms:W3CDTF">2026-06-23T10:59:53Z</dcterms:modified>
</cp:coreProperties>
</file>